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dev\repos\howden-cosmo\filesystem-resources\DefaultInstanceData\ProduktMaschine\standard\hpdo\"/>
    </mc:Choice>
  </mc:AlternateContent>
  <bookViews>
    <workbookView xWindow="28680" yWindow="-120" windowWidth="29040" windowHeight="17640" tabRatio="813"/>
  </bookViews>
  <sheets>
    <sheet name="Fragenkatalog" sheetId="7" r:id="rId1"/>
    <sheet name="Daten-Abzug" sheetId="17" r:id="rId2"/>
    <sheet name="Deckungsoptionen" sheetId="44" r:id="rId3"/>
    <sheet name="Referral Stati" sheetId="16" r:id="rId4"/>
    <sheet name="SIC-Liste" sheetId="14" r:id="rId5"/>
    <sheet name="Sterne-Rechner - Angebot" sheetId="18" r:id="rId6"/>
    <sheet name="Sterne-Rechner - GI" sheetId="19" r:id="rId7"/>
    <sheet name="Default-Klauseln" sheetId="34" r:id="rId8"/>
    <sheet name="Preisrechner Alle Tarife" sheetId="23" r:id="rId9"/>
    <sheet name="AXA - Tarif" sheetId="24" state="hidden" r:id="rId10"/>
    <sheet name="AXA - Tarif ab 20210401" sheetId="25" state="hidden" r:id="rId11"/>
    <sheet name="AXA - Tarif ab 20220101" sheetId="35" state="hidden" r:id="rId12"/>
    <sheet name="AXA - Tarif ab 20230601" sheetId="43" r:id="rId13"/>
    <sheet name="Newline - Tarif" sheetId="26" r:id="rId14"/>
    <sheet name="AIG Facility - Preisrechner" sheetId="27" r:id="rId15"/>
    <sheet name="AIG Facility - Tarif" sheetId="28" r:id="rId16"/>
    <sheet name="Berkley - Tarif" sheetId="29" r:id="rId17"/>
    <sheet name="Liberty - Tarif" sheetId="39" r:id="rId18"/>
    <sheet name="Liberty - Tarif Verein" sheetId="40" r:id="rId19"/>
    <sheet name="ERGO - Tarif" sheetId="42" r:id="rId20"/>
    <sheet name="DUAL - Tarif" sheetId="31" r:id="rId21"/>
    <sheet name="WVAG - Preisrechner" sheetId="32" r:id="rId22"/>
    <sheet name="WVAG - Tarif Unternehmen" sheetId="33" r:id="rId23"/>
    <sheet name="WVAG - Tarif Verein" sheetId="38" r:id="rId24"/>
    <sheet name="Markel - Tarif" sheetId="36" r:id="rId25"/>
    <sheet name="Markel - Tarif Vereine" sheetId="37" r:id="rId26"/>
    <sheet name="Facility Kriterien" sheetId="1" r:id="rId27"/>
    <sheet name="Flussdiagramm" sheetId="4" r:id="rId28"/>
    <sheet name="KoopMakler" sheetId="12" r:id="rId29"/>
    <sheet name="Sanktionsländer" sheetId="15" r:id="rId30"/>
    <sheet name="Listen-Daten DigPos" sheetId="5" r:id="rId31"/>
    <sheet name="Mitvers U" sheetId="8" state="hidden" r:id="rId32"/>
    <sheet name="Mitvers Personen" sheetId="9" state="hidden" r:id="rId33"/>
    <sheet name="Ausgeschlossene U" sheetId="10" state="hidden" r:id="rId34"/>
    <sheet name="Ausgeschlossene P" sheetId="11" state="hidden" r:id="rId35"/>
    <sheet name="Listen-Daten" sheetId="13" r:id="rId36"/>
    <sheet name="Rechtsformen und -gruppen" sheetId="21" r:id="rId37"/>
    <sheet name="Produkte" sheetId="2" r:id="rId38"/>
    <sheet name="Produktauswahl" sheetId="3" r:id="rId39"/>
    <sheet name="Vorgeschlagene Deckungssummen" sheetId="6" r:id="rId40"/>
    <sheet name="Inhaltliche Bewertung - Angebot" sheetId="20" r:id="rId41"/>
    <sheet name="Inhaltliche Bewertung - GI" sheetId="22" r:id="rId42"/>
    <sheet name="VersichererDaten" sheetId="41" r:id="rId43"/>
  </sheets>
  <definedNames>
    <definedName name="_xlnm._FilterDatabase" localSheetId="15" hidden="1">'AIG Facility - Tarif'!$B$1:$M$29</definedName>
    <definedName name="_xlnm._FilterDatabase" localSheetId="0" hidden="1">Fragenkatalog!$A$5:$BT$306</definedName>
    <definedName name="_xlnm._FilterDatabase" localSheetId="40" hidden="1">'Inhaltliche Bewertung - Angebot'!$A$28:$EB$124</definedName>
    <definedName name="_xlnm._FilterDatabase" localSheetId="41" hidden="1">'Inhaltliche Bewertung - GI'!$A$28:$EB$124</definedName>
    <definedName name="_xlnm._FilterDatabase" localSheetId="35" hidden="1">'Listen-Daten'!$H$1:$K$250</definedName>
    <definedName name="_xlnm._FilterDatabase" localSheetId="30" hidden="1">'Listen-Daten DigPos'!$A$2:$T$1102</definedName>
    <definedName name="_xlnm._FilterDatabase" localSheetId="37" hidden="1">Produkte!$A$1:$E$18</definedName>
    <definedName name="_xlnm._FilterDatabase" localSheetId="36" hidden="1">'Rechtsformen und -gruppen'!$A$8:$B$45</definedName>
    <definedName name="_xlnm._FilterDatabase" localSheetId="3" hidden="1">'Referral Stati'!$A$2:$Q$224</definedName>
    <definedName name="_xlnm._FilterDatabase" localSheetId="4" hidden="1">'SIC-Liste'!$A$6:$K$1014</definedName>
    <definedName name="_xlnm._FilterDatabase" localSheetId="5" hidden="1">'Sterne-Rechner - Angebot'!$A$3:$AF$24</definedName>
    <definedName name="_xlnm._FilterDatabase" localSheetId="6" hidden="1">'Sterne-Rechner - GI'!$B$3:$AU$24</definedName>
    <definedName name="_ftnref1" localSheetId="40">'Inhaltliche Bewertung - Angebot'!$U$53</definedName>
    <definedName name="_ftnref1" localSheetId="41">'Inhaltliche Bewertung - GI'!$U$53</definedName>
    <definedName name="_ftnref2" localSheetId="40">'Inhaltliche Bewertung - Angebot'!$U$65</definedName>
    <definedName name="_ftnref2" localSheetId="41">'Inhaltliche Bewertung - GI'!$U$65</definedName>
    <definedName name="_ftnref3" localSheetId="40">'Inhaltliche Bewertung - Angebot'!$E$74</definedName>
    <definedName name="_ftnref3" localSheetId="41">'Inhaltliche Bewertung - GI'!$E$74</definedName>
    <definedName name="aig_MaxDeckungssumme">'AIG Facility - Tarif'!$C$32</definedName>
    <definedName name="aig_MaxUmsatz">'AIG Facility - Tarif'!$C$33</definedName>
    <definedName name="aig1usedClauses">'Daten-Abzug'!$D$32</definedName>
    <definedName name="aig2usedClauses">'Daten-Abzug'!$E$32</definedName>
    <definedName name="aig3usedClauses">'Daten-Abzug'!$F$32</definedName>
    <definedName name="aigArbitrationCourtPercentage">Deckungsoptionen!$B$13</definedName>
    <definedName name="aigArbitrationCourtPremiumNeutral">Deckungsoptionen!$B$12</definedName>
    <definedName name="aigArbitrationCourtSelected">Deckungsoptionen!$B$11</definedName>
    <definedName name="aigDefaultKlauseln">'Default-Klauseln'!$B$5</definedName>
    <definedName name="aigDoublePerYearPercentage">Deckungsoptionen!$B$8</definedName>
    <definedName name="aigDoublePerYearPremiumNeutral">Deckungsoptionen!$B$7</definedName>
    <definedName name="aigDoublePerYearSelected">Deckungsoptionen!$B$6</definedName>
    <definedName name="AIGFacilityAngeboteneDS">'AIG Facility - Preisrechner'!$B$5:$G$5</definedName>
    <definedName name="AIGFacilityKriterien">Flussdiagramm!$L$10</definedName>
    <definedName name="AIGFacilityKriterien1">Flussdiagramm!$L$10</definedName>
    <definedName name="AIGFacilityKriterien2">Flussdiagramm!$M$10</definedName>
    <definedName name="AIGFacilityKriterien3">Flussdiagramm!$N$10</definedName>
    <definedName name="aigFacilityYesNo">'Daten-Abzug'!$D$24</definedName>
    <definedName name="aigLimit1CoverageOptions">'Daten-Abzug'!$D$31</definedName>
    <definedName name="aigLimit1FacilityYesNo">'Daten-Abzug'!$D$24</definedName>
    <definedName name="aigLimit1HowdenNetProvision">'Daten-Abzug'!$D$29</definedName>
    <definedName name="aigLimit1Offered">'Daten-Abzug'!$D$27</definedName>
    <definedName name="aigLimit1Premium">'Daten-Abzug'!$D$28</definedName>
    <definedName name="aigLimit1Stars">'Daten-Abzug'!$D$25</definedName>
    <definedName name="aigLimit1Status">'Daten-Abzug'!$D$33</definedName>
    <definedName name="aigLimit2CoverageOptions">'Daten-Abzug'!$E$31</definedName>
    <definedName name="aigLimit2HowdenNetProvision">'Daten-Abzug'!$E$29</definedName>
    <definedName name="aigLimit2Offered">'Daten-Abzug'!$E$27</definedName>
    <definedName name="aigLimit2Premium">'Daten-Abzug'!$E$28</definedName>
    <definedName name="aigLimit2Stars">'Daten-Abzug'!$E$25</definedName>
    <definedName name="aigLimit2Status">'Daten-Abzug'!$E$33</definedName>
    <definedName name="aigLimit3CoverageOptions">'Daten-Abzug'!$F$31</definedName>
    <definedName name="aigLimit3HowdenNetProvision">'Daten-Abzug'!$F$29</definedName>
    <definedName name="aigLimit3Offered">'Daten-Abzug'!$F$27</definedName>
    <definedName name="aigLimit3Premium">'Daten-Abzug'!$F$28</definedName>
    <definedName name="aigLimit3Stars">'Daten-Abzug'!$F$25</definedName>
    <definedName name="aigLimit3Status">'Daten-Abzug'!$F$33</definedName>
    <definedName name="AIGMax10Mio">Fragenkatalog!$K$63</definedName>
    <definedName name="aigUsedClauses">Fragenkatalog!$Z$6</definedName>
    <definedName name="aigWpHGPercentage">Deckungsoptionen!$B$18</definedName>
    <definedName name="aigWpHGPremiumNeutral">Deckungsoptionen!$B$17</definedName>
    <definedName name="aigWpHGSelected">Deckungsoptionen!$B$16</definedName>
    <definedName name="AnteileAnDerBörseGehandelt">Fragenkatalog!$K$61</definedName>
    <definedName name="Außenumsatz">Fragenkatalog!$K$57</definedName>
    <definedName name="AußenumsatzGI">Fragenkatalog!$F$57</definedName>
    <definedName name="axa_MaxDeckungssumme">'AXA - Tarif ab 20230601'!$K$19</definedName>
    <definedName name="axa_MaxUmsatz">'AXA - Tarif ab 20230601'!$K$20</definedName>
    <definedName name="axa_PremiumAdjustment">'SIC-Liste'!$K$3</definedName>
    <definedName name="axa_Referral">'SIC-Liste'!$J$3</definedName>
    <definedName name="axa1usedClauses">'Daten-Abzug'!$D$22</definedName>
    <definedName name="axa2usedClauses">'Daten-Abzug'!$E$22</definedName>
    <definedName name="axa3usedClauses">'Daten-Abzug'!$F$22</definedName>
    <definedName name="axaArbitrationCourtPercentage">Deckungsoptionen!$D$13</definedName>
    <definedName name="axaArbitrationCourtPremiumNeutral">Deckungsoptionen!$D$12</definedName>
    <definedName name="axaArbitrationCourtSelected">Deckungsoptionen!$D$11</definedName>
    <definedName name="axaDefaultKlauseln">'Default-Klauseln'!$C$5</definedName>
    <definedName name="axaDoublePerYearPercentage">Deckungsoptionen!$D$8</definedName>
    <definedName name="axaDoublePerYearPremiumNeutral">Deckungsoptionen!$D$7</definedName>
    <definedName name="axaDoublePerYearSelected">Deckungsoptionen!$D$6</definedName>
    <definedName name="axaFacilityArbitrationCourtPercentage">Deckungsoptionen!$C$13</definedName>
    <definedName name="axaFacilityArbitrationCourtPremiumNeutral">Deckungsoptionen!$C$12</definedName>
    <definedName name="axaFacilityArbitrationCourtSelected">Deckungsoptionen!$C$11</definedName>
    <definedName name="axaFacilityDoublePerYearPercentage">Deckungsoptionen!$C$8</definedName>
    <definedName name="axaFacilityDoublePerYearPremiumNeutral">Deckungsoptionen!$C$7</definedName>
    <definedName name="axaFacilityDoublePerYearSelected">Deckungsoptionen!$C$6</definedName>
    <definedName name="AXAFacilityKriterien">Flussdiagramm!$L$2</definedName>
    <definedName name="axaFacilityWpHGPercentage">Deckungsoptionen!$C$18</definedName>
    <definedName name="axaFacilityWpHGPremiumNeutral">Deckungsoptionen!$C$17</definedName>
    <definedName name="axaFacilityWpHGSelected">Deckungsoptionen!$C$16</definedName>
    <definedName name="axaFacilityYesNo">'Daten-Abzug'!$D$14</definedName>
    <definedName name="axaLimit1Bewertungsfaktor">'Daten-Abzug'!$D$16</definedName>
    <definedName name="axaLimit1CoopBrokerNetProvision">'Daten-Abzug'!$D$20</definedName>
    <definedName name="axaLimit1CoverageOptions">'Daten-Abzug'!$D$21</definedName>
    <definedName name="axaLimit1HowdenNetProvision">'Daten-Abzug'!$D$19</definedName>
    <definedName name="axaLimit1Offered">'Daten-Abzug'!$D$17</definedName>
    <definedName name="axaLimit1Premium">'Daten-Abzug'!$D$18</definedName>
    <definedName name="axaLimit1Stars">'Daten-Abzug'!$D$15</definedName>
    <definedName name="axaLimit1Status">'Daten-Abzug'!$D$23</definedName>
    <definedName name="axaLimit2Bewertungsfaktor">'Daten-Abzug'!$E$16</definedName>
    <definedName name="axaLimit2CoopBrokerNetProvision">'Daten-Abzug'!$E$20</definedName>
    <definedName name="axaLimit2CoverageOptions">'Daten-Abzug'!$E$21</definedName>
    <definedName name="axaLimit2HowdenNetProvision">'Daten-Abzug'!$E$19</definedName>
    <definedName name="axaLimit2Offered">'Daten-Abzug'!$E$17</definedName>
    <definedName name="axaLimit2Premium">'Daten-Abzug'!$E$18</definedName>
    <definedName name="axaLimit2Stars">'Daten-Abzug'!$E$15</definedName>
    <definedName name="axaLimit2Status">'Daten-Abzug'!$E$23</definedName>
    <definedName name="axaLimit3Bewertungsfaktor">'Daten-Abzug'!$F$16</definedName>
    <definedName name="axaLimit3CoopBrokerNetProvision">'Daten-Abzug'!$F$20</definedName>
    <definedName name="axaLimit3CoverageOptions">'Daten-Abzug'!$F$21</definedName>
    <definedName name="axaLimit3HowdenNetProvision">'Daten-Abzug'!$F$19</definedName>
    <definedName name="axaLimit3Offered">'Daten-Abzug'!$F$17</definedName>
    <definedName name="axaLimit3Premium">'Daten-Abzug'!$F$18</definedName>
    <definedName name="axaLimit3Stars">'Daten-Abzug'!$F$15</definedName>
    <definedName name="axaLimit3Status">'Daten-Abzug'!$F$23</definedName>
    <definedName name="axaRiskManagerGlobalState">VersichererDaten!$C$2</definedName>
    <definedName name="axaUsedClauses">Fragenkatalog!$AR$6</definedName>
    <definedName name="axaWpHGPercentage">Deckungsoptionen!$D$18</definedName>
    <definedName name="axaWpHGPremiumNeutral">Deckungsoptionen!$D$17</definedName>
    <definedName name="axaWpHGSelected">Deckungsoptionen!$D$16</definedName>
    <definedName name="BenannterBereichtriggerwvagRisikoFragen96Value">Fragenkatalog!$AU$79</definedName>
    <definedName name="berkley_DeckungssummeCol">'Berkley - Tarif'!$D$2:$O$2</definedName>
    <definedName name="berkley_MaxDeckungssumme">'Berkley - Tarif'!$L$15</definedName>
    <definedName name="berkley_MaxUmsatz">'Berkley - Tarif'!$L$16</definedName>
    <definedName name="berkley_PremiumAdjustment">'SIC-Liste'!$I$3</definedName>
    <definedName name="berkley_Referral">'SIC-Liste'!$H$3</definedName>
    <definedName name="berkley_TarifTable">'Berkley - Tarif'!$D$3:$O$10</definedName>
    <definedName name="berkley_UmsatzRow">'Berkley - Tarif'!$C$3:$C$10</definedName>
    <definedName name="berkley1usedClauses">'Daten-Abzug'!$D$59</definedName>
    <definedName name="berkley2usedClauses">'Daten-Abzug'!$E$59</definedName>
    <definedName name="berkley3usedClauses">'Daten-Abzug'!$F$59</definedName>
    <definedName name="berkleyArbitrationCourtPercentage">Deckungsoptionen!$G$13</definedName>
    <definedName name="berkleyArbitrationCourtPremiumNeutral">Deckungsoptionen!$G$12</definedName>
    <definedName name="berkleyArbitrationCourtSelected">Deckungsoptionen!$G$11</definedName>
    <definedName name="berkleyDefaultKlauseln">'Default-Klauseln'!$F$5</definedName>
    <definedName name="berkleyDoublePerYearPercentage">Deckungsoptionen!$G$8</definedName>
    <definedName name="berkleyDoublePerYearPremiumNeutral">Deckungsoptionen!$G$7</definedName>
    <definedName name="berkleyDoublePerYearSelected">Deckungsoptionen!$G$6</definedName>
    <definedName name="berkleyLimit1Bewertungsfaktor">'Daten-Abzug'!$D$53</definedName>
    <definedName name="berkleyLimit1CoopBrokerNetProvision">'Daten-Abzug'!$D$57</definedName>
    <definedName name="berkleyLimit1CoverageOptions">'Daten-Abzug'!$D$58</definedName>
    <definedName name="berkleyLimit1HowdenNetProvision">'Daten-Abzug'!$D$56</definedName>
    <definedName name="berkleyLimit1Offered">'Daten-Abzug'!$D$54</definedName>
    <definedName name="berkleyLimit1Premium">'Daten-Abzug'!$D$55</definedName>
    <definedName name="berkleyLimit1Stars">'Daten-Abzug'!$D$52</definedName>
    <definedName name="berkleyLimit1Status">'Daten-Abzug'!$D$60</definedName>
    <definedName name="berkleyLimit2Bewertungsfaktor">'Daten-Abzug'!$E$53</definedName>
    <definedName name="berkleyLimit2CoopBrokerNetProvision">'Daten-Abzug'!$E$57</definedName>
    <definedName name="berkleyLimit2CoverageOptions">'Daten-Abzug'!$E$58</definedName>
    <definedName name="berkleyLimit2HowdenNetProvision">'Daten-Abzug'!$E$56</definedName>
    <definedName name="berkleyLimit2Offered">'Daten-Abzug'!$E$54</definedName>
    <definedName name="berkleyLimit2Premium">'Daten-Abzug'!$E$55</definedName>
    <definedName name="berkleyLimit2Stars">'Daten-Abzug'!$E$52</definedName>
    <definedName name="berkleyLimit2Status">'Daten-Abzug'!$E$60</definedName>
    <definedName name="berkleyLimit3Bewertungsfaktor">'Daten-Abzug'!$F$53</definedName>
    <definedName name="berkleyLimit3CoopBrokerNetProvision">'Daten-Abzug'!$F$57</definedName>
    <definedName name="berkleyLimit3CoverageOptions">'Daten-Abzug'!$F$58</definedName>
    <definedName name="berkleyLimit3HowdenNetProvision">'Daten-Abzug'!$F$56</definedName>
    <definedName name="berkleyLimit3Offered">'Daten-Abzug'!$F$54</definedName>
    <definedName name="berkleyLimit3Premium">'Daten-Abzug'!$F$55</definedName>
    <definedName name="berkleyLimit3Stars">'Daten-Abzug'!$F$52</definedName>
    <definedName name="berkleyLimit3Status">'Daten-Abzug'!$F$60</definedName>
    <definedName name="berkleyRiskManagerGlobalState">VersichererDaten!$F$2</definedName>
    <definedName name="berkleyUsedClauses">Fragenkatalog!$AF$6</definedName>
    <definedName name="berkleyWpHGPercentage">Deckungsoptionen!$G$18</definedName>
    <definedName name="berkleyWpHGPremiumNeutral">Deckungsoptionen!$G$17</definedName>
    <definedName name="berkleyWpHGSelected">Deckungsoptionen!$G$16</definedName>
    <definedName name="Bilanzsumme">Fragenkatalog!$K$56</definedName>
    <definedName name="BilanzsummeGI">Fragenkatalog!$F$56</definedName>
    <definedName name="BillanzsummeStartup">Fragenkatalog!$K$126</definedName>
    <definedName name="Branche">Fragenkatalog!$O$13</definedName>
    <definedName name="BrancheOriginal">Fragenkatalog!$K$13</definedName>
    <definedName name="BusinessCode">Fragenkatalog!$L$13</definedName>
    <definedName name="Businessplan">Fragenkatalog!$K$66</definedName>
    <definedName name="Calc_SanctionedCountry">Sanktionsländer!$B$3</definedName>
    <definedName name="Cashflow">Fragenkatalog!$K$121</definedName>
    <definedName name="coopbrokerCourtageAIGF">KoopMakler!$B$3</definedName>
    <definedName name="coopbrokerCourtageAIGFACDigitalAcquisition">KoopMakler!$B$8</definedName>
    <definedName name="coopbrokerCourtageHPDO">KoopMakler!$B$5</definedName>
    <definedName name="coopbrokerCourtageHPDODigitalAcquisition">KoopMakler!$B$10</definedName>
    <definedName name="coopbrokerCourtageWVAG">KoopMakler!$B$4</definedName>
    <definedName name="coopbrokerCourtageWVAGDigitalAcquisition">KoopMakler!$B$9</definedName>
    <definedName name="CountryExclusion">Fragenkatalog!$L$151</definedName>
    <definedName name="DaughterCompanies">Fragenkatalog!$L$147</definedName>
    <definedName name="DaughterInSanctionedCountry">Sanktionsländer!$B$2</definedName>
    <definedName name="Deckungssumme1">Fragenkatalog!$K$25</definedName>
    <definedName name="Deckungssumme1GI">Fragenkatalog!$F$25</definedName>
    <definedName name="Deckungssumme2">Fragenkatalog!$K$26</definedName>
    <definedName name="Deckungssumme2GI">Fragenkatalog!$F$26</definedName>
    <definedName name="Deckungssumme3">Fragenkatalog!$K$27</definedName>
    <definedName name="Deckungssumme3GI">Fragenkatalog!$F$27</definedName>
    <definedName name="Drittunternehmen">Fragenkatalog!$K$47</definedName>
    <definedName name="dual_MaxDeckungssumme">'DUAL - Tarif'!$K$15</definedName>
    <definedName name="dual_MaxUmsatz">'DUAL - Tarif'!$K$16</definedName>
    <definedName name="dual_PremiumAdjustment">'SIC-Liste'!$E$3</definedName>
    <definedName name="dual_Referral">'SIC-Liste'!$D$3</definedName>
    <definedName name="dual1usedClauses">'Daten-Abzug'!$D$41</definedName>
    <definedName name="dual2usedClauses">'Daten-Abzug'!$E$41</definedName>
    <definedName name="dual3usedClauses">'Daten-Abzug'!$F$41</definedName>
    <definedName name="dualArbitrationCourtPercentage">Deckungsoptionen!$E$13</definedName>
    <definedName name="dualArbitrationCourtPremiumNeutral">Deckungsoptionen!$E$12</definedName>
    <definedName name="dualArbitrationCourtSelected">Deckungsoptionen!$E$11</definedName>
    <definedName name="dualDefaultKlauseln">'Default-Klauseln'!$D$5</definedName>
    <definedName name="dualDoublePerYearPercentage">Deckungsoptionen!$E$8</definedName>
    <definedName name="dualDoublePerYearPremiumNeutral">Deckungsoptionen!$E$7</definedName>
    <definedName name="dualDoublePerYearSelected">Deckungsoptionen!$E$6</definedName>
    <definedName name="dualLimit1Bewertungsfaktor">'Daten-Abzug'!$D$35</definedName>
    <definedName name="dualLimit1CoopBrokerNetProvision">'Daten-Abzug'!$D$39</definedName>
    <definedName name="dualLimit1CoverageOptions">'Daten-Abzug'!$D$40</definedName>
    <definedName name="dualLimit1HowdenNetProvision">'Daten-Abzug'!$D$38</definedName>
    <definedName name="dualLimit1Offered">'Daten-Abzug'!$D$36</definedName>
    <definedName name="dualLimit1Premium">'Daten-Abzug'!$D$37</definedName>
    <definedName name="dualLimit1Stars">'Daten-Abzug'!$D$34</definedName>
    <definedName name="dualLimit1Status">'Daten-Abzug'!$D$42</definedName>
    <definedName name="dualLimit2Bewertungsfaktor">'Daten-Abzug'!$E$35</definedName>
    <definedName name="dualLimit2CoopBrokerNetProvision">'Daten-Abzug'!$E$39</definedName>
    <definedName name="dualLimit2CoverageOptions">'Daten-Abzug'!$E$40</definedName>
    <definedName name="dualLimit2HowdenNetProvision">'Daten-Abzug'!$E$38</definedName>
    <definedName name="dualLimit2Offered">'Daten-Abzug'!$E$36</definedName>
    <definedName name="dualLimit2Premium">'Daten-Abzug'!$E$37</definedName>
    <definedName name="dualLimit2Stars">'Daten-Abzug'!$E$34</definedName>
    <definedName name="dualLimit2Status">'Daten-Abzug'!$E$42</definedName>
    <definedName name="dualLimit3Bewertungsfaktor">'Daten-Abzug'!$F$35</definedName>
    <definedName name="dualLimit3CoopBrokerNetProvision">'Daten-Abzug'!$F$39</definedName>
    <definedName name="dualLimit3CoverageOptions">'Daten-Abzug'!$F$40</definedName>
    <definedName name="dualLimit3HowdenNetProvision">'Daten-Abzug'!$F$38</definedName>
    <definedName name="dualLimit3Offered">'Daten-Abzug'!$F$36</definedName>
    <definedName name="dualLimit3Premium">'Daten-Abzug'!$F$37</definedName>
    <definedName name="dualLimit3Stars">'Daten-Abzug'!$F$34</definedName>
    <definedName name="dualLimit3Status">'Daten-Abzug'!$F$42</definedName>
    <definedName name="dualRiskManagerGlobalState">VersichererDaten!$D$2</definedName>
    <definedName name="dualUsedClauses">Fragenkatalog!$T$6</definedName>
    <definedName name="dualWpHGPercentage">Deckungsoptionen!$E$18</definedName>
    <definedName name="dualWpHGPremiumNeutral">Deckungsoptionen!$E$17</definedName>
    <definedName name="dualWpHGSelected">Deckungsoptionen!$E$16</definedName>
    <definedName name="Dunkelverarbeitung">'Listen-Daten'!$M$2</definedName>
    <definedName name="ergo_Deckungssummenlimit1">'SIC-Liste'!$Z$3</definedName>
    <definedName name="ergo_MaxDeckungssumme">'ERGO - Tarif'!$C$9</definedName>
    <definedName name="ergo_MaxUmsatz">'ERGO - Tarif'!$C$10</definedName>
    <definedName name="ergo_PremiumAdjustment">'SIC-Liste'!$Y$3</definedName>
    <definedName name="ergo_Referral">'SIC-Liste'!$X$3</definedName>
    <definedName name="ergo1usedClauses">'Daten-Abzug'!$D$86</definedName>
    <definedName name="ergo2usedClauses">'Daten-Abzug'!$E$86</definedName>
    <definedName name="ergo3usedClauses">'Daten-Abzug'!$F$86</definedName>
    <definedName name="ergoArbitrationCourtPercentage">Deckungsoptionen!$K$13</definedName>
    <definedName name="ergoArbitrationCourtPremiumNeutral">Deckungsoptionen!$K$12</definedName>
    <definedName name="ergoArbitrationCourtSelected">Deckungsoptionen!$K$11</definedName>
    <definedName name="ergoDefaultKlauseln">'Default-Klauseln'!$J$5</definedName>
    <definedName name="ergoDoublePerYearPercentage">Deckungsoptionen!$K$8</definedName>
    <definedName name="ergoDoublePerYearPremiumNeutral">Deckungsoptionen!$K$7</definedName>
    <definedName name="ergoDoublePerYearSelected">Deckungsoptionen!$K$6</definedName>
    <definedName name="ergoLimit1Bewertungsfaktor">'Daten-Abzug'!$D$80</definedName>
    <definedName name="ergoLimit1CoopBrokerNetProvision">'Daten-Abzug'!$D$84</definedName>
    <definedName name="ergoLimit1CoverageOptions">'Daten-Abzug'!$D$85</definedName>
    <definedName name="ergoLimit1HowdenNetProvision">'Daten-Abzug'!$D$83</definedName>
    <definedName name="ergoLimit1Offered">'Daten-Abzug'!$D$81</definedName>
    <definedName name="ergoLimit1Premium">'Daten-Abzug'!$D$82</definedName>
    <definedName name="ergoLimit1Stars">'Daten-Abzug'!$D$79</definedName>
    <definedName name="ergoLimit1Status">'Daten-Abzug'!$D$87</definedName>
    <definedName name="ergoLimit2Bewertungsfaktor">'Daten-Abzug'!$E$80</definedName>
    <definedName name="ergoLimit2CoopBrokerNetProvision">'Daten-Abzug'!$E$84</definedName>
    <definedName name="ergoLimit2CoverageOptions">'Daten-Abzug'!$E$85</definedName>
    <definedName name="ergoLimit2HowdenNetProvision">'Daten-Abzug'!$E$83</definedName>
    <definedName name="ergoLimit2Offered">'Daten-Abzug'!$E$81</definedName>
    <definedName name="ergoLimit2Premium">'Daten-Abzug'!$E$82</definedName>
    <definedName name="ergoLimit2Stars">'Daten-Abzug'!$E$79</definedName>
    <definedName name="ergoLimit2Status">'Daten-Abzug'!$E$87</definedName>
    <definedName name="ergoLimit3Bewertungsfaktor">'Daten-Abzug'!$F$80</definedName>
    <definedName name="ergoLimit3CoopBrokerNetProvision">'Daten-Abzug'!$F$84</definedName>
    <definedName name="ergoLimit3CoverageOptions">'Daten-Abzug'!$F$85</definedName>
    <definedName name="ergoLimit3HowdenNetProvision">'Daten-Abzug'!$F$83</definedName>
    <definedName name="ergoLimit3Offered">'Daten-Abzug'!$F$81</definedName>
    <definedName name="ergoLimit3Premium">'Daten-Abzug'!$F$82</definedName>
    <definedName name="ergoLimit3Stars">'Daten-Abzug'!$F$79</definedName>
    <definedName name="ergoLimit3Status">'Daten-Abzug'!$F$87</definedName>
    <definedName name="ergoRiskManagerGlobalState">VersichererDaten!$I$2</definedName>
    <definedName name="ergoUsedClauses">Fragenkatalog!$BP$6</definedName>
    <definedName name="ergoWpHGPercentage">Deckungsoptionen!$K$18</definedName>
    <definedName name="ergoWpHGPremiumNeutral">Deckungsoptionen!$K$17</definedName>
    <definedName name="ergoWpHGSelected">Deckungsoptionen!$K$16</definedName>
    <definedName name="Facility150Mio">Fragenkatalog!$K$65</definedName>
    <definedName name="FIInstitut">Fragenkatalog!$K$62</definedName>
    <definedName name="gemeinnuetzig">Fragenkatalog!$K$10</definedName>
    <definedName name="Gesellschaftsform">Fragenkatalog!$O$8</definedName>
    <definedName name="GesellschaftsformGI">Fragenkatalog!$J$8</definedName>
    <definedName name="giBusinessCode">Fragenkatalog!$G$13</definedName>
    <definedName name="giClubRevenue">Fragenkatalog!$G$11</definedName>
    <definedName name="giInsurer1">'Daten-Abzug'!$J$3</definedName>
    <definedName name="giInsurer2">'Daten-Abzug'!$K$3</definedName>
    <definedName name="giInsurer3">'Daten-Abzug'!$L$3</definedName>
    <definedName name="giLegalForm">Fragenkatalog!$G$8</definedName>
    <definedName name="giLimit1">Fragenkatalog!$G$25</definedName>
    <definedName name="giLimit2">Fragenkatalog!$G$26</definedName>
    <definedName name="giLimit3">Fragenkatalog!$G$27</definedName>
    <definedName name="giNonStartupRevenue">Fragenkatalog!$G$57</definedName>
    <definedName name="giOfferedLimit1">'Daten-Abzug'!$J$5</definedName>
    <definedName name="giOfferedLimit2">'Daten-Abzug'!$K$5</definedName>
    <definedName name="giOfferedLimit3">'Daten-Abzug'!$L$5</definedName>
    <definedName name="giPremium1">'Daten-Abzug'!$J$4</definedName>
    <definedName name="giPremium2">'Daten-Abzug'!$K$4</definedName>
    <definedName name="giPremium3">'Daten-Abzug'!$L$4</definedName>
    <definedName name="giStartupRevenue">Fragenkatalog!$G$58</definedName>
    <definedName name="globalStateGreen">'Listen-Daten'!$M$14</definedName>
    <definedName name="globalStateKO">'Listen-Daten'!$M$16</definedName>
    <definedName name="globalStateReferral">'Listen-Daten'!$M$15</definedName>
    <definedName name="Gruendungsjahr">Fragenkatalog!$L$16</definedName>
    <definedName name="includedArbitrationCourtPercentage">Deckungsoptionen!$M$13</definedName>
    <definedName name="includedArbitrationCourtPremiumNeutral">Deckungsoptionen!$M$12</definedName>
    <definedName name="includedArbitrationCourtSelected">Deckungsoptionen!$M$11</definedName>
    <definedName name="JaAntwort">'Listen-Daten'!$D$2</definedName>
    <definedName name="KO_Trigger">'Listen-Daten'!$M$4</definedName>
    <definedName name="liberty_deRiskManagerGlobalState">VersichererDaten!$H$2</definedName>
    <definedName name="liberty_MaxDeckungssumme">'Liberty - Tarif'!$L$15</definedName>
    <definedName name="liberty_MaxUmsatz">'Liberty - Tarif'!$L$16</definedName>
    <definedName name="liberty1usedClauses">'Daten-Abzug'!$D$77</definedName>
    <definedName name="liberty2usedClauses">'Daten-Abzug'!$E$77</definedName>
    <definedName name="liberty3usedClauses">'Daten-Abzug'!$F$77</definedName>
    <definedName name="libertyArbitrationCourtPercentage">Deckungsoptionen!$J$13</definedName>
    <definedName name="libertyArbitrationCourtPremiumNeutral">Deckungsoptionen!$J$12</definedName>
    <definedName name="libertyArbitrationCourtSelected">Deckungsoptionen!$J$11</definedName>
    <definedName name="libertyClubs_MaxDeckungssumme">'Liberty - Tarif Verein'!$L$15</definedName>
    <definedName name="libertyClubs_MaxUmsatz">'Liberty - Tarif Verein'!$L$16</definedName>
    <definedName name="libertyde_MinEquityRatio">'SIC-Liste'!$V$3</definedName>
    <definedName name="libertyde_MinEquityRatio_PremiumAdjustment">'SIC-Liste'!$W$3</definedName>
    <definedName name="libertyde_PremiumAdjustment">'SIC-Liste'!$U$3</definedName>
    <definedName name="libertyde_Referral">'SIC-Liste'!$T$3</definedName>
    <definedName name="libertyDefaultKlauseln">'Default-Klauseln'!$I$5</definedName>
    <definedName name="libertyDoublePerYearPercentage">Deckungsoptionen!$J$8</definedName>
    <definedName name="libertyDoublePerYearPremiumNeutral">Deckungsoptionen!$J$7</definedName>
    <definedName name="libertyDoublePerYearSelected">Deckungsoptionen!$J$6</definedName>
    <definedName name="LibertyEigenkapitalquote">'Liberty - Tarif'!$W$2</definedName>
    <definedName name="libertyLimit1Bewertungsfaktor">'Daten-Abzug'!$D$71</definedName>
    <definedName name="libertyLimit1CoopBrokerNetProvision">'Daten-Abzug'!$D$75</definedName>
    <definedName name="libertyLimit1CoverageOptions">'Daten-Abzug'!$D$76</definedName>
    <definedName name="libertyLimit1HowdenNetProvision">'Daten-Abzug'!$D$74</definedName>
    <definedName name="libertyLimit1Offered">'Daten-Abzug'!$D$72</definedName>
    <definedName name="libertyLimit1Premium">'Daten-Abzug'!$D$73</definedName>
    <definedName name="libertyLimit1Stars">'Daten-Abzug'!$D$70</definedName>
    <definedName name="libertyLimit1Status">'Daten-Abzug'!$D$78</definedName>
    <definedName name="libertyLimit2Bewertungsfaktor">'Daten-Abzug'!$E$71</definedName>
    <definedName name="libertyLimit2CoopBrokerNetProvision">'Daten-Abzug'!$E$75</definedName>
    <definedName name="libertyLimit2CoverageOptions">'Daten-Abzug'!$E$76</definedName>
    <definedName name="libertyLimit2HowdenNetProvision">'Daten-Abzug'!$E$74</definedName>
    <definedName name="libertyLimit2Offered">'Daten-Abzug'!$E$72</definedName>
    <definedName name="libertyLimit2Premium">'Daten-Abzug'!$E$73</definedName>
    <definedName name="libertyLimit2Stars">'Daten-Abzug'!$E$70</definedName>
    <definedName name="libertyLimit2Status">'Daten-Abzug'!$E$78</definedName>
    <definedName name="libertyLimit3Bewertungsfaktor">'Daten-Abzug'!$F$71</definedName>
    <definedName name="libertyLimit3CoopBrokerNetProvision">'Daten-Abzug'!$F$75</definedName>
    <definedName name="libertyLimit3CoverageOptions">'Daten-Abzug'!$F$76</definedName>
    <definedName name="libertyLimit3HowdenNetProvision">'Daten-Abzug'!$F$74</definedName>
    <definedName name="libertyLimit3Offered">'Daten-Abzug'!$F$72</definedName>
    <definedName name="libertyLimit3Premium">'Daten-Abzug'!$F$73</definedName>
    <definedName name="libertyLimit3Stars">'Daten-Abzug'!$F$70</definedName>
    <definedName name="libertyLimit3Status">'Daten-Abzug'!$F$78</definedName>
    <definedName name="libertyUsedClauses">Fragenkatalog!$BJ$6</definedName>
    <definedName name="libertyWpHGPercentage">Deckungsoptionen!$J$18</definedName>
    <definedName name="libertyWpHGPremiumNeutral">Deckungsoptionen!$J$17</definedName>
    <definedName name="libertyWpHGSelected">Deckungsoptionen!$J$16</definedName>
    <definedName name="markel_MaxDeckungssumme">'Markel - Tarif'!$L$19</definedName>
    <definedName name="markel_MaxUmsatz">'Markel - Tarif'!$L$20</definedName>
    <definedName name="markel_PremiumAdjustment">'SIC-Liste'!$S$3</definedName>
    <definedName name="markel_Referral">'SIC-Liste'!$R$3</definedName>
    <definedName name="markel1usedClauses">'Daten-Abzug'!$D$68</definedName>
    <definedName name="markel2usedClauses">'Daten-Abzug'!$E$68</definedName>
    <definedName name="markel3usedClauses">'Daten-Abzug'!$F$68</definedName>
    <definedName name="markelArbitrationCourtPercentage">Deckungsoptionen!$I$13</definedName>
    <definedName name="markelArbitrationCourtPremiumNeutral">Deckungsoptionen!$I$12</definedName>
    <definedName name="markelArbitrationCourtSelected">Deckungsoptionen!$I$11</definedName>
    <definedName name="markelClubs_MaxDeckungssumme">'Markel - Tarif Vereine'!$L$15</definedName>
    <definedName name="markelClubs_MaxUmsatz">'Markel - Tarif Vereine'!$L$16</definedName>
    <definedName name="markelDefaultKlauseln">'Default-Klauseln'!$H$5</definedName>
    <definedName name="markelDoublePerYearPercentage">Deckungsoptionen!$I$8</definedName>
    <definedName name="markelDoublePerYearPremiumNeutral">Deckungsoptionen!$I$7</definedName>
    <definedName name="markelDoublePerYearSelected">Deckungsoptionen!$I$6</definedName>
    <definedName name="markelLimit1Bewertungsfaktor">'Daten-Abzug'!$D$62</definedName>
    <definedName name="markelLimit1CoopBrokerNetProvision">'Daten-Abzug'!$D$66</definedName>
    <definedName name="markelLimit1CoverageOptions">'Daten-Abzug'!$D$67</definedName>
    <definedName name="markelLimit1HowdenNetProvision">'Daten-Abzug'!$D$65</definedName>
    <definedName name="markelLimit1Offered">'Daten-Abzug'!$D$63</definedName>
    <definedName name="markelLimit1Premium">'Daten-Abzug'!$D$64</definedName>
    <definedName name="markelLimit1Stars">'Daten-Abzug'!$D$61</definedName>
    <definedName name="markelLimit1Status">'Daten-Abzug'!$D$69</definedName>
    <definedName name="markelLimit2Bewertungsfaktor">'Daten-Abzug'!$E$62</definedName>
    <definedName name="markelLimit2CoopBrokerNetProvision">'Daten-Abzug'!$E$66</definedName>
    <definedName name="markelLimit2CoverageOptions">'Daten-Abzug'!$E$67</definedName>
    <definedName name="markelLimit2HowdenNetProvision">'Daten-Abzug'!$E$65</definedName>
    <definedName name="markelLimit2Offered">'Daten-Abzug'!$E$63</definedName>
    <definedName name="markelLimit2Premium">'Daten-Abzug'!$E$64</definedName>
    <definedName name="markelLimit2Stars">'Daten-Abzug'!$E$61</definedName>
    <definedName name="markelLimit2Status">'Daten-Abzug'!$E$69</definedName>
    <definedName name="markelLimit3Bewertungsfaktor">'Daten-Abzug'!$F$62</definedName>
    <definedName name="markelLimit3CoopBrokerNetProvision">'Daten-Abzug'!$F$66</definedName>
    <definedName name="markelLimit3CoverageOptions">'Daten-Abzug'!$F$67</definedName>
    <definedName name="markelLimit3HowdenNetProvision">'Daten-Abzug'!$F$65</definedName>
    <definedName name="markelLimit3Offered">'Daten-Abzug'!$F$63</definedName>
    <definedName name="markelLimit3Premium">'Daten-Abzug'!$F$64</definedName>
    <definedName name="markelLimit3Stars">'Daten-Abzug'!$F$61</definedName>
    <definedName name="markelLimit3Status">'Daten-Abzug'!$F$69</definedName>
    <definedName name="markelRiskManagerGlobalState">VersichererDaten!$G$2</definedName>
    <definedName name="markelUsedClauses">Fragenkatalog!$BD$6</definedName>
    <definedName name="markelWpHGPercentage">Deckungsoptionen!$I$18</definedName>
    <definedName name="markelWpHGPremiumNeutral">Deckungsoptionen!$I$17</definedName>
    <definedName name="markelWpHGSelected">Deckungsoptionen!$I$16</definedName>
    <definedName name="NeinAntwort">'Listen-Daten'!$D$3</definedName>
    <definedName name="Neubeherrschung">Fragenkatalog!$K$31</definedName>
    <definedName name="newline_MaxDeckungssumme">'Newline - Tarif'!$L$17</definedName>
    <definedName name="newline_MaxUmsatz">'Newline - Tarif'!$L$18</definedName>
    <definedName name="newline_PremiumAdjustment">'SIC-Liste'!$G$3</definedName>
    <definedName name="newline_Referral">'SIC-Liste'!$F$3</definedName>
    <definedName name="newline1usedClauses">'Daten-Abzug'!$D$50</definedName>
    <definedName name="newline2usedClauses">'Daten-Abzug'!$E$50</definedName>
    <definedName name="newline3usedClauses">'Daten-Abzug'!$F$50</definedName>
    <definedName name="newlineArbitrationCourtPercentage">Deckungsoptionen!$F$13</definedName>
    <definedName name="newlineArbitrationCourtPremiumNeutral">Deckungsoptionen!$F$12</definedName>
    <definedName name="newlineArbitrationCourtSelected">Deckungsoptionen!$F$11</definedName>
    <definedName name="newlineDefaultKlauseln">'Default-Klauseln'!$E$5</definedName>
    <definedName name="newlineDoublePerYearPercentage">Deckungsoptionen!$F$8</definedName>
    <definedName name="newlineDoublePerYearPremiumNeutral">Deckungsoptionen!$F$7</definedName>
    <definedName name="newlineDoublePerYearSelected">Deckungsoptionen!$F$6</definedName>
    <definedName name="NewlineEigenkapitalquote">'Newline - Tarif'!$R$2</definedName>
    <definedName name="newlineLimit1Bewertungsfaktor">'Daten-Abzug'!$D$44</definedName>
    <definedName name="newlineLimit1CoopBrokerNetProvision">'Daten-Abzug'!$D$48</definedName>
    <definedName name="newlineLimit1CoverageOptions">'Daten-Abzug'!$D$49</definedName>
    <definedName name="newlineLimit1HowdenNetProvision">'Daten-Abzug'!$D$47</definedName>
    <definedName name="newlineLimit1Offered">'Daten-Abzug'!$D$45</definedName>
    <definedName name="newlineLimit1Premium">'Daten-Abzug'!$D$46</definedName>
    <definedName name="newlineLimit1Stars">'Daten-Abzug'!$D$43</definedName>
    <definedName name="newlineLimit1Status">'Daten-Abzug'!$D$51</definedName>
    <definedName name="newlineLimit2Bewertungsfaktor">'Daten-Abzug'!$E$44</definedName>
    <definedName name="newlineLimit2CoopBrokerNetProvision">'Daten-Abzug'!$E$48</definedName>
    <definedName name="newlineLimit2CoverageOptions">'Daten-Abzug'!$E$49</definedName>
    <definedName name="newlineLimit2HowdenNetProvision">'Daten-Abzug'!$E$47</definedName>
    <definedName name="newlineLimit2Offered">'Daten-Abzug'!$E$45</definedName>
    <definedName name="newlineLimit2Premium">'Daten-Abzug'!$E$46</definedName>
    <definedName name="newlineLimit2Stars">'Daten-Abzug'!$E$43</definedName>
    <definedName name="newlineLimit2Status">'Daten-Abzug'!$E$51</definedName>
    <definedName name="newlineLimit3Bewertungsfaktor">'Daten-Abzug'!$F$44</definedName>
    <definedName name="newlineLimit3CoopBrokerNetProvision">'Daten-Abzug'!$F$48</definedName>
    <definedName name="newlineLimit3CoverageOptions">'Daten-Abzug'!$F$49</definedName>
    <definedName name="newlineLimit3HowdenNetProvision">'Daten-Abzug'!$F$47</definedName>
    <definedName name="newlineLimit3Offered">'Daten-Abzug'!$F$45</definedName>
    <definedName name="newlineLimit3Premium">'Daten-Abzug'!$F$46</definedName>
    <definedName name="newlineLimit3Stars">'Daten-Abzug'!$F$43</definedName>
    <definedName name="newlineLimit3Status">'Daten-Abzug'!$F$51</definedName>
    <definedName name="newlineRiskManagerGlobalState">VersichererDaten!$E$2</definedName>
    <definedName name="newlineUsedClauses">Fragenkatalog!$AL$6</definedName>
    <definedName name="newlineWpHGPercentage">Deckungsoptionen!$F$18</definedName>
    <definedName name="newlineWpHGPremiumNeutral">Deckungsoptionen!$F$17</definedName>
    <definedName name="newlineWpHGSelected">Deckungsoptionen!$F$16</definedName>
    <definedName name="NichtKonsolidierteUnternehmen">Fragenkatalog!$K$45</definedName>
    <definedName name="noOptionPercentage">Deckungsoptionen!$B$22</definedName>
    <definedName name="noOptionPremiumNeutral">Deckungsoptionen!$B$21</definedName>
    <definedName name="noOptionSelected">Deckungsoptionen!$B$20</definedName>
    <definedName name="OfferDeclined">'Listen-Daten'!$M$9</definedName>
    <definedName name="OfferInProgress">'Listen-Daten'!$M$8</definedName>
    <definedName name="OfferReady">'Listen-Daten'!$M$7</definedName>
    <definedName name="OfferReferral">'Listen-Daten'!$M$10</definedName>
    <definedName name="origin">KoopMakler!$B$14</definedName>
    <definedName name="plBusinessCode">'Vorgeschlagene Deckungssummen'!$C$3</definedName>
    <definedName name="plClubRevenue">'Vorgeschlagene Deckungssummen'!$C$6</definedName>
    <definedName name="plLegalForm">'Vorgeschlagene Deckungssummen'!$C$2</definedName>
    <definedName name="plLimit1">'Vorgeschlagene Deckungssummen'!$C$35</definedName>
    <definedName name="plLimit2">'Vorgeschlagene Deckungssummen'!$C$36</definedName>
    <definedName name="plLimit3">'Vorgeschlagene Deckungssummen'!$C$37</definedName>
    <definedName name="plNonStartupRevenue">'Vorgeschlagene Deckungssummen'!$C$5</definedName>
    <definedName name="plStartupRevenue">'Vorgeschlagene Deckungssummen'!$C$4</definedName>
    <definedName name="PolicenAblauf">Fragenkatalog!$K$24</definedName>
    <definedName name="PolicenBeginn">Fragenkatalog!$K$23</definedName>
    <definedName name="premiumCollectionType">KoopMakler!$B$2</definedName>
    <definedName name="Profisport">Fragenkatalog!$K$12</definedName>
    <definedName name="RechtsformAngebot" localSheetId="41">'Inhaltliche Bewertung - GI'!$B$2</definedName>
    <definedName name="RechtsformAngebot">'Inhaltliche Bewertung - Angebot'!$B$2</definedName>
    <definedName name="RechtsformGI" localSheetId="41">'Inhaltliche Bewertung - GI'!$B$1</definedName>
    <definedName name="RechtsformGI">'Inhaltliche Bewertung - Angebot'!$B$1</definedName>
    <definedName name="Referral">'Listen-Daten'!$M$3</definedName>
    <definedName name="RisikoFragen0a">Fragenkatalog!$L$23</definedName>
    <definedName name="RisikoFragen0b">Fragenkatalog!$L$24</definedName>
    <definedName name="RisikoFragen0c">Fragenkatalog!$L$25</definedName>
    <definedName name="RisikoFragen0d">Fragenkatalog!$L$26</definedName>
    <definedName name="RisikoFragen0e">Fragenkatalog!$L$27</definedName>
    <definedName name="RisikoFragen127">Fragenkatalog!$L$11</definedName>
    <definedName name="RisikoFragen18">Fragenkatalog!$L$28</definedName>
    <definedName name="RisikoFragen19">Fragenkatalog!$L$29</definedName>
    <definedName name="RisikoFragen20">Fragenkatalog!$L$30</definedName>
    <definedName name="RisikoFragen21a">Fragenkatalog!$L$31</definedName>
    <definedName name="RisikoFragen21b">Fragenkatalog!$L$32</definedName>
    <definedName name="RisikoFragen22">Fragenkatalog!$L$33</definedName>
    <definedName name="RisikoFragen23a">Fragenkatalog!$L$34</definedName>
    <definedName name="RisikoFragen23b">Fragenkatalog!$L$35</definedName>
    <definedName name="RisikoFragen23c">Fragenkatalog!$L$36</definedName>
    <definedName name="RisikoFragen23d">Fragenkatalog!$L$37</definedName>
    <definedName name="RisikoFragen23e">Fragenkatalog!$L$38</definedName>
    <definedName name="RisikoFragen24">Fragenkatalog!$L$43</definedName>
    <definedName name="RisikoFragen25">Fragenkatalog!$L$44</definedName>
    <definedName name="RisikoFragen26a">Fragenkatalog!$L$45</definedName>
    <definedName name="RisikoFragen26b">Fragenkatalog!$L$46</definedName>
    <definedName name="RisikoFragen27a">Fragenkatalog!$L$47</definedName>
    <definedName name="RisikoFragen27b">Fragenkatalog!$L$48</definedName>
    <definedName name="RisikoFragen27c">Fragenkatalog!$L$49</definedName>
    <definedName name="RisikoFragen27d">Fragenkatalog!$L$50</definedName>
    <definedName name="RisikoFragen27e">Fragenkatalog!$L$51</definedName>
    <definedName name="RisikoFragen30">Fragenkatalog!$L$52</definedName>
    <definedName name="RisikoFragen32">Fragenkatalog!$L$53</definedName>
    <definedName name="RisikoFragen33">Fragenkatalog!$L$54</definedName>
    <definedName name="RisikoFragen34">Fragenkatalog!$L$55</definedName>
    <definedName name="RisikoFragen35">Fragenkatalog!$L$56</definedName>
    <definedName name="RisikoFragen35YearBefore">Fragenkatalog!$C$312</definedName>
    <definedName name="RisikoFragen36a">Fragenkatalog!$L$57</definedName>
    <definedName name="RisikoFragen36aYearBefore">Fragenkatalog!$C$313</definedName>
    <definedName name="RisikoFragen37">Fragenkatalog!$L$59</definedName>
    <definedName name="RisikoFragen39">Fragenkatalog!$L$60</definedName>
    <definedName name="RisikoFragen7">Fragenkatalog!$L$21</definedName>
    <definedName name="RisikoFragen8">Fragenkatalog!$L$22</definedName>
    <definedName name="RisikoFragen9">Fragenkatalog!$L$15</definedName>
    <definedName name="RisikoFragen902">Fragenkatalog!$L$149</definedName>
    <definedName name="RisikoFragen95a">Fragenkatalog!$L$74</definedName>
    <definedName name="RisikoFragen96">Fragenkatalog!$L$79</definedName>
    <definedName name="RisikoFragen99">Fragenkatalog!$L$86</definedName>
    <definedName name="RisikoFragenAIGFacility40">Fragenkatalog!$L$61</definedName>
    <definedName name="RisikoFragenAIGFacility41">Fragenkatalog!$L$62</definedName>
    <definedName name="RisikoFragenAIGFacility42">Fragenkatalog!$L$63</definedName>
    <definedName name="RisikoFragenAIGFacility43">Fragenkatalog!$L$64</definedName>
    <definedName name="RisikoFragenAIGFacility44">Fragenkatalog!$L$65</definedName>
    <definedName name="RisikoFragenAIGFacility46">Fragenkatalog!$L$67</definedName>
    <definedName name="RisikoFragenAIGFacility47">Fragenkatalog!$L$68</definedName>
    <definedName name="RisikoFragenAIGFacility48">Fragenkatalog!$L$69</definedName>
    <definedName name="RisikoFragenAIGFacility49">Fragenkatalog!$L$70</definedName>
    <definedName name="RisikoFragenAXAFacility115a">Fragenkatalog!$L$101</definedName>
    <definedName name="RisikoFragenAXAFacility115b">Fragenkatalog!$L$102</definedName>
    <definedName name="RisikoFragenAXAFacility116a">Fragenkatalog!$L$103</definedName>
    <definedName name="RisikoFragenAXAFacility116b">Fragenkatalog!$L$104</definedName>
    <definedName name="RisikoFragenAXAFacility116c">Fragenkatalog!$L$105</definedName>
    <definedName name="RisikoFragenAXAFacility116d">Fragenkatalog!$L$106</definedName>
    <definedName name="RisikoFragenAXAFacility116e">Fragenkatalog!$L$107</definedName>
    <definedName name="RisikoFragenAXAFacility117a">Fragenkatalog!$L$108</definedName>
    <definedName name="RisikoFragenAXAFacility117b">Fragenkatalog!$L$109</definedName>
    <definedName name="RisikoFragenAXAFacility117d">Fragenkatalog!$L$111</definedName>
    <definedName name="RisikoFragenAXAFacility118a">Fragenkatalog!$L$113</definedName>
    <definedName name="RisikoFragenAXAFacility118b">Fragenkatalog!$L$114</definedName>
    <definedName name="RisikoFragenAXAFacility118d">Fragenkatalog!$L$116</definedName>
    <definedName name="RisikoFragenAXAFacility119a">Fragenkatalog!$L$118</definedName>
    <definedName name="RisikoFragenAXAFacility119b">Fragenkatalog!$L$119</definedName>
    <definedName name="RisikoFragenAXAFacility122a">Fragenkatalog!$L$121</definedName>
    <definedName name="RisikoFragenAXAFacility122b">Fragenkatalog!$L$122</definedName>
    <definedName name="RisikoFragenAXAFacility122d">Fragenkatalog!$L$124</definedName>
    <definedName name="RisikoFragenStartUp127">Fragenkatalog!$L$126</definedName>
    <definedName name="RisikoFragenStartUp128">Fragenkatalog!$L$127</definedName>
    <definedName name="RisikoFragenStartUp129">Fragenkatalog!$L$128</definedName>
    <definedName name="RisikoFragenStartUp130">Fragenkatalog!$L$129</definedName>
    <definedName name="RisikoFragenStartUp131">Fragenkatalog!$L$130</definedName>
    <definedName name="RisikoFragenStartUp132">Fragenkatalog!$L$131</definedName>
    <definedName name="RisikoFragenStartUp133">Fragenkatalog!$L$132</definedName>
    <definedName name="RisikoFragenStartUp134">Fragenkatalog!$L$133</definedName>
    <definedName name="RisikoFragenStartUp135">Fragenkatalog!$L$134</definedName>
    <definedName name="RisikoFragenStartUp136">Fragenkatalog!$L$135</definedName>
    <definedName name="RisikoFragenStartUp137">Fragenkatalog!$L$136</definedName>
    <definedName name="RisikoFragenStartUp138">Fragenkatalog!$L$137</definedName>
    <definedName name="RisikoFragenStartUp142">Fragenkatalog!$L$138</definedName>
    <definedName name="RisikoFragenStartUp143">Fragenkatalog!$L$139</definedName>
    <definedName name="RisikoFragenStartUp144">Fragenkatalog!$L$140</definedName>
    <definedName name="RisikoFragenStartUp145">Fragenkatalog!$L$141</definedName>
    <definedName name="RisikoFragenStartUp146">Fragenkatalog!$L$142</definedName>
    <definedName name="RisikoFragenStartUp147">Fragenkatalog!$L$143</definedName>
    <definedName name="RisikoFragenStartUp148">Fragenkatalog!$L$144</definedName>
    <definedName name="RisikoFragenStartUp149">Fragenkatalog!$L$145</definedName>
    <definedName name="RisikoFragenStartUp150">Fragenkatalog!$L$146</definedName>
    <definedName name="RisikoFragenStartUp92">Fragenkatalog!$L$71</definedName>
    <definedName name="RisikoFragenStartUp93">Fragenkatalog!$L$72</definedName>
    <definedName name="RisikoFragenStartUp94">Fragenkatalog!$L$73</definedName>
    <definedName name="RisikoFragenUmsatzSanktionsland">Fragenkatalog!$L$150</definedName>
    <definedName name="RisikoFragenUSACAN106">Fragenkatalog!$L$92</definedName>
    <definedName name="RisikoFragenUSACAN107">Fragenkatalog!$L$93</definedName>
    <definedName name="RisikoFragenUSACAN111">Fragenkatalog!$L$97</definedName>
    <definedName name="RisikoFragenUSACAN112">Fragenkatalog!$L$98</definedName>
    <definedName name="RisikoFragenUSACAN113">Fragenkatalog!$L$99</definedName>
    <definedName name="RisikoFragenUSACAN114">Fragenkatalog!$L$100</definedName>
    <definedName name="RisikoFragenVereine100">Fragenkatalog!$L$87</definedName>
    <definedName name="RisikoFragenVereine101">Fragenkatalog!$L$88</definedName>
    <definedName name="RisikoFragenVereine102">Fragenkatalog!$L$89</definedName>
    <definedName name="RisikoFragenVereine103">Fragenkatalog!$L$12</definedName>
    <definedName name="RisikoFragenVereine104">Fragenkatalog!$L$90</definedName>
    <definedName name="RisikoFragenVereine105">Fragenkatalog!$L$91</definedName>
    <definedName name="RisikoFragenVorvertragClaimsForIncreasedLimit">Fragenkatalog!$L$41</definedName>
    <definedName name="RisikoFragenVorvertragExtendedReportingPeriod">Fragenkatalog!$L$39</definedName>
    <definedName name="RisikoFragenVorvertragInsurer">Fragenkatalog!$L$42</definedName>
    <definedName name="RisikoFragenVorvertragNoGapsInCoverage">Fragenkatalog!$L$40</definedName>
    <definedName name="Spitzenverband">Fragenkatalog!$K$64</definedName>
    <definedName name="StammDaten126">Fragenkatalog!$L$148</definedName>
    <definedName name="StammDaten2">Fragenkatalog!$L$8</definedName>
    <definedName name="StammDaten3">Fragenkatalog!$L$17</definedName>
    <definedName name="StammDaten901">Fragenkatalog!$L$10</definedName>
    <definedName name="StartUp">Fragenkatalog!$O$15</definedName>
    <definedName name="StatusAIGFacility">Fragenkatalog!$V$6</definedName>
    <definedName name="StatusAXAFacility">Fragenkatalog!$AN$6</definedName>
    <definedName name="StatusBerkley">Fragenkatalog!$AB$6</definedName>
    <definedName name="StatusDual">Fragenkatalog!$P$6</definedName>
    <definedName name="StatusErgo">Fragenkatalog!$BL$6</definedName>
    <definedName name="StatusLiberty">Fragenkatalog!$BF$6</definedName>
    <definedName name="StatusMarkel">Fragenkatalog!$AZ$6</definedName>
    <definedName name="StatusNewline">Fragenkatalog!$AH$6</definedName>
    <definedName name="StatusWVAG">Fragenkatalog!$AT$6</definedName>
    <definedName name="tenantId">KoopMakler!$B$1</definedName>
    <definedName name="triggeraigRisikoFragen36aKoValue">Fragenkatalog!$X$57</definedName>
    <definedName name="triggeraigStammDaten2RefValue">Fragenkatalog!$W$8</definedName>
    <definedName name="triggeraxaRisikoFragen0aValue">Fragenkatalog!$AO$23</definedName>
    <definedName name="triggeraxaRisikoFragen0bKoValue">Fragenkatalog!$AP$24</definedName>
    <definedName name="triggeraxaRisikoFragen0bRefValue">Fragenkatalog!$AO$24</definedName>
    <definedName name="triggeraxaRisikoFragen11KoValue">Fragenkatalog!$AP$13</definedName>
    <definedName name="triggeraxaRisikoFragen11RefValue">Fragenkatalog!$AO$13</definedName>
    <definedName name="triggeraxaRisikoFragen18Value">Fragenkatalog!$AO$28</definedName>
    <definedName name="triggeraxaRisikoFragen19RefValue">Fragenkatalog!$AO$29</definedName>
    <definedName name="triggeraxaRisikoFragen20RefValue">Fragenkatalog!$AO$30</definedName>
    <definedName name="triggeraxaRisikoFragen23cValue">Fragenkatalog!$AO$36</definedName>
    <definedName name="triggeraxaRisikoFragen25Value">Fragenkatalog!$AO$44</definedName>
    <definedName name="triggeraxaRisikoFragen26aValue">Fragenkatalog!$AO$45</definedName>
    <definedName name="triggeraxaRisikoFragen32KoValue">Fragenkatalog!$AP$53</definedName>
    <definedName name="triggeraxaRisikoFragen32RefValue">Fragenkatalog!$AO$53</definedName>
    <definedName name="triggeraxaRisikoFragen34Value">Fragenkatalog!$AP$55</definedName>
    <definedName name="triggeraxaRisikoFragen35Value">Fragenkatalog!$AO$56</definedName>
    <definedName name="triggeraxaRisikoFragen36aKoValue">Fragenkatalog!$AP$57</definedName>
    <definedName name="triggeraxaRisikoFragen39Value">Fragenkatalog!$AO$60</definedName>
    <definedName name="triggeraxaRisikoFragen902Value">Fragenkatalog!$AO$149</definedName>
    <definedName name="triggeraxaRisikoFragen9Value">Fragenkatalog!$AP$15</definedName>
    <definedName name="triggeraxaRisikoFragenAIGFacility40Value">Fragenkatalog!$AO$61</definedName>
    <definedName name="triggeraxaRisikoFragenAIGFacility41Value">Fragenkatalog!$AP$62</definedName>
    <definedName name="triggeraxaRisikoFragenAIGFacility42Value">Fragenkatalog!$AO$63</definedName>
    <definedName name="triggeraxaRisikoFragenAIGFacility43Value">Fragenkatalog!$AP$64</definedName>
    <definedName name="triggeraxaRisikoFragenAIGFacility46Value">Fragenkatalog!$AP$67</definedName>
    <definedName name="triggeraxaRisikoFragenAIGFacility47Value">Fragenkatalog!$AO$68</definedName>
    <definedName name="triggeraxaRisikoFragenAIGFacility48Value">Fragenkatalog!$AO$69</definedName>
    <definedName name="triggeraxaRisikoFragenAIGFacility49Value">Fragenkatalog!$AO$70</definedName>
    <definedName name="triggeraxaRisikoFragenAXAFacility115aValue">Fragenkatalog!$AP$101</definedName>
    <definedName name="triggeraxaRisikoFragenAXAFacility115bValue">Fragenkatalog!$AO$102</definedName>
    <definedName name="triggeraxaRisikoFragenAXAFacility116aValue">Fragenkatalog!$AO$103</definedName>
    <definedName name="triggeraxaRisikoFragenAXAFacility118aValue">Fragenkatalog!$AO$113</definedName>
    <definedName name="triggeraxaRisikoFragenAXAFacility122aValue">Fragenkatalog!$AO$121</definedName>
    <definedName name="triggeraxaRisikoFragenUmsatzSanktionslandValue">Fragenkatalog!$AO$150</definedName>
    <definedName name="triggeraxaRisikoFragenUSACAN111Value">Fragenkatalog!$AP$97</definedName>
    <definedName name="triggeraxaRisikoFragenUSACAN113Value">Fragenkatalog!$AO$99</definedName>
    <definedName name="triggeraxaRisikoFragenUSACAN114Value">Fragenkatalog!$AO$100</definedName>
    <definedName name="triggeraxaRisikoFragenVereine101Value">Fragenkatalog!$AO$88</definedName>
    <definedName name="triggeraxaRisikoFragenVereine102Value">Fragenkatalog!$AO$89</definedName>
    <definedName name="triggeraxaRisikoFragenVereine103KoValue">Fragenkatalog!$AP$12</definedName>
    <definedName name="triggeraxaRisikoFragenVereine104Value">Fragenkatalog!$AO$90</definedName>
    <definedName name="triggeraxaRisikoFragenVereine105Value">Fragenkatalog!$AO$91</definedName>
    <definedName name="triggeraxaRisikoFragenVorvertragExtendedReportingPeriodValue">Fragenkatalog!$AO$39</definedName>
    <definedName name="triggeraxaRisikoFragenVorvertragInsurerValue">Fragenkatalog!$AO$42</definedName>
    <definedName name="triggeraxaRisikoFragenVorvertragNoGapsInCoverageValue">Fragenkatalog!$AO$40</definedName>
    <definedName name="triggeraxaStammDaten2RefValue">Fragenkatalog!$AO$8</definedName>
    <definedName name="triggeraxaStammDaten3KoValue">Fragenkatalog!$AP$17</definedName>
    <definedName name="triggerBackstopReason">'Sterne-Rechner - Angebot'!$J$44</definedName>
    <definedName name="triggerberkleyRisikoFragen0aValue">Fragenkatalog!$AC$23</definedName>
    <definedName name="triggerberkleyRisikoFragen0bRefValue">Fragenkatalog!$AC$24</definedName>
    <definedName name="triggerberkleyRisikoFragen11KoValue">Fragenkatalog!$AD$13</definedName>
    <definedName name="triggerberkleyRisikoFragen11RefValue">Fragenkatalog!$AC$13</definedName>
    <definedName name="triggerberkleyRisikoFragen18Value">Fragenkatalog!$AC$28</definedName>
    <definedName name="triggerberkleyRisikoFragen19RefValue">Fragenkatalog!$AC$29</definedName>
    <definedName name="triggerberkleyRisikoFragen20RefValue">Fragenkatalog!$AC$30</definedName>
    <definedName name="triggerberkleyRisikoFragen21aValue">Fragenkatalog!$AC$31</definedName>
    <definedName name="triggerberkleyRisikoFragen22Value">Fragenkatalog!$AC$33</definedName>
    <definedName name="triggerberkleyRisikoFragen23cValue">Fragenkatalog!$AC$36</definedName>
    <definedName name="triggerberkleyRisikoFragen24Value">Fragenkatalog!$AC$43</definedName>
    <definedName name="triggerberkleyRisikoFragen25Value">Fragenkatalog!$AC$44</definedName>
    <definedName name="triggerberkleyRisikoFragen26aValue">Fragenkatalog!$AC$45</definedName>
    <definedName name="triggerberkleyRisikoFragen27aValue">Fragenkatalog!$AC$47</definedName>
    <definedName name="triggerberkleyRisikoFragen30Value">Fragenkatalog!$AC$52</definedName>
    <definedName name="triggerberkleyRisikoFragen32RefValue">Fragenkatalog!$AC$53</definedName>
    <definedName name="triggerberkleyRisikoFragen34Value">Fragenkatalog!$AC$55</definedName>
    <definedName name="triggerberkleyRisikoFragen35Value">Fragenkatalog!$AC$56</definedName>
    <definedName name="triggerberkleyRisikoFragen36aKoValue">Fragenkatalog!$AD$57</definedName>
    <definedName name="triggerberkleyRisikoFragen36bRefValue">Fragenkatalog!$AC$58</definedName>
    <definedName name="triggerberkleyRisikoFragen39Value">Fragenkatalog!$AC$60</definedName>
    <definedName name="triggerberkleyRisikoFragen95aValue">Fragenkatalog!$AC$74</definedName>
    <definedName name="triggerberkleyRisikoFragen97aValue">Fragenkatalog!$AC$80</definedName>
    <definedName name="triggerberkleyRisikoFragen9Value">Fragenkatalog!$AC$15</definedName>
    <definedName name="triggerberkleyRisikoFragenAIGFacility40Value">Fragenkatalog!$AC$61</definedName>
    <definedName name="triggerberkleyRisikoFragenAIGFacility41Value">Fragenkatalog!$AC$62</definedName>
    <definedName name="triggerberkleyRisikoFragenAIGFacility42Value">Fragenkatalog!$AC$63</definedName>
    <definedName name="triggerberkleyRisikoFragenAIGFacility43Value">Fragenkatalog!$AC$64</definedName>
    <definedName name="triggerberkleyRisikoFragenAIGFacility44Value">Fragenkatalog!$AC$65</definedName>
    <definedName name="triggerberkleyRisikoFragenAIGFacility45Value">Fragenkatalog!$AC$66</definedName>
    <definedName name="triggerberkleyRisikoFragenAIGFacility46Value">Fragenkatalog!$AC$67</definedName>
    <definedName name="triggerberkleyRisikoFragenAIGFacility47Value">Fragenkatalog!$AC$68</definedName>
    <definedName name="triggerberkleyRisikoFragenAIGFacility48Value">Fragenkatalog!$AD$69</definedName>
    <definedName name="triggerberkleyRisikoFragenAXAFacility115aValue">Fragenkatalog!$AC$101</definedName>
    <definedName name="triggerberkleyRisikoFragenAXAFacility120Value">Fragenkatalog!$AC$120</definedName>
    <definedName name="triggerberkleyRisikoFragenStartUp92Value">Fragenkatalog!$AC$71</definedName>
    <definedName name="triggerberkleyRisikoFragenStartUp94Value">Fragenkatalog!$AC$73</definedName>
    <definedName name="triggerberkleyRisikoFragenUmsatzSanktionslandValue">Fragenkatalog!$AC$150</definedName>
    <definedName name="triggerberkleyRisikoFragenUSACAN106Value">Fragenkatalog!$AC$92</definedName>
    <definedName name="triggerberkleyRisikoFragenUSACAN107Value">Fragenkatalog!$AC$93</definedName>
    <definedName name="triggerberkleyRisikoFragenUSACAN108Value">Fragenkatalog!$AC$94</definedName>
    <definedName name="triggerberkleyRisikoFragenUSACAN109Value">Fragenkatalog!$AC$95</definedName>
    <definedName name="triggerberkleyRisikoFragenUSACAN113Value">Fragenkatalog!$AC$99</definedName>
    <definedName name="triggerberkleyRisikoFragenUSACAN114Value">Fragenkatalog!$AC$100</definedName>
    <definedName name="triggerberkleyRisikoFragenVereine101Value">Fragenkatalog!$AC$88</definedName>
    <definedName name="triggerberkleyRisikoFragenVereine102Value">Fragenkatalog!$AC$89</definedName>
    <definedName name="triggerberkleyRisikoFragenVereine103RefValue">Fragenkatalog!$AC$12</definedName>
    <definedName name="triggerberkleyRisikoFragenVereine105Value">Fragenkatalog!$AC$91</definedName>
    <definedName name="triggerberkleyRisikoFragenVorvertragExtendedReportingPeriodValue">Fragenkatalog!$AC$39</definedName>
    <definedName name="triggerberkleyRisikoFragenVorvertragInsurerValue">Fragenkatalog!$AC$42</definedName>
    <definedName name="triggerberkleyRisikoFragenVorvertragNoGapsInCoverageValue">Fragenkatalog!$AC$40</definedName>
    <definedName name="triggerberkleyStammDaten2RefValue">Fragenkatalog!$AC$8</definedName>
    <definedName name="triggerberkleyStammDaten3KoValue">Fragenkatalog!$AD$17</definedName>
    <definedName name="triggerCountryExclusionReason">Fragenkatalog!$BS$151</definedName>
    <definedName name="triggerDaughterCompaniesReason">Fragenkatalog!$BR$147</definedName>
    <definedName name="triggerDsReason">'Sterne-Rechner - Angebot'!$E$44</definedName>
    <definedName name="triggerdualRisikoFragen0aValue">Fragenkatalog!$Q$23</definedName>
    <definedName name="triggerdualRisikoFragen0bRefValue">Fragenkatalog!$Q$24</definedName>
    <definedName name="triggerdualRisikoFragen11KoValue">Fragenkatalog!$R$13</definedName>
    <definedName name="triggerdualRisikoFragen11RefValue">Fragenkatalog!$Q$13</definedName>
    <definedName name="triggerdualRisikoFragen18Value">Fragenkatalog!$Q$28</definedName>
    <definedName name="triggerdualRisikoFragen19RefValue">Fragenkatalog!$Q$29</definedName>
    <definedName name="triggerdualRisikoFragen20Value">Fragenkatalog!$Q$30</definedName>
    <definedName name="triggerdualRisikoFragen21aValue">Fragenkatalog!$Q$31</definedName>
    <definedName name="triggerdualRisikoFragen22Value">Fragenkatalog!$Q$33</definedName>
    <definedName name="triggerdualRisikoFragen23cValue">Fragenkatalog!$Q$36</definedName>
    <definedName name="triggerdualRisikoFragen24Value">Fragenkatalog!$Q$43</definedName>
    <definedName name="triggerdualRisikoFragen25Value">Fragenkatalog!$Q$44</definedName>
    <definedName name="triggerdualRisikoFragen26aValue">Fragenkatalog!$Q$45</definedName>
    <definedName name="triggerdualRisikoFragen26bValue">Fragenkatalog!$Q$46</definedName>
    <definedName name="triggerdualRisikoFragen27aValue">Fragenkatalog!$Q$47</definedName>
    <definedName name="triggerdualRisikoFragen30Value">Fragenkatalog!$Q$52</definedName>
    <definedName name="triggerdualRisikoFragen32RefValue">Fragenkatalog!$Q$53</definedName>
    <definedName name="triggerdualRisikoFragen32Value">Fragenkatalog!$Q$53</definedName>
    <definedName name="triggerdualRisikoFragen34Value">Fragenkatalog!$Q$55</definedName>
    <definedName name="triggerdualRisikoFragen36aKoValue">Fragenkatalog!$R$57</definedName>
    <definedName name="triggerdualRisikoFragen39Value">Fragenkatalog!$Q$60</definedName>
    <definedName name="triggerdualRisikoFragen9Value">Fragenkatalog!$Q$15</definedName>
    <definedName name="triggerdualRisikoFragenAIGFacility44Value">Fragenkatalog!$Q$65</definedName>
    <definedName name="triggerdualRisikoFragenAIGFacility46Value">Fragenkatalog!$Q$67</definedName>
    <definedName name="triggerdualRisikoFragenStartUp92Value">Fragenkatalog!$Q$71</definedName>
    <definedName name="triggerdualRisikoFragenStartUp93Value">Fragenkatalog!$Q$72</definedName>
    <definedName name="triggerdualRisikoFragenStartUp94Value">Fragenkatalog!$Q$73</definedName>
    <definedName name="triggerdualRisikoFragenUmsatzSanktionslandValue">Fragenkatalog!$Q$150</definedName>
    <definedName name="triggerdualRisikoFragenVereine101Value">Fragenkatalog!$Q$88</definedName>
    <definedName name="triggerdualRisikoFragenVereine102Value">Fragenkatalog!$Q$89</definedName>
    <definedName name="triggerdualRisikoFragenVereine103RefValue">Fragenkatalog!$Q$12</definedName>
    <definedName name="triggerdualRisikoFragenVereine104Value">Fragenkatalog!$Q$90</definedName>
    <definedName name="triggerdualRisikoFragenVereine105Value">Fragenkatalog!$Q$91</definedName>
    <definedName name="triggerdualRisikoFragenVorvertragExtendedReportingPeriodValue">Fragenkatalog!$Q$39</definedName>
    <definedName name="triggerdualRisikoFragenVorvertragInsurerValue">Fragenkatalog!$Q$42</definedName>
    <definedName name="triggerdualRisikoFragenVorvertragNoGapsInCoverageValue">Fragenkatalog!$Q$40</definedName>
    <definedName name="triggerdualStammDaten2RefValue">Fragenkatalog!$Q$8</definedName>
    <definedName name="triggerdualStammDaten3KoValue">Fragenkatalog!$R$17</definedName>
    <definedName name="triggerergoGruendungsjahrValue">Fragenkatalog!$BN$16</definedName>
    <definedName name="triggerergoRisikoFragen0bKoValue">Fragenkatalog!$BN$24</definedName>
    <definedName name="triggerergoRisikoFragen11KoValue">Fragenkatalog!$BN$13</definedName>
    <definedName name="triggerergoRisikoFragen11RefValue">Fragenkatalog!$BM$13</definedName>
    <definedName name="triggerergoRisikoFragen19RefValue">Fragenkatalog!$BM$29</definedName>
    <definedName name="triggerergoRisikoFragen20RefValue">Fragenkatalog!$BM$30</definedName>
    <definedName name="triggerergoRisikoFragen21aValue">Fragenkatalog!$BM$31</definedName>
    <definedName name="triggerergoRisikoFragen22Value">Fragenkatalog!$BM$33</definedName>
    <definedName name="triggerergoRisikoFragen23bValue">Fragenkatalog!$BM$35</definedName>
    <definedName name="triggerergoRisikoFragen23cValue">Fragenkatalog!$BM$36</definedName>
    <definedName name="triggerergoRisikoFragen25Value">Fragenkatalog!$BM$44</definedName>
    <definedName name="triggerergoRisikoFragen26aValue">Fragenkatalog!$BM$45</definedName>
    <definedName name="triggerergoRisikoFragen26bValue">Fragenkatalog!$BM$46</definedName>
    <definedName name="triggerergoRisikoFragen27aValue">Fragenkatalog!$BM$47</definedName>
    <definedName name="triggerergoRisikoFragen27cValue">Fragenkatalog!$BM$49</definedName>
    <definedName name="triggerergoRisikoFragen27dValue">Fragenkatalog!$BM$50</definedName>
    <definedName name="triggerergoRisikoFragen27eValue">Fragenkatalog!$BM$51</definedName>
    <definedName name="triggerergoRisikoFragen32KoValue">Fragenkatalog!$BN$53</definedName>
    <definedName name="triggerergoRisikoFragen32RefValue">Fragenkatalog!$BM$53</definedName>
    <definedName name="triggerergoRisikoFragen34Value">Fragenkatalog!$BM$55</definedName>
    <definedName name="triggerergoRisikoFragen36aKoValue">Fragenkatalog!$BN$57</definedName>
    <definedName name="triggerergoRisikoFragen39Value">Fragenkatalog!$BM$60</definedName>
    <definedName name="triggerergoRisikoFragen902Value">Fragenkatalog!$BM$149</definedName>
    <definedName name="triggerergoRisikoFragen9Value">Fragenkatalog!$BM$15</definedName>
    <definedName name="triggerergoRisikoFragenAIGFacility40Value">Fragenkatalog!$BM$61</definedName>
    <definedName name="triggerergoRisikoFragenAIGFacility41Value">Fragenkatalog!$BM$62</definedName>
    <definedName name="triggerergoRisikoFragenAIGFacility42Value">Fragenkatalog!$BM$63</definedName>
    <definedName name="triggerergoRisikoFragenAIGFacility43Value">Fragenkatalog!$BN$64</definedName>
    <definedName name="triggerergoRisikoFragenAIGFacility46Value">Fragenkatalog!$BM$67</definedName>
    <definedName name="triggerergoRisikoFragenAIGFacility47Value">Fragenkatalog!$BM$68</definedName>
    <definedName name="triggerergoRisikoFragenAIGFacility48Value">Fragenkatalog!$BN$69</definedName>
    <definedName name="triggerergoRisikoFragenAIGFacility49Value">Fragenkatalog!$BM$70</definedName>
    <definedName name="triggerergoRisikoFragenAXAFacility115aValue">Fragenkatalog!$BM$101</definedName>
    <definedName name="triggerergoRisikoFragenAXAFacility115bValue">Fragenkatalog!$BM$102</definedName>
    <definedName name="triggerergoRisikoFragenAXAFacility116aValue">Fragenkatalog!$BM$103</definedName>
    <definedName name="triggerergoRisikoFragenAXAFacility118aValue">Fragenkatalog!$BM$113</definedName>
    <definedName name="triggerergoRisikoFragenAXAFacility118bValue">Fragenkatalog!$BM$114</definedName>
    <definedName name="triggerergoRisikoFragenAXAFacility118dValue">Fragenkatalog!$BM$116</definedName>
    <definedName name="triggerergoRisikoFragenAXAFacility119aValue">Fragenkatalog!$BM$118</definedName>
    <definedName name="triggerergoRisikoFragenAXAFacility120Value">Fragenkatalog!$BM$120</definedName>
    <definedName name="triggerergoRisikoFragenStartUp92Value">Fragenkatalog!$BM$71</definedName>
    <definedName name="triggerergoRisikoFragenStartUp93Value">Fragenkatalog!$BM$72</definedName>
    <definedName name="triggerergoRisikoFragenStartUp94Value">Fragenkatalog!$BM$73</definedName>
    <definedName name="triggerergoRisikoFragenUmsatzSanktionslandValue">Fragenkatalog!$BM$150</definedName>
    <definedName name="triggerergoRisikoFragenUSACAN106Value">Fragenkatalog!$BM$92</definedName>
    <definedName name="triggerergoRisikoFragenUSACAN107Value">Fragenkatalog!$BM$93</definedName>
    <definedName name="triggerergoRisikoFragenUSACAN108Value">Fragenkatalog!$BM$94</definedName>
    <definedName name="triggerergoRisikoFragenUSACAN109Value">Fragenkatalog!$BM$95</definedName>
    <definedName name="triggerergoRisikoFragenUSACAN110Value">Fragenkatalog!$BM$96</definedName>
    <definedName name="triggerergoRisikoFragenUSACAN111Value">Fragenkatalog!$BM$97</definedName>
    <definedName name="triggerergoRisikoFragenUSACAN112Value">Fragenkatalog!$BM$98</definedName>
    <definedName name="triggerergoRisikoFragenUSACAN113Value">Fragenkatalog!$BM$99</definedName>
    <definedName name="triggerergoRisikoFragenUSACAN114Value">Fragenkatalog!$BM$100</definedName>
    <definedName name="triggerergoRisikoFragenVereine101Value">Fragenkatalog!$BN$88</definedName>
    <definedName name="triggerergoRisikoFragenVereine102Value">Fragenkatalog!$BM$89</definedName>
    <definedName name="triggerergoRisikoFragenVereine103KoValue">Fragenkatalog!$BN$12</definedName>
    <definedName name="triggerergoRisikoFragenVereine104Value">Fragenkatalog!$BN$90</definedName>
    <definedName name="triggerergoRisikoFragenVereine105Value">Fragenkatalog!$BM$91</definedName>
    <definedName name="triggerergoRisikoFragenVorvertragClaimsForIncreasedLimitValue">Fragenkatalog!$BM$41</definedName>
    <definedName name="triggerergoRisikoFragenVorvertragExtendedReportingPeriodValue">Fragenkatalog!$BM$39</definedName>
    <definedName name="triggerergoStammDaten2RefValue">Fragenkatalog!$BM$8</definedName>
    <definedName name="triggerergoStammDaten3KoValue">Fragenkatalog!$BN$17</definedName>
    <definedName name="triggerergoStammDaten3RefValue">Fragenkatalog!$BM$17</definedName>
    <definedName name="triggerFacilitiesCriteriaReason">'Sterne-Rechner - Angebot'!$C$44</definedName>
    <definedName name="triggerGruendungsjahrReason">Fragenkatalog!$BS$16</definedName>
    <definedName name="triggerlibertyRisikoFragen0aValue">Fragenkatalog!$BG$23</definedName>
    <definedName name="triggerlibertyRisikoFragen0bRefValue">Fragenkatalog!$BG$24</definedName>
    <definedName name="triggerlibertyRisikoFragen11KoValue">Fragenkatalog!$BH$13</definedName>
    <definedName name="triggerlibertyRisikoFragen11RefValue">Fragenkatalog!$BG$13</definedName>
    <definedName name="triggerlibertyRisikoFragen18Value">Fragenkatalog!$BG$28</definedName>
    <definedName name="triggerlibertyRisikoFragen19RefValue">Fragenkatalog!$BG$29</definedName>
    <definedName name="triggerlibertyRisikoFragen20KoValue">Fragenkatalog!$BH$30</definedName>
    <definedName name="triggerlibertyRisikoFragen21aValue">Fragenkatalog!$BG$31</definedName>
    <definedName name="triggerlibertyRisikoFragen21bValue">Fragenkatalog!$BG$32</definedName>
    <definedName name="triggerlibertyRisikoFragen23cValue">Fragenkatalog!$BH$36</definedName>
    <definedName name="triggerlibertyRisikoFragen24Value">Fragenkatalog!$BG$43</definedName>
    <definedName name="triggerlibertyRisikoFragen25Value">Fragenkatalog!$BH$44</definedName>
    <definedName name="triggerlibertyRisikoFragen26aValue">Fragenkatalog!$BG$45</definedName>
    <definedName name="triggerlibertyRisikoFragen26bValue">Fragenkatalog!$BG$46</definedName>
    <definedName name="triggerlibertyRisikoFragen27aValue">Fragenkatalog!$BG$47</definedName>
    <definedName name="triggerlibertyRisikoFragen30Value">Fragenkatalog!$BG$52</definedName>
    <definedName name="triggerlibertyRisikoFragen32KoValue">Fragenkatalog!$BH$53</definedName>
    <definedName name="triggerlibertyRisikoFragen32RefValue">Fragenkatalog!$BG$53</definedName>
    <definedName name="triggerlibertyRisikoFragen34Value">Fragenkatalog!$BG$55</definedName>
    <definedName name="triggerlibertyRisikoFragen36aKoValue">Fragenkatalog!$BH$57</definedName>
    <definedName name="triggerlibertyRisikoFragen39Value">Fragenkatalog!$BG$60</definedName>
    <definedName name="triggerlibertyRisikoFragen9Value">Fragenkatalog!$BH$15</definedName>
    <definedName name="triggerlibertyRisikoFragenAIGFacility40Value">Fragenkatalog!$BH$61</definedName>
    <definedName name="triggerlibertyRisikoFragenAIGFacility41Value">Fragenkatalog!$BH$62</definedName>
    <definedName name="triggerlibertyRisikoFragenAIGFacility42Value">Fragenkatalog!$BG$63</definedName>
    <definedName name="triggerlibertyRisikoFragenAIGFacility43Value">Fragenkatalog!$BH$64</definedName>
    <definedName name="triggerlibertyRisikoFragenAIGFacility44Value">Fragenkatalog!$BG$65</definedName>
    <definedName name="triggerlibertyRisikoFragenAIGFacility45Value">Fragenkatalog!$BH$66</definedName>
    <definedName name="triggerlibertyRisikoFragenAIGFacility46Value">Fragenkatalog!$BH$67</definedName>
    <definedName name="triggerlibertyRisikoFragenAIGFacility47Value">Fragenkatalog!$BH$68</definedName>
    <definedName name="triggerlibertyRisikoFragenAIGFacility48Value">Fragenkatalog!$BH$69</definedName>
    <definedName name="triggerlibertyRisikoFragenAIGFacility49Value">Fragenkatalog!$BH$70</definedName>
    <definedName name="triggerlibertyRisikoFragenAXAFacility115aValue">Fragenkatalog!$BH$101</definedName>
    <definedName name="triggerlibertyRisikoFragenAXAFacility115bValue">Fragenkatalog!$BH$102</definedName>
    <definedName name="triggerlibertyRisikoFragenAXAFacility116aValue">Fragenkatalog!$BH$103</definedName>
    <definedName name="triggerlibertyRisikoFragenAXAFacility116bValue">Fragenkatalog!$BH$104</definedName>
    <definedName name="triggerlibertyRisikoFragenAXAFacility116dValue">Fragenkatalog!$BH$106</definedName>
    <definedName name="triggerlibertyRisikoFragenAXAFacility117aValue">Fragenkatalog!$BH$108</definedName>
    <definedName name="triggerlibertyRisikoFragenAXAFacility118aValue">Fragenkatalog!$BH$113</definedName>
    <definedName name="triggerlibertyRisikoFragenAXAFacility118bValue">Fragenkatalog!$BH$114</definedName>
    <definedName name="triggerlibertyRisikoFragenAXAFacility118dValue">Fragenkatalog!$BH$116</definedName>
    <definedName name="triggerlibertyRisikoFragenAXAFacility120Value">Fragenkatalog!$BH$120</definedName>
    <definedName name="triggerlibertyRisikoFragenAXAFacility122aValue">Fragenkatalog!$BH$121</definedName>
    <definedName name="triggerlibertyRisikoFragenAXAFacility122bValue">Fragenkatalog!$BH$122</definedName>
    <definedName name="triggerlibertyRisikoFragenAXAFacility122cValue">Fragenkatalog!$BH$123</definedName>
    <definedName name="triggerlibertyRisikoFragenAXAFacility122dValue">Fragenkatalog!$BH$124</definedName>
    <definedName name="triggerlibertyRisikoFragenAXAFacility122eValue">Fragenkatalog!$BH$125</definedName>
    <definedName name="triggerlibertyRisikoFragenStartUp92Value">Fragenkatalog!$BH$71</definedName>
    <definedName name="triggerlibertyRisikoFragenStartUp93Value">Fragenkatalog!$BH$72</definedName>
    <definedName name="triggerlibertyRisikoFragenStartUp94Value">Fragenkatalog!$BH$73</definedName>
    <definedName name="triggerlibertyRisikoFragenUmsatzSanktionslandValue">Fragenkatalog!$BG$150</definedName>
    <definedName name="triggerlibertyRisikoFragenVereine101Value">Fragenkatalog!$BH$88</definedName>
    <definedName name="triggerlibertyRisikoFragenVereine102Value">Fragenkatalog!$BH$89</definedName>
    <definedName name="triggerlibertyRisikoFragenVereine103KoValue">Fragenkatalog!$BH$12</definedName>
    <definedName name="triggerlibertyRisikoFragenVereine104Value">Fragenkatalog!$BH$90</definedName>
    <definedName name="triggerlibertyRisikoFragenVereine105Value">Fragenkatalog!$BH$91</definedName>
    <definedName name="triggerlibertyRisikoFragenVorvertragClaimsForIncreasedLimitValue">Fragenkatalog!$BH$41</definedName>
    <definedName name="triggerlibertyRisikoFragenVorvertragInsurerValue">Fragenkatalog!$BG$42</definedName>
    <definedName name="triggerlibertyStammDaten2RefValue">Fragenkatalog!$BG$8</definedName>
    <definedName name="triggerlibertyStammDaten3KoValue">Fragenkatalog!$BH$17</definedName>
    <definedName name="triggerlimit1axaBackstopValue">'Sterne-Rechner - Angebot'!$J$7</definedName>
    <definedName name="triggerlimit1axaDsValue">'Sterne-Rechner - Angebot'!$E$7</definedName>
    <definedName name="triggerlimit1axaFacilitiesCriteriaValue">'Sterne-Rechner - Angebot'!$C$7</definedName>
    <definedName name="triggerlimit1axaLimLtRevValue">'Sterne-Rechner - Angebot'!$F$7</definedName>
    <definedName name="triggerlimit1axaMvupValue">'Sterne-Rechner - Angebot'!$I$7</definedName>
    <definedName name="triggerlimit1axaPremiumsCalculatableValue">'Sterne-Rechner - Angebot'!$H$7</definedName>
    <definedName name="triggerlimit1axaSanctionCountriesValue">'Sterne-Rechner - Angebot'!$G$7</definedName>
    <definedName name="triggerlimit1berkleyBackstopValue">'Sterne-Rechner - Angebot'!$J$22</definedName>
    <definedName name="triggerlimit1berkleyDsValue">'Sterne-Rechner - Angebot'!$E$22</definedName>
    <definedName name="triggerlimit1berkleyLimLtRevValue">'Sterne-Rechner - Angebot'!$F$22</definedName>
    <definedName name="triggerlimit1berkleyMvupValue">'Sterne-Rechner - Angebot'!$I$22</definedName>
    <definedName name="triggerlimit1berkleyPremiumsCalculatableValue">'Sterne-Rechner - Angebot'!$H$22</definedName>
    <definedName name="triggerlimit1berkleySanctionCountriesValue">'Sterne-Rechner - Angebot'!$G$22</definedName>
    <definedName name="triggerlimit1dualBackstopValue">'Sterne-Rechner - Angebot'!$J$16</definedName>
    <definedName name="triggerlimit1dualDsValue">'Sterne-Rechner - Angebot'!$E$16</definedName>
    <definedName name="triggerlimit1dualLimLtRevValue">'Sterne-Rechner - Angebot'!$F$16</definedName>
    <definedName name="triggerlimit1dualMvupValue">'Sterne-Rechner - Angebot'!$I$16</definedName>
    <definedName name="triggerlimit1dualPremiumsCalculatableValue">'Sterne-Rechner - Angebot'!$H$16</definedName>
    <definedName name="triggerlimit1dualSanctionCountriesValue">'Sterne-Rechner - Angebot'!$G$16</definedName>
    <definedName name="triggerlimit1ergoBackstopValue">'Sterne-Rechner - Angebot'!$J$31</definedName>
    <definedName name="triggerlimit1ergoDsValue">'Sterne-Rechner - Angebot'!$E$31</definedName>
    <definedName name="triggerlimit1ergoLimLtRevValue">'Sterne-Rechner - Angebot'!$F$31</definedName>
    <definedName name="triggerlimit1ergoMvupValue">'Sterne-Rechner - Angebot'!$I$31</definedName>
    <definedName name="triggerlimit1ergoPremiumsCalculatableValue">'Sterne-Rechner - Angebot'!$H$31</definedName>
    <definedName name="triggerlimit1libertyBackstopValue">'Sterne-Rechner - Angebot'!$J$28</definedName>
    <definedName name="triggerlimit1libertyDsValue">'Sterne-Rechner - Angebot'!$E$28</definedName>
    <definedName name="triggerlimit1libertyLimLtRevValue">'Sterne-Rechner - Angebot'!$F$28</definedName>
    <definedName name="triggerlimit1libertyMvupValue">'Sterne-Rechner - Angebot'!$I$28</definedName>
    <definedName name="triggerlimit1libertyPremiumsCalculatableValue">'Sterne-Rechner - Angebot'!$H$28</definedName>
    <definedName name="triggerlimit1libertySanctionCountriesValue">'Sterne-Rechner - Angebot'!$G$28</definedName>
    <definedName name="triggerlimit1markelBackstopValue">'Sterne-Rechner - Angebot'!$J$25</definedName>
    <definedName name="triggerlimit1markelDsValue">'Sterne-Rechner - Angebot'!$E$25</definedName>
    <definedName name="triggerlimit1markelLimLtRevValue">'Sterne-Rechner - Angebot'!$F$25</definedName>
    <definedName name="triggerlimit1markelMvupValue">'Sterne-Rechner - Angebot'!$I$25</definedName>
    <definedName name="triggerlimit1markelPremiumsCalculatableValue">'Sterne-Rechner - Angebot'!$H$25</definedName>
    <definedName name="triggerlimit1markelSanctionCountriesValue">'Sterne-Rechner - Angebot'!$G$25</definedName>
    <definedName name="triggerlimit1newlineBackstopValue">'Sterne-Rechner - Angebot'!$J$19</definedName>
    <definedName name="triggerlimit1newlineDsValue">'Sterne-Rechner - Angebot'!$E$19</definedName>
    <definedName name="triggerlimit1newlineLimLtRevValue">'Sterne-Rechner - Angebot'!$F$19</definedName>
    <definedName name="triggerlimit1newlineMvupValue">'Sterne-Rechner - Angebot'!$I$19</definedName>
    <definedName name="triggerlimit1newlinePremiumsCalculatableValue">'Sterne-Rechner - Angebot'!$H$19</definedName>
    <definedName name="triggerlimit1newlineSanctionCountriesValue">'Sterne-Rechner - Angebot'!$G$19</definedName>
    <definedName name="triggerlimit1wvagBackstopValue">'Sterne-Rechner - Angebot'!$J$4</definedName>
    <definedName name="triggerlimit1wvagDsValue">'Sterne-Rechner - Angebot'!$E$4</definedName>
    <definedName name="triggerlimit1wvagFacilitiesCriteriaValue">'Sterne-Rechner - Angebot'!$C$4</definedName>
    <definedName name="triggerlimit1wvagLimLtRevValue">'Sterne-Rechner - Angebot'!$F$4</definedName>
    <definedName name="triggerlimit1wvagMvupValue">'Sterne-Rechner - Angebot'!$I$4</definedName>
    <definedName name="triggerlimit1wvagPremiumsCalculatableValue">'Sterne-Rechner - Angebot'!$H$4</definedName>
    <definedName name="triggerlimit1wvagSanctionCountriesValue">'Sterne-Rechner - Angebot'!$G$4</definedName>
    <definedName name="triggerlimit2axaBackstopValue">'Sterne-Rechner - Angebot'!$J$8</definedName>
    <definedName name="triggerlimit2axaDsValue">'Sterne-Rechner - Angebot'!$E$8</definedName>
    <definedName name="triggerlimit2axaFacilitiesCriteriaValue">'Sterne-Rechner - Angebot'!$C$8</definedName>
    <definedName name="triggerlimit2axaLimLtRevValue">'Sterne-Rechner - Angebot'!$F$8</definedName>
    <definedName name="triggerlimit2axaMvupValue">'Sterne-Rechner - Angebot'!$I$8</definedName>
    <definedName name="triggerlimit2axaPremiumsCalculatableValue">'Sterne-Rechner - Angebot'!$H$8</definedName>
    <definedName name="triggerlimit2axaSanctionCountriesValue">'Sterne-Rechner - Angebot'!$G$8</definedName>
    <definedName name="triggerlimit2berkleyBackstopValue">'Sterne-Rechner - Angebot'!$J$23</definedName>
    <definedName name="triggerlimit2berkleyDsValue">'Sterne-Rechner - Angebot'!$E$23</definedName>
    <definedName name="triggerlimit2berkleyLimLtRevValue">'Sterne-Rechner - Angebot'!$F$23</definedName>
    <definedName name="triggerlimit2berkleyMvupValue">'Sterne-Rechner - Angebot'!$I$23</definedName>
    <definedName name="triggerlimit2berkleyPremiumsCalculatableValue">'Sterne-Rechner - Angebot'!$H$23</definedName>
    <definedName name="triggerlimit2berkleySanctionCountriesValue">'Sterne-Rechner - Angebot'!$G$23</definedName>
    <definedName name="triggerlimit2dualBackstopValue">'Sterne-Rechner - Angebot'!$J$17</definedName>
    <definedName name="triggerlimit2dualDsValue">'Sterne-Rechner - Angebot'!$E$17</definedName>
    <definedName name="triggerlimit2dualLimLtRevValue">'Sterne-Rechner - Angebot'!$F$17</definedName>
    <definedName name="triggerlimit2dualMvupValue">'Sterne-Rechner - Angebot'!$I$17</definedName>
    <definedName name="triggerlimit2dualPremiumsCalculatableValue">'Sterne-Rechner - Angebot'!$H$17</definedName>
    <definedName name="triggerlimit2dualSanctionCountriesValue">'Sterne-Rechner - Angebot'!$G$17</definedName>
    <definedName name="triggerlimit2ergoBackstopValue">'Sterne-Rechner - Angebot'!$J$32</definedName>
    <definedName name="triggerlimit2ergoDsValue">'Sterne-Rechner - Angebot'!$E$32</definedName>
    <definedName name="triggerlimit2ergoLimLtRevValue">'Sterne-Rechner - Angebot'!$F$32</definedName>
    <definedName name="triggerlimit2ergoMvupValue">'Sterne-Rechner - Angebot'!$I$32</definedName>
    <definedName name="triggerlimit2ergoPremiumsCalculatableValue">'Sterne-Rechner - Angebot'!$H$32</definedName>
    <definedName name="triggerlimit2libertyBackstopValue">'Sterne-Rechner - Angebot'!$J$29</definedName>
    <definedName name="triggerlimit2libertyDsValue">'Sterne-Rechner - Angebot'!$E$29</definedName>
    <definedName name="triggerlimit2libertyLimLtRevValue">'Sterne-Rechner - Angebot'!$F$29</definedName>
    <definedName name="triggerlimit2libertyMvupValue">'Sterne-Rechner - Angebot'!$I$29</definedName>
    <definedName name="triggerlimit2libertyPremiumsCalculatableValue">'Sterne-Rechner - Angebot'!$H$29</definedName>
    <definedName name="triggerlimit2libertySanctionCountriesValue">'Sterne-Rechner - Angebot'!$G$29</definedName>
    <definedName name="triggerlimit2markelBackstopValue">'Sterne-Rechner - Angebot'!$J$26</definedName>
    <definedName name="triggerlimit2markelDsValue">'Sterne-Rechner - Angebot'!$E$26</definedName>
    <definedName name="triggerlimit2markelLimLtRevValue">'Sterne-Rechner - Angebot'!$F$26</definedName>
    <definedName name="triggerlimit2markelMvupValue">'Sterne-Rechner - Angebot'!$I$26</definedName>
    <definedName name="triggerlimit2markelPremiumsCalculatableValue">'Sterne-Rechner - Angebot'!$H$26</definedName>
    <definedName name="triggerlimit2markelSanctionCountriesValue">'Sterne-Rechner - Angebot'!$G$26</definedName>
    <definedName name="triggerlimit2newlineBackstopValue">'Sterne-Rechner - Angebot'!$J$20</definedName>
    <definedName name="triggerlimit2newlineDsValue">'Sterne-Rechner - Angebot'!$E$20</definedName>
    <definedName name="triggerlimit2newlineLimLtRevValue">'Sterne-Rechner - Angebot'!$F$20</definedName>
    <definedName name="triggerlimit2newlineMvupValue">'Sterne-Rechner - Angebot'!$I$20</definedName>
    <definedName name="triggerlimit2newlinePremiumsCalculatableValue">'Sterne-Rechner - Angebot'!$H$20</definedName>
    <definedName name="triggerlimit2newlineSanctionCountriesValue">'Sterne-Rechner - Angebot'!$G$20</definedName>
    <definedName name="triggerlimit2wvagBackstopValue">'Sterne-Rechner - Angebot'!$J$5</definedName>
    <definedName name="triggerlimit2wvagDsValue">'Sterne-Rechner - Angebot'!$E$5</definedName>
    <definedName name="triggerlimit2wvagFacilitiesCriteriaValue">'Sterne-Rechner - Angebot'!$C$5</definedName>
    <definedName name="triggerlimit2wvagLimLtRevValue">'Sterne-Rechner - Angebot'!$F$5</definedName>
    <definedName name="triggerlimit2wvagMvupValue">'Sterne-Rechner - Angebot'!$I$5</definedName>
    <definedName name="triggerlimit2wvagPremiumsCalculatableValue">'Sterne-Rechner - Angebot'!$H$5</definedName>
    <definedName name="triggerlimit2wvagSanctionCountriesValue">'Sterne-Rechner - Angebot'!$G$5</definedName>
    <definedName name="triggerlimit3axaBackstopValue">'Sterne-Rechner - Angebot'!$J$9</definedName>
    <definedName name="triggerlimit3axaDsValue">'Sterne-Rechner - Angebot'!$E$9</definedName>
    <definedName name="triggerlimit3axaFacilitiesCriteriaValue">'Sterne-Rechner - Angebot'!$C$9</definedName>
    <definedName name="triggerlimit3axaLimLtRevValue">'Sterne-Rechner - Angebot'!$F$9</definedName>
    <definedName name="triggerlimit3axaMvupValue">'Sterne-Rechner - Angebot'!$I$9</definedName>
    <definedName name="triggerlimit3axaPremiumsCalculatableValue">'Sterne-Rechner - Angebot'!$H$9</definedName>
    <definedName name="triggerlimit3axaSanctionCountriesValue">'Sterne-Rechner - Angebot'!$G$9</definedName>
    <definedName name="triggerlimit3berkleyBackstopValue">'Sterne-Rechner - Angebot'!$J$24</definedName>
    <definedName name="triggerlimit3berkleyDsValue">'Sterne-Rechner - Angebot'!$E$24</definedName>
    <definedName name="triggerlimit3berkleyLimLtRevValue">'Sterne-Rechner - Angebot'!$F$24</definedName>
    <definedName name="triggerlimit3berkleyMvupValue">'Sterne-Rechner - Angebot'!$I$24</definedName>
    <definedName name="triggerlimit3berkleyPremiumsCalculatableValue">'Sterne-Rechner - Angebot'!$H$24</definedName>
    <definedName name="triggerlimit3berkleySanctionCountriesValue">'Sterne-Rechner - Angebot'!$G$24</definedName>
    <definedName name="triggerlimit3dualBackstopValue">'Sterne-Rechner - Angebot'!$J$18</definedName>
    <definedName name="triggerlimit3dualDsValue">'Sterne-Rechner - Angebot'!$E$18</definedName>
    <definedName name="triggerlimit3dualLimLtRevValue">'Sterne-Rechner - Angebot'!$F$18</definedName>
    <definedName name="triggerlimit3dualMvupValue">'Sterne-Rechner - Angebot'!$I$18</definedName>
    <definedName name="triggerlimit3dualPremiumsCalculatableValue">'Sterne-Rechner - Angebot'!$H$18</definedName>
    <definedName name="triggerlimit3dualSanctionCountriesValue">'Sterne-Rechner - Angebot'!$G$18</definedName>
    <definedName name="triggerlimit3ergoBackstopValue">'Sterne-Rechner - Angebot'!$J$33</definedName>
    <definedName name="triggerlimit3ergoDsValue">'Sterne-Rechner - Angebot'!$E$33</definedName>
    <definedName name="triggerlimit3ergoLimLtRevValue">'Sterne-Rechner - Angebot'!$F$33</definedName>
    <definedName name="triggerlimit3ergoMvupValue">'Sterne-Rechner - Angebot'!$I$33</definedName>
    <definedName name="triggerlimit3ergoPremiumsCalculatableValue">'Sterne-Rechner - Angebot'!$H$33</definedName>
    <definedName name="triggerlimit3libertyBackstopValue">'Sterne-Rechner - Angebot'!$J$30</definedName>
    <definedName name="triggerlimit3libertyDsValue">'Sterne-Rechner - Angebot'!$E$30</definedName>
    <definedName name="triggerlimit3libertyLimLtRevValue">'Sterne-Rechner - Angebot'!$F$30</definedName>
    <definedName name="triggerlimit3libertyMvupValue">'Sterne-Rechner - Angebot'!$I$30</definedName>
    <definedName name="triggerlimit3libertyPremiumsCalculatableValue">'Sterne-Rechner - Angebot'!$H$30</definedName>
    <definedName name="triggerlimit3libertySanctionCountriesValue">'Sterne-Rechner - Angebot'!$G$30</definedName>
    <definedName name="triggerlimit3markelBackstopValue">'Sterne-Rechner - Angebot'!$J$27</definedName>
    <definedName name="triggerlimit3markelDsValue">'Sterne-Rechner - Angebot'!$E$27</definedName>
    <definedName name="triggerlimit3markelLimLtRevValue">'Sterne-Rechner - Angebot'!$F$27</definedName>
    <definedName name="triggerlimit3markelMvupValue">'Sterne-Rechner - Angebot'!$I$27</definedName>
    <definedName name="triggerlimit3markelPremiumsCalculatableValue">'Sterne-Rechner - Angebot'!$H$27</definedName>
    <definedName name="triggerlimit3markelSanctionCountriesValue">'Sterne-Rechner - Angebot'!$G$27</definedName>
    <definedName name="triggerlimit3newlineBackstopValue">'Sterne-Rechner - Angebot'!$J$21</definedName>
    <definedName name="triggerlimit3newlineDsValue">'Sterne-Rechner - Angebot'!$E$21</definedName>
    <definedName name="triggerlimit3newlineLimLtRevValue">'Sterne-Rechner - Angebot'!$F$21</definedName>
    <definedName name="triggerlimit3newlineMvupValue">'Sterne-Rechner - Angebot'!$I$21</definedName>
    <definedName name="triggerlimit3newlinePremiumsCalculatableValue">'Sterne-Rechner - Angebot'!$H$21</definedName>
    <definedName name="triggerlimit3newlineSanctionCountriesValue">'Sterne-Rechner - Angebot'!$G$21</definedName>
    <definedName name="triggerlimit3wvagBackstopValue">'Sterne-Rechner - Angebot'!$J$6</definedName>
    <definedName name="triggerlimit3wvagDsValue">'Sterne-Rechner - Angebot'!$E$6</definedName>
    <definedName name="triggerlimit3wvagFacilitiesCriteriaValue">'Sterne-Rechner - Angebot'!$C$6</definedName>
    <definedName name="triggerlimit3wvagLimLtRevValue">'Sterne-Rechner - Angebot'!$F$6</definedName>
    <definedName name="triggerlimit3wvagMvupValue">'Sterne-Rechner - Angebot'!$I$6</definedName>
    <definedName name="triggerlimit3wvagPremiumsCalculatableValue">'Sterne-Rechner - Angebot'!$H$6</definedName>
    <definedName name="triggerlimit3wvagSanctionCountriesValue">'Sterne-Rechner - Angebot'!$G$6</definedName>
    <definedName name="triggerLimLtRevReason">'Sterne-Rechner - Angebot'!$F$44</definedName>
    <definedName name="triggermarkelRisikoFragen0aValue">Fragenkatalog!$BB$23</definedName>
    <definedName name="triggermarkelRisikoFragen0bRefValue">Fragenkatalog!$BA$24</definedName>
    <definedName name="triggermarkelRisikoFragen11KoValue">Fragenkatalog!$BB$13</definedName>
    <definedName name="triggermarkelRisikoFragen11RefValue">Fragenkatalog!$BA$13</definedName>
    <definedName name="triggermarkelRisikoFragen18Value">Fragenkatalog!$BA$28</definedName>
    <definedName name="triggermarkelRisikoFragen19RefValue">Fragenkatalog!$BA$29</definedName>
    <definedName name="triggermarkelRisikoFragen20RefValue">Fragenkatalog!$BA$30</definedName>
    <definedName name="triggermarkelRisikoFragen21aValue">Fragenkatalog!$BA$31</definedName>
    <definedName name="triggermarkelRisikoFragen23aValue">Fragenkatalog!$BA$34</definedName>
    <definedName name="triggermarkelRisikoFragen23cValue">Fragenkatalog!$BA$36</definedName>
    <definedName name="triggermarkelRisikoFragen25Value">Fragenkatalog!$BA$44</definedName>
    <definedName name="triggermarkelRisikoFragen26aValue">Fragenkatalog!$BA$45</definedName>
    <definedName name="triggermarkelRisikoFragen27eValue">Fragenkatalog!$BA$51</definedName>
    <definedName name="triggermarkelRisikoFragen30Value">Fragenkatalog!$BA$52</definedName>
    <definedName name="triggermarkelRisikoFragen32KoValue">Fragenkatalog!$BB$53</definedName>
    <definedName name="triggermarkelRisikoFragen32RefValue">Fragenkatalog!$BA$53</definedName>
    <definedName name="triggermarkelRisikoFragen33Value">Fragenkatalog!$BA$54</definedName>
    <definedName name="triggermarkelRisikoFragen34Value">Fragenkatalog!$BA$55</definedName>
    <definedName name="triggermarkelRisikoFragen35Value">Fragenkatalog!$BA$56</definedName>
    <definedName name="triggermarkelRisikoFragen36aKoValue">Fragenkatalog!$BB$57</definedName>
    <definedName name="triggermarkelRisikoFragen36bRefValue">Fragenkatalog!$BA$58</definedName>
    <definedName name="triggermarkelRisikoFragen39Value">Fragenkatalog!$BA$60</definedName>
    <definedName name="triggermarkelRisikoFragen9Value">Fragenkatalog!$BA$15</definedName>
    <definedName name="triggermarkelRisikoFragenAIGFacility40Value">Fragenkatalog!$BA$61</definedName>
    <definedName name="triggermarkelRisikoFragenAIGFacility41Value">Fragenkatalog!$BA$62</definedName>
    <definedName name="triggermarkelRisikoFragenAIGFacility42Value">Fragenkatalog!$BA$63</definedName>
    <definedName name="triggermarkelRisikoFragenAIGFacility43Value">Fragenkatalog!$BA$64</definedName>
    <definedName name="triggermarkelRisikoFragenAIGFacility45Value">Fragenkatalog!$BA$66</definedName>
    <definedName name="triggermarkelRisikoFragenAIGFacility46Value">Fragenkatalog!$BB$67</definedName>
    <definedName name="triggermarkelRisikoFragenAIGFacility47Value">Fragenkatalog!$BA$68</definedName>
    <definedName name="triggermarkelRisikoFragenAIGFacility48Value">Fragenkatalog!$BB$69</definedName>
    <definedName name="triggermarkelRisikoFragenAIGFacility49Value">Fragenkatalog!$BA$70</definedName>
    <definedName name="triggermarkelRisikoFragenAXAFacility115aValue">Fragenkatalog!$BA$101</definedName>
    <definedName name="triggermarkelRisikoFragenAXAFacility115bValue">Fragenkatalog!$BA$102</definedName>
    <definedName name="triggermarkelRisikoFragenAXAFacility117aValue">Fragenkatalog!$BA$108</definedName>
    <definedName name="triggermarkelRisikoFragenAXAFacility117bValue">Fragenkatalog!$BA$109</definedName>
    <definedName name="triggermarkelRisikoFragenAXAFacility117dValue">Fragenkatalog!$BA$111</definedName>
    <definedName name="triggermarkelRisikoFragenAXAFacility118aValue">Fragenkatalog!$BA$113</definedName>
    <definedName name="triggermarkelRisikoFragenAXAFacility118bValue">Fragenkatalog!$BA$114</definedName>
    <definedName name="triggermarkelRisikoFragenAXAFacility118dValue">Fragenkatalog!$BA$116</definedName>
    <definedName name="triggermarkelRisikoFragenAXAFacility120Value">Fragenkatalog!$BA$120</definedName>
    <definedName name="triggermarkelRisikoFragenAXAFacility122aValue">Fragenkatalog!$BA$121</definedName>
    <definedName name="triggermarkelRisikoFragenStartUp142Value">Fragenkatalog!$BA$138</definedName>
    <definedName name="triggermarkelRisikoFragenStartUp145Value">Fragenkatalog!$BA$141</definedName>
    <definedName name="triggermarkelRisikoFragenStartUp92Value">Fragenkatalog!$BA$71</definedName>
    <definedName name="triggermarkelRisikoFragenStartUp93Value">Fragenkatalog!$BA$72</definedName>
    <definedName name="triggermarkelRisikoFragenStartUp94Value">Fragenkatalog!$BA$73</definedName>
    <definedName name="triggermarkelRisikoFragenUmsatzSanktionslandValue">Fragenkatalog!$BA$150</definedName>
    <definedName name="triggermarkelRisikoFragenUSACAN113Value">Fragenkatalog!$BA$99</definedName>
    <definedName name="triggermarkelRisikoFragenUSACAN114Value">Fragenkatalog!$BA$100</definedName>
    <definedName name="triggermarkelRisikoFragenVereine101Value">Fragenkatalog!$BA$88</definedName>
    <definedName name="triggermarkelRisikoFragenVereine102Value">Fragenkatalog!$BA$89</definedName>
    <definedName name="triggermarkelRisikoFragenVereine103RefValue">Fragenkatalog!$BA$12</definedName>
    <definedName name="triggermarkelRisikoFragenVorvertragClaimsForIncreasedLimitValue">Fragenkatalog!$BA$41</definedName>
    <definedName name="triggermarkelRisikoFragenVorvertragExtendedReportingPeriodValue">Fragenkatalog!$BA$39</definedName>
    <definedName name="triggermarkelRisikoFragenVorvertragInsurerValue">Fragenkatalog!$BA$42</definedName>
    <definedName name="triggermarkelStammDaten2KoValue">Fragenkatalog!$BB$8</definedName>
    <definedName name="triggermarkelStammDaten2RefValue">Fragenkatalog!$BA$8</definedName>
    <definedName name="triggermarkelStammDaten3KoValue">Fragenkatalog!$BB$17</definedName>
    <definedName name="triggermarkelStammDaten3RefValue">Fragenkatalog!$BA$17</definedName>
    <definedName name="triggerMvupReason">'Sterne-Rechner - Angebot'!$I$44</definedName>
    <definedName name="triggernewlineCountryExclusionValue">Fragenkatalog!$AJ$151</definedName>
    <definedName name="triggernewlineDaughterCompaniesValue">Fragenkatalog!$AI$147</definedName>
    <definedName name="triggernewlineRisikoFragen0aValue">Fragenkatalog!$AI$23</definedName>
    <definedName name="triggernewlineRisikoFragen0bRefValue">Fragenkatalog!$AI$24</definedName>
    <definedName name="triggernewlineRisikoFragen11KoValue">Fragenkatalog!$AJ$13</definedName>
    <definedName name="triggernewlineRisikoFragen11RefValue">Fragenkatalog!$AI$13</definedName>
    <definedName name="triggernewlineRisikoFragen18Value">Fragenkatalog!$AJ$28</definedName>
    <definedName name="triggernewlineRisikoFragen19KoValue">Fragenkatalog!$AJ$29</definedName>
    <definedName name="triggernewlineRisikoFragen19RefValue">Fragenkatalog!$AI$29</definedName>
    <definedName name="triggernewlineRisikoFragen20KoValue">Fragenkatalog!$AJ$30</definedName>
    <definedName name="triggernewlineRisikoFragen20RefValue">Fragenkatalog!$AI$30</definedName>
    <definedName name="triggernewlineRisikoFragen21aValue">Fragenkatalog!$AI$31</definedName>
    <definedName name="triggernewlineRisikoFragen22Value">Fragenkatalog!$AI$33</definedName>
    <definedName name="triggernewlineRisikoFragen23aValue">Fragenkatalog!$AI$34</definedName>
    <definedName name="triggernewlineRisikoFragen23cValue">Fragenkatalog!$AI$36</definedName>
    <definedName name="triggernewlineRisikoFragen24Value">Fragenkatalog!$AI$43</definedName>
    <definedName name="triggernewlineRisikoFragen25Value">Fragenkatalog!$AI$44</definedName>
    <definedName name="triggernewlineRisikoFragen26aValue">Fragenkatalog!$AI$45</definedName>
    <definedName name="triggernewlineRisikoFragen27dValue">Fragenkatalog!$AI$50</definedName>
    <definedName name="triggernewlineRisikoFragen27eValue">Fragenkatalog!$AI$51</definedName>
    <definedName name="triggernewlineRisikoFragen30Value">Fragenkatalog!$AI$52</definedName>
    <definedName name="triggernewlineRisikoFragen32RefValue">Fragenkatalog!$AI$53</definedName>
    <definedName name="triggernewlineRisikoFragen34Value">Fragenkatalog!$AI$55</definedName>
    <definedName name="triggernewlineRisikoFragen35Value">Fragenkatalog!$AI$56</definedName>
    <definedName name="triggernewlineRisikoFragen36aKoValue">Fragenkatalog!$AJ$57</definedName>
    <definedName name="triggernewlineRisikoFragen36aRefValue">Fragenkatalog!$AI$57</definedName>
    <definedName name="triggernewlineRisikoFragen36bKoValue">Fragenkatalog!$AJ$58</definedName>
    <definedName name="triggernewlineRisikoFragen36bRefValue">Fragenkatalog!$AI$58</definedName>
    <definedName name="triggernewlineRisikoFragen39Value">Fragenkatalog!$AI$60</definedName>
    <definedName name="triggernewlineRisikoFragen902Value">Fragenkatalog!$AI$149</definedName>
    <definedName name="triggernewlineRisikoFragen95aValue">Fragenkatalog!$AI$74</definedName>
    <definedName name="triggernewlineRisikoFragen9Value">Fragenkatalog!$AI$15</definedName>
    <definedName name="triggernewlineRisikoFragenAIGFacility40Value">Fragenkatalog!$AI$61</definedName>
    <definedName name="triggernewlineRisikoFragenAIGFacility41Value">Fragenkatalog!$AI$62</definedName>
    <definedName name="triggernewlineRisikoFragenAIGFacility42Value">Fragenkatalog!$AI$63</definedName>
    <definedName name="triggernewlineRisikoFragenAIGFacility43Value">Fragenkatalog!$AI$64</definedName>
    <definedName name="triggernewlineRisikoFragenAIGFacility44Value">Fragenkatalog!$AI$65</definedName>
    <definedName name="triggernewlineRisikoFragenAIGFacility45Value">Fragenkatalog!$AI$66</definedName>
    <definedName name="triggernewlineRisikoFragenAIGFacility46KoValue">Fragenkatalog!$AJ$67</definedName>
    <definedName name="triggernewlineRisikoFragenAIGFacility46Value">Fragenkatalog!$AI$67</definedName>
    <definedName name="triggernewlineRisikoFragenAIGFacility47Value">Fragenkatalog!$AI$68</definedName>
    <definedName name="triggernewlineRisikoFragenAIGFacility48Value">Fragenkatalog!$AJ$69</definedName>
    <definedName name="triggernewlineRisikoFragenAIGFacility49Value">Fragenkatalog!$AI$70</definedName>
    <definedName name="triggernewlineRisikoFragenAXAFacility115aValue">Fragenkatalog!$AI$101</definedName>
    <definedName name="triggernewlineRisikoFragenAXAFacility115bValue">Fragenkatalog!$AI$102</definedName>
    <definedName name="triggernewlineRisikoFragenAXAFacility118aValue">Fragenkatalog!$AI$113</definedName>
    <definedName name="triggernewlineRisikoFragenStartUp92Value">Fragenkatalog!$AI$71</definedName>
    <definedName name="triggernewlineRisikoFragenStartUp93Value">Fragenkatalog!$AI$72</definedName>
    <definedName name="triggernewlineRisikoFragenStartUp94Value">Fragenkatalog!$AI$73</definedName>
    <definedName name="triggernewlineRisikoFragenUmsatzSanktionslandValue">Fragenkatalog!$AI$150</definedName>
    <definedName name="triggernewlineRisikoFragenUSACAN111Value">Fragenkatalog!$AJ$97</definedName>
    <definedName name="triggernewlineRisikoFragenUSACAN113Value">Fragenkatalog!$AI$99</definedName>
    <definedName name="triggernewlineRisikoFragenVereine101Value">Fragenkatalog!$AJ$88</definedName>
    <definedName name="triggernewlineRisikoFragenVereine102Value">Fragenkatalog!$AI$89</definedName>
    <definedName name="triggernewlineRisikoFragenVereine103KoValue">Fragenkatalog!$AJ$12</definedName>
    <definedName name="triggernewlineRisikoFragenVereine104Value">Fragenkatalog!$AJ$90</definedName>
    <definedName name="triggernewlineRisikoFragenVereine105Value">Fragenkatalog!$AI$91</definedName>
    <definedName name="triggernewlineRisikoFragenVorvertragClaimsForIncreasedLimitValue">Fragenkatalog!$AJ$41</definedName>
    <definedName name="triggernewlineRisikoFragenVorvertragExtendedReportingPeriodValue">Fragenkatalog!$AI$39</definedName>
    <definedName name="triggernewlineRisikoFragenVorvertragInsurerValue">Fragenkatalog!$AI$42</definedName>
    <definedName name="triggernewlineRisikoFragenVorvertragNoGapsInCoverageValue">Fragenkatalog!$AI$40</definedName>
    <definedName name="triggernewlineStammDaten2RefValue">Fragenkatalog!$AI$8</definedName>
    <definedName name="triggernewlineStammDaten3RefValue">Fragenkatalog!$AI$17</definedName>
    <definedName name="triggerPremiumsCalculatableReason">'Sterne-Rechner - Angebot'!$H$44</definedName>
    <definedName name="triggerRisikoFragen0aReason">Fragenkatalog!$BR$23</definedName>
    <definedName name="triggerRisikoFragen0bKoReason">Fragenkatalog!$BS$24</definedName>
    <definedName name="triggerRisikoFragen0bRefReason">Fragenkatalog!$BR$24</definedName>
    <definedName name="triggerRisikoFragen11KoReason">Fragenkatalog!$BS$13</definedName>
    <definedName name="triggerRisikoFragen11RefReason">Fragenkatalog!$BR$13</definedName>
    <definedName name="triggerRisikoFragen127KoReason">Fragenkatalog!$BS$11</definedName>
    <definedName name="triggerRisikoFragen127RefReason">Fragenkatalog!$BR$11</definedName>
    <definedName name="triggerRisikoFragen18Reason">Fragenkatalog!$BR$28</definedName>
    <definedName name="triggerRisikoFragen19KoReason">Fragenkatalog!$BS$29</definedName>
    <definedName name="triggerRisikoFragen19RefReason">Fragenkatalog!$BR$29</definedName>
    <definedName name="triggerRisikoFragen20KoReason">Fragenkatalog!$BS$30</definedName>
    <definedName name="triggerRisikoFragen20RefReason">Fragenkatalog!$BR$30</definedName>
    <definedName name="triggerRisikoFragen21aReason">Fragenkatalog!$BR$31</definedName>
    <definedName name="triggerRisikoFragen21bReason">Fragenkatalog!$BR$32</definedName>
    <definedName name="triggerRisikoFragen22Reason">Fragenkatalog!$BR$33</definedName>
    <definedName name="triggerRisikoFragen23aReason">Fragenkatalog!$BR$34</definedName>
    <definedName name="triggerRisikoFragen23bReason">Fragenkatalog!$BR$35</definedName>
    <definedName name="triggerRisikoFragen23cReason">Fragenkatalog!$BR$36</definedName>
    <definedName name="triggerRisikoFragen23eReason">Fragenkatalog!$BR$38</definedName>
    <definedName name="triggerRisikoFragen24Reason">Fragenkatalog!$BR$43</definedName>
    <definedName name="triggerRisikoFragen25Reason">Fragenkatalog!$BR$44</definedName>
    <definedName name="triggerRisikoFragen26aReason">Fragenkatalog!$BR$45</definedName>
    <definedName name="triggerRisikoFragen26bReason">Fragenkatalog!$BR$46</definedName>
    <definedName name="triggerRisikoFragen27aReason">Fragenkatalog!$BR$47</definedName>
    <definedName name="triggerRisikoFragen27cReason">Fragenkatalog!$BR$49</definedName>
    <definedName name="triggerRisikoFragen27dReason">Fragenkatalog!$BR$50</definedName>
    <definedName name="triggerRisikoFragen27eReason">Fragenkatalog!$BR$51</definedName>
    <definedName name="triggerRisikoFragen30Reason">Fragenkatalog!$BR$52</definedName>
    <definedName name="triggerRisikoFragen32KoReason">Fragenkatalog!$BS$53</definedName>
    <definedName name="triggerRisikoFragen32RefReason">Fragenkatalog!$BR$53</definedName>
    <definedName name="triggerRisikoFragen33Reason">Fragenkatalog!$BR$54</definedName>
    <definedName name="triggerRisikoFragen34Reason">Fragenkatalog!$BR$55</definedName>
    <definedName name="triggerRisikoFragen35Reason">Fragenkatalog!$BR$56</definedName>
    <definedName name="triggerRisikoFragen36aKoReason">Fragenkatalog!$BS$57</definedName>
    <definedName name="triggerRisikoFragen36aRefReason">Fragenkatalog!$BR$57</definedName>
    <definedName name="triggerRisikoFragen36bKoReason">Fragenkatalog!$BS$58</definedName>
    <definedName name="triggerRisikoFragen36bRefReason">Fragenkatalog!$BR$58</definedName>
    <definedName name="triggerRisikoFragen39Reason">Fragenkatalog!$BR$60</definedName>
    <definedName name="triggerRisikoFragen902Reason">Fragenkatalog!$BR$149</definedName>
    <definedName name="triggerRisikoFragen95aReason">Fragenkatalog!$BR$74</definedName>
    <definedName name="triggerRisikoFragen97aReason">Fragenkatalog!$BR$80</definedName>
    <definedName name="triggerRisikoFragen9Reason">Fragenkatalog!$BR$15</definedName>
    <definedName name="triggerRisikoFragenAIGFacility40Reason">Fragenkatalog!$BR$61</definedName>
    <definedName name="triggerRisikoFragenAIGFacility41Reason">Fragenkatalog!$BR$62</definedName>
    <definedName name="triggerRisikoFragenAIGFacility42Reason">Fragenkatalog!$BR$63</definedName>
    <definedName name="triggerRisikoFragenAIGFacility43Reason">Fragenkatalog!$BR$64</definedName>
    <definedName name="triggerRisikoFragenAIGFacility44Reason">Fragenkatalog!$BR$65</definedName>
    <definedName name="triggerRisikoFragenAIGFacility45Reason">Fragenkatalog!$BR$66</definedName>
    <definedName name="triggerRisikoFragenAIGFacility46KoReason">Fragenkatalog!$BS$67</definedName>
    <definedName name="triggerRisikoFragenAIGFacility46Reason">Fragenkatalog!$BR$67</definedName>
    <definedName name="triggerRisikoFragenAIGFacility47Reason">Fragenkatalog!$BR$68</definedName>
    <definedName name="triggerRisikoFragenAIGFacility48Reason">Fragenkatalog!$BR$69</definedName>
    <definedName name="triggerRisikoFragenAIGFacility49Reason">Fragenkatalog!$BR$70</definedName>
    <definedName name="triggerRisikoFragenAXAFacility115aReason">Fragenkatalog!$BR$101</definedName>
    <definedName name="triggerRisikoFragenAXAFacility115bReason">Fragenkatalog!$BR$102</definedName>
    <definedName name="triggerRisikoFragenAXAFacility116aReason">Fragenkatalog!$BR$103</definedName>
    <definedName name="triggerRisikoFragenAXAFacility116bReason">Fragenkatalog!$BR$104</definedName>
    <definedName name="triggerRisikoFragenAXAFacility116dReason">Fragenkatalog!$BR$106</definedName>
    <definedName name="triggerRisikoFragenAXAFacility117aReason">Fragenkatalog!$BR$108</definedName>
    <definedName name="triggerRisikoFragenAXAFacility117bReason">Fragenkatalog!$BR$109</definedName>
    <definedName name="triggerRisikoFragenAXAFacility117dReason">Fragenkatalog!$BR$111</definedName>
    <definedName name="triggerRisikoFragenAXAFacility118aReason">Fragenkatalog!$BR$113</definedName>
    <definedName name="triggerRisikoFragenAXAFacility118bReason">Fragenkatalog!$BR$114</definedName>
    <definedName name="triggerRisikoFragenAXAFacility118dReason">Fragenkatalog!$BR$116</definedName>
    <definedName name="triggerRisikoFragenAXAFacility119aReason">Fragenkatalog!$BR$118</definedName>
    <definedName name="triggerRisikoFragenAXAFacility120Reason">Fragenkatalog!$BR$120</definedName>
    <definedName name="triggerRisikoFragenAXAFacility122aReason">Fragenkatalog!$BR$121</definedName>
    <definedName name="triggerRisikoFragenAXAFacility122bReason">Fragenkatalog!$BR$122</definedName>
    <definedName name="triggerRisikoFragenAXAFacility122cReason">Fragenkatalog!$BR$123</definedName>
    <definedName name="triggerRisikoFragenAXAFacility122dReason">Fragenkatalog!$BR$124</definedName>
    <definedName name="triggerRisikoFragenAXAFacility122eReason">Fragenkatalog!$BR$125</definedName>
    <definedName name="triggerRisikoFragenStartUp142Reason">Fragenkatalog!$BR$138</definedName>
    <definedName name="triggerRisikoFragenStartUp145Reason">Fragenkatalog!$BR$141</definedName>
    <definedName name="triggerRisikoFragenStartUp92Reason">Fragenkatalog!$BR$71</definedName>
    <definedName name="triggerRisikoFragenStartUp93Reason">Fragenkatalog!$BR$72</definedName>
    <definedName name="triggerRisikoFragenStartUp94Reason">Fragenkatalog!$BR$73</definedName>
    <definedName name="triggerRisikoFragenUmsatzSanktionslandReason">Fragenkatalog!$BR$150</definedName>
    <definedName name="triggerRisikoFragenUSACAN106Reason">Fragenkatalog!$BR$92</definedName>
    <definedName name="triggerRisikoFragenUSACAN107Reason">Fragenkatalog!$BR$93</definedName>
    <definedName name="triggerRisikoFragenUSACAN108Reason">Fragenkatalog!$BR$94</definedName>
    <definedName name="triggerRisikoFragenUSACAN109Reason">Fragenkatalog!$BR$95</definedName>
    <definedName name="triggerRisikoFragenUSACAN110Reason">Fragenkatalog!$BR$96</definedName>
    <definedName name="triggerRisikoFragenUSACAN111Reason">Fragenkatalog!$BR$97</definedName>
    <definedName name="triggerRisikoFragenUSACAN112Reason">Fragenkatalog!$BR$98</definedName>
    <definedName name="triggerRisikoFragenUSACAN113Reason">Fragenkatalog!$BR$99</definedName>
    <definedName name="triggerRisikoFragenUSACAN114Reason">Fragenkatalog!$BR$100</definedName>
    <definedName name="triggerRisikoFragenVereine101Reason">Fragenkatalog!$BR$88</definedName>
    <definedName name="triggerRisikoFragenVereine102Reason">Fragenkatalog!$BR$89</definedName>
    <definedName name="triggerRisikoFragenVereine103KoReason">Fragenkatalog!$BS$12</definedName>
    <definedName name="triggerRisikoFragenVereine103RefReason">Fragenkatalog!$BR$12</definedName>
    <definedName name="triggerRisikoFragenVereine104Reason">Fragenkatalog!$BR$90</definedName>
    <definedName name="triggerRisikoFragenVereine105Reason">Fragenkatalog!$BR$91</definedName>
    <definedName name="triggerRisikoFragenVorvertragClaimsForIncreasedLimitReason">Fragenkatalog!$BR$41</definedName>
    <definedName name="triggerRisikoFragenVorvertragExtendedReportingPeriodReason">Fragenkatalog!$BR$39</definedName>
    <definedName name="triggerRisikoFragenVorvertragInsurerReason">Fragenkatalog!$BR$42</definedName>
    <definedName name="triggerRisikoFragenVorvertragNoGapsInCoverageReason">Fragenkatalog!$BR$40</definedName>
    <definedName name="triggerSanctionCountriesReason">'Sterne-Rechner - Angebot'!$G$44</definedName>
    <definedName name="triggerStammDaten2KoReason">Fragenkatalog!$BS$8</definedName>
    <definedName name="triggerStammDaten2RefReason">Fragenkatalog!$BR$8</definedName>
    <definedName name="triggerStammDaten3KoReason">Fragenkatalog!$BS$17</definedName>
    <definedName name="triggerStammDaten3RefReason">Fragenkatalog!$BR$17</definedName>
    <definedName name="triggerwvagRisikoFragen0aValue">Fragenkatalog!$AU$23</definedName>
    <definedName name="triggerwvagRisikoFragen0bRefValue">Fragenkatalog!$AU$24</definedName>
    <definedName name="triggerwvagRisikoFragen11KoValue">Fragenkatalog!$AV$13</definedName>
    <definedName name="triggerwvagRisikoFragen11RefValue">Fragenkatalog!$AU$13</definedName>
    <definedName name="triggerwvagRisikoFragen127KoValue">Fragenkatalog!$AV$11</definedName>
    <definedName name="triggerwvagRisikoFragen127RefValue">Fragenkatalog!$AU$11</definedName>
    <definedName name="triggerwvagRisikoFragen18Value">Fragenkatalog!$AU$28</definedName>
    <definedName name="triggerwvagRisikoFragen19RefValue">Fragenkatalog!$AU$29</definedName>
    <definedName name="triggerwvagRisikoFragen20RefValue">Fragenkatalog!$AU$30</definedName>
    <definedName name="triggerwvagRisikoFragen21aValue">Fragenkatalog!$AU$31</definedName>
    <definedName name="triggerwvagRisikoFragen21bValue">Fragenkatalog!$AU$32</definedName>
    <definedName name="triggerwvagRisikoFragen22Value">Fragenkatalog!$AU$33</definedName>
    <definedName name="triggerwvagRisikoFragen23bValue">Fragenkatalog!$AU$35</definedName>
    <definedName name="triggerwvagRisikoFragen23cValue">Fragenkatalog!$AU$36</definedName>
    <definedName name="triggerwvagRisikoFragen25Value">Fragenkatalog!$AV$44</definedName>
    <definedName name="triggerwvagRisikoFragen26aValue">Fragenkatalog!$AU$45</definedName>
    <definedName name="triggerwvagRisikoFragen26bValue">Fragenkatalog!$AU$46</definedName>
    <definedName name="triggerwvagRisikoFragen27aValue">Fragenkatalog!$AU$47</definedName>
    <definedName name="triggerwvagRisikoFragen27cValue">Fragenkatalog!$AU$49</definedName>
    <definedName name="triggerwvagRisikoFragen27dValue">Fragenkatalog!$AU$50</definedName>
    <definedName name="triggerwvagRisikoFragen27eValue">Fragenkatalog!$AU$51</definedName>
    <definedName name="triggerwvagRisikoFragen30Value">Fragenkatalog!$AU$52</definedName>
    <definedName name="triggerwvagRisikoFragen32RefValue">Fragenkatalog!$AU$53</definedName>
    <definedName name="triggerwvagRisikoFragen34Value">Fragenkatalog!$AU$55</definedName>
    <definedName name="triggerwvagRisikoFragen35Value">Fragenkatalog!$AU$56</definedName>
    <definedName name="triggerwvagRisikoFragen36aKoValue">Fragenkatalog!$AV$57</definedName>
    <definedName name="triggerwvagRisikoFragen39Value">Fragenkatalog!$AU$60</definedName>
    <definedName name="triggerwvagRisikoFragen95aValue">Fragenkatalog!$AU$74</definedName>
    <definedName name="triggerwvagRisikoFragen97aValue">Fragenkatalog!$AU$80</definedName>
    <definedName name="triggerwvagRisikoFragen9Value">Fragenkatalog!$AU$15</definedName>
    <definedName name="triggerwvagRisikoFragenAIGFacility40Value">Fragenkatalog!$AV$61</definedName>
    <definedName name="triggerwvagRisikoFragenAIGFacility41Value">Fragenkatalog!$AV$62</definedName>
    <definedName name="triggerwvagRisikoFragenAIGFacility42Value">Fragenkatalog!$AV$63</definedName>
    <definedName name="triggerwvagRisikoFragenAIGFacility43Value">Fragenkatalog!$AV$64</definedName>
    <definedName name="triggerwvagRisikoFragenAIGFacility44Value">Fragenkatalog!$AU$65</definedName>
    <definedName name="triggerwvagRisikoFragenAIGFacility46Value">Fragenkatalog!$AU$67</definedName>
    <definedName name="triggerwvagRisikoFragenAIGFacility47Value">Fragenkatalog!$AU$68</definedName>
    <definedName name="triggerwvagRisikoFragenAIGFacility48Value">Fragenkatalog!$AV$69</definedName>
    <definedName name="triggerwvagRisikoFragenAXAFacility115aValue">Fragenkatalog!$AU$101</definedName>
    <definedName name="triggerwvagRisikoFragenAXAFacility115bValue">Fragenkatalog!$AU$102</definedName>
    <definedName name="triggerwvagRisikoFragenAXAFacility119aValue">Fragenkatalog!$AU$118</definedName>
    <definedName name="triggerwvagRisikoFragenAXAFacility120Value">Fragenkatalog!$AU$120</definedName>
    <definedName name="triggerwvagRisikoFragenStartUp92Value">Fragenkatalog!$AU$71</definedName>
    <definedName name="triggerwvagRisikoFragenStartUp93Value">Fragenkatalog!$AU$72</definedName>
    <definedName name="triggerwvagRisikoFragenStartUp94Value">Fragenkatalog!$AU$73</definedName>
    <definedName name="triggerwvagRisikoFragenUmsatzSanktionslandValue">Fragenkatalog!$AU$150</definedName>
    <definedName name="triggerwvagRisikoFragenUSACAN111Value">Fragenkatalog!$AU$97</definedName>
    <definedName name="triggerwvagRisikoFragenUSACAN112Value">Fragenkatalog!$AU$98</definedName>
    <definedName name="triggerwvagRisikoFragenUSACAN113Value">Fragenkatalog!$AU$99</definedName>
    <definedName name="triggerwvagRisikoFragenUSACAN114Value">Fragenkatalog!$AU$100</definedName>
    <definedName name="triggerwvagRisikoFragenVereine102Value">Fragenkatalog!$AU$89</definedName>
    <definedName name="triggerwvagRisikoFragenVereine103KoValue">Fragenkatalog!$AV$12</definedName>
    <definedName name="triggerwvagRisikoFragenVereine104Value">Fragenkatalog!$AU$90</definedName>
    <definedName name="triggerwvagRisikoFragenVorvertragClaimsForIncreasedLimitValue">Fragenkatalog!$AU$41</definedName>
    <definedName name="triggerwvagRisikoFragenVorvertragExtendedReportingPeriodValue">Fragenkatalog!$AU$39</definedName>
    <definedName name="triggerwvagRisikoFragenVorvertragInsurerValue">Fragenkatalog!$AU$42</definedName>
    <definedName name="triggerwvagRisikoFragenVorvertragNoGapsInCoverageValue">Fragenkatalog!$AU$40</definedName>
    <definedName name="triggerwvagStammDaten2KoValue">Fragenkatalog!$AV$8</definedName>
    <definedName name="triggerwvagStammDaten2RefValue">Fragenkatalog!$AU$8</definedName>
    <definedName name="triggerwvagStammDaten3KoValue">Fragenkatalog!$AV$17</definedName>
    <definedName name="Umsatz">Fragenkatalog!$K$57</definedName>
    <definedName name="UmsatzUSA">Fragenkatalog!$K$118</definedName>
    <definedName name="USACAN">Fragenkatalog!$O$52</definedName>
    <definedName name="USACanada">Fragenkatalog!$C$310</definedName>
    <definedName name="USACanadaSalesAssets">Fragenkatalog!$C$311</definedName>
    <definedName name="USAufsichtsbehörde">Fragenkatalog!$K$100</definedName>
    <definedName name="Vereinsvermögen">Fragenkatalog!$K$11</definedName>
    <definedName name="VereinsvermögenGI">Fragenkatalog!$F$11</definedName>
    <definedName name="Vorversicherung">Fragenkatalog!$K$34</definedName>
    <definedName name="VorvertragOhneUnterbrechung">Fragenkatalog!$K$40</definedName>
    <definedName name="wvag_Deckungssummenlimit1">'SIC-Liste'!$N$3</definedName>
    <definedName name="wvag_Deckungssummenlimit2">'SIC-Liste'!$P$3</definedName>
    <definedName name="wvag_ErforderlicheEKQ1">'SIC-Liste'!$O$3</definedName>
    <definedName name="wvag_ErforderlicheEKQ2">'SIC-Liste'!$Q$3</definedName>
    <definedName name="wvag_MaxDeckungssumme">'WVAG - Tarif Unternehmen'!$B$60</definedName>
    <definedName name="wvag_MaxUmsatz">'WVAG - Tarif Unternehmen'!$B$61</definedName>
    <definedName name="wvag_PremiumAdjustment">'SIC-Liste'!$M$3</definedName>
    <definedName name="wvag_Referral">'SIC-Liste'!$L$3</definedName>
    <definedName name="wvag1usedClauses">'Daten-Abzug'!$D$12</definedName>
    <definedName name="wvag2usedClauses">'Daten-Abzug'!$E$12</definedName>
    <definedName name="wvag3usedClauses">'Daten-Abzug'!$F$12</definedName>
    <definedName name="wvagArbitrationCourtPercentage">Deckungsoptionen!$H$13</definedName>
    <definedName name="wvagArbitrationCourtPremiumNeutral">Deckungsoptionen!$H$12</definedName>
    <definedName name="wvagArbitrationCourtSelected">Deckungsoptionen!$H$11</definedName>
    <definedName name="wvagClubs_MaxDeckungssumme">'WVAG - Tarif Verein'!$B$46</definedName>
    <definedName name="wvagClubs_MaxUmsatz">'WVAG - Tarif Verein'!$B$47</definedName>
    <definedName name="wvagDefaultKlauseln">'Default-Klauseln'!$G$5</definedName>
    <definedName name="wvagDoublePerYearPercentage">Deckungsoptionen!$H$8</definedName>
    <definedName name="wvagDoublePerYearPremiumNeutral">Deckungsoptionen!$H$7</definedName>
    <definedName name="wvagDoublePerYearSelected">Deckungsoptionen!$H$6</definedName>
    <definedName name="WVAGEigenkapitalquote">'WVAG - Preisrechner'!$O$2</definedName>
    <definedName name="wvagLimit1Bewertungsfaktor">'Daten-Abzug'!$D$6</definedName>
    <definedName name="wvagLimit1CoopBrokerNetProvision">'Daten-Abzug'!$D$10</definedName>
    <definedName name="wvagLimit1CoverageOptions">'Daten-Abzug'!$D$11</definedName>
    <definedName name="wvagLimit1HowdenNetProvision">'Daten-Abzug'!$D$9</definedName>
    <definedName name="wvagLimit1Offered">'Daten-Abzug'!$D$7</definedName>
    <definedName name="wvagLimit1Premium">'Daten-Abzug'!$D$8</definedName>
    <definedName name="wvagLimit1Stars">'Daten-Abzug'!$D$5</definedName>
    <definedName name="wvagLimit1Status">'Daten-Abzug'!$D$13</definedName>
    <definedName name="wvagLimit2Bewertungsfaktor">'Daten-Abzug'!$E$6</definedName>
    <definedName name="wvagLimit2CoopBrokerNetProvision">'Daten-Abzug'!$E$10</definedName>
    <definedName name="wvagLimit2CoverageOptions">'Daten-Abzug'!$E$11</definedName>
    <definedName name="wvagLimit2HowdenNetProvision">'Daten-Abzug'!$E$9</definedName>
    <definedName name="wvagLimit2Offered">'Daten-Abzug'!$E$7</definedName>
    <definedName name="wvagLimit2Premium">'Daten-Abzug'!$E$8</definedName>
    <definedName name="wvagLimit2Stars">'Daten-Abzug'!$E$5</definedName>
    <definedName name="wvagLimit2Status">'Daten-Abzug'!$E$13</definedName>
    <definedName name="wvagLimit3Bewertungsfaktor">'Daten-Abzug'!$F$6</definedName>
    <definedName name="wvagLimit3CoopBrokerNetProvision">'Daten-Abzug'!$F$10</definedName>
    <definedName name="wvagLimit3CoverageOptions">'Daten-Abzug'!$F$11</definedName>
    <definedName name="wvagLimit3HowdenNetProvision">'Daten-Abzug'!$F$9</definedName>
    <definedName name="wvagLimit3Offered">'Daten-Abzug'!$F$7</definedName>
    <definedName name="wvagLimit3Premium">'Daten-Abzug'!$F$8</definedName>
    <definedName name="wvagLimit3Stars">'Daten-Abzug'!$F$5</definedName>
    <definedName name="wvagLimit3Status">'Daten-Abzug'!$F$13</definedName>
    <definedName name="wvagRiskManagerGlobalState">VersichererDaten!$B$2</definedName>
    <definedName name="wvagUsedClauses">Fragenkatalog!$AX$6</definedName>
    <definedName name="wvagWpHGPercentage">Deckungsoptionen!$H$18</definedName>
    <definedName name="wvagWpHGPremiumNeutral">Deckungsoptionen!$H$17</definedName>
    <definedName name="wvagWpHGSelected">Deckungsoptionen!$H$16</definedName>
    <definedName name="Zweifachmaximierung">Fragenkatalog!$K$86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18" l="1"/>
  <c r="F20" i="18"/>
  <c r="F19" i="18"/>
  <c r="G20" i="36" l="1"/>
  <c r="H20" i="36"/>
  <c r="I20" i="36"/>
  <c r="BA42" i="7" l="1"/>
  <c r="F24" i="18" l="1"/>
  <c r="F23" i="18"/>
  <c r="F22" i="18"/>
  <c r="AI17" i="7" l="1"/>
  <c r="BO13" i="7" l="1"/>
  <c r="BO6" i="7" s="1"/>
  <c r="AQ13" i="7"/>
  <c r="BK6" i="7" l="1"/>
  <c r="AY6" i="7"/>
  <c r="AS6" i="7"/>
  <c r="AM6" i="7"/>
  <c r="AG6" i="7"/>
  <c r="U6" i="7"/>
  <c r="AJ151" i="7" l="1"/>
  <c r="D164" i="16" l="1"/>
  <c r="E164" i="16"/>
  <c r="F164" i="16"/>
  <c r="G164" i="16"/>
  <c r="L164" i="16"/>
  <c r="M164" i="16"/>
  <c r="N164" i="16"/>
  <c r="O164" i="16"/>
  <c r="P164" i="16"/>
  <c r="Q164" i="16"/>
  <c r="R164" i="16"/>
  <c r="S164" i="16"/>
  <c r="T164" i="16"/>
  <c r="U164" i="16"/>
  <c r="V164" i="16"/>
  <c r="W164" i="16"/>
  <c r="A164" i="16"/>
  <c r="U2" i="14" l="1"/>
  <c r="BI13" i="7" s="1"/>
  <c r="BI6" i="7" s="1"/>
  <c r="T2" i="14" l="1"/>
  <c r="BG13" i="7" l="1"/>
  <c r="BH13" i="7"/>
  <c r="BH104" i="7"/>
  <c r="F32" i="18" l="1"/>
  <c r="F33" i="18"/>
  <c r="F31" i="18"/>
  <c r="I13" i="44" l="1"/>
  <c r="I12" i="44"/>
  <c r="I11" i="44"/>
  <c r="AI149" i="7" l="1"/>
  <c r="F65" i="16" l="1"/>
  <c r="F68" i="16" l="1"/>
  <c r="F13" i="44" l="1"/>
  <c r="F12" i="44"/>
  <c r="F11" i="44"/>
  <c r="D11" i="44"/>
  <c r="R21" i="18"/>
  <c r="R20" i="18"/>
  <c r="R19" i="18"/>
  <c r="N101" i="16" l="1"/>
  <c r="AK15" i="7" l="1"/>
  <c r="O7" i="42" l="1"/>
  <c r="L7" i="42"/>
  <c r="L6" i="42"/>
  <c r="L5" i="42"/>
  <c r="K7" i="42"/>
  <c r="K6" i="42"/>
  <c r="K5" i="42"/>
  <c r="J7" i="42"/>
  <c r="J6" i="42"/>
  <c r="J5" i="42"/>
  <c r="I7" i="42"/>
  <c r="I5" i="42"/>
  <c r="H7" i="42"/>
  <c r="I6" i="42"/>
  <c r="H6" i="42"/>
  <c r="H5" i="42"/>
  <c r="G7" i="42"/>
  <c r="G6" i="42"/>
  <c r="G5" i="42"/>
  <c r="F7" i="42"/>
  <c r="F6" i="42"/>
  <c r="F5" i="42"/>
  <c r="E7" i="42"/>
  <c r="E6" i="42"/>
  <c r="E5" i="42"/>
  <c r="D7" i="42"/>
  <c r="D6" i="42"/>
  <c r="D5" i="42"/>
  <c r="D4" i="42"/>
  <c r="E4" i="42"/>
  <c r="F4" i="42"/>
  <c r="G4" i="42"/>
  <c r="H4" i="42"/>
  <c r="I4" i="42"/>
  <c r="J4" i="42"/>
  <c r="K4" i="42"/>
  <c r="L4" i="42"/>
  <c r="O6" i="42"/>
  <c r="O5" i="42"/>
  <c r="O4" i="42"/>
  <c r="BP149" i="7" l="1"/>
  <c r="X29" i="23" l="1"/>
  <c r="D13" i="44" l="1"/>
  <c r="D12" i="44"/>
  <c r="D18" i="44"/>
  <c r="D17" i="44"/>
  <c r="D16" i="44"/>
  <c r="K18" i="44" l="1"/>
  <c r="K17" i="44"/>
  <c r="K16" i="44"/>
  <c r="J18" i="44"/>
  <c r="J17" i="44"/>
  <c r="J16" i="44"/>
  <c r="H18" i="44"/>
  <c r="H17" i="44"/>
  <c r="H16" i="44"/>
  <c r="E18" i="44"/>
  <c r="E17" i="44"/>
  <c r="E16" i="44"/>
  <c r="E11" i="44"/>
  <c r="J13" i="44"/>
  <c r="K13" i="44"/>
  <c r="K12" i="44"/>
  <c r="K11" i="44"/>
  <c r="J12" i="44"/>
  <c r="J11" i="44"/>
  <c r="H13" i="44"/>
  <c r="H12" i="44"/>
  <c r="H11" i="44"/>
  <c r="G13" i="44"/>
  <c r="G12" i="44"/>
  <c r="G11" i="44"/>
  <c r="E13" i="44"/>
  <c r="E12" i="44"/>
  <c r="J5" i="34" l="1"/>
  <c r="E5" i="34"/>
  <c r="C5" i="34"/>
  <c r="D5" i="34"/>
  <c r="F5" i="34"/>
  <c r="G5" i="34"/>
  <c r="H5" i="34"/>
  <c r="I5" i="34"/>
  <c r="B5" i="34"/>
  <c r="BN17" i="7" l="1"/>
  <c r="K17" i="7" l="1"/>
  <c r="BM17" i="7" l="1"/>
  <c r="BA17" i="7"/>
  <c r="BH17" i="7"/>
  <c r="AE13" i="7" l="1"/>
  <c r="AK13" i="7"/>
  <c r="BN13" i="7"/>
  <c r="BM13" i="7"/>
  <c r="BC13" i="7"/>
  <c r="BC6" i="7" s="1"/>
  <c r="BA13" i="7"/>
  <c r="BB13" i="7"/>
  <c r="AW13" i="7"/>
  <c r="AW6" i="7" s="1"/>
  <c r="AV13" i="7"/>
  <c r="AU13" i="7"/>
  <c r="AP13" i="7"/>
  <c r="AO13" i="7"/>
  <c r="AJ13" i="7"/>
  <c r="AI13" i="7"/>
  <c r="AD13" i="7"/>
  <c r="AC13" i="7"/>
  <c r="S13" i="7"/>
  <c r="R13" i="7"/>
  <c r="Q13" i="7"/>
  <c r="K8" i="7" l="1"/>
  <c r="BB8" i="7" s="1"/>
  <c r="F8" i="7"/>
  <c r="O8" i="7" l="1"/>
  <c r="AI8" i="7"/>
  <c r="D49" i="17"/>
  <c r="E49" i="17"/>
  <c r="F49" i="17"/>
  <c r="F58" i="17"/>
  <c r="E58" i="17"/>
  <c r="D58" i="17"/>
  <c r="BG8" i="7"/>
  <c r="AO8" i="7"/>
  <c r="AC8" i="7"/>
  <c r="W8" i="7"/>
  <c r="Q8" i="7"/>
  <c r="BM8" i="7"/>
  <c r="AU8" i="7"/>
  <c r="R33" i="18" l="1"/>
  <c r="R32" i="18"/>
  <c r="R31" i="18"/>
  <c r="R24" i="18"/>
  <c r="R23" i="18"/>
  <c r="R22" i="18"/>
  <c r="R18" i="18"/>
  <c r="R17" i="18"/>
  <c r="R16" i="18"/>
  <c r="AA31" i="19" l="1"/>
  <c r="AA28" i="19"/>
  <c r="AA25" i="19"/>
  <c r="AA22" i="19"/>
  <c r="AA19" i="19"/>
  <c r="AA16" i="19"/>
  <c r="AA13" i="19"/>
  <c r="AA10" i="19"/>
  <c r="AA7" i="19"/>
  <c r="AA4" i="19"/>
  <c r="V29" i="16" l="1"/>
  <c r="U29" i="16"/>
  <c r="T29" i="16"/>
  <c r="S29" i="16"/>
  <c r="R29" i="16"/>
  <c r="Q29" i="16"/>
  <c r="P29" i="16"/>
  <c r="O29" i="16"/>
  <c r="N29" i="16"/>
  <c r="M29" i="16"/>
  <c r="L29" i="16"/>
  <c r="G29" i="16"/>
  <c r="F29" i="16"/>
  <c r="E29" i="16"/>
  <c r="D29" i="16"/>
  <c r="K16" i="7" l="1"/>
  <c r="BN16" i="7" s="1"/>
  <c r="BS16" i="7"/>
  <c r="W29" i="16" l="1"/>
  <c r="F80" i="17" l="1"/>
  <c r="E80" i="17"/>
  <c r="D80" i="17"/>
  <c r="V165" i="16" l="1"/>
  <c r="W165" i="16"/>
  <c r="W21" i="16"/>
  <c r="W22" i="16"/>
  <c r="W23" i="16"/>
  <c r="W24" i="16"/>
  <c r="W26" i="16"/>
  <c r="W27" i="16"/>
  <c r="W28" i="16"/>
  <c r="W30" i="16"/>
  <c r="W31" i="16"/>
  <c r="W32" i="16"/>
  <c r="W33" i="16"/>
  <c r="W34" i="16"/>
  <c r="W35" i="16"/>
  <c r="W36" i="16"/>
  <c r="W38" i="16"/>
  <c r="W39" i="16"/>
  <c r="W40" i="16"/>
  <c r="W41" i="16"/>
  <c r="W42" i="16"/>
  <c r="W43" i="16"/>
  <c r="W44" i="16"/>
  <c r="W45" i="16"/>
  <c r="W46" i="16"/>
  <c r="W47" i="16"/>
  <c r="W48" i="16"/>
  <c r="W49" i="16"/>
  <c r="W50" i="16"/>
  <c r="W51" i="16"/>
  <c r="W52" i="16"/>
  <c r="W53" i="16"/>
  <c r="W54" i="16"/>
  <c r="W55" i="16"/>
  <c r="W56" i="16"/>
  <c r="W57" i="16"/>
  <c r="W58" i="16"/>
  <c r="W59" i="16"/>
  <c r="W60" i="16"/>
  <c r="W61" i="16"/>
  <c r="W62" i="16"/>
  <c r="W63" i="16"/>
  <c r="W64" i="16"/>
  <c r="W65" i="16"/>
  <c r="W67" i="16"/>
  <c r="W68" i="16"/>
  <c r="W69" i="16"/>
  <c r="W71" i="16"/>
  <c r="W72" i="16"/>
  <c r="W73" i="16"/>
  <c r="W74" i="16"/>
  <c r="W75" i="16"/>
  <c r="W76" i="16"/>
  <c r="W78" i="16"/>
  <c r="W79" i="16"/>
  <c r="W80" i="16"/>
  <c r="W81" i="16"/>
  <c r="W83" i="16"/>
  <c r="W84" i="16"/>
  <c r="W85" i="16"/>
  <c r="W86" i="16"/>
  <c r="W87" i="16"/>
  <c r="W88" i="16"/>
  <c r="W89" i="16"/>
  <c r="W90" i="16"/>
  <c r="W91" i="16"/>
  <c r="W92" i="16"/>
  <c r="W93" i="16"/>
  <c r="W94" i="16"/>
  <c r="W95" i="16"/>
  <c r="W96" i="16"/>
  <c r="W97" i="16"/>
  <c r="W98" i="16"/>
  <c r="W99" i="16"/>
  <c r="W100" i="16"/>
  <c r="W102" i="16"/>
  <c r="W104" i="16"/>
  <c r="W105" i="16"/>
  <c r="W106" i="16"/>
  <c r="W107" i="16"/>
  <c r="W108" i="16"/>
  <c r="W109" i="16"/>
  <c r="W110" i="16"/>
  <c r="W111" i="16"/>
  <c r="W112" i="16"/>
  <c r="W113" i="16"/>
  <c r="W114" i="16"/>
  <c r="W115" i="16"/>
  <c r="W116" i="16"/>
  <c r="W117" i="16"/>
  <c r="W118" i="16"/>
  <c r="W119" i="16"/>
  <c r="W120" i="16"/>
  <c r="W121" i="16"/>
  <c r="W122" i="16"/>
  <c r="W123" i="16"/>
  <c r="W124" i="16"/>
  <c r="W125" i="16"/>
  <c r="W126" i="16"/>
  <c r="W127" i="16"/>
  <c r="W128" i="16"/>
  <c r="W129" i="16"/>
  <c r="W130" i="16"/>
  <c r="W131" i="16"/>
  <c r="W132" i="16"/>
  <c r="W133" i="16"/>
  <c r="W134" i="16"/>
  <c r="W135" i="16"/>
  <c r="W136" i="16"/>
  <c r="W137" i="16"/>
  <c r="W138" i="16"/>
  <c r="W139" i="16"/>
  <c r="W140" i="16"/>
  <c r="W141" i="16"/>
  <c r="W142" i="16"/>
  <c r="W143" i="16"/>
  <c r="W144" i="16"/>
  <c r="W145" i="16"/>
  <c r="W146" i="16"/>
  <c r="W147" i="16"/>
  <c r="W148" i="16"/>
  <c r="W149" i="16"/>
  <c r="W150" i="16"/>
  <c r="W151" i="16"/>
  <c r="W152" i="16"/>
  <c r="W153" i="16"/>
  <c r="W154" i="16"/>
  <c r="W155" i="16"/>
  <c r="W156" i="16"/>
  <c r="W157" i="16"/>
  <c r="W158" i="16"/>
  <c r="W159" i="16"/>
  <c r="W160" i="16"/>
  <c r="W161" i="16"/>
  <c r="W162" i="16"/>
  <c r="W163" i="16"/>
  <c r="W20" i="16"/>
  <c r="V22" i="16"/>
  <c r="V23" i="16"/>
  <c r="V24" i="16"/>
  <c r="V25" i="16"/>
  <c r="V26" i="16"/>
  <c r="V27" i="16"/>
  <c r="V28" i="16"/>
  <c r="V31" i="16"/>
  <c r="V32" i="16"/>
  <c r="V33" i="16"/>
  <c r="V34" i="16"/>
  <c r="V35" i="16"/>
  <c r="V36" i="16"/>
  <c r="V37" i="16"/>
  <c r="V38" i="16"/>
  <c r="V39" i="16"/>
  <c r="V40" i="16"/>
  <c r="V41" i="16"/>
  <c r="V45" i="16"/>
  <c r="V50" i="16"/>
  <c r="V53" i="16"/>
  <c r="V55" i="16"/>
  <c r="V56" i="16"/>
  <c r="V61" i="16"/>
  <c r="V62" i="16"/>
  <c r="V65" i="16"/>
  <c r="V67" i="16"/>
  <c r="V69" i="16"/>
  <c r="V71" i="16"/>
  <c r="V72" i="16"/>
  <c r="V77" i="16"/>
  <c r="V78" i="16"/>
  <c r="V79" i="16"/>
  <c r="V82" i="16"/>
  <c r="V87" i="16"/>
  <c r="V88" i="16"/>
  <c r="V89" i="16"/>
  <c r="V90" i="16"/>
  <c r="V91" i="16"/>
  <c r="V92" i="16"/>
  <c r="V93" i="16"/>
  <c r="V94" i="16"/>
  <c r="V95" i="16"/>
  <c r="V96" i="16"/>
  <c r="V97" i="16"/>
  <c r="V98" i="16"/>
  <c r="V99" i="16"/>
  <c r="V100" i="16"/>
  <c r="V101" i="16"/>
  <c r="V103" i="16"/>
  <c r="V117" i="16"/>
  <c r="V118" i="16"/>
  <c r="V119" i="16"/>
  <c r="V120" i="16"/>
  <c r="V121" i="16"/>
  <c r="V122" i="16"/>
  <c r="V123" i="16"/>
  <c r="V124" i="16"/>
  <c r="V125" i="16"/>
  <c r="V128" i="16"/>
  <c r="V130" i="16"/>
  <c r="V132" i="16"/>
  <c r="V134" i="16"/>
  <c r="V135" i="16"/>
  <c r="V136" i="16"/>
  <c r="V137" i="16"/>
  <c r="V138" i="16"/>
  <c r="V139" i="16"/>
  <c r="V140" i="16"/>
  <c r="V141" i="16"/>
  <c r="V142" i="16"/>
  <c r="V143" i="16"/>
  <c r="V144" i="16"/>
  <c r="V145" i="16"/>
  <c r="V146" i="16"/>
  <c r="V147" i="16"/>
  <c r="V148" i="16"/>
  <c r="V149" i="16"/>
  <c r="V150" i="16"/>
  <c r="V151" i="16"/>
  <c r="V152" i="16"/>
  <c r="V153" i="16"/>
  <c r="V154" i="16"/>
  <c r="V155" i="16"/>
  <c r="V156" i="16"/>
  <c r="V157" i="16"/>
  <c r="V158" i="16"/>
  <c r="V159" i="16"/>
  <c r="V160" i="16"/>
  <c r="V161" i="16"/>
  <c r="V20" i="16"/>
  <c r="BM149" i="7" l="1"/>
  <c r="V162" i="16" s="1"/>
  <c r="BM116" i="7"/>
  <c r="V129" i="16" s="1"/>
  <c r="BM114" i="7"/>
  <c r="V127" i="16" s="1"/>
  <c r="BM98" i="7"/>
  <c r="V111" i="16" s="1"/>
  <c r="BM96" i="7"/>
  <c r="V109" i="16" s="1"/>
  <c r="BM94" i="7"/>
  <c r="V107" i="16" s="1"/>
  <c r="BM95" i="7"/>
  <c r="V108" i="16" s="1"/>
  <c r="BM93" i="7"/>
  <c r="V106" i="16" s="1"/>
  <c r="BM92" i="7"/>
  <c r="V105" i="16" s="1"/>
  <c r="BQ15" i="7"/>
  <c r="AB31" i="19"/>
  <c r="AB33" i="19" s="1"/>
  <c r="AB28" i="19"/>
  <c r="AB29" i="19" s="1"/>
  <c r="W15" i="19"/>
  <c r="W14" i="19"/>
  <c r="W13" i="19"/>
  <c r="W12" i="19"/>
  <c r="W11" i="19"/>
  <c r="W10" i="19"/>
  <c r="H31" i="19"/>
  <c r="J32" i="18"/>
  <c r="J33" i="18"/>
  <c r="J31" i="18"/>
  <c r="V32" i="18"/>
  <c r="V33" i="18"/>
  <c r="V31" i="18"/>
  <c r="S29" i="23"/>
  <c r="X14" i="23"/>
  <c r="S14" i="23" s="1"/>
  <c r="F14" i="23"/>
  <c r="I33" i="18"/>
  <c r="I32" i="18"/>
  <c r="I31" i="18"/>
  <c r="W177" i="16" l="1"/>
  <c r="V177" i="16"/>
  <c r="AB32" i="19"/>
  <c r="W176" i="16"/>
  <c r="V176" i="16"/>
  <c r="AB30" i="19"/>
  <c r="T29" i="23"/>
  <c r="R29" i="23"/>
  <c r="T14" i="23"/>
  <c r="R14" i="23"/>
  <c r="H15" i="42"/>
  <c r="G15" i="42"/>
  <c r="F15" i="42"/>
  <c r="B1" i="22" l="1"/>
  <c r="B2" i="22" l="1"/>
  <c r="B2" i="20"/>
  <c r="B1" i="20"/>
  <c r="A1013" i="14"/>
  <c r="A1012" i="14"/>
  <c r="A1011" i="14"/>
  <c r="A1010" i="14"/>
  <c r="A1009" i="14"/>
  <c r="A1008" i="14"/>
  <c r="A1007" i="14"/>
  <c r="A1006" i="14"/>
  <c r="A1005" i="14"/>
  <c r="A1004" i="14"/>
  <c r="A1003" i="14"/>
  <c r="A1002" i="14"/>
  <c r="A1001" i="14"/>
  <c r="A1000" i="14"/>
  <c r="A999" i="14"/>
  <c r="A998" i="14"/>
  <c r="A997" i="14"/>
  <c r="A996" i="14"/>
  <c r="A995" i="14"/>
  <c r="A994" i="14"/>
  <c r="A993" i="14"/>
  <c r="A992" i="14"/>
  <c r="A991" i="14"/>
  <c r="A990" i="14"/>
  <c r="A989" i="14"/>
  <c r="A988" i="14"/>
  <c r="A987" i="14"/>
  <c r="A986" i="14"/>
  <c r="A985" i="14"/>
  <c r="A984" i="14"/>
  <c r="A983" i="14"/>
  <c r="A982" i="14"/>
  <c r="A981" i="14"/>
  <c r="A980" i="14"/>
  <c r="A979" i="14"/>
  <c r="A978" i="14"/>
  <c r="A977" i="14"/>
  <c r="A976" i="14"/>
  <c r="A975" i="14"/>
  <c r="A974" i="14"/>
  <c r="A973" i="14"/>
  <c r="A972" i="14"/>
  <c r="A971" i="14"/>
  <c r="A970" i="14"/>
  <c r="A969" i="14"/>
  <c r="A968" i="14"/>
  <c r="A967" i="14"/>
  <c r="A966" i="14"/>
  <c r="A965" i="14"/>
  <c r="A964" i="14"/>
  <c r="A963" i="14"/>
  <c r="A962" i="14"/>
  <c r="A961" i="14"/>
  <c r="A960" i="14"/>
  <c r="A959" i="14"/>
  <c r="A958" i="14"/>
  <c r="A957" i="14"/>
  <c r="A956" i="14"/>
  <c r="A955" i="14"/>
  <c r="A954" i="14"/>
  <c r="A953" i="14"/>
  <c r="A952" i="14"/>
  <c r="A951" i="14"/>
  <c r="A950" i="14"/>
  <c r="A949" i="14"/>
  <c r="A948" i="14"/>
  <c r="A947" i="14"/>
  <c r="A946" i="14"/>
  <c r="A945" i="14"/>
  <c r="A944" i="14"/>
  <c r="A943" i="14"/>
  <c r="A942" i="14"/>
  <c r="A941" i="14"/>
  <c r="A940" i="14"/>
  <c r="A939" i="14"/>
  <c r="A938" i="14"/>
  <c r="A937" i="14"/>
  <c r="A936" i="14"/>
  <c r="A935" i="14"/>
  <c r="A934" i="14"/>
  <c r="A933" i="14"/>
  <c r="A932" i="14"/>
  <c r="A931" i="14"/>
  <c r="A930" i="14"/>
  <c r="A929" i="14"/>
  <c r="A928" i="14"/>
  <c r="A927" i="14"/>
  <c r="A926" i="14"/>
  <c r="A925" i="14"/>
  <c r="A924" i="14"/>
  <c r="A923" i="14"/>
  <c r="A922" i="14"/>
  <c r="A921" i="14"/>
  <c r="A920" i="14"/>
  <c r="A919" i="14"/>
  <c r="A918" i="14"/>
  <c r="A917" i="14"/>
  <c r="A916" i="14"/>
  <c r="A915" i="14"/>
  <c r="A914" i="14"/>
  <c r="A913" i="14"/>
  <c r="A912" i="14"/>
  <c r="A911" i="14"/>
  <c r="A910" i="14"/>
  <c r="A909" i="14"/>
  <c r="A908" i="14"/>
  <c r="A907" i="14"/>
  <c r="A906" i="14"/>
  <c r="A905" i="14"/>
  <c r="A904" i="14"/>
  <c r="A903" i="14"/>
  <c r="A902" i="14"/>
  <c r="A901" i="14"/>
  <c r="A900" i="14"/>
  <c r="A899" i="14"/>
  <c r="A898" i="14"/>
  <c r="A897" i="14"/>
  <c r="A896" i="14"/>
  <c r="A895" i="14"/>
  <c r="A894" i="14"/>
  <c r="A893" i="14"/>
  <c r="A892" i="14"/>
  <c r="A891" i="14"/>
  <c r="A890" i="14"/>
  <c r="A889" i="14"/>
  <c r="A888" i="14"/>
  <c r="A887" i="14"/>
  <c r="A886" i="14"/>
  <c r="A885" i="14"/>
  <c r="A884" i="14"/>
  <c r="A883" i="14"/>
  <c r="A882" i="14"/>
  <c r="A881" i="14"/>
  <c r="A880" i="14"/>
  <c r="A879" i="14"/>
  <c r="A878" i="14"/>
  <c r="A877" i="14"/>
  <c r="A876" i="14"/>
  <c r="A875" i="14"/>
  <c r="A874" i="14"/>
  <c r="A873" i="14"/>
  <c r="A872" i="14"/>
  <c r="A871" i="14"/>
  <c r="A870" i="14"/>
  <c r="A869" i="14"/>
  <c r="A868" i="14"/>
  <c r="A867" i="14"/>
  <c r="A866" i="14"/>
  <c r="A865" i="14"/>
  <c r="A864" i="14"/>
  <c r="A863" i="14"/>
  <c r="A862" i="14"/>
  <c r="A861" i="14"/>
  <c r="A860" i="14"/>
  <c r="A859" i="14"/>
  <c r="A858" i="14"/>
  <c r="A857" i="14"/>
  <c r="A856" i="14"/>
  <c r="A855" i="14"/>
  <c r="A854" i="14"/>
  <c r="A853" i="14"/>
  <c r="A852" i="14"/>
  <c r="A851" i="14"/>
  <c r="A850" i="14"/>
  <c r="A849" i="14"/>
  <c r="A848" i="14"/>
  <c r="A847" i="14"/>
  <c r="A846" i="14"/>
  <c r="A845" i="14"/>
  <c r="A844" i="14"/>
  <c r="A843" i="14"/>
  <c r="A842" i="14"/>
  <c r="A841" i="14"/>
  <c r="A840" i="14"/>
  <c r="A839" i="14"/>
  <c r="A838" i="14"/>
  <c r="A837" i="14"/>
  <c r="A836" i="14"/>
  <c r="A835" i="14"/>
  <c r="A834" i="14"/>
  <c r="A833" i="14"/>
  <c r="A832" i="14"/>
  <c r="A831" i="14"/>
  <c r="A830" i="14"/>
  <c r="A829" i="14"/>
  <c r="A828" i="14"/>
  <c r="A827" i="14"/>
  <c r="A826" i="14"/>
  <c r="A825" i="14"/>
  <c r="A824" i="14"/>
  <c r="A823" i="14"/>
  <c r="A822" i="14"/>
  <c r="A821" i="14"/>
  <c r="A820" i="14"/>
  <c r="A819" i="14"/>
  <c r="A818" i="14"/>
  <c r="A817" i="14"/>
  <c r="A816" i="14"/>
  <c r="A815" i="14"/>
  <c r="A814" i="14"/>
  <c r="A813" i="14"/>
  <c r="A812" i="14"/>
  <c r="A811" i="14"/>
  <c r="A810" i="14"/>
  <c r="A809" i="14"/>
  <c r="A808" i="14"/>
  <c r="A807" i="14"/>
  <c r="A806" i="14"/>
  <c r="A805" i="14"/>
  <c r="A804" i="14"/>
  <c r="A803" i="14"/>
  <c r="A802" i="14"/>
  <c r="A801" i="14"/>
  <c r="A800" i="14"/>
  <c r="A799" i="14"/>
  <c r="A798" i="14"/>
  <c r="A797" i="14"/>
  <c r="A796" i="14"/>
  <c r="A795" i="14"/>
  <c r="A794" i="14"/>
  <c r="A793" i="14"/>
  <c r="A792" i="14"/>
  <c r="A791" i="14"/>
  <c r="A790" i="14"/>
  <c r="A789" i="14"/>
  <c r="A788" i="14"/>
  <c r="A787" i="14"/>
  <c r="A786" i="14"/>
  <c r="A785" i="14"/>
  <c r="A784" i="14"/>
  <c r="A783" i="14"/>
  <c r="A782" i="14"/>
  <c r="A781" i="14"/>
  <c r="A780" i="14"/>
  <c r="A779" i="14"/>
  <c r="A778" i="14"/>
  <c r="A777" i="14"/>
  <c r="A776" i="14"/>
  <c r="A775" i="14"/>
  <c r="A774" i="14"/>
  <c r="A773" i="14"/>
  <c r="A772" i="14"/>
  <c r="A771" i="14"/>
  <c r="A770" i="14"/>
  <c r="A769" i="14"/>
  <c r="A768" i="14"/>
  <c r="A767" i="14"/>
  <c r="A766" i="14"/>
  <c r="A765" i="14"/>
  <c r="A764" i="14"/>
  <c r="A763" i="14"/>
  <c r="A762" i="14"/>
  <c r="A761" i="14"/>
  <c r="A760" i="14"/>
  <c r="A759" i="14"/>
  <c r="A758" i="14"/>
  <c r="A757" i="14"/>
  <c r="A756" i="14"/>
  <c r="A755" i="14"/>
  <c r="A754" i="14"/>
  <c r="A753" i="14"/>
  <c r="A752" i="14"/>
  <c r="A751" i="14"/>
  <c r="A750" i="14"/>
  <c r="A749" i="14"/>
  <c r="A748" i="14"/>
  <c r="A747" i="14"/>
  <c r="A746" i="14"/>
  <c r="A745" i="14"/>
  <c r="A744" i="14"/>
  <c r="A743" i="14"/>
  <c r="A742" i="14"/>
  <c r="A741" i="14"/>
  <c r="A740" i="14"/>
  <c r="A739" i="14"/>
  <c r="A738" i="14"/>
  <c r="A737" i="14"/>
  <c r="A736" i="14"/>
  <c r="A735" i="14"/>
  <c r="A734" i="14"/>
  <c r="A733" i="14"/>
  <c r="A732" i="14"/>
  <c r="A731" i="14"/>
  <c r="A730" i="14"/>
  <c r="A729" i="14"/>
  <c r="A728" i="14"/>
  <c r="A727" i="14"/>
  <c r="A726" i="14"/>
  <c r="A725" i="14"/>
  <c r="A724" i="14"/>
  <c r="A723" i="14"/>
  <c r="A722" i="14"/>
  <c r="A721" i="14"/>
  <c r="A720" i="14"/>
  <c r="A719" i="14"/>
  <c r="A718" i="14"/>
  <c r="A717" i="14"/>
  <c r="A716" i="14"/>
  <c r="A715" i="14"/>
  <c r="A714" i="14"/>
  <c r="A713" i="14"/>
  <c r="A712" i="14"/>
  <c r="A711" i="14"/>
  <c r="A710" i="14"/>
  <c r="A709" i="14"/>
  <c r="A708" i="14"/>
  <c r="A707" i="14"/>
  <c r="A706" i="14"/>
  <c r="A705" i="14"/>
  <c r="A704" i="14"/>
  <c r="A703" i="14"/>
  <c r="A702" i="14"/>
  <c r="A701" i="14"/>
  <c r="A700" i="14"/>
  <c r="A699" i="14"/>
  <c r="A698" i="14"/>
  <c r="A697" i="14"/>
  <c r="A696" i="14"/>
  <c r="A695" i="14"/>
  <c r="A694" i="14"/>
  <c r="A693" i="14"/>
  <c r="A692" i="14"/>
  <c r="A691" i="14"/>
  <c r="A690" i="14"/>
  <c r="A689" i="14"/>
  <c r="A688" i="14"/>
  <c r="A687" i="14"/>
  <c r="A686" i="14"/>
  <c r="A685" i="14"/>
  <c r="A684" i="14"/>
  <c r="A683" i="14"/>
  <c r="A682" i="14"/>
  <c r="A681" i="14"/>
  <c r="A680" i="14"/>
  <c r="A679" i="14"/>
  <c r="A678" i="14"/>
  <c r="A677" i="14"/>
  <c r="A676" i="14"/>
  <c r="A675" i="14"/>
  <c r="A674" i="14"/>
  <c r="A673" i="14"/>
  <c r="A672" i="14"/>
  <c r="A671" i="14"/>
  <c r="A670" i="14"/>
  <c r="A669" i="14"/>
  <c r="A668" i="14"/>
  <c r="A667" i="14"/>
  <c r="A666" i="14"/>
  <c r="A665" i="14"/>
  <c r="A664" i="14"/>
  <c r="A663" i="14"/>
  <c r="A662" i="14"/>
  <c r="A661" i="14"/>
  <c r="A660" i="14"/>
  <c r="A659" i="14"/>
  <c r="A658" i="14"/>
  <c r="A657" i="14"/>
  <c r="A656" i="14"/>
  <c r="A655" i="14"/>
  <c r="A654" i="14"/>
  <c r="A653" i="14"/>
  <c r="A652" i="14"/>
  <c r="A651" i="14"/>
  <c r="A650" i="14"/>
  <c r="A649" i="14"/>
  <c r="A648" i="14"/>
  <c r="A647" i="14"/>
  <c r="A646" i="14"/>
  <c r="A645" i="14"/>
  <c r="A644" i="14"/>
  <c r="A643" i="14"/>
  <c r="A642" i="14"/>
  <c r="A641" i="14"/>
  <c r="A640" i="14"/>
  <c r="A639" i="14"/>
  <c r="A638" i="14"/>
  <c r="A637" i="14"/>
  <c r="A636" i="14"/>
  <c r="A635" i="14"/>
  <c r="A634" i="14"/>
  <c r="A633" i="14"/>
  <c r="A632" i="14"/>
  <c r="A631" i="14"/>
  <c r="A630" i="14"/>
  <c r="A629" i="14"/>
  <c r="A628" i="14"/>
  <c r="A627" i="14"/>
  <c r="A626" i="14"/>
  <c r="A625" i="14"/>
  <c r="A624" i="14"/>
  <c r="A623" i="14"/>
  <c r="A622" i="14"/>
  <c r="A621" i="14"/>
  <c r="A620" i="14"/>
  <c r="A619" i="14"/>
  <c r="A618" i="14"/>
  <c r="A617" i="14"/>
  <c r="A616" i="14"/>
  <c r="A615" i="14"/>
  <c r="A614" i="14"/>
  <c r="A613" i="14"/>
  <c r="A612" i="14"/>
  <c r="A611" i="14"/>
  <c r="A610" i="14"/>
  <c r="A609" i="14"/>
  <c r="A608" i="14"/>
  <c r="A607" i="14"/>
  <c r="A606" i="14"/>
  <c r="A605" i="14"/>
  <c r="A604" i="14"/>
  <c r="A603" i="14"/>
  <c r="A602" i="14"/>
  <c r="A601" i="14"/>
  <c r="A600" i="14"/>
  <c r="A599" i="14"/>
  <c r="A598" i="14"/>
  <c r="A597" i="14"/>
  <c r="A596" i="14"/>
  <c r="A595" i="14"/>
  <c r="A594" i="14"/>
  <c r="A593" i="14"/>
  <c r="A592" i="14"/>
  <c r="A591" i="14"/>
  <c r="A590" i="14"/>
  <c r="A589" i="14"/>
  <c r="A588" i="14"/>
  <c r="A587" i="14"/>
  <c r="A586" i="14"/>
  <c r="A585" i="14"/>
  <c r="A584" i="14"/>
  <c r="A583" i="14"/>
  <c r="A582" i="14"/>
  <c r="A581" i="14"/>
  <c r="A580" i="14"/>
  <c r="A579" i="14"/>
  <c r="A578" i="14"/>
  <c r="A577" i="14"/>
  <c r="A576" i="14"/>
  <c r="A575" i="14"/>
  <c r="A574" i="14"/>
  <c r="A573" i="14"/>
  <c r="A572" i="14"/>
  <c r="A571" i="14"/>
  <c r="A570" i="14"/>
  <c r="A569" i="14"/>
  <c r="A568" i="14"/>
  <c r="A567" i="14"/>
  <c r="A566" i="14"/>
  <c r="A565" i="14"/>
  <c r="A564" i="14"/>
  <c r="A563" i="14"/>
  <c r="A562" i="14"/>
  <c r="A561" i="14"/>
  <c r="A560" i="14"/>
  <c r="A559" i="14"/>
  <c r="A558" i="14"/>
  <c r="A557" i="14"/>
  <c r="A556" i="14"/>
  <c r="A555" i="14"/>
  <c r="A554" i="14"/>
  <c r="A553" i="14"/>
  <c r="A552" i="14"/>
  <c r="A551" i="14"/>
  <c r="A550" i="14"/>
  <c r="A549" i="14"/>
  <c r="A548" i="14"/>
  <c r="A547" i="14"/>
  <c r="A546" i="14"/>
  <c r="A545" i="14"/>
  <c r="A544" i="14"/>
  <c r="A543" i="14"/>
  <c r="A542" i="14"/>
  <c r="A541" i="14"/>
  <c r="A540" i="14"/>
  <c r="A539" i="14"/>
  <c r="A538" i="14"/>
  <c r="A537" i="14"/>
  <c r="A536" i="14"/>
  <c r="A535" i="14"/>
  <c r="A534" i="14"/>
  <c r="A533" i="14"/>
  <c r="A532" i="14"/>
  <c r="A531" i="14"/>
  <c r="A530" i="14"/>
  <c r="A529" i="14"/>
  <c r="A528" i="14"/>
  <c r="A527" i="14"/>
  <c r="A526" i="14"/>
  <c r="A525" i="14"/>
  <c r="A524" i="14"/>
  <c r="A523" i="14"/>
  <c r="A522" i="14"/>
  <c r="A521" i="14"/>
  <c r="A520" i="14"/>
  <c r="A519" i="14"/>
  <c r="A518" i="14"/>
  <c r="A517" i="14"/>
  <c r="A516" i="14"/>
  <c r="A515" i="14"/>
  <c r="A514" i="14"/>
  <c r="A513" i="14"/>
  <c r="A512" i="14"/>
  <c r="A511" i="14"/>
  <c r="A510" i="14"/>
  <c r="A509" i="14"/>
  <c r="A508" i="14"/>
  <c r="A507" i="14"/>
  <c r="A506" i="14"/>
  <c r="A505" i="14"/>
  <c r="A504" i="14"/>
  <c r="A503" i="14"/>
  <c r="A502" i="14"/>
  <c r="A501" i="14"/>
  <c r="A500" i="14"/>
  <c r="A499" i="14"/>
  <c r="A498" i="14"/>
  <c r="A497" i="14"/>
  <c r="A496" i="14"/>
  <c r="A495" i="14"/>
  <c r="A494" i="14"/>
  <c r="A493" i="14"/>
  <c r="A492" i="14"/>
  <c r="A491" i="14"/>
  <c r="A490" i="14"/>
  <c r="A489" i="14"/>
  <c r="A488" i="14"/>
  <c r="A487" i="14"/>
  <c r="A486" i="14"/>
  <c r="A485" i="14"/>
  <c r="A484" i="14"/>
  <c r="A483" i="14"/>
  <c r="A482" i="14"/>
  <c r="A481" i="14"/>
  <c r="A480" i="14"/>
  <c r="A479" i="14"/>
  <c r="A478" i="14"/>
  <c r="A477" i="14"/>
  <c r="A476" i="14"/>
  <c r="A475" i="14"/>
  <c r="A474" i="14"/>
  <c r="A473" i="14"/>
  <c r="A472" i="14"/>
  <c r="A471" i="14"/>
  <c r="A470" i="14"/>
  <c r="A469" i="14"/>
  <c r="A468" i="14"/>
  <c r="A467" i="14"/>
  <c r="A466" i="14"/>
  <c r="A465" i="14"/>
  <c r="A464" i="14"/>
  <c r="A463" i="14"/>
  <c r="A462" i="14"/>
  <c r="A461" i="14"/>
  <c r="A460" i="14"/>
  <c r="A459" i="14"/>
  <c r="A458" i="14"/>
  <c r="A457" i="14"/>
  <c r="A456" i="14"/>
  <c r="A455" i="14"/>
  <c r="A454" i="14"/>
  <c r="A453" i="14"/>
  <c r="A452" i="14"/>
  <c r="A451" i="14"/>
  <c r="A450" i="14"/>
  <c r="A449" i="14"/>
  <c r="A448" i="14"/>
  <c r="A447" i="14"/>
  <c r="A446" i="14"/>
  <c r="A445" i="14"/>
  <c r="A444" i="14"/>
  <c r="A443" i="14"/>
  <c r="A442" i="14"/>
  <c r="A441" i="14"/>
  <c r="A440" i="14"/>
  <c r="A439" i="14"/>
  <c r="A438" i="14"/>
  <c r="A437" i="14"/>
  <c r="A436" i="14"/>
  <c r="A435" i="14"/>
  <c r="A434" i="14"/>
  <c r="A433" i="14"/>
  <c r="A432" i="14"/>
  <c r="A431" i="14"/>
  <c r="A430" i="14"/>
  <c r="A429" i="14"/>
  <c r="A428" i="14"/>
  <c r="A427" i="14"/>
  <c r="A426" i="14"/>
  <c r="A425" i="14"/>
  <c r="A424" i="14"/>
  <c r="A423" i="14"/>
  <c r="A422" i="14"/>
  <c r="A421" i="14"/>
  <c r="A420" i="14"/>
  <c r="A419" i="14"/>
  <c r="A418" i="14"/>
  <c r="A417" i="14"/>
  <c r="A416" i="14"/>
  <c r="A415" i="14"/>
  <c r="A414" i="14"/>
  <c r="A413" i="14"/>
  <c r="A412" i="14"/>
  <c r="A411" i="14"/>
  <c r="A410" i="14"/>
  <c r="A409" i="14"/>
  <c r="A408" i="14"/>
  <c r="A407" i="14"/>
  <c r="A406" i="14"/>
  <c r="A405" i="14"/>
  <c r="A404" i="14"/>
  <c r="A403" i="14"/>
  <c r="A402" i="14"/>
  <c r="A401" i="14"/>
  <c r="A400" i="14"/>
  <c r="A399" i="14"/>
  <c r="A398" i="14"/>
  <c r="A397" i="14"/>
  <c r="A396" i="14"/>
  <c r="A395" i="14"/>
  <c r="A394" i="14"/>
  <c r="A393" i="14"/>
  <c r="A392" i="14"/>
  <c r="A391" i="14"/>
  <c r="A390" i="14"/>
  <c r="A389" i="14"/>
  <c r="A388" i="14"/>
  <c r="A387" i="14"/>
  <c r="A386" i="14"/>
  <c r="A385" i="14"/>
  <c r="A384" i="14"/>
  <c r="A383" i="14"/>
  <c r="A382" i="14"/>
  <c r="A381" i="14"/>
  <c r="A380" i="14"/>
  <c r="A379" i="14"/>
  <c r="A378" i="14"/>
  <c r="A377" i="14"/>
  <c r="A376" i="14"/>
  <c r="A375" i="14"/>
  <c r="A374" i="14"/>
  <c r="A373" i="14"/>
  <c r="A372" i="14"/>
  <c r="A371" i="14"/>
  <c r="A370" i="14"/>
  <c r="A369" i="14"/>
  <c r="A368" i="14"/>
  <c r="A367" i="14"/>
  <c r="A366" i="14"/>
  <c r="A365" i="14"/>
  <c r="A364" i="14"/>
  <c r="A363" i="14"/>
  <c r="A362" i="14"/>
  <c r="A361" i="14"/>
  <c r="A360" i="14"/>
  <c r="A359" i="14"/>
  <c r="A358" i="14"/>
  <c r="A357" i="14"/>
  <c r="A356" i="14"/>
  <c r="A355" i="14"/>
  <c r="A354" i="14"/>
  <c r="A353" i="14"/>
  <c r="A352" i="14"/>
  <c r="A351" i="14"/>
  <c r="A350" i="14"/>
  <c r="A349" i="14"/>
  <c r="A348" i="14"/>
  <c r="A347" i="14"/>
  <c r="A346" i="14"/>
  <c r="A345" i="14"/>
  <c r="A344" i="14"/>
  <c r="A343" i="14"/>
  <c r="A342" i="14"/>
  <c r="A341" i="14"/>
  <c r="A340" i="14"/>
  <c r="A339" i="14"/>
  <c r="A338" i="14"/>
  <c r="A337" i="14"/>
  <c r="A336" i="14"/>
  <c r="A335" i="14"/>
  <c r="A334" i="14"/>
  <c r="A333" i="14"/>
  <c r="A332" i="14"/>
  <c r="A331" i="14"/>
  <c r="A330" i="14"/>
  <c r="A329" i="14"/>
  <c r="A328" i="14"/>
  <c r="A327" i="14"/>
  <c r="A326" i="14"/>
  <c r="A325" i="14"/>
  <c r="A324" i="14"/>
  <c r="A323" i="14"/>
  <c r="A322" i="14"/>
  <c r="A321" i="14"/>
  <c r="A320" i="14"/>
  <c r="A319" i="14"/>
  <c r="A318" i="14"/>
  <c r="A317" i="14"/>
  <c r="A316" i="14"/>
  <c r="A315" i="14"/>
  <c r="A314" i="14"/>
  <c r="A313" i="14"/>
  <c r="A312" i="14"/>
  <c r="A311" i="14"/>
  <c r="A310" i="14"/>
  <c r="A309" i="14"/>
  <c r="A308" i="14"/>
  <c r="A307" i="14"/>
  <c r="A306" i="14"/>
  <c r="A305" i="14"/>
  <c r="A304" i="14"/>
  <c r="A303" i="14"/>
  <c r="A302" i="14"/>
  <c r="A301" i="14"/>
  <c r="A300" i="14"/>
  <c r="A299" i="14"/>
  <c r="A298" i="14"/>
  <c r="A297" i="14"/>
  <c r="A296" i="14"/>
  <c r="A295" i="14"/>
  <c r="A294" i="14"/>
  <c r="A293" i="14"/>
  <c r="A292" i="14"/>
  <c r="A291" i="14"/>
  <c r="A290" i="14"/>
  <c r="A289" i="14"/>
  <c r="A288" i="14"/>
  <c r="A287" i="14"/>
  <c r="A286" i="14"/>
  <c r="A285" i="14"/>
  <c r="A284" i="14"/>
  <c r="A283" i="14"/>
  <c r="A282" i="14"/>
  <c r="A281" i="14"/>
  <c r="A280" i="14"/>
  <c r="A279" i="14"/>
  <c r="A278" i="14"/>
  <c r="A277" i="14"/>
  <c r="A276" i="14"/>
  <c r="A275" i="14"/>
  <c r="A274" i="14"/>
  <c r="A273" i="14"/>
  <c r="A272" i="14"/>
  <c r="A271" i="14"/>
  <c r="A270" i="14"/>
  <c r="A269" i="14"/>
  <c r="A268" i="14"/>
  <c r="A267" i="14"/>
  <c r="A266" i="14"/>
  <c r="A265" i="14"/>
  <c r="A264" i="14"/>
  <c r="A263" i="14"/>
  <c r="A262" i="14"/>
  <c r="A261" i="14"/>
  <c r="A260" i="14"/>
  <c r="A259" i="14"/>
  <c r="A258" i="14"/>
  <c r="A257" i="14"/>
  <c r="A256" i="14"/>
  <c r="A255" i="14"/>
  <c r="A254" i="14"/>
  <c r="A253" i="14"/>
  <c r="A252" i="14"/>
  <c r="A251" i="14"/>
  <c r="A250" i="14"/>
  <c r="A249" i="14"/>
  <c r="A248" i="14"/>
  <c r="A247" i="14"/>
  <c r="A246" i="14"/>
  <c r="A245" i="14"/>
  <c r="A244" i="14"/>
  <c r="A243" i="14"/>
  <c r="A242" i="14"/>
  <c r="A241" i="14"/>
  <c r="A240" i="14"/>
  <c r="A239" i="14"/>
  <c r="A238" i="14"/>
  <c r="A237" i="14"/>
  <c r="A236" i="14"/>
  <c r="A235" i="14"/>
  <c r="A234" i="14"/>
  <c r="A233" i="14"/>
  <c r="A232" i="14"/>
  <c r="A231" i="14"/>
  <c r="A230" i="14"/>
  <c r="A229" i="14"/>
  <c r="A228" i="14"/>
  <c r="A227" i="14"/>
  <c r="A226" i="14"/>
  <c r="A225" i="14"/>
  <c r="A224" i="14"/>
  <c r="A223" i="14"/>
  <c r="A222" i="14"/>
  <c r="A221" i="14"/>
  <c r="A220" i="14"/>
  <c r="A219" i="14"/>
  <c r="A218" i="14"/>
  <c r="A217" i="14"/>
  <c r="A216" i="14"/>
  <c r="A215" i="14"/>
  <c r="A214" i="14"/>
  <c r="A213" i="14"/>
  <c r="A212" i="14"/>
  <c r="A211" i="14"/>
  <c r="A210" i="14"/>
  <c r="A209" i="14"/>
  <c r="A208" i="14"/>
  <c r="A207" i="14"/>
  <c r="A206" i="14"/>
  <c r="A205" i="14"/>
  <c r="A204" i="14"/>
  <c r="A203" i="14"/>
  <c r="A202" i="14"/>
  <c r="A201" i="14"/>
  <c r="A200" i="14"/>
  <c r="A199" i="14"/>
  <c r="A198" i="14"/>
  <c r="A197" i="14"/>
  <c r="A196" i="14"/>
  <c r="A195" i="14"/>
  <c r="A194" i="14"/>
  <c r="A193" i="14"/>
  <c r="A192" i="14"/>
  <c r="A191" i="14"/>
  <c r="A190" i="14"/>
  <c r="A189" i="14"/>
  <c r="A188" i="14"/>
  <c r="A187" i="14"/>
  <c r="A186" i="14"/>
  <c r="A185" i="14"/>
  <c r="A184" i="14"/>
  <c r="A183" i="14"/>
  <c r="A182" i="14"/>
  <c r="A181" i="14"/>
  <c r="A180" i="14"/>
  <c r="A179" i="14"/>
  <c r="A178" i="14"/>
  <c r="A177" i="14"/>
  <c r="A176" i="14"/>
  <c r="A175" i="14"/>
  <c r="A174" i="14"/>
  <c r="A173" i="14"/>
  <c r="A172" i="14"/>
  <c r="A171" i="14"/>
  <c r="A170" i="14"/>
  <c r="A169" i="14"/>
  <c r="A168" i="14"/>
  <c r="A167" i="14"/>
  <c r="A166" i="14"/>
  <c r="A165" i="14"/>
  <c r="A164" i="14"/>
  <c r="A163" i="14"/>
  <c r="A162" i="14"/>
  <c r="A161" i="14"/>
  <c r="A160" i="14"/>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V21" i="16" l="1"/>
  <c r="U165" i="16"/>
  <c r="T165" i="16"/>
  <c r="S165" i="16"/>
  <c r="R165" i="16"/>
  <c r="Q165" i="16"/>
  <c r="P165" i="16"/>
  <c r="O165" i="16"/>
  <c r="N165" i="16"/>
  <c r="M165" i="16"/>
  <c r="L165" i="16"/>
  <c r="E165" i="16"/>
  <c r="D165" i="16"/>
  <c r="AC58" i="7" l="1"/>
  <c r="I6" i="18" l="1"/>
  <c r="J6" i="18"/>
  <c r="U21" i="16" l="1"/>
  <c r="U22" i="16"/>
  <c r="U23" i="16"/>
  <c r="U24" i="16"/>
  <c r="U27" i="16"/>
  <c r="U31" i="16"/>
  <c r="U32" i="16"/>
  <c r="U33" i="16"/>
  <c r="U34" i="16"/>
  <c r="U35" i="16"/>
  <c r="U36" i="16"/>
  <c r="U38" i="16"/>
  <c r="U39" i="16"/>
  <c r="U40" i="16"/>
  <c r="U41" i="16"/>
  <c r="U42" i="16"/>
  <c r="U44" i="16"/>
  <c r="U45" i="16"/>
  <c r="U46" i="16"/>
  <c r="U47" i="16"/>
  <c r="U48" i="16"/>
  <c r="U50" i="16"/>
  <c r="U51" i="16"/>
  <c r="U52" i="16"/>
  <c r="U53" i="16"/>
  <c r="U55" i="16"/>
  <c r="U56" i="16"/>
  <c r="U58" i="16"/>
  <c r="U59" i="16"/>
  <c r="U60" i="16"/>
  <c r="U61" i="16"/>
  <c r="U62" i="16"/>
  <c r="U63" i="16"/>
  <c r="U64" i="16"/>
  <c r="U65" i="16"/>
  <c r="U67" i="16"/>
  <c r="U68" i="16"/>
  <c r="U69" i="16"/>
  <c r="U71" i="16"/>
  <c r="U72" i="16"/>
  <c r="U73" i="16"/>
  <c r="U76" i="16"/>
  <c r="U78" i="16"/>
  <c r="U87" i="16"/>
  <c r="U88" i="16"/>
  <c r="U89" i="16"/>
  <c r="U90" i="16"/>
  <c r="U91" i="16"/>
  <c r="U92" i="16"/>
  <c r="U93" i="16"/>
  <c r="U94" i="16"/>
  <c r="U95" i="16"/>
  <c r="U96" i="16"/>
  <c r="U97" i="16"/>
  <c r="U98" i="16"/>
  <c r="U99" i="16"/>
  <c r="U100" i="16"/>
  <c r="U105" i="16"/>
  <c r="U106" i="16"/>
  <c r="U107" i="16"/>
  <c r="U108" i="16"/>
  <c r="U109" i="16"/>
  <c r="U110" i="16"/>
  <c r="U111" i="16"/>
  <c r="U112" i="16"/>
  <c r="U113" i="16"/>
  <c r="U118" i="16"/>
  <c r="U120" i="16"/>
  <c r="U122" i="16"/>
  <c r="U123" i="16"/>
  <c r="U124" i="16"/>
  <c r="U125" i="16"/>
  <c r="U128" i="16"/>
  <c r="U130" i="16"/>
  <c r="U131" i="16"/>
  <c r="U132" i="16"/>
  <c r="U136" i="16"/>
  <c r="U138" i="16"/>
  <c r="U139" i="16"/>
  <c r="U140" i="16"/>
  <c r="U141" i="16"/>
  <c r="U142" i="16"/>
  <c r="U143" i="16"/>
  <c r="U144" i="16"/>
  <c r="U145" i="16"/>
  <c r="U146" i="16"/>
  <c r="U147" i="16"/>
  <c r="U148" i="16"/>
  <c r="U149" i="16"/>
  <c r="U150" i="16"/>
  <c r="U151" i="16"/>
  <c r="U152" i="16"/>
  <c r="U153" i="16"/>
  <c r="U154" i="16"/>
  <c r="U155" i="16"/>
  <c r="U156" i="16"/>
  <c r="U157" i="16"/>
  <c r="U158" i="16"/>
  <c r="U159" i="16"/>
  <c r="U160" i="16"/>
  <c r="U161" i="16"/>
  <c r="U162" i="16"/>
  <c r="U163" i="16"/>
  <c r="U20" i="16"/>
  <c r="T21" i="16"/>
  <c r="T22" i="16"/>
  <c r="T23" i="16"/>
  <c r="T24" i="16"/>
  <c r="T25" i="16"/>
  <c r="T27" i="16"/>
  <c r="T28" i="16"/>
  <c r="T30" i="16"/>
  <c r="T31" i="16"/>
  <c r="T32" i="16"/>
  <c r="T33" i="16"/>
  <c r="T34" i="16"/>
  <c r="T35" i="16"/>
  <c r="T38" i="16"/>
  <c r="T39" i="16"/>
  <c r="T40" i="16"/>
  <c r="T43" i="16"/>
  <c r="T46" i="16"/>
  <c r="T47" i="16"/>
  <c r="T48" i="16"/>
  <c r="T49" i="16"/>
  <c r="T50" i="16"/>
  <c r="T51" i="16"/>
  <c r="T52" i="16"/>
  <c r="T53" i="16"/>
  <c r="T54" i="16"/>
  <c r="T57" i="16"/>
  <c r="T61" i="16"/>
  <c r="T62" i="16"/>
  <c r="T63" i="16"/>
  <c r="T64" i="16"/>
  <c r="T67" i="16"/>
  <c r="T69" i="16"/>
  <c r="T71" i="16"/>
  <c r="T72" i="16"/>
  <c r="T74" i="16"/>
  <c r="T75" i="16"/>
  <c r="T77" i="16"/>
  <c r="T79" i="16"/>
  <c r="T80" i="16"/>
  <c r="T81" i="16"/>
  <c r="T82" i="16"/>
  <c r="T83" i="16"/>
  <c r="T84" i="16"/>
  <c r="T85" i="16"/>
  <c r="T86" i="16"/>
  <c r="T87" i="16"/>
  <c r="T88" i="16"/>
  <c r="T89" i="16"/>
  <c r="T90" i="16"/>
  <c r="T91" i="16"/>
  <c r="T92" i="16"/>
  <c r="T93" i="16"/>
  <c r="T94" i="16"/>
  <c r="T95" i="16"/>
  <c r="T96" i="16"/>
  <c r="T97" i="16"/>
  <c r="T98" i="16"/>
  <c r="T99" i="16"/>
  <c r="T100" i="16"/>
  <c r="T101" i="16"/>
  <c r="T102" i="16"/>
  <c r="T103" i="16"/>
  <c r="T104" i="16"/>
  <c r="T105" i="16"/>
  <c r="T106" i="16"/>
  <c r="T107" i="16"/>
  <c r="T108" i="16"/>
  <c r="T109" i="16"/>
  <c r="T110" i="16"/>
  <c r="T111" i="16"/>
  <c r="T112" i="16"/>
  <c r="T113" i="16"/>
  <c r="T114" i="16"/>
  <c r="T115" i="16"/>
  <c r="T116" i="16"/>
  <c r="T117" i="16"/>
  <c r="T118" i="16"/>
  <c r="T119" i="16"/>
  <c r="T120" i="16"/>
  <c r="T121" i="16"/>
  <c r="T122" i="16"/>
  <c r="T123" i="16"/>
  <c r="T124" i="16"/>
  <c r="T125" i="16"/>
  <c r="T126" i="16"/>
  <c r="T127" i="16"/>
  <c r="T128" i="16"/>
  <c r="T129" i="16"/>
  <c r="T130" i="16"/>
  <c r="T131" i="16"/>
  <c r="T132" i="16"/>
  <c r="T133" i="16"/>
  <c r="T134" i="16"/>
  <c r="T135" i="16"/>
  <c r="T136" i="16"/>
  <c r="T137" i="16"/>
  <c r="T138" i="16"/>
  <c r="T139" i="16"/>
  <c r="T140" i="16"/>
  <c r="T141" i="16"/>
  <c r="T142" i="16"/>
  <c r="T143" i="16"/>
  <c r="T144" i="16"/>
  <c r="T145" i="16"/>
  <c r="T146" i="16"/>
  <c r="T147" i="16"/>
  <c r="T148" i="16"/>
  <c r="T149" i="16"/>
  <c r="T150" i="16"/>
  <c r="T151" i="16"/>
  <c r="T152" i="16"/>
  <c r="T153" i="16"/>
  <c r="T154" i="16"/>
  <c r="T155" i="16"/>
  <c r="T156" i="16"/>
  <c r="T157" i="16"/>
  <c r="T158" i="16"/>
  <c r="T159" i="16"/>
  <c r="T160" i="16"/>
  <c r="T161" i="16"/>
  <c r="T162" i="16"/>
  <c r="T20" i="16"/>
  <c r="S21" i="16"/>
  <c r="S22" i="16"/>
  <c r="S23" i="16"/>
  <c r="S24" i="16"/>
  <c r="S25" i="16"/>
  <c r="S27" i="16"/>
  <c r="S28" i="16"/>
  <c r="S31" i="16"/>
  <c r="S32" i="16"/>
  <c r="S33" i="16"/>
  <c r="S34" i="16"/>
  <c r="S35" i="16"/>
  <c r="S37" i="16"/>
  <c r="S38" i="16"/>
  <c r="S39" i="16"/>
  <c r="S40" i="16"/>
  <c r="S41" i="16"/>
  <c r="S42" i="16"/>
  <c r="S43" i="16"/>
  <c r="S44" i="16"/>
  <c r="S45" i="16"/>
  <c r="S46" i="16"/>
  <c r="S47" i="16"/>
  <c r="S48" i="16"/>
  <c r="S49" i="16"/>
  <c r="S50" i="16"/>
  <c r="S51" i="16"/>
  <c r="S52" i="16"/>
  <c r="S53" i="16"/>
  <c r="S54" i="16"/>
  <c r="S55" i="16"/>
  <c r="S56" i="16"/>
  <c r="S57" i="16"/>
  <c r="S58" i="16"/>
  <c r="S59" i="16"/>
  <c r="S60" i="16"/>
  <c r="S61" i="16"/>
  <c r="S62" i="16"/>
  <c r="S63" i="16"/>
  <c r="S64" i="16"/>
  <c r="S65" i="16"/>
  <c r="S67" i="16"/>
  <c r="S68" i="16"/>
  <c r="S69" i="16"/>
  <c r="S71" i="16"/>
  <c r="S72" i="16"/>
  <c r="S73" i="16"/>
  <c r="S74" i="16"/>
  <c r="S75" i="16"/>
  <c r="S76" i="16"/>
  <c r="S77" i="16"/>
  <c r="S78" i="16"/>
  <c r="S79" i="16"/>
  <c r="S81" i="16"/>
  <c r="S83" i="16"/>
  <c r="S84" i="16"/>
  <c r="S85" i="16"/>
  <c r="S86" i="16"/>
  <c r="S87" i="16"/>
  <c r="S88" i="16"/>
  <c r="S89" i="16"/>
  <c r="S90" i="16"/>
  <c r="S91" i="16"/>
  <c r="S92" i="16"/>
  <c r="S93" i="16"/>
  <c r="S94" i="16"/>
  <c r="S95" i="16"/>
  <c r="S96" i="16"/>
  <c r="S97" i="16"/>
  <c r="S98" i="16"/>
  <c r="S99" i="16"/>
  <c r="S100" i="16"/>
  <c r="S101" i="16"/>
  <c r="S102" i="16"/>
  <c r="S103" i="16"/>
  <c r="S104" i="16"/>
  <c r="S105" i="16"/>
  <c r="S106" i="16"/>
  <c r="S107" i="16"/>
  <c r="S108" i="16"/>
  <c r="S109" i="16"/>
  <c r="S110" i="16"/>
  <c r="S111" i="16"/>
  <c r="S112" i="16"/>
  <c r="S113" i="16"/>
  <c r="S114" i="16"/>
  <c r="S115" i="16"/>
  <c r="S116" i="16"/>
  <c r="S117" i="16"/>
  <c r="S118" i="16"/>
  <c r="S119" i="16"/>
  <c r="S120" i="16"/>
  <c r="S121" i="16"/>
  <c r="S122" i="16"/>
  <c r="S123" i="16"/>
  <c r="S124" i="16"/>
  <c r="S125" i="16"/>
  <c r="S126" i="16"/>
  <c r="S127" i="16"/>
  <c r="S128" i="16"/>
  <c r="S129" i="16"/>
  <c r="S130" i="16"/>
  <c r="S131" i="16"/>
  <c r="S132" i="16"/>
  <c r="S133" i="16"/>
  <c r="S134" i="16"/>
  <c r="S135" i="16"/>
  <c r="S136" i="16"/>
  <c r="S137" i="16"/>
  <c r="S138" i="16"/>
  <c r="S139" i="16"/>
  <c r="S140" i="16"/>
  <c r="S141" i="16"/>
  <c r="S142" i="16"/>
  <c r="S143" i="16"/>
  <c r="S144" i="16"/>
  <c r="S145" i="16"/>
  <c r="S146" i="16"/>
  <c r="S147" i="16"/>
  <c r="S148" i="16"/>
  <c r="S149" i="16"/>
  <c r="S150" i="16"/>
  <c r="S151" i="16"/>
  <c r="S152" i="16"/>
  <c r="S153" i="16"/>
  <c r="S154" i="16"/>
  <c r="S155" i="16"/>
  <c r="S156" i="16"/>
  <c r="S157" i="16"/>
  <c r="S158" i="16"/>
  <c r="S159" i="16"/>
  <c r="S160" i="16"/>
  <c r="S161" i="16"/>
  <c r="S162" i="16"/>
  <c r="S163" i="16"/>
  <c r="S20" i="16"/>
  <c r="R21" i="16"/>
  <c r="R22" i="16"/>
  <c r="R23" i="16"/>
  <c r="R24" i="16"/>
  <c r="R27" i="16"/>
  <c r="R31" i="16"/>
  <c r="R32" i="16"/>
  <c r="R33" i="16"/>
  <c r="R34" i="16"/>
  <c r="R35" i="16"/>
  <c r="R36" i="16"/>
  <c r="R38" i="16"/>
  <c r="R39" i="16"/>
  <c r="R40" i="16"/>
  <c r="R45" i="16"/>
  <c r="R46" i="16"/>
  <c r="R48" i="16"/>
  <c r="R50" i="16"/>
  <c r="R51" i="16"/>
  <c r="R53" i="16"/>
  <c r="R56" i="16"/>
  <c r="R59" i="16"/>
  <c r="R60" i="16"/>
  <c r="R61" i="16"/>
  <c r="R62" i="16"/>
  <c r="R63" i="16"/>
  <c r="R72" i="16"/>
  <c r="R78" i="16"/>
  <c r="R80" i="16"/>
  <c r="R82" i="16"/>
  <c r="R87" i="16"/>
  <c r="R88" i="16"/>
  <c r="R89" i="16"/>
  <c r="R90" i="16"/>
  <c r="R91" i="16"/>
  <c r="R92" i="16"/>
  <c r="R93" i="16"/>
  <c r="R94" i="16"/>
  <c r="R95" i="16"/>
  <c r="R96" i="16"/>
  <c r="R97" i="16"/>
  <c r="R98" i="16"/>
  <c r="R99" i="16"/>
  <c r="R100" i="16"/>
  <c r="R103" i="16"/>
  <c r="R104" i="16"/>
  <c r="R105" i="16"/>
  <c r="R106" i="16"/>
  <c r="R107" i="16"/>
  <c r="R108" i="16"/>
  <c r="R109" i="16"/>
  <c r="R110" i="16"/>
  <c r="R111" i="16"/>
  <c r="R116" i="16"/>
  <c r="R117" i="16"/>
  <c r="R118" i="16"/>
  <c r="R119" i="16"/>
  <c r="R120" i="16"/>
  <c r="R123" i="16"/>
  <c r="R125" i="16"/>
  <c r="R128" i="16"/>
  <c r="R130" i="16"/>
  <c r="R131" i="16"/>
  <c r="R132" i="16"/>
  <c r="R135" i="16"/>
  <c r="R136" i="16"/>
  <c r="R137" i="16"/>
  <c r="R138" i="16"/>
  <c r="R139" i="16"/>
  <c r="R140" i="16"/>
  <c r="R141" i="16"/>
  <c r="R142" i="16"/>
  <c r="R143" i="16"/>
  <c r="R144" i="16"/>
  <c r="R145" i="16"/>
  <c r="R146" i="16"/>
  <c r="R147" i="16"/>
  <c r="R148" i="16"/>
  <c r="R149" i="16"/>
  <c r="R150" i="16"/>
  <c r="R152" i="16"/>
  <c r="R153" i="16"/>
  <c r="R155" i="16"/>
  <c r="R156" i="16"/>
  <c r="R157" i="16"/>
  <c r="R158" i="16"/>
  <c r="R159" i="16"/>
  <c r="R160" i="16"/>
  <c r="R161" i="16"/>
  <c r="R162" i="16"/>
  <c r="R20" i="16"/>
  <c r="Q21" i="16"/>
  <c r="Q22" i="16"/>
  <c r="Q23" i="16"/>
  <c r="Q24" i="16"/>
  <c r="Q25" i="16"/>
  <c r="Q27" i="16"/>
  <c r="Q28" i="16"/>
  <c r="Q31" i="16"/>
  <c r="Q32" i="16"/>
  <c r="Q33" i="16"/>
  <c r="Q34" i="16"/>
  <c r="Q35" i="16"/>
  <c r="Q36" i="16"/>
  <c r="Q37" i="16"/>
  <c r="Q38" i="16"/>
  <c r="Q39" i="16"/>
  <c r="Q40" i="16"/>
  <c r="Q41" i="16"/>
  <c r="Q42" i="16"/>
  <c r="Q43" i="16"/>
  <c r="Q44" i="16"/>
  <c r="Q45" i="16"/>
  <c r="Q46" i="16"/>
  <c r="Q47" i="16"/>
  <c r="Q48" i="16"/>
  <c r="Q49" i="16"/>
  <c r="Q50" i="16"/>
  <c r="Q51" i="16"/>
  <c r="Q52" i="16"/>
  <c r="Q53" i="16"/>
  <c r="Q54" i="16"/>
  <c r="Q55" i="16"/>
  <c r="Q56" i="16"/>
  <c r="Q57" i="16"/>
  <c r="Q58" i="16"/>
  <c r="Q59" i="16"/>
  <c r="Q60" i="16"/>
  <c r="Q61" i="16"/>
  <c r="Q62" i="16"/>
  <c r="Q63" i="16"/>
  <c r="Q64" i="16"/>
  <c r="Q65" i="16"/>
  <c r="Q66" i="16"/>
  <c r="Q67" i="16"/>
  <c r="Q68" i="16"/>
  <c r="Q69" i="16"/>
  <c r="Q71" i="16"/>
  <c r="Q72" i="16"/>
  <c r="Q73" i="16"/>
  <c r="Q74" i="16"/>
  <c r="Q75" i="16"/>
  <c r="Q76" i="16"/>
  <c r="Q77" i="16"/>
  <c r="Q78" i="16"/>
  <c r="Q79" i="16"/>
  <c r="Q80" i="16"/>
  <c r="Q81" i="16"/>
  <c r="Q83" i="16"/>
  <c r="Q84" i="16"/>
  <c r="Q85" i="16"/>
  <c r="Q86" i="16"/>
  <c r="Q87" i="16"/>
  <c r="Q88" i="16"/>
  <c r="Q89" i="16"/>
  <c r="Q90" i="16"/>
  <c r="Q91" i="16"/>
  <c r="Q92" i="16"/>
  <c r="Q93" i="16"/>
  <c r="Q94" i="16"/>
  <c r="Q95" i="16"/>
  <c r="Q96" i="16"/>
  <c r="Q97" i="16"/>
  <c r="Q98" i="16"/>
  <c r="Q99" i="16"/>
  <c r="Q100" i="16"/>
  <c r="Q101" i="16"/>
  <c r="Q102" i="16"/>
  <c r="Q103" i="16"/>
  <c r="Q104" i="16"/>
  <c r="Q105" i="16"/>
  <c r="Q106" i="16"/>
  <c r="Q107" i="16"/>
  <c r="Q108" i="16"/>
  <c r="Q109" i="16"/>
  <c r="Q110" i="16"/>
  <c r="Q111" i="16"/>
  <c r="Q112" i="16"/>
  <c r="Q113" i="16"/>
  <c r="Q114" i="16"/>
  <c r="Q115" i="16"/>
  <c r="Q116" i="16"/>
  <c r="Q117" i="16"/>
  <c r="Q118" i="16"/>
  <c r="Q119" i="16"/>
  <c r="Q120" i="16"/>
  <c r="Q121" i="16"/>
  <c r="Q122" i="16"/>
  <c r="Q123" i="16"/>
  <c r="Q124" i="16"/>
  <c r="Q125" i="16"/>
  <c r="Q126" i="16"/>
  <c r="Q127" i="16"/>
  <c r="Q128" i="16"/>
  <c r="Q129" i="16"/>
  <c r="Q130" i="16"/>
  <c r="Q131" i="16"/>
  <c r="Q132" i="16"/>
  <c r="Q133" i="16"/>
  <c r="Q134" i="16"/>
  <c r="Q135" i="16"/>
  <c r="Q136" i="16"/>
  <c r="Q137" i="16"/>
  <c r="Q138" i="16"/>
  <c r="Q139" i="16"/>
  <c r="Q140" i="16"/>
  <c r="Q141" i="16"/>
  <c r="Q142" i="16"/>
  <c r="Q143" i="16"/>
  <c r="Q144" i="16"/>
  <c r="Q145" i="16"/>
  <c r="Q146" i="16"/>
  <c r="Q147" i="16"/>
  <c r="Q148" i="16"/>
  <c r="Q149" i="16"/>
  <c r="Q150" i="16"/>
  <c r="Q151" i="16"/>
  <c r="Q152" i="16"/>
  <c r="Q153" i="16"/>
  <c r="Q154" i="16"/>
  <c r="Q155" i="16"/>
  <c r="Q156" i="16"/>
  <c r="Q157" i="16"/>
  <c r="Q158" i="16"/>
  <c r="Q159" i="16"/>
  <c r="Q160" i="16"/>
  <c r="Q161" i="16"/>
  <c r="Q162" i="16"/>
  <c r="Q163" i="16"/>
  <c r="Q20" i="16"/>
  <c r="P21" i="16"/>
  <c r="P22" i="16"/>
  <c r="P23" i="16"/>
  <c r="P24" i="16"/>
  <c r="P27" i="16"/>
  <c r="P30" i="16"/>
  <c r="P31" i="16"/>
  <c r="P32" i="16"/>
  <c r="P33" i="16"/>
  <c r="P34" i="16"/>
  <c r="P35" i="16"/>
  <c r="P38" i="16"/>
  <c r="P39" i="16"/>
  <c r="P40" i="16"/>
  <c r="P45" i="16"/>
  <c r="P47" i="16"/>
  <c r="P48" i="16"/>
  <c r="P50" i="16"/>
  <c r="P51" i="16"/>
  <c r="P54" i="16"/>
  <c r="P59" i="16"/>
  <c r="P61" i="16"/>
  <c r="P62" i="16"/>
  <c r="P63" i="16"/>
  <c r="P64" i="16"/>
  <c r="P67" i="16"/>
  <c r="P72" i="16"/>
  <c r="P82" i="16"/>
  <c r="P83" i="16"/>
  <c r="P85" i="16"/>
  <c r="P88" i="16"/>
  <c r="P89" i="16"/>
  <c r="P90" i="16"/>
  <c r="P91" i="16"/>
  <c r="P92" i="16"/>
  <c r="P94" i="16"/>
  <c r="P95" i="16"/>
  <c r="P96" i="16"/>
  <c r="P97" i="16"/>
  <c r="P98" i="16"/>
  <c r="P99" i="16"/>
  <c r="P100" i="16"/>
  <c r="P103" i="16"/>
  <c r="P109" i="16"/>
  <c r="P110" i="16"/>
  <c r="P111" i="16"/>
  <c r="P115" i="16"/>
  <c r="P116" i="16"/>
  <c r="P117" i="16"/>
  <c r="P118" i="16"/>
  <c r="P119" i="16"/>
  <c r="P120" i="16"/>
  <c r="P121" i="16"/>
  <c r="P122" i="16"/>
  <c r="P123" i="16"/>
  <c r="P124" i="16"/>
  <c r="P125" i="16"/>
  <c r="P126" i="16"/>
  <c r="P127" i="16"/>
  <c r="P128" i="16"/>
  <c r="P129" i="16"/>
  <c r="P130" i="16"/>
  <c r="P131" i="16"/>
  <c r="P132" i="16"/>
  <c r="P134" i="16"/>
  <c r="P135" i="16"/>
  <c r="P136" i="16"/>
  <c r="P137" i="16"/>
  <c r="P138" i="16"/>
  <c r="P139" i="16"/>
  <c r="P140" i="16"/>
  <c r="P141" i="16"/>
  <c r="P142" i="16"/>
  <c r="P143" i="16"/>
  <c r="P144" i="16"/>
  <c r="P145" i="16"/>
  <c r="P146" i="16"/>
  <c r="P147" i="16"/>
  <c r="P148" i="16"/>
  <c r="P149" i="16"/>
  <c r="P150" i="16"/>
  <c r="P151" i="16"/>
  <c r="P152" i="16"/>
  <c r="P153" i="16"/>
  <c r="P154" i="16"/>
  <c r="P155" i="16"/>
  <c r="P156" i="16"/>
  <c r="P157" i="16"/>
  <c r="P158" i="16"/>
  <c r="P159" i="16"/>
  <c r="P160" i="16"/>
  <c r="P161" i="16"/>
  <c r="P162" i="16"/>
  <c r="P20" i="16"/>
  <c r="O21" i="16"/>
  <c r="O22" i="16"/>
  <c r="O23" i="16"/>
  <c r="O24" i="16"/>
  <c r="O27" i="16"/>
  <c r="O28" i="16"/>
  <c r="O31" i="16"/>
  <c r="O32" i="16"/>
  <c r="O33" i="16"/>
  <c r="O34" i="16"/>
  <c r="O35" i="16"/>
  <c r="O36" i="16"/>
  <c r="O37" i="16"/>
  <c r="O38" i="16"/>
  <c r="O39" i="16"/>
  <c r="O40" i="16"/>
  <c r="O44" i="16"/>
  <c r="O45" i="16"/>
  <c r="O46" i="16"/>
  <c r="O47" i="16"/>
  <c r="O48" i="16"/>
  <c r="O49" i="16"/>
  <c r="O50" i="16"/>
  <c r="O51" i="16"/>
  <c r="O52" i="16"/>
  <c r="O53" i="16"/>
  <c r="O55" i="16"/>
  <c r="O56" i="16"/>
  <c r="O57" i="16"/>
  <c r="O58" i="16"/>
  <c r="O59" i="16"/>
  <c r="O60" i="16"/>
  <c r="O61" i="16"/>
  <c r="O62" i="16"/>
  <c r="O63" i="16"/>
  <c r="O64" i="16"/>
  <c r="O65" i="16"/>
  <c r="O67" i="16"/>
  <c r="O68" i="16"/>
  <c r="O69" i="16"/>
  <c r="O72" i="16"/>
  <c r="O73" i="16"/>
  <c r="O74" i="16"/>
  <c r="O75" i="16"/>
  <c r="O76" i="16"/>
  <c r="O77" i="16"/>
  <c r="O78" i="16"/>
  <c r="O79" i="16"/>
  <c r="O81" i="16"/>
  <c r="O83" i="16"/>
  <c r="O84" i="16"/>
  <c r="O85" i="16"/>
  <c r="O86" i="16"/>
  <c r="O87" i="16"/>
  <c r="O88" i="16"/>
  <c r="O89" i="16"/>
  <c r="O90" i="16"/>
  <c r="O91" i="16"/>
  <c r="O92" i="16"/>
  <c r="O93" i="16"/>
  <c r="O94" i="16"/>
  <c r="O95" i="16"/>
  <c r="O96" i="16"/>
  <c r="O97" i="16"/>
  <c r="O98" i="16"/>
  <c r="O99" i="16"/>
  <c r="O100" i="16"/>
  <c r="O102" i="16"/>
  <c r="O104" i="16"/>
  <c r="O105" i="16"/>
  <c r="O106" i="16"/>
  <c r="O107" i="16"/>
  <c r="O108" i="16"/>
  <c r="O109" i="16"/>
  <c r="O111" i="16"/>
  <c r="O112" i="16"/>
  <c r="O113" i="16"/>
  <c r="O114" i="16"/>
  <c r="O115" i="16"/>
  <c r="O116" i="16"/>
  <c r="O117" i="16"/>
  <c r="O118" i="16"/>
  <c r="O119" i="16"/>
  <c r="O120" i="16"/>
  <c r="O121" i="16"/>
  <c r="O122" i="16"/>
  <c r="O123" i="16"/>
  <c r="O124" i="16"/>
  <c r="O125" i="16"/>
  <c r="O126" i="16"/>
  <c r="O127" i="16"/>
  <c r="O128" i="16"/>
  <c r="O129" i="16"/>
  <c r="O130" i="16"/>
  <c r="O131" i="16"/>
  <c r="O132" i="16"/>
  <c r="O133" i="16"/>
  <c r="O134" i="16"/>
  <c r="O135" i="16"/>
  <c r="O136" i="16"/>
  <c r="O137" i="16"/>
  <c r="O138" i="16"/>
  <c r="O139" i="16"/>
  <c r="O140" i="16"/>
  <c r="O141" i="16"/>
  <c r="O142" i="16"/>
  <c r="O143" i="16"/>
  <c r="O144" i="16"/>
  <c r="O145" i="16"/>
  <c r="O146" i="16"/>
  <c r="O147" i="16"/>
  <c r="O148" i="16"/>
  <c r="O149" i="16"/>
  <c r="O150" i="16"/>
  <c r="O151" i="16"/>
  <c r="O152" i="16"/>
  <c r="O153" i="16"/>
  <c r="O154" i="16"/>
  <c r="O155" i="16"/>
  <c r="O156" i="16"/>
  <c r="O157" i="16"/>
  <c r="O158" i="16"/>
  <c r="O159" i="16"/>
  <c r="O160" i="16"/>
  <c r="O161" i="16"/>
  <c r="O162" i="16"/>
  <c r="O163" i="16"/>
  <c r="O20" i="16"/>
  <c r="N21" i="16"/>
  <c r="N22" i="16"/>
  <c r="N23" i="16"/>
  <c r="N24" i="16"/>
  <c r="N25" i="16"/>
  <c r="N27" i="16"/>
  <c r="N30" i="16"/>
  <c r="N31" i="16"/>
  <c r="N32" i="16"/>
  <c r="N33" i="16"/>
  <c r="N34" i="16"/>
  <c r="N35" i="16"/>
  <c r="N38" i="16"/>
  <c r="N39" i="16"/>
  <c r="N40" i="16"/>
  <c r="N45" i="16"/>
  <c r="N48" i="16"/>
  <c r="N50" i="16"/>
  <c r="N51" i="16"/>
  <c r="N59" i="16"/>
  <c r="N60" i="16"/>
  <c r="N61" i="16"/>
  <c r="N62" i="16"/>
  <c r="N67" i="16"/>
  <c r="N71" i="16"/>
  <c r="N72" i="16"/>
  <c r="N88" i="16"/>
  <c r="N89" i="16"/>
  <c r="N90" i="16"/>
  <c r="N91" i="16"/>
  <c r="N92" i="16"/>
  <c r="N93" i="16"/>
  <c r="N94" i="16"/>
  <c r="N95" i="16"/>
  <c r="N96" i="16"/>
  <c r="N97" i="16"/>
  <c r="N98" i="16"/>
  <c r="N99" i="16"/>
  <c r="N100" i="16"/>
  <c r="N103" i="16"/>
  <c r="N105" i="16"/>
  <c r="N106" i="16"/>
  <c r="N107" i="16"/>
  <c r="N108" i="16"/>
  <c r="N109" i="16"/>
  <c r="N110" i="16"/>
  <c r="N111" i="16"/>
  <c r="N113" i="16"/>
  <c r="N116" i="16"/>
  <c r="N117" i="16"/>
  <c r="N118" i="16"/>
  <c r="N119" i="16"/>
  <c r="N120" i="16"/>
  <c r="N121" i="16"/>
  <c r="N122" i="16"/>
  <c r="N123" i="16"/>
  <c r="N124" i="16"/>
  <c r="N125" i="16"/>
  <c r="N127" i="16"/>
  <c r="N128" i="16"/>
  <c r="N129" i="16"/>
  <c r="N130" i="16"/>
  <c r="N131" i="16"/>
  <c r="N132" i="16"/>
  <c r="N133" i="16"/>
  <c r="N134" i="16"/>
  <c r="N135" i="16"/>
  <c r="N136" i="16"/>
  <c r="N137" i="16"/>
  <c r="N138" i="16"/>
  <c r="N139" i="16"/>
  <c r="N140" i="16"/>
  <c r="N141" i="16"/>
  <c r="N142" i="16"/>
  <c r="N143" i="16"/>
  <c r="N144" i="16"/>
  <c r="N145" i="16"/>
  <c r="N146" i="16"/>
  <c r="N147" i="16"/>
  <c r="N148" i="16"/>
  <c r="N149" i="16"/>
  <c r="N150" i="16"/>
  <c r="N151" i="16"/>
  <c r="N152" i="16"/>
  <c r="N153" i="16"/>
  <c r="N154" i="16"/>
  <c r="N155" i="16"/>
  <c r="N156" i="16"/>
  <c r="N157" i="16"/>
  <c r="N158" i="16"/>
  <c r="N159" i="16"/>
  <c r="N161" i="16"/>
  <c r="N162" i="16"/>
  <c r="N20" i="16"/>
  <c r="M21" i="16"/>
  <c r="M22" i="16"/>
  <c r="M23" i="16"/>
  <c r="M24" i="16"/>
  <c r="M25" i="16"/>
  <c r="M27" i="16"/>
  <c r="M28" i="16"/>
  <c r="M31" i="16"/>
  <c r="M32" i="16"/>
  <c r="M33" i="16"/>
  <c r="M34" i="16"/>
  <c r="M35" i="16"/>
  <c r="M36" i="16"/>
  <c r="M37" i="16"/>
  <c r="M38" i="16"/>
  <c r="M39" i="16"/>
  <c r="M40" i="16"/>
  <c r="M41" i="16"/>
  <c r="M42" i="16"/>
  <c r="M43" i="16"/>
  <c r="M44" i="16"/>
  <c r="M45" i="16"/>
  <c r="M46" i="16"/>
  <c r="M47" i="16"/>
  <c r="M48" i="16"/>
  <c r="M49" i="16"/>
  <c r="M50" i="16"/>
  <c r="M51" i="16"/>
  <c r="M52" i="16"/>
  <c r="M53" i="16"/>
  <c r="M54" i="16"/>
  <c r="M55" i="16"/>
  <c r="M56" i="16"/>
  <c r="M57" i="16"/>
  <c r="M58" i="16"/>
  <c r="M59" i="16"/>
  <c r="M60" i="16"/>
  <c r="M61" i="16"/>
  <c r="M62" i="16"/>
  <c r="M63" i="16"/>
  <c r="M64" i="16"/>
  <c r="M65" i="16"/>
  <c r="M66" i="16"/>
  <c r="M67" i="16"/>
  <c r="M68" i="16"/>
  <c r="M69" i="16"/>
  <c r="M71" i="16"/>
  <c r="M72" i="16"/>
  <c r="M73" i="16"/>
  <c r="M74" i="16"/>
  <c r="M75" i="16"/>
  <c r="M76" i="16"/>
  <c r="M77" i="16"/>
  <c r="M78" i="16"/>
  <c r="M79" i="16"/>
  <c r="M80" i="16"/>
  <c r="M81" i="16"/>
  <c r="M82" i="16"/>
  <c r="M83" i="16"/>
  <c r="M84" i="16"/>
  <c r="M85" i="16"/>
  <c r="M86" i="16"/>
  <c r="M87" i="16"/>
  <c r="M88" i="16"/>
  <c r="M89" i="16"/>
  <c r="M90" i="16"/>
  <c r="M91" i="16"/>
  <c r="M92" i="16"/>
  <c r="M93" i="16"/>
  <c r="M94" i="16"/>
  <c r="M95" i="16"/>
  <c r="M96" i="16"/>
  <c r="M97" i="16"/>
  <c r="M98" i="16"/>
  <c r="M99" i="16"/>
  <c r="M100" i="16"/>
  <c r="M101" i="16"/>
  <c r="M102" i="16"/>
  <c r="M103" i="16"/>
  <c r="M104" i="16"/>
  <c r="M105" i="16"/>
  <c r="M106" i="16"/>
  <c r="M107" i="16"/>
  <c r="M108" i="16"/>
  <c r="M109" i="16"/>
  <c r="M110" i="16"/>
  <c r="M111" i="16"/>
  <c r="M112" i="16"/>
  <c r="M113" i="16"/>
  <c r="M114" i="16"/>
  <c r="M115" i="16"/>
  <c r="M116" i="16"/>
  <c r="M117" i="16"/>
  <c r="M118" i="16"/>
  <c r="M119" i="16"/>
  <c r="M120" i="16"/>
  <c r="M121" i="16"/>
  <c r="M122" i="16"/>
  <c r="M123" i="16"/>
  <c r="M124" i="16"/>
  <c r="M125" i="16"/>
  <c r="M126" i="16"/>
  <c r="M127" i="16"/>
  <c r="M128" i="16"/>
  <c r="M129" i="16"/>
  <c r="M130" i="16"/>
  <c r="M131" i="16"/>
  <c r="M132" i="16"/>
  <c r="M133" i="16"/>
  <c r="M134" i="16"/>
  <c r="M135" i="16"/>
  <c r="M136" i="16"/>
  <c r="M137" i="16"/>
  <c r="M138" i="16"/>
  <c r="M139" i="16"/>
  <c r="M140" i="16"/>
  <c r="M141" i="16"/>
  <c r="M142" i="16"/>
  <c r="M143" i="16"/>
  <c r="M144" i="16"/>
  <c r="M145" i="16"/>
  <c r="M146" i="16"/>
  <c r="M147" i="16"/>
  <c r="M148" i="16"/>
  <c r="M149" i="16"/>
  <c r="M150" i="16"/>
  <c r="M151" i="16"/>
  <c r="M152" i="16"/>
  <c r="M153" i="16"/>
  <c r="M154" i="16"/>
  <c r="M155" i="16"/>
  <c r="M156" i="16"/>
  <c r="M157" i="16"/>
  <c r="M158" i="16"/>
  <c r="M159" i="16"/>
  <c r="M160" i="16"/>
  <c r="M161" i="16"/>
  <c r="M162" i="16"/>
  <c r="M163" i="16"/>
  <c r="M20" i="16"/>
  <c r="L21" i="16"/>
  <c r="L22" i="16"/>
  <c r="L23" i="16"/>
  <c r="L24" i="16"/>
  <c r="L27" i="16"/>
  <c r="L30" i="16"/>
  <c r="L31" i="16"/>
  <c r="L32" i="16"/>
  <c r="L33" i="16"/>
  <c r="L34" i="16"/>
  <c r="L35" i="16"/>
  <c r="L38" i="16"/>
  <c r="L39" i="16"/>
  <c r="L40" i="16"/>
  <c r="L45" i="16"/>
  <c r="L47" i="16"/>
  <c r="L48" i="16"/>
  <c r="L50" i="16"/>
  <c r="L51" i="16"/>
  <c r="L54" i="16"/>
  <c r="L61" i="16"/>
  <c r="L62" i="16"/>
  <c r="L63" i="16"/>
  <c r="L64" i="16"/>
  <c r="L67" i="16"/>
  <c r="L69" i="16"/>
  <c r="L70" i="16"/>
  <c r="L71" i="16"/>
  <c r="L72" i="16"/>
  <c r="L74" i="16"/>
  <c r="L75" i="16"/>
  <c r="L76" i="16"/>
  <c r="L77" i="16"/>
  <c r="L79" i="16"/>
  <c r="L81" i="16"/>
  <c r="L82" i="16"/>
  <c r="L83" i="16"/>
  <c r="L87" i="16"/>
  <c r="L88" i="16"/>
  <c r="L89" i="16"/>
  <c r="L90" i="16"/>
  <c r="L91" i="16"/>
  <c r="L92" i="16"/>
  <c r="L93" i="16"/>
  <c r="L94" i="16"/>
  <c r="L95" i="16"/>
  <c r="L96" i="16"/>
  <c r="L97" i="16"/>
  <c r="L98" i="16"/>
  <c r="L99" i="16"/>
  <c r="L100" i="16"/>
  <c r="L105" i="16"/>
  <c r="L106" i="16"/>
  <c r="L107" i="16"/>
  <c r="L108" i="16"/>
  <c r="L109" i="16"/>
  <c r="L110" i="16"/>
  <c r="L111" i="16"/>
  <c r="L112" i="16"/>
  <c r="L113" i="16"/>
  <c r="L114" i="16"/>
  <c r="L115" i="16"/>
  <c r="L116" i="16"/>
  <c r="L117" i="16"/>
  <c r="L118" i="16"/>
  <c r="L119" i="16"/>
  <c r="L120" i="16"/>
  <c r="L121" i="16"/>
  <c r="L122" i="16"/>
  <c r="L123" i="16"/>
  <c r="L124" i="16"/>
  <c r="L125" i="16"/>
  <c r="L126" i="16"/>
  <c r="L127" i="16"/>
  <c r="L128" i="16"/>
  <c r="L129" i="16"/>
  <c r="L130" i="16"/>
  <c r="L131" i="16"/>
  <c r="L132" i="16"/>
  <c r="L133" i="16"/>
  <c r="L134" i="16"/>
  <c r="L135" i="16"/>
  <c r="L136" i="16"/>
  <c r="L137" i="16"/>
  <c r="L138" i="16"/>
  <c r="L139" i="16"/>
  <c r="L140" i="16"/>
  <c r="L141" i="16"/>
  <c r="L142" i="16"/>
  <c r="L143" i="16"/>
  <c r="L144" i="16"/>
  <c r="L145" i="16"/>
  <c r="L146" i="16"/>
  <c r="L147" i="16"/>
  <c r="L148" i="16"/>
  <c r="L149" i="16"/>
  <c r="L150" i="16"/>
  <c r="L151" i="16"/>
  <c r="L152" i="16"/>
  <c r="L153" i="16"/>
  <c r="L154" i="16"/>
  <c r="L155" i="16"/>
  <c r="L156" i="16"/>
  <c r="L157" i="16"/>
  <c r="L158" i="16"/>
  <c r="L159" i="16"/>
  <c r="L160" i="16"/>
  <c r="L161" i="16"/>
  <c r="L162" i="16"/>
  <c r="L20" i="16"/>
  <c r="G21" i="16"/>
  <c r="G22" i="16"/>
  <c r="G23" i="16"/>
  <c r="G24" i="16"/>
  <c r="G27" i="16"/>
  <c r="G31" i="16"/>
  <c r="G32" i="16"/>
  <c r="G33" i="16"/>
  <c r="G34" i="16"/>
  <c r="G35" i="16"/>
  <c r="G36" i="16"/>
  <c r="G38" i="16"/>
  <c r="G39" i="16"/>
  <c r="G40" i="16"/>
  <c r="G41" i="16"/>
  <c r="G42" i="16"/>
  <c r="G43" i="16"/>
  <c r="G44" i="16"/>
  <c r="G45" i="16"/>
  <c r="G46" i="16"/>
  <c r="G47" i="16"/>
  <c r="G48" i="16"/>
  <c r="G49" i="16"/>
  <c r="G50" i="16"/>
  <c r="G51" i="16"/>
  <c r="G52" i="16"/>
  <c r="G53" i="16"/>
  <c r="G54" i="16"/>
  <c r="G55" i="16"/>
  <c r="G56" i="16"/>
  <c r="G57" i="16"/>
  <c r="G58" i="16"/>
  <c r="G59" i="16"/>
  <c r="G60" i="16"/>
  <c r="G61" i="16"/>
  <c r="G62" i="16"/>
  <c r="G63" i="16"/>
  <c r="G64" i="16"/>
  <c r="G65" i="16"/>
  <c r="G67" i="16"/>
  <c r="G69" i="16"/>
  <c r="G71" i="16"/>
  <c r="G72" i="16"/>
  <c r="G73" i="16"/>
  <c r="G74" i="16"/>
  <c r="G76" i="16"/>
  <c r="G78" i="16"/>
  <c r="G79" i="16"/>
  <c r="G81" i="16"/>
  <c r="G82" i="16"/>
  <c r="G83" i="16"/>
  <c r="G84" i="16"/>
  <c r="G85" i="16"/>
  <c r="G86" i="16"/>
  <c r="G87" i="16"/>
  <c r="G88" i="16"/>
  <c r="G89" i="16"/>
  <c r="G90" i="16"/>
  <c r="G91" i="16"/>
  <c r="G92" i="16"/>
  <c r="G93" i="16"/>
  <c r="G94" i="16"/>
  <c r="G95" i="16"/>
  <c r="G96" i="16"/>
  <c r="G97" i="16"/>
  <c r="G98" i="16"/>
  <c r="G99" i="16"/>
  <c r="G100" i="16"/>
  <c r="G101" i="16"/>
  <c r="G102" i="16"/>
  <c r="G103" i="16"/>
  <c r="G104" i="16"/>
  <c r="G105" i="16"/>
  <c r="G106" i="16"/>
  <c r="G107" i="16"/>
  <c r="G108" i="16"/>
  <c r="G109" i="16"/>
  <c r="G111" i="16"/>
  <c r="G112" i="16"/>
  <c r="G113" i="16"/>
  <c r="G115" i="16"/>
  <c r="G116" i="16"/>
  <c r="G117" i="16"/>
  <c r="G118" i="16"/>
  <c r="G119" i="16"/>
  <c r="G120" i="16"/>
  <c r="G121" i="16"/>
  <c r="G122" i="16"/>
  <c r="G123" i="16"/>
  <c r="G124" i="16"/>
  <c r="G125" i="16"/>
  <c r="G126" i="16"/>
  <c r="G127" i="16"/>
  <c r="G128" i="16"/>
  <c r="G129" i="16"/>
  <c r="G130" i="16"/>
  <c r="G131" i="16"/>
  <c r="G132" i="16"/>
  <c r="G133" i="16"/>
  <c r="G134" i="16"/>
  <c r="G135" i="16"/>
  <c r="G136" i="16"/>
  <c r="G137" i="16"/>
  <c r="G138" i="16"/>
  <c r="G139" i="16"/>
  <c r="G140" i="16"/>
  <c r="G141" i="16"/>
  <c r="G142" i="16"/>
  <c r="G143" i="16"/>
  <c r="G144" i="16"/>
  <c r="G145" i="16"/>
  <c r="G146" i="16"/>
  <c r="G147" i="16"/>
  <c r="G148" i="16"/>
  <c r="G149" i="16"/>
  <c r="G150" i="16"/>
  <c r="G151" i="16"/>
  <c r="G152" i="16"/>
  <c r="G153" i="16"/>
  <c r="G154" i="16"/>
  <c r="G155" i="16"/>
  <c r="G156" i="16"/>
  <c r="G157" i="16"/>
  <c r="G158" i="16"/>
  <c r="G159" i="16"/>
  <c r="G160" i="16"/>
  <c r="G161" i="16"/>
  <c r="G162" i="16"/>
  <c r="G163" i="16"/>
  <c r="G20" i="16"/>
  <c r="F21" i="16"/>
  <c r="F22" i="16"/>
  <c r="F23" i="16"/>
  <c r="F24" i="16"/>
  <c r="F25" i="16"/>
  <c r="F27" i="16"/>
  <c r="F28" i="16"/>
  <c r="F30" i="16"/>
  <c r="F31" i="16"/>
  <c r="F32" i="16"/>
  <c r="F33" i="16"/>
  <c r="F34" i="16"/>
  <c r="F35" i="16"/>
  <c r="F38" i="16"/>
  <c r="F39" i="16"/>
  <c r="F40" i="16"/>
  <c r="F44" i="16"/>
  <c r="F45" i="16"/>
  <c r="F46" i="16"/>
  <c r="F47" i="16"/>
  <c r="F48" i="16"/>
  <c r="F50" i="16"/>
  <c r="F51" i="16"/>
  <c r="F54" i="16"/>
  <c r="F56" i="16"/>
  <c r="F59" i="16"/>
  <c r="F60" i="16"/>
  <c r="F61" i="16"/>
  <c r="F62" i="16"/>
  <c r="F63" i="16"/>
  <c r="F64" i="16"/>
  <c r="F67" i="16"/>
  <c r="F70" i="16"/>
  <c r="F71" i="16"/>
  <c r="F72" i="16"/>
  <c r="F75" i="16"/>
  <c r="F77" i="16"/>
  <c r="F78" i="16"/>
  <c r="F79" i="16"/>
  <c r="F80" i="16"/>
  <c r="F84" i="16"/>
  <c r="F85" i="16"/>
  <c r="F86" i="16"/>
  <c r="F87" i="16"/>
  <c r="F88" i="16"/>
  <c r="F89" i="16"/>
  <c r="F90" i="16"/>
  <c r="F91" i="16"/>
  <c r="F92" i="16"/>
  <c r="F93" i="16"/>
  <c r="F94" i="16"/>
  <c r="F95" i="16"/>
  <c r="F96" i="16"/>
  <c r="F97" i="16"/>
  <c r="F98" i="16"/>
  <c r="F99" i="16"/>
  <c r="F100" i="16"/>
  <c r="F105" i="16"/>
  <c r="F106" i="16"/>
  <c r="F107" i="16"/>
  <c r="F108" i="16"/>
  <c r="F109" i="16"/>
  <c r="F110" i="16"/>
  <c r="F111" i="16"/>
  <c r="F114" i="16"/>
  <c r="F117" i="16"/>
  <c r="F118" i="16"/>
  <c r="F119" i="16"/>
  <c r="F120" i="16"/>
  <c r="F121" i="16"/>
  <c r="F122" i="16"/>
  <c r="F123" i="16"/>
  <c r="F124" i="16"/>
  <c r="F125" i="16"/>
  <c r="F127" i="16"/>
  <c r="F128" i="16"/>
  <c r="F129" i="16"/>
  <c r="F130" i="16"/>
  <c r="F131" i="16"/>
  <c r="F132" i="16"/>
  <c r="F133" i="16"/>
  <c r="F135" i="16"/>
  <c r="F136" i="16"/>
  <c r="F137" i="16"/>
  <c r="F138" i="16"/>
  <c r="F139" i="16"/>
  <c r="F140" i="16"/>
  <c r="F141" i="16"/>
  <c r="F142" i="16"/>
  <c r="F143" i="16"/>
  <c r="F144" i="16"/>
  <c r="F145" i="16"/>
  <c r="F146" i="16"/>
  <c r="F147" i="16"/>
  <c r="F148" i="16"/>
  <c r="F149" i="16"/>
  <c r="F150" i="16"/>
  <c r="F151" i="16"/>
  <c r="F152" i="16"/>
  <c r="F153" i="16"/>
  <c r="F154" i="16"/>
  <c r="F155" i="16"/>
  <c r="F156" i="16"/>
  <c r="F157" i="16"/>
  <c r="F158" i="16"/>
  <c r="F159" i="16"/>
  <c r="F160" i="16"/>
  <c r="F161" i="16"/>
  <c r="F20" i="16"/>
  <c r="E22" i="16"/>
  <c r="E23" i="16"/>
  <c r="E27" i="16"/>
  <c r="E28"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8" i="16"/>
  <c r="E59" i="16"/>
  <c r="E60" i="16"/>
  <c r="E61" i="16"/>
  <c r="E62" i="16"/>
  <c r="E63" i="16"/>
  <c r="E64" i="16"/>
  <c r="E65" i="16"/>
  <c r="E66" i="16"/>
  <c r="E67" i="16"/>
  <c r="E68" i="16"/>
  <c r="E69" i="16"/>
  <c r="E71" i="16"/>
  <c r="E72" i="16"/>
  <c r="E73" i="16"/>
  <c r="E78" i="16"/>
  <c r="E79" i="16"/>
  <c r="E80" i="16"/>
  <c r="E81" i="16"/>
  <c r="E83" i="16"/>
  <c r="E84" i="16"/>
  <c r="E85" i="16"/>
  <c r="E86" i="16"/>
  <c r="E87" i="16"/>
  <c r="E88" i="16"/>
  <c r="E89" i="16"/>
  <c r="E90" i="16"/>
  <c r="E91" i="16"/>
  <c r="E92" i="16"/>
  <c r="E93" i="16"/>
  <c r="E94" i="16"/>
  <c r="E95" i="16"/>
  <c r="E96" i="16"/>
  <c r="E97" i="16"/>
  <c r="E98" i="16"/>
  <c r="E99" i="16"/>
  <c r="E100" i="16"/>
  <c r="E102" i="16"/>
  <c r="E103" i="16"/>
  <c r="E104" i="16"/>
  <c r="E105" i="16"/>
  <c r="E106" i="16"/>
  <c r="E107" i="16"/>
  <c r="E108" i="16"/>
  <c r="E109" i="16"/>
  <c r="E110" i="16"/>
  <c r="E111" i="16"/>
  <c r="E112" i="16"/>
  <c r="E113" i="16"/>
  <c r="E116" i="16"/>
  <c r="E117" i="16"/>
  <c r="E118" i="16"/>
  <c r="E119" i="16"/>
  <c r="E120" i="16"/>
  <c r="E121" i="16"/>
  <c r="E122" i="16"/>
  <c r="E123" i="16"/>
  <c r="E124" i="16"/>
  <c r="E125" i="16"/>
  <c r="E126" i="16"/>
  <c r="E127" i="16"/>
  <c r="E128" i="16"/>
  <c r="E129" i="16"/>
  <c r="E130" i="16"/>
  <c r="E131" i="16"/>
  <c r="E132" i="16"/>
  <c r="E133" i="16"/>
  <c r="E134" i="16"/>
  <c r="E135" i="16"/>
  <c r="E136" i="16"/>
  <c r="E137" i="16"/>
  <c r="E138" i="16"/>
  <c r="E139" i="16"/>
  <c r="E140" i="16"/>
  <c r="E141" i="16"/>
  <c r="E142" i="16"/>
  <c r="E143" i="16"/>
  <c r="E144" i="16"/>
  <c r="E145" i="16"/>
  <c r="E146" i="16"/>
  <c r="E147" i="16"/>
  <c r="E148" i="16"/>
  <c r="E149" i="16"/>
  <c r="E150" i="16"/>
  <c r="E151" i="16"/>
  <c r="E152" i="16"/>
  <c r="E153" i="16"/>
  <c r="E154" i="16"/>
  <c r="E155" i="16"/>
  <c r="E156" i="16"/>
  <c r="E157" i="16"/>
  <c r="E158" i="16"/>
  <c r="E159" i="16"/>
  <c r="E160" i="16"/>
  <c r="E161" i="16"/>
  <c r="E162" i="16"/>
  <c r="E163" i="16"/>
  <c r="E20" i="16"/>
  <c r="A163" i="16"/>
  <c r="D22" i="16"/>
  <c r="D23" i="16"/>
  <c r="D25" i="16"/>
  <c r="D27" i="16"/>
  <c r="D30" i="16"/>
  <c r="D31" i="16"/>
  <c r="D32" i="16"/>
  <c r="D33" i="16"/>
  <c r="D34" i="16"/>
  <c r="D35" i="16"/>
  <c r="D38" i="16"/>
  <c r="D39" i="16"/>
  <c r="D40" i="16"/>
  <c r="D47" i="16"/>
  <c r="D50" i="16"/>
  <c r="D51" i="16"/>
  <c r="D56" i="16"/>
  <c r="D57" i="16"/>
  <c r="D61" i="16"/>
  <c r="D67" i="16"/>
  <c r="D71" i="16"/>
  <c r="D72" i="16"/>
  <c r="D74" i="16"/>
  <c r="D75" i="16"/>
  <c r="D76" i="16"/>
  <c r="D77" i="16"/>
  <c r="D88" i="16"/>
  <c r="D89" i="16"/>
  <c r="D90" i="16"/>
  <c r="D91" i="16"/>
  <c r="D94" i="16"/>
  <c r="D95" i="16"/>
  <c r="D96" i="16"/>
  <c r="D97" i="16"/>
  <c r="D98" i="16"/>
  <c r="D99" i="16"/>
  <c r="D100" i="16"/>
  <c r="D104" i="16"/>
  <c r="D105" i="16"/>
  <c r="D106" i="16"/>
  <c r="D107" i="16"/>
  <c r="D108" i="16"/>
  <c r="D109" i="16"/>
  <c r="D116" i="16"/>
  <c r="D117" i="16"/>
  <c r="D118" i="16"/>
  <c r="D119" i="16"/>
  <c r="D120" i="16"/>
  <c r="D121" i="16"/>
  <c r="D122" i="16"/>
  <c r="D123" i="16"/>
  <c r="D124" i="16"/>
  <c r="D125" i="16"/>
  <c r="D126" i="16"/>
  <c r="D127" i="16"/>
  <c r="D128" i="16"/>
  <c r="D129" i="16"/>
  <c r="D130" i="16"/>
  <c r="D132" i="16"/>
  <c r="D134" i="16"/>
  <c r="D135" i="16"/>
  <c r="D136" i="16"/>
  <c r="D137" i="16"/>
  <c r="D138" i="16"/>
  <c r="D139" i="16"/>
  <c r="D140" i="16"/>
  <c r="D141" i="16"/>
  <c r="D142" i="16"/>
  <c r="D143" i="16"/>
  <c r="D144" i="16"/>
  <c r="D145" i="16"/>
  <c r="D146" i="16"/>
  <c r="D147" i="16"/>
  <c r="D148" i="16"/>
  <c r="D149" i="16"/>
  <c r="D150" i="16"/>
  <c r="D151" i="16"/>
  <c r="D152" i="16"/>
  <c r="D153" i="16"/>
  <c r="D154" i="16"/>
  <c r="D155" i="16"/>
  <c r="D156" i="16"/>
  <c r="D157" i="16"/>
  <c r="D158" i="16"/>
  <c r="D159" i="16"/>
  <c r="D160" i="16"/>
  <c r="D161" i="16"/>
  <c r="D162" i="16"/>
  <c r="D20" i="16"/>
  <c r="BH106" i="7" l="1"/>
  <c r="U119" i="16" s="1"/>
  <c r="U117" i="16"/>
  <c r="BH124" i="7" l="1"/>
  <c r="U137" i="16" s="1"/>
  <c r="BH122" i="7"/>
  <c r="U135" i="16" s="1"/>
  <c r="H28" i="19" l="1"/>
  <c r="H25" i="19"/>
  <c r="R5" i="18" l="1"/>
  <c r="R6" i="18"/>
  <c r="R10" i="18"/>
  <c r="R11" i="18"/>
  <c r="R12" i="18"/>
  <c r="R13" i="18"/>
  <c r="R14" i="18"/>
  <c r="R15" i="18"/>
  <c r="R25" i="18"/>
  <c r="R26" i="18"/>
  <c r="R27" i="18"/>
  <c r="R28" i="18"/>
  <c r="R29" i="18"/>
  <c r="R30" i="18"/>
  <c r="R4" i="18"/>
  <c r="BH114" i="7" l="1"/>
  <c r="U127" i="16" s="1"/>
  <c r="AI147" i="7"/>
  <c r="N160" i="16" s="1"/>
  <c r="K150" i="7" l="1"/>
  <c r="AC150" i="7" s="1"/>
  <c r="P163" i="16" s="1"/>
  <c r="K99" i="7"/>
  <c r="K97" i="7"/>
  <c r="BM97" i="7" l="1"/>
  <c r="V110" i="16" s="1"/>
  <c r="AJ97" i="7"/>
  <c r="O110" i="16" s="1"/>
  <c r="BM99" i="7"/>
  <c r="V112" i="16" s="1"/>
  <c r="AI99" i="7"/>
  <c r="N112" i="16" s="1"/>
  <c r="AI150" i="7"/>
  <c r="N163" i="16" s="1"/>
  <c r="BG150" i="7"/>
  <c r="T163" i="16" s="1"/>
  <c r="AU150" i="7"/>
  <c r="D163" i="16" s="1"/>
  <c r="BA150" i="7"/>
  <c r="R163" i="16" s="1"/>
  <c r="AO150" i="7"/>
  <c r="F163" i="16" s="1"/>
  <c r="Q150" i="7"/>
  <c r="AR150" i="7"/>
  <c r="W150" i="7"/>
  <c r="J29" i="18"/>
  <c r="J30" i="18"/>
  <c r="J28" i="18"/>
  <c r="J26" i="18"/>
  <c r="J27" i="18"/>
  <c r="J25" i="18"/>
  <c r="J23" i="18"/>
  <c r="J24" i="18"/>
  <c r="J22" i="18"/>
  <c r="J20" i="18"/>
  <c r="J21" i="18"/>
  <c r="J19" i="18"/>
  <c r="J17" i="18"/>
  <c r="J18" i="18"/>
  <c r="J16" i="18"/>
  <c r="J8" i="18"/>
  <c r="J9" i="18"/>
  <c r="J7" i="18"/>
  <c r="J5" i="18"/>
  <c r="J4" i="18"/>
  <c r="U177" i="16" l="1"/>
  <c r="T177" i="16"/>
  <c r="L163" i="16"/>
  <c r="BM150" i="7"/>
  <c r="V163" i="16" s="1"/>
  <c r="M177" i="16"/>
  <c r="L177" i="16"/>
  <c r="S177" i="16"/>
  <c r="R177" i="16"/>
  <c r="O177" i="16"/>
  <c r="N177" i="16"/>
  <c r="D177" i="16"/>
  <c r="E177" i="16"/>
  <c r="G177" i="16"/>
  <c r="F177" i="16"/>
  <c r="Q177" i="16"/>
  <c r="P177" i="16"/>
  <c r="BH116" i="7" l="1"/>
  <c r="U129" i="16" s="1"/>
  <c r="BG42" i="7"/>
  <c r="T55" i="16" s="1"/>
  <c r="BH15" i="7" l="1"/>
  <c r="U28" i="16" s="1"/>
  <c r="X28" i="23" l="1"/>
  <c r="R28" i="23" s="1"/>
  <c r="X13" i="23"/>
  <c r="S28" i="23" l="1"/>
  <c r="T28" i="23"/>
  <c r="R13" i="23"/>
  <c r="S13" i="23"/>
  <c r="T13" i="23"/>
  <c r="F71" i="17" l="1"/>
  <c r="E71" i="17"/>
  <c r="D71" i="17"/>
  <c r="D53" i="17"/>
  <c r="I30" i="18" l="1"/>
  <c r="I29" i="18"/>
  <c r="I28" i="18"/>
  <c r="U176" i="16" l="1"/>
  <c r="T176" i="16"/>
  <c r="I16" i="40" l="1"/>
  <c r="H16" i="40"/>
  <c r="G16" i="40"/>
  <c r="I57" i="39"/>
  <c r="D55" i="40"/>
  <c r="F56" i="40"/>
  <c r="H56" i="40"/>
  <c r="K56" i="40"/>
  <c r="F57" i="40"/>
  <c r="H57" i="40"/>
  <c r="K57" i="40"/>
  <c r="F58" i="40"/>
  <c r="H58" i="40"/>
  <c r="K58" i="40"/>
  <c r="F59" i="40"/>
  <c r="H59" i="40"/>
  <c r="K59" i="40"/>
  <c r="F60" i="40"/>
  <c r="H60" i="40"/>
  <c r="K60" i="40"/>
  <c r="F61" i="40"/>
  <c r="H61" i="40"/>
  <c r="K61" i="40"/>
  <c r="F62" i="40"/>
  <c r="H62" i="40"/>
  <c r="K62" i="40"/>
  <c r="F63" i="40"/>
  <c r="H63" i="40"/>
  <c r="K63" i="40"/>
  <c r="F64" i="40"/>
  <c r="H64" i="40"/>
  <c r="K64" i="40"/>
  <c r="F65" i="40"/>
  <c r="H65" i="40"/>
  <c r="K65" i="40"/>
  <c r="F66" i="40"/>
  <c r="H66" i="40"/>
  <c r="K66" i="40"/>
  <c r="F67" i="40"/>
  <c r="H67" i="40"/>
  <c r="K67" i="40"/>
  <c r="Q68" i="39"/>
  <c r="L68" i="39"/>
  <c r="I68" i="39"/>
  <c r="Q67" i="39"/>
  <c r="L67" i="39"/>
  <c r="I67" i="39"/>
  <c r="Q66" i="39"/>
  <c r="L66" i="39"/>
  <c r="I66" i="39"/>
  <c r="Q65" i="39"/>
  <c r="L65" i="39"/>
  <c r="I65" i="39"/>
  <c r="L64" i="39"/>
  <c r="I64" i="39"/>
  <c r="Q63" i="39"/>
  <c r="L63" i="39"/>
  <c r="I63" i="39"/>
  <c r="L62" i="39"/>
  <c r="I62" i="39"/>
  <c r="L61" i="39"/>
  <c r="I61" i="39"/>
  <c r="L60" i="39"/>
  <c r="I60" i="39"/>
  <c r="L59" i="39"/>
  <c r="I59" i="39"/>
  <c r="L57" i="39"/>
  <c r="I16" i="39"/>
  <c r="H16" i="39"/>
  <c r="G16" i="39"/>
  <c r="I62" i="40" l="1"/>
  <c r="V30" i="18"/>
  <c r="V29" i="18"/>
  <c r="V28" i="18"/>
  <c r="U26" i="16"/>
  <c r="T26" i="16"/>
  <c r="I58" i="40"/>
  <c r="I67" i="40"/>
  <c r="I65" i="40"/>
  <c r="I60" i="40"/>
  <c r="I64" i="40"/>
  <c r="I66" i="40"/>
  <c r="I61" i="40"/>
  <c r="I59" i="40"/>
  <c r="I56" i="40"/>
  <c r="X27" i="23" l="1"/>
  <c r="R27" i="23" s="1"/>
  <c r="BA141" i="7" l="1"/>
  <c r="R154" i="16" s="1"/>
  <c r="BA116" i="7"/>
  <c r="R129" i="16" s="1"/>
  <c r="BA114" i="7"/>
  <c r="R127" i="16" s="1"/>
  <c r="BA111" i="7"/>
  <c r="R124" i="16" s="1"/>
  <c r="BA109" i="7"/>
  <c r="R122" i="16" s="1"/>
  <c r="BA54" i="7"/>
  <c r="R67" i="16" s="1"/>
  <c r="BA138" i="7" l="1"/>
  <c r="R151" i="16" s="1"/>
  <c r="BA58" i="7"/>
  <c r="R71" i="16" s="1"/>
  <c r="AU98" i="7" l="1"/>
  <c r="D111" i="16" s="1"/>
  <c r="R55" i="16" l="1"/>
  <c r="F62" i="17" l="1"/>
  <c r="E62" i="17"/>
  <c r="D62" i="17"/>
  <c r="T27" i="23"/>
  <c r="X12" i="23"/>
  <c r="T12" i="23" s="1"/>
  <c r="I16" i="37"/>
  <c r="H16" i="37"/>
  <c r="G16" i="37"/>
  <c r="AB25" i="19"/>
  <c r="I27" i="18"/>
  <c r="I26" i="18"/>
  <c r="I25" i="18"/>
  <c r="BA15" i="7"/>
  <c r="R28" i="16" l="1"/>
  <c r="S176" i="16"/>
  <c r="R176" i="16"/>
  <c r="BE15" i="7"/>
  <c r="BE6" i="7" s="1"/>
  <c r="S27" i="23"/>
  <c r="R12" i="23"/>
  <c r="S12" i="23"/>
  <c r="AB27" i="19"/>
  <c r="AB26" i="19"/>
  <c r="V25" i="18" l="1"/>
  <c r="K25" i="7"/>
  <c r="G18" i="40" l="1"/>
  <c r="G21" i="36"/>
  <c r="G22" i="36"/>
  <c r="G24" i="36" s="1"/>
  <c r="F16" i="42"/>
  <c r="I25" i="42" s="1"/>
  <c r="J25" i="42" s="1"/>
  <c r="G17" i="40"/>
  <c r="E3" i="32"/>
  <c r="F20" i="43"/>
  <c r="U31" i="18"/>
  <c r="M166" i="16"/>
  <c r="L166" i="16"/>
  <c r="V27" i="18"/>
  <c r="V26" i="18"/>
  <c r="U28" i="18"/>
  <c r="G17" i="39"/>
  <c r="U25" i="18"/>
  <c r="G17" i="37"/>
  <c r="H18" i="32" l="1"/>
  <c r="I18" i="32" s="1"/>
  <c r="H24" i="32"/>
  <c r="I24" i="32" s="1"/>
  <c r="I38" i="43"/>
  <c r="J38" i="43" s="1"/>
  <c r="I32" i="43"/>
  <c r="J32" i="43" s="1"/>
  <c r="I36" i="43"/>
  <c r="J36" i="43" s="1"/>
  <c r="I30" i="43"/>
  <c r="J30" i="43" s="1"/>
  <c r="I39" i="43"/>
  <c r="J39" i="43" s="1"/>
  <c r="I37" i="43"/>
  <c r="J37" i="43" s="1"/>
  <c r="I35" i="43"/>
  <c r="J35" i="43" s="1"/>
  <c r="I33" i="43"/>
  <c r="J33" i="43" s="1"/>
  <c r="I31" i="43"/>
  <c r="J31" i="43" s="1"/>
  <c r="I29" i="43"/>
  <c r="J29" i="43" s="1"/>
  <c r="I34" i="43"/>
  <c r="J34" i="43" s="1"/>
  <c r="I36" i="42"/>
  <c r="J36" i="42" s="1"/>
  <c r="I32" i="42"/>
  <c r="J32" i="42" s="1"/>
  <c r="I28" i="42"/>
  <c r="J28" i="42" s="1"/>
  <c r="I37" i="42"/>
  <c r="J37" i="42" s="1"/>
  <c r="I33" i="42"/>
  <c r="J33" i="42" s="1"/>
  <c r="I29" i="42"/>
  <c r="J29" i="42" s="1"/>
  <c r="I31" i="42"/>
  <c r="J31" i="42" s="1"/>
  <c r="I35" i="42"/>
  <c r="J35" i="42" s="1"/>
  <c r="I34" i="42"/>
  <c r="J34" i="42" s="1"/>
  <c r="I30" i="42"/>
  <c r="J30" i="42" s="1"/>
  <c r="I26" i="42"/>
  <c r="J26" i="42" s="1"/>
  <c r="I27" i="42"/>
  <c r="J27" i="42" s="1"/>
  <c r="J41" i="40"/>
  <c r="K41" i="40" s="1"/>
  <c r="J42" i="40"/>
  <c r="K42" i="40" s="1"/>
  <c r="J41" i="39"/>
  <c r="K41" i="39" s="1"/>
  <c r="J42" i="39"/>
  <c r="K42" i="39" s="1"/>
  <c r="J40" i="40"/>
  <c r="K40" i="40" s="1"/>
  <c r="J37" i="40"/>
  <c r="K37" i="40" s="1"/>
  <c r="J35" i="40"/>
  <c r="K35" i="40" s="1"/>
  <c r="J31" i="40"/>
  <c r="K31" i="40" s="1"/>
  <c r="J32" i="40"/>
  <c r="K32" i="40" s="1"/>
  <c r="J36" i="40"/>
  <c r="K36" i="40" s="1"/>
  <c r="J30" i="40"/>
  <c r="K30" i="40" s="1"/>
  <c r="J34" i="40"/>
  <c r="K34" i="40" s="1"/>
  <c r="J33" i="40"/>
  <c r="K33" i="40" s="1"/>
  <c r="J38" i="40"/>
  <c r="K38" i="40" s="1"/>
  <c r="J39" i="40"/>
  <c r="K39" i="40" s="1"/>
  <c r="J35" i="39"/>
  <c r="K35" i="39" s="1"/>
  <c r="J40" i="39"/>
  <c r="K40" i="39" s="1"/>
  <c r="J38" i="39"/>
  <c r="K38" i="39" s="1"/>
  <c r="J33" i="39"/>
  <c r="K33" i="39" s="1"/>
  <c r="J31" i="39"/>
  <c r="K31" i="39" s="1"/>
  <c r="J36" i="39"/>
  <c r="K36" i="39" s="1"/>
  <c r="J39" i="39"/>
  <c r="K39" i="39" s="1"/>
  <c r="J37" i="39"/>
  <c r="K37" i="39" s="1"/>
  <c r="J32" i="39"/>
  <c r="K32" i="39" s="1"/>
  <c r="J30" i="39"/>
  <c r="K30" i="39" s="1"/>
  <c r="J34" i="39"/>
  <c r="K34" i="39" s="1"/>
  <c r="J35" i="37"/>
  <c r="K35" i="37" s="1"/>
  <c r="J34" i="37"/>
  <c r="K34" i="37" s="1"/>
  <c r="J28" i="37"/>
  <c r="K28" i="37" s="1"/>
  <c r="J32" i="37"/>
  <c r="K32" i="37" s="1"/>
  <c r="J26" i="37"/>
  <c r="K26" i="37" s="1"/>
  <c r="J30" i="37"/>
  <c r="K30" i="37" s="1"/>
  <c r="J29" i="37"/>
  <c r="K29" i="37" s="1"/>
  <c r="J31" i="37"/>
  <c r="K31" i="37" s="1"/>
  <c r="J27" i="37"/>
  <c r="K27" i="37" s="1"/>
  <c r="J33" i="37"/>
  <c r="K33" i="37" s="1"/>
  <c r="J36" i="36"/>
  <c r="K36" i="36" s="1"/>
  <c r="J30" i="36"/>
  <c r="K30" i="36" s="1"/>
  <c r="J34" i="36"/>
  <c r="K34" i="36" s="1"/>
  <c r="J38" i="36"/>
  <c r="K38" i="36" s="1"/>
  <c r="J32" i="36"/>
  <c r="K32" i="36" s="1"/>
  <c r="J37" i="36"/>
  <c r="K37" i="36" s="1"/>
  <c r="J33" i="36"/>
  <c r="K33" i="36" s="1"/>
  <c r="J35" i="36"/>
  <c r="K35" i="36" s="1"/>
  <c r="J31" i="36"/>
  <c r="K31" i="36" s="1"/>
  <c r="J41" i="43" l="1"/>
  <c r="F21" i="43" s="1"/>
  <c r="J39" i="42"/>
  <c r="F17" i="42" s="1"/>
  <c r="K44" i="40"/>
  <c r="G20" i="40" s="1"/>
  <c r="K44" i="39"/>
  <c r="G18" i="39" s="1"/>
  <c r="K37" i="37"/>
  <c r="G18" i="37" s="1"/>
  <c r="G20" i="37" s="1"/>
  <c r="K41" i="36"/>
  <c r="A20" i="32"/>
  <c r="A21" i="32" s="1"/>
  <c r="A22" i="32" s="1"/>
  <c r="A23" i="32" s="1"/>
  <c r="B27" i="31"/>
  <c r="B28" i="31" s="1"/>
  <c r="B29" i="31" s="1"/>
  <c r="B30" i="31" s="1"/>
  <c r="B31" i="31" s="1"/>
  <c r="B32" i="31" s="1"/>
  <c r="B33" i="31" s="1"/>
  <c r="H16" i="31"/>
  <c r="G16" i="31"/>
  <c r="F16" i="31"/>
  <c r="C30" i="29"/>
  <c r="C31" i="29" s="1"/>
  <c r="C32" i="29" s="1"/>
  <c r="C33" i="29" s="1"/>
  <c r="I16" i="29"/>
  <c r="H16" i="29"/>
  <c r="G16" i="29"/>
  <c r="A16" i="27"/>
  <c r="A17" i="27" s="1"/>
  <c r="A18" i="27" s="1"/>
  <c r="A19" i="27" s="1"/>
  <c r="C29" i="26"/>
  <c r="C30" i="26" s="1"/>
  <c r="C31" i="26" s="1"/>
  <c r="C32" i="26" s="1"/>
  <c r="C33" i="26" s="1"/>
  <c r="C34" i="26" s="1"/>
  <c r="C35" i="26" s="1"/>
  <c r="A26" i="26"/>
  <c r="A25" i="26"/>
  <c r="A24" i="26"/>
  <c r="A23" i="26"/>
  <c r="A22" i="26"/>
  <c r="A21" i="26"/>
  <c r="A20" i="26"/>
  <c r="A19" i="26"/>
  <c r="I18" i="26"/>
  <c r="H18" i="26"/>
  <c r="G18" i="26"/>
  <c r="A18" i="26"/>
  <c r="A17" i="26"/>
  <c r="X26" i="23"/>
  <c r="X25" i="23"/>
  <c r="S25" i="23" s="1"/>
  <c r="X24" i="23"/>
  <c r="X23" i="23"/>
  <c r="S23" i="23" s="1"/>
  <c r="X22" i="23"/>
  <c r="R22" i="23" s="1"/>
  <c r="X21" i="23"/>
  <c r="T21" i="23" s="1"/>
  <c r="X20" i="23"/>
  <c r="X11" i="23"/>
  <c r="X10" i="23"/>
  <c r="T10" i="23" s="1"/>
  <c r="X9" i="23"/>
  <c r="X8" i="23"/>
  <c r="T8" i="23" s="1"/>
  <c r="X7" i="23"/>
  <c r="S7" i="23" s="1"/>
  <c r="I7" i="23"/>
  <c r="H7" i="23"/>
  <c r="G7" i="23"/>
  <c r="X6" i="23"/>
  <c r="T6" i="23" s="1"/>
  <c r="X5" i="23"/>
  <c r="EF124" i="22"/>
  <c r="EE124" i="22"/>
  <c r="ED124" i="22"/>
  <c r="EC124" i="22"/>
  <c r="EF123" i="22"/>
  <c r="EE123" i="22"/>
  <c r="ED123" i="22"/>
  <c r="EC123" i="22"/>
  <c r="EF122" i="22"/>
  <c r="EE122" i="22"/>
  <c r="ED122" i="22"/>
  <c r="EC122" i="22"/>
  <c r="EF121" i="22"/>
  <c r="EE121" i="22"/>
  <c r="ED121" i="22"/>
  <c r="EC121" i="22"/>
  <c r="EF120" i="22"/>
  <c r="EE120" i="22"/>
  <c r="ED120" i="22"/>
  <c r="EC120" i="22"/>
  <c r="A120" i="22"/>
  <c r="EF119" i="22"/>
  <c r="EE119" i="22"/>
  <c r="ED119" i="22"/>
  <c r="EC119" i="22"/>
  <c r="EF118" i="22"/>
  <c r="EE118" i="22"/>
  <c r="ED118" i="22"/>
  <c r="EC118" i="22"/>
  <c r="A118" i="22"/>
  <c r="EF117" i="22"/>
  <c r="EE117" i="22"/>
  <c r="ED117" i="22"/>
  <c r="EC117" i="22"/>
  <c r="A117" i="22"/>
  <c r="EF116" i="22"/>
  <c r="EE116" i="22"/>
  <c r="ED116" i="22"/>
  <c r="EC116" i="22"/>
  <c r="EF115" i="22"/>
  <c r="EE115" i="22"/>
  <c r="ED115" i="22"/>
  <c r="EC115" i="22"/>
  <c r="A115" i="22"/>
  <c r="EF114" i="22"/>
  <c r="EE114" i="22"/>
  <c r="ED114" i="22"/>
  <c r="EC114" i="22"/>
  <c r="A114" i="22"/>
  <c r="EF113" i="22"/>
  <c r="EE113" i="22"/>
  <c r="ED113" i="22"/>
  <c r="EC113" i="22"/>
  <c r="A113" i="22"/>
  <c r="EF112" i="22"/>
  <c r="EE112" i="22"/>
  <c r="ED112" i="22"/>
  <c r="EC112" i="22"/>
  <c r="A112" i="22"/>
  <c r="EF111" i="22"/>
  <c r="EE111" i="22"/>
  <c r="ED111" i="22"/>
  <c r="EC111" i="22"/>
  <c r="A111" i="22"/>
  <c r="EF110" i="22"/>
  <c r="EE110" i="22"/>
  <c r="ED110" i="22"/>
  <c r="EC110" i="22"/>
  <c r="A110" i="22"/>
  <c r="EF109" i="22"/>
  <c r="EE109" i="22"/>
  <c r="ED109" i="22"/>
  <c r="EC109" i="22"/>
  <c r="EF108" i="22"/>
  <c r="EE108" i="22"/>
  <c r="ED108" i="22"/>
  <c r="EC108" i="22"/>
  <c r="A108" i="22"/>
  <c r="EF107" i="22"/>
  <c r="EE107" i="22"/>
  <c r="ED107" i="22"/>
  <c r="EC107" i="22"/>
  <c r="A107" i="22"/>
  <c r="EF106" i="22"/>
  <c r="EE106" i="22"/>
  <c r="ED106" i="22"/>
  <c r="EC106" i="22"/>
  <c r="A106" i="22"/>
  <c r="EF105" i="22"/>
  <c r="EE105" i="22"/>
  <c r="ED105" i="22"/>
  <c r="EC105" i="22"/>
  <c r="A105" i="22"/>
  <c r="EF104" i="22"/>
  <c r="EE104" i="22"/>
  <c r="ED104" i="22"/>
  <c r="EC104" i="22"/>
  <c r="A104" i="22"/>
  <c r="EF103" i="22"/>
  <c r="EE103" i="22"/>
  <c r="ED103" i="22"/>
  <c r="EC103" i="22"/>
  <c r="A103" i="22"/>
  <c r="EF102" i="22"/>
  <c r="EE102" i="22"/>
  <c r="ED102" i="22"/>
  <c r="EC102" i="22"/>
  <c r="A102" i="22"/>
  <c r="EF101" i="22"/>
  <c r="EE101" i="22"/>
  <c r="ED101" i="22"/>
  <c r="EC101" i="22"/>
  <c r="A101" i="22"/>
  <c r="EF100" i="22"/>
  <c r="EE100" i="22"/>
  <c r="ED100" i="22"/>
  <c r="EC100" i="22"/>
  <c r="A100" i="22"/>
  <c r="EF99" i="22"/>
  <c r="EE99" i="22"/>
  <c r="ED99" i="22"/>
  <c r="EC99" i="22"/>
  <c r="A99" i="22"/>
  <c r="EF98" i="22"/>
  <c r="EE98" i="22"/>
  <c r="ED98" i="22"/>
  <c r="EC98" i="22"/>
  <c r="A98" i="22"/>
  <c r="EF97" i="22"/>
  <c r="EE97" i="22"/>
  <c r="ED97" i="22"/>
  <c r="EC97" i="22"/>
  <c r="EF96" i="22"/>
  <c r="EE96" i="22"/>
  <c r="ED96" i="22"/>
  <c r="EC96" i="22"/>
  <c r="A96" i="22"/>
  <c r="EF95" i="22"/>
  <c r="EE95" i="22"/>
  <c r="ED95" i="22"/>
  <c r="EC95" i="22"/>
  <c r="A95" i="22"/>
  <c r="EF94" i="22"/>
  <c r="EE94" i="22"/>
  <c r="ED94" i="22"/>
  <c r="EC94" i="22"/>
  <c r="A94" i="22"/>
  <c r="EF93" i="22"/>
  <c r="EE93" i="22"/>
  <c r="ED93" i="22"/>
  <c r="EC93" i="22"/>
  <c r="A93" i="22"/>
  <c r="EF92" i="22"/>
  <c r="EE92" i="22"/>
  <c r="ED92" i="22"/>
  <c r="EC92" i="22"/>
  <c r="A92" i="22"/>
  <c r="EF91" i="22"/>
  <c r="EE91" i="22"/>
  <c r="ED91" i="22"/>
  <c r="EC91" i="22"/>
  <c r="A91" i="22"/>
  <c r="EF90" i="22"/>
  <c r="EE90" i="22"/>
  <c r="ED90" i="22"/>
  <c r="EC90" i="22"/>
  <c r="A90" i="22"/>
  <c r="EF89" i="22"/>
  <c r="EE89" i="22"/>
  <c r="ED89" i="22"/>
  <c r="EC89" i="22"/>
  <c r="EF88" i="22"/>
  <c r="EE88" i="22"/>
  <c r="ED88" i="22"/>
  <c r="EC88" i="22"/>
  <c r="A88" i="22"/>
  <c r="EF87" i="22"/>
  <c r="EE87" i="22"/>
  <c r="ED87" i="22"/>
  <c r="EC87" i="22"/>
  <c r="A87" i="22"/>
  <c r="EF86" i="22"/>
  <c r="EE86" i="22"/>
  <c r="ED86" i="22"/>
  <c r="EC86" i="22"/>
  <c r="A86" i="22"/>
  <c r="EF85" i="22"/>
  <c r="EE85" i="22"/>
  <c r="ED85" i="22"/>
  <c r="EC85" i="22"/>
  <c r="A85" i="22"/>
  <c r="EF84" i="22"/>
  <c r="EE84" i="22"/>
  <c r="ED84" i="22"/>
  <c r="EC84" i="22"/>
  <c r="A84" i="22"/>
  <c r="EF83" i="22"/>
  <c r="EE83" i="22"/>
  <c r="ED83" i="22"/>
  <c r="EC83" i="22"/>
  <c r="A83" i="22"/>
  <c r="EF82" i="22"/>
  <c r="EE82" i="22"/>
  <c r="ED82" i="22"/>
  <c r="EC82" i="22"/>
  <c r="A82" i="22"/>
  <c r="EF81" i="22"/>
  <c r="EE81" i="22"/>
  <c r="ED81" i="22"/>
  <c r="EC81" i="22"/>
  <c r="A81" i="22"/>
  <c r="EF80" i="22"/>
  <c r="EE80" i="22"/>
  <c r="ED80" i="22"/>
  <c r="EC80" i="22"/>
  <c r="A80" i="22"/>
  <c r="EF79" i="22"/>
  <c r="EE79" i="22"/>
  <c r="ED79" i="22"/>
  <c r="EC79" i="22"/>
  <c r="A79" i="22"/>
  <c r="EF78" i="22"/>
  <c r="EE78" i="22"/>
  <c r="ED78" i="22"/>
  <c r="EC78" i="22"/>
  <c r="A78" i="22"/>
  <c r="EF77" i="22"/>
  <c r="EE77" i="22"/>
  <c r="ED77" i="22"/>
  <c r="EC77" i="22"/>
  <c r="A77" i="22"/>
  <c r="EF76" i="22"/>
  <c r="EE76" i="22"/>
  <c r="ED76" i="22"/>
  <c r="EC76" i="22"/>
  <c r="A76" i="22"/>
  <c r="EF75" i="22"/>
  <c r="EE75" i="22"/>
  <c r="ED75" i="22"/>
  <c r="EC75" i="22"/>
  <c r="A75" i="22"/>
  <c r="EF74" i="22"/>
  <c r="EE74" i="22"/>
  <c r="ED74" i="22"/>
  <c r="EC74" i="22"/>
  <c r="A74" i="22"/>
  <c r="EF73" i="22"/>
  <c r="EE73" i="22"/>
  <c r="ED73" i="22"/>
  <c r="EC73" i="22"/>
  <c r="A73" i="22"/>
  <c r="EF72" i="22"/>
  <c r="EE72" i="22"/>
  <c r="ED72" i="22"/>
  <c r="EC72" i="22"/>
  <c r="A72" i="22"/>
  <c r="EF71" i="22"/>
  <c r="EE71" i="22"/>
  <c r="ED71" i="22"/>
  <c r="EC71" i="22"/>
  <c r="A71" i="22"/>
  <c r="EF70" i="22"/>
  <c r="EE70" i="22"/>
  <c r="ED70" i="22"/>
  <c r="EC70" i="22"/>
  <c r="A70" i="22"/>
  <c r="EF69" i="22"/>
  <c r="EE69" i="22"/>
  <c r="ED69" i="22"/>
  <c r="EC69" i="22"/>
  <c r="A69" i="22"/>
  <c r="EF68" i="22"/>
  <c r="EE68" i="22"/>
  <c r="ED68" i="22"/>
  <c r="EC68" i="22"/>
  <c r="A68" i="22"/>
  <c r="EF67" i="22"/>
  <c r="EE67" i="22"/>
  <c r="ED67" i="22"/>
  <c r="EC67" i="22"/>
  <c r="A67" i="22"/>
  <c r="EF66" i="22"/>
  <c r="EE66" i="22"/>
  <c r="ED66" i="22"/>
  <c r="EC66" i="22"/>
  <c r="A66" i="22"/>
  <c r="EF65" i="22"/>
  <c r="EE65" i="22"/>
  <c r="ED65" i="22"/>
  <c r="EC65" i="22"/>
  <c r="A65" i="22"/>
  <c r="EF64" i="22"/>
  <c r="EE64" i="22"/>
  <c r="ED64" i="22"/>
  <c r="EC64" i="22"/>
  <c r="EF63" i="22"/>
  <c r="EE63" i="22"/>
  <c r="ED63" i="22"/>
  <c r="EC63" i="22"/>
  <c r="A63" i="22"/>
  <c r="EF62" i="22"/>
  <c r="EE62" i="22"/>
  <c r="ED62" i="22"/>
  <c r="EC62" i="22"/>
  <c r="A62" i="22"/>
  <c r="EF61" i="22"/>
  <c r="EE61" i="22"/>
  <c r="ED61" i="22"/>
  <c r="EC61" i="22"/>
  <c r="A61" i="22"/>
  <c r="EF60" i="22"/>
  <c r="EE60" i="22"/>
  <c r="ED60" i="22"/>
  <c r="EC60" i="22"/>
  <c r="A60" i="22"/>
  <c r="EF59" i="22"/>
  <c r="EE59" i="22"/>
  <c r="ED59" i="22"/>
  <c r="EC59" i="22"/>
  <c r="A59" i="22"/>
  <c r="EF58" i="22"/>
  <c r="EE58" i="22"/>
  <c r="ED58" i="22"/>
  <c r="EC58" i="22"/>
  <c r="A58" i="22"/>
  <c r="EF57" i="22"/>
  <c r="EE57" i="22"/>
  <c r="ED57" i="22"/>
  <c r="EC57" i="22"/>
  <c r="A57" i="22"/>
  <c r="EF56" i="22"/>
  <c r="EE56" i="22"/>
  <c r="ED56" i="22"/>
  <c r="EC56" i="22"/>
  <c r="A56" i="22"/>
  <c r="EF55" i="22"/>
  <c r="EE55" i="22"/>
  <c r="ED55" i="22"/>
  <c r="EC55" i="22"/>
  <c r="A55" i="22"/>
  <c r="EF54" i="22"/>
  <c r="EE54" i="22"/>
  <c r="ED54" i="22"/>
  <c r="EC54" i="22"/>
  <c r="A54" i="22"/>
  <c r="EF53" i="22"/>
  <c r="EE53" i="22"/>
  <c r="ED53" i="22"/>
  <c r="EC53" i="22"/>
  <c r="A53" i="22"/>
  <c r="EF52" i="22"/>
  <c r="EE52" i="22"/>
  <c r="ED52" i="22"/>
  <c r="EC52" i="22"/>
  <c r="A52" i="22"/>
  <c r="EF51" i="22"/>
  <c r="EE51" i="22"/>
  <c r="ED51" i="22"/>
  <c r="EC51" i="22"/>
  <c r="A51" i="22"/>
  <c r="EF50" i="22"/>
  <c r="EE50" i="22"/>
  <c r="ED50" i="22"/>
  <c r="EC50" i="22"/>
  <c r="A50" i="22"/>
  <c r="EF49" i="22"/>
  <c r="EE49" i="22"/>
  <c r="ED49" i="22"/>
  <c r="EC49" i="22"/>
  <c r="A49" i="22"/>
  <c r="EF48" i="22"/>
  <c r="EE48" i="22"/>
  <c r="ED48" i="22"/>
  <c r="EC48" i="22"/>
  <c r="A48" i="22"/>
  <c r="EF47" i="22"/>
  <c r="EE47" i="22"/>
  <c r="ED47" i="22"/>
  <c r="EC47" i="22"/>
  <c r="A47" i="22"/>
  <c r="EF46" i="22"/>
  <c r="EE46" i="22"/>
  <c r="ED46" i="22"/>
  <c r="EC46" i="22"/>
  <c r="A46" i="22"/>
  <c r="EF45" i="22"/>
  <c r="EE45" i="22"/>
  <c r="ED45" i="22"/>
  <c r="EC45" i="22"/>
  <c r="A45" i="22"/>
  <c r="EF44" i="22"/>
  <c r="EE44" i="22"/>
  <c r="ED44" i="22"/>
  <c r="EC44" i="22"/>
  <c r="A44" i="22"/>
  <c r="EF43" i="22"/>
  <c r="EE43" i="22"/>
  <c r="ED43" i="22"/>
  <c r="EC43" i="22"/>
  <c r="A43" i="22"/>
  <c r="EF42" i="22"/>
  <c r="EE42" i="22"/>
  <c r="ED42" i="22"/>
  <c r="EC42" i="22"/>
  <c r="A42" i="22"/>
  <c r="EF41" i="22"/>
  <c r="EE41" i="22"/>
  <c r="ED41" i="22"/>
  <c r="EC41" i="22"/>
  <c r="A41" i="22"/>
  <c r="EF40" i="22"/>
  <c r="EE40" i="22"/>
  <c r="ED40" i="22"/>
  <c r="EC40" i="22"/>
  <c r="A40" i="22"/>
  <c r="EF39" i="22"/>
  <c r="EE39" i="22"/>
  <c r="ED39" i="22"/>
  <c r="EC39" i="22"/>
  <c r="A39" i="22"/>
  <c r="EF38" i="22"/>
  <c r="EE38" i="22"/>
  <c r="ED38" i="22"/>
  <c r="EC38" i="22"/>
  <c r="A38" i="22"/>
  <c r="EF37" i="22"/>
  <c r="EE37" i="22"/>
  <c r="ED37" i="22"/>
  <c r="EC37" i="22"/>
  <c r="A37" i="22"/>
  <c r="EF36" i="22"/>
  <c r="EE36" i="22"/>
  <c r="ED36" i="22"/>
  <c r="EC36" i="22"/>
  <c r="A36" i="22"/>
  <c r="EF35" i="22"/>
  <c r="EE35" i="22"/>
  <c r="ED35" i="22"/>
  <c r="EC35" i="22"/>
  <c r="A35" i="22"/>
  <c r="EF34" i="22"/>
  <c r="EE34" i="22"/>
  <c r="ED34" i="22"/>
  <c r="EC34" i="22"/>
  <c r="A34" i="22"/>
  <c r="EF33" i="22"/>
  <c r="EE33" i="22"/>
  <c r="ED33" i="22"/>
  <c r="EC33" i="22"/>
  <c r="A33" i="22"/>
  <c r="EF32" i="22"/>
  <c r="EE32" i="22"/>
  <c r="ED32" i="22"/>
  <c r="EC32" i="22"/>
  <c r="A32" i="22"/>
  <c r="EF31" i="22"/>
  <c r="EE31" i="22"/>
  <c r="ED31" i="22"/>
  <c r="EC31" i="22"/>
  <c r="A31" i="22"/>
  <c r="EF30" i="22"/>
  <c r="EE30" i="22"/>
  <c r="ED30" i="22"/>
  <c r="EC30" i="22"/>
  <c r="A30" i="22"/>
  <c r="EF29" i="22"/>
  <c r="EE29" i="22"/>
  <c r="ED29" i="22"/>
  <c r="EC29" i="22"/>
  <c r="A29" i="22"/>
  <c r="DY28" i="22"/>
  <c r="DI28" i="22"/>
  <c r="CS28" i="22"/>
  <c r="CC28" i="22"/>
  <c r="BM28" i="22"/>
  <c r="AW28" i="22"/>
  <c r="AG28" i="22"/>
  <c r="Q28" i="22"/>
  <c r="DV13" i="22"/>
  <c r="DT13" i="22"/>
  <c r="DR13" i="22"/>
  <c r="DP13" i="22"/>
  <c r="DN13" i="22"/>
  <c r="DF13" i="22"/>
  <c r="DD13" i="22"/>
  <c r="DB13" i="22"/>
  <c r="CZ13" i="22"/>
  <c r="CX13" i="22"/>
  <c r="CP13" i="22"/>
  <c r="CN13" i="22"/>
  <c r="CL13" i="22"/>
  <c r="CJ13" i="22"/>
  <c r="CH13" i="22"/>
  <c r="BZ13" i="22"/>
  <c r="BX13" i="22"/>
  <c r="BV13" i="22"/>
  <c r="BT13" i="22"/>
  <c r="BR13" i="22"/>
  <c r="BJ13" i="22"/>
  <c r="BH13" i="22"/>
  <c r="BF13" i="22"/>
  <c r="BD13" i="22"/>
  <c r="BB13" i="22"/>
  <c r="AT13" i="22"/>
  <c r="AR13" i="22"/>
  <c r="AP13" i="22"/>
  <c r="AN13" i="22"/>
  <c r="AL13" i="22"/>
  <c r="AD13" i="22"/>
  <c r="AB13" i="22"/>
  <c r="Z13" i="22"/>
  <c r="X13" i="22"/>
  <c r="AH41" i="22" s="1"/>
  <c r="V13" i="22"/>
  <c r="DV1" i="22"/>
  <c r="DT1" i="22"/>
  <c r="DR1" i="22"/>
  <c r="DP1" i="22"/>
  <c r="DN1" i="22"/>
  <c r="DF1" i="22"/>
  <c r="DD1" i="22"/>
  <c r="DB1" i="22"/>
  <c r="CZ1" i="22"/>
  <c r="CX1" i="22"/>
  <c r="CP1" i="22"/>
  <c r="CN1" i="22"/>
  <c r="CL1" i="22"/>
  <c r="CJ1" i="22"/>
  <c r="CH1" i="22"/>
  <c r="BZ1" i="22"/>
  <c r="BX1" i="22"/>
  <c r="BV1" i="22"/>
  <c r="BT1" i="22"/>
  <c r="BR1" i="22"/>
  <c r="BJ1" i="22"/>
  <c r="BH1" i="22"/>
  <c r="BF1" i="22"/>
  <c r="BD1" i="22"/>
  <c r="BB1" i="22"/>
  <c r="AT1" i="22"/>
  <c r="AR1" i="22"/>
  <c r="AP1" i="22"/>
  <c r="AN1" i="22"/>
  <c r="AL1" i="22"/>
  <c r="AD1" i="22"/>
  <c r="AB1" i="22"/>
  <c r="Z1" i="22"/>
  <c r="X1" i="22"/>
  <c r="V1" i="22"/>
  <c r="N1" i="22"/>
  <c r="L1" i="22"/>
  <c r="J1" i="22"/>
  <c r="H1" i="22"/>
  <c r="F1" i="22"/>
  <c r="EF124" i="20"/>
  <c r="EE124" i="20"/>
  <c r="ED124" i="20"/>
  <c r="EC124" i="20"/>
  <c r="A124" i="20"/>
  <c r="EF123" i="20"/>
  <c r="EE123" i="20"/>
  <c r="ED123" i="20"/>
  <c r="EC123" i="20"/>
  <c r="A123" i="20"/>
  <c r="EF122" i="20"/>
  <c r="EE122" i="20"/>
  <c r="ED122" i="20"/>
  <c r="EC122" i="20"/>
  <c r="A122" i="20"/>
  <c r="EF121" i="20"/>
  <c r="EE121" i="20"/>
  <c r="ED121" i="20"/>
  <c r="EC121" i="20"/>
  <c r="EF120" i="20"/>
  <c r="EE120" i="20"/>
  <c r="ED120" i="20"/>
  <c r="EC120" i="20"/>
  <c r="A120" i="20"/>
  <c r="EF119" i="20"/>
  <c r="EE119" i="20"/>
  <c r="ED119" i="20"/>
  <c r="EC119" i="20"/>
  <c r="EF118" i="20"/>
  <c r="EE118" i="20"/>
  <c r="ED118" i="20"/>
  <c r="EC118" i="20"/>
  <c r="A118" i="20"/>
  <c r="EF117" i="20"/>
  <c r="EE117" i="20"/>
  <c r="ED117" i="20"/>
  <c r="EC117" i="20"/>
  <c r="A117" i="20"/>
  <c r="EF116" i="20"/>
  <c r="EE116" i="20"/>
  <c r="ED116" i="20"/>
  <c r="EC116" i="20"/>
  <c r="EF115" i="20"/>
  <c r="EE115" i="20"/>
  <c r="ED115" i="20"/>
  <c r="EC115" i="20"/>
  <c r="A115" i="20"/>
  <c r="EF114" i="20"/>
  <c r="EE114" i="20"/>
  <c r="ED114" i="20"/>
  <c r="EC114" i="20"/>
  <c r="A114" i="20"/>
  <c r="EF113" i="20"/>
  <c r="EE113" i="20"/>
  <c r="ED113" i="20"/>
  <c r="EC113" i="20"/>
  <c r="A113" i="20"/>
  <c r="EF112" i="20"/>
  <c r="EE112" i="20"/>
  <c r="ED112" i="20"/>
  <c r="EC112" i="20"/>
  <c r="A112" i="20"/>
  <c r="EF111" i="20"/>
  <c r="EE111" i="20"/>
  <c r="ED111" i="20"/>
  <c r="EC111" i="20"/>
  <c r="A111" i="20"/>
  <c r="EF110" i="20"/>
  <c r="EE110" i="20"/>
  <c r="ED110" i="20"/>
  <c r="EC110" i="20"/>
  <c r="A110" i="20"/>
  <c r="EF109" i="20"/>
  <c r="EE109" i="20"/>
  <c r="ED109" i="20"/>
  <c r="EC109" i="20"/>
  <c r="EF108" i="20"/>
  <c r="EE108" i="20"/>
  <c r="ED108" i="20"/>
  <c r="EC108" i="20"/>
  <c r="A108" i="20"/>
  <c r="EF107" i="20"/>
  <c r="EE107" i="20"/>
  <c r="ED107" i="20"/>
  <c r="EC107" i="20"/>
  <c r="A107" i="20"/>
  <c r="EF106" i="20"/>
  <c r="EE106" i="20"/>
  <c r="ED106" i="20"/>
  <c r="EC106" i="20"/>
  <c r="A106" i="20"/>
  <c r="EF105" i="20"/>
  <c r="EE105" i="20"/>
  <c r="ED105" i="20"/>
  <c r="EC105" i="20"/>
  <c r="A105" i="20"/>
  <c r="EF104" i="20"/>
  <c r="EE104" i="20"/>
  <c r="ED104" i="20"/>
  <c r="EC104" i="20"/>
  <c r="A104" i="20"/>
  <c r="EF103" i="20"/>
  <c r="EE103" i="20"/>
  <c r="ED103" i="20"/>
  <c r="EC103" i="20"/>
  <c r="A103" i="20"/>
  <c r="EF102" i="20"/>
  <c r="EE102" i="20"/>
  <c r="ED102" i="20"/>
  <c r="EC102" i="20"/>
  <c r="A102" i="20"/>
  <c r="EF101" i="20"/>
  <c r="EE101" i="20"/>
  <c r="ED101" i="20"/>
  <c r="EC101" i="20"/>
  <c r="A101" i="20"/>
  <c r="EF100" i="20"/>
  <c r="EE100" i="20"/>
  <c r="ED100" i="20"/>
  <c r="EC100" i="20"/>
  <c r="A100" i="20"/>
  <c r="EF99" i="20"/>
  <c r="EE99" i="20"/>
  <c r="ED99" i="20"/>
  <c r="EC99" i="20"/>
  <c r="A99" i="20"/>
  <c r="EF98" i="20"/>
  <c r="EE98" i="20"/>
  <c r="ED98" i="20"/>
  <c r="EC98" i="20"/>
  <c r="A98" i="20"/>
  <c r="EF97" i="20"/>
  <c r="EE97" i="20"/>
  <c r="ED97" i="20"/>
  <c r="EC97" i="20"/>
  <c r="EF96" i="20"/>
  <c r="EE96" i="20"/>
  <c r="ED96" i="20"/>
  <c r="EC96" i="20"/>
  <c r="A96" i="20"/>
  <c r="EF95" i="20"/>
  <c r="EE95" i="20"/>
  <c r="ED95" i="20"/>
  <c r="EC95" i="20"/>
  <c r="A95" i="20"/>
  <c r="EF94" i="20"/>
  <c r="EE94" i="20"/>
  <c r="ED94" i="20"/>
  <c r="EC94" i="20"/>
  <c r="A94" i="20"/>
  <c r="EF93" i="20"/>
  <c r="EE93" i="20"/>
  <c r="ED93" i="20"/>
  <c r="EC93" i="20"/>
  <c r="A93" i="20"/>
  <c r="EF92" i="20"/>
  <c r="EE92" i="20"/>
  <c r="ED92" i="20"/>
  <c r="EC92" i="20"/>
  <c r="A92" i="20"/>
  <c r="EF91" i="20"/>
  <c r="EE91" i="20"/>
  <c r="ED91" i="20"/>
  <c r="EC91" i="20"/>
  <c r="A91" i="20"/>
  <c r="EF90" i="20"/>
  <c r="EE90" i="20"/>
  <c r="ED90" i="20"/>
  <c r="EC90" i="20"/>
  <c r="A90" i="20"/>
  <c r="EF89" i="20"/>
  <c r="EE89" i="20"/>
  <c r="ED89" i="20"/>
  <c r="EC89" i="20"/>
  <c r="EF88" i="20"/>
  <c r="EE88" i="20"/>
  <c r="ED88" i="20"/>
  <c r="EC88" i="20"/>
  <c r="A88" i="20"/>
  <c r="EF87" i="20"/>
  <c r="EE87" i="20"/>
  <c r="ED87" i="20"/>
  <c r="EC87" i="20"/>
  <c r="A87" i="20"/>
  <c r="EF86" i="20"/>
  <c r="EE86" i="20"/>
  <c r="ED86" i="20"/>
  <c r="EC86" i="20"/>
  <c r="A86" i="20"/>
  <c r="EF85" i="20"/>
  <c r="EE85" i="20"/>
  <c r="ED85" i="20"/>
  <c r="EC85" i="20"/>
  <c r="A85" i="20"/>
  <c r="EF84" i="20"/>
  <c r="EE84" i="20"/>
  <c r="ED84" i="20"/>
  <c r="EC84" i="20"/>
  <c r="A84" i="20"/>
  <c r="EF83" i="20"/>
  <c r="EE83" i="20"/>
  <c r="ED83" i="20"/>
  <c r="EC83" i="20"/>
  <c r="A83" i="20"/>
  <c r="EF82" i="20"/>
  <c r="EE82" i="20"/>
  <c r="ED82" i="20"/>
  <c r="EC82" i="20"/>
  <c r="A82" i="20"/>
  <c r="EF81" i="20"/>
  <c r="EE81" i="20"/>
  <c r="ED81" i="20"/>
  <c r="EC81" i="20"/>
  <c r="A81" i="20"/>
  <c r="EF80" i="20"/>
  <c r="EE80" i="20"/>
  <c r="ED80" i="20"/>
  <c r="EC80" i="20"/>
  <c r="A80" i="20"/>
  <c r="EF79" i="20"/>
  <c r="EE79" i="20"/>
  <c r="ED79" i="20"/>
  <c r="EC79" i="20"/>
  <c r="A79" i="20"/>
  <c r="EF78" i="20"/>
  <c r="EE78" i="20"/>
  <c r="ED78" i="20"/>
  <c r="EC78" i="20"/>
  <c r="A78" i="20"/>
  <c r="EF77" i="20"/>
  <c r="EE77" i="20"/>
  <c r="ED77" i="20"/>
  <c r="EC77" i="20"/>
  <c r="A77" i="20"/>
  <c r="EF76" i="20"/>
  <c r="EE76" i="20"/>
  <c r="ED76" i="20"/>
  <c r="EC76" i="20"/>
  <c r="A76" i="20"/>
  <c r="EF75" i="20"/>
  <c r="EE75" i="20"/>
  <c r="ED75" i="20"/>
  <c r="EC75" i="20"/>
  <c r="A75" i="20"/>
  <c r="EF74" i="20"/>
  <c r="EE74" i="20"/>
  <c r="ED74" i="20"/>
  <c r="EC74" i="20"/>
  <c r="A74" i="20"/>
  <c r="EF73" i="20"/>
  <c r="EE73" i="20"/>
  <c r="ED73" i="20"/>
  <c r="EC73" i="20"/>
  <c r="A73" i="20"/>
  <c r="EF72" i="20"/>
  <c r="EE72" i="20"/>
  <c r="ED72" i="20"/>
  <c r="EC72" i="20"/>
  <c r="A72" i="20"/>
  <c r="EF71" i="20"/>
  <c r="EE71" i="20"/>
  <c r="ED71" i="20"/>
  <c r="EC71" i="20"/>
  <c r="A71" i="20"/>
  <c r="EF70" i="20"/>
  <c r="EE70" i="20"/>
  <c r="ED70" i="20"/>
  <c r="EC70" i="20"/>
  <c r="A70" i="20"/>
  <c r="EF69" i="20"/>
  <c r="EE69" i="20"/>
  <c r="ED69" i="20"/>
  <c r="EC69" i="20"/>
  <c r="A69" i="20"/>
  <c r="EF68" i="20"/>
  <c r="EE68" i="20"/>
  <c r="ED68" i="20"/>
  <c r="EC68" i="20"/>
  <c r="A68" i="20"/>
  <c r="EF67" i="20"/>
  <c r="EE67" i="20"/>
  <c r="ED67" i="20"/>
  <c r="EC67" i="20"/>
  <c r="A67" i="20"/>
  <c r="EF66" i="20"/>
  <c r="EE66" i="20"/>
  <c r="ED66" i="20"/>
  <c r="EC66" i="20"/>
  <c r="A66" i="20"/>
  <c r="EF65" i="20"/>
  <c r="EE65" i="20"/>
  <c r="ED65" i="20"/>
  <c r="EC65" i="20"/>
  <c r="A65" i="20"/>
  <c r="EF64" i="20"/>
  <c r="EE64" i="20"/>
  <c r="ED64" i="20"/>
  <c r="EC64" i="20"/>
  <c r="EF63" i="20"/>
  <c r="EE63" i="20"/>
  <c r="ED63" i="20"/>
  <c r="EC63" i="20"/>
  <c r="A63" i="20"/>
  <c r="EF62" i="20"/>
  <c r="EE62" i="20"/>
  <c r="ED62" i="20"/>
  <c r="EC62" i="20"/>
  <c r="A62" i="20"/>
  <c r="EF61" i="20"/>
  <c r="EE61" i="20"/>
  <c r="ED61" i="20"/>
  <c r="EC61" i="20"/>
  <c r="A61" i="20"/>
  <c r="EF60" i="20"/>
  <c r="EE60" i="20"/>
  <c r="ED60" i="20"/>
  <c r="EC60" i="20"/>
  <c r="A60" i="20"/>
  <c r="EF59" i="20"/>
  <c r="EE59" i="20"/>
  <c r="ED59" i="20"/>
  <c r="EC59" i="20"/>
  <c r="A59" i="20"/>
  <c r="EF58" i="20"/>
  <c r="EE58" i="20"/>
  <c r="ED58" i="20"/>
  <c r="EC58" i="20"/>
  <c r="A58" i="20"/>
  <c r="EF57" i="20"/>
  <c r="EE57" i="20"/>
  <c r="ED57" i="20"/>
  <c r="EC57" i="20"/>
  <c r="A57" i="20"/>
  <c r="EF56" i="20"/>
  <c r="EE56" i="20"/>
  <c r="ED56" i="20"/>
  <c r="EC56" i="20"/>
  <c r="A56" i="20"/>
  <c r="EF55" i="20"/>
  <c r="EE55" i="20"/>
  <c r="ED55" i="20"/>
  <c r="EC55" i="20"/>
  <c r="A55" i="20"/>
  <c r="EF54" i="20"/>
  <c r="EE54" i="20"/>
  <c r="ED54" i="20"/>
  <c r="EC54" i="20"/>
  <c r="A54" i="20"/>
  <c r="EF53" i="20"/>
  <c r="EE53" i="20"/>
  <c r="ED53" i="20"/>
  <c r="EC53" i="20"/>
  <c r="A53" i="20"/>
  <c r="EF52" i="20"/>
  <c r="EE52" i="20"/>
  <c r="ED52" i="20"/>
  <c r="EC52" i="20"/>
  <c r="A52" i="20"/>
  <c r="EF51" i="20"/>
  <c r="EE51" i="20"/>
  <c r="ED51" i="20"/>
  <c r="EC51" i="20"/>
  <c r="A51" i="20"/>
  <c r="EF50" i="20"/>
  <c r="EE50" i="20"/>
  <c r="ED50" i="20"/>
  <c r="EC50" i="20"/>
  <c r="A50" i="20"/>
  <c r="EF49" i="20"/>
  <c r="EE49" i="20"/>
  <c r="ED49" i="20"/>
  <c r="EC49" i="20"/>
  <c r="A49" i="20"/>
  <c r="EF48" i="20"/>
  <c r="EE48" i="20"/>
  <c r="ED48" i="20"/>
  <c r="EC48" i="20"/>
  <c r="A48" i="20"/>
  <c r="EF47" i="20"/>
  <c r="EE47" i="20"/>
  <c r="ED47" i="20"/>
  <c r="EC47" i="20"/>
  <c r="A47" i="20"/>
  <c r="EF46" i="20"/>
  <c r="EE46" i="20"/>
  <c r="ED46" i="20"/>
  <c r="EC46" i="20"/>
  <c r="A46" i="20"/>
  <c r="EF45" i="20"/>
  <c r="EE45" i="20"/>
  <c r="ED45" i="20"/>
  <c r="EC45" i="20"/>
  <c r="A45" i="20"/>
  <c r="EF44" i="20"/>
  <c r="EE44" i="20"/>
  <c r="ED44" i="20"/>
  <c r="EC44" i="20"/>
  <c r="A44" i="20"/>
  <c r="EF43" i="20"/>
  <c r="EE43" i="20"/>
  <c r="ED43" i="20"/>
  <c r="EC43" i="20"/>
  <c r="A43" i="20"/>
  <c r="EF42" i="20"/>
  <c r="EE42" i="20"/>
  <c r="ED42" i="20"/>
  <c r="EC42" i="20"/>
  <c r="A42" i="20"/>
  <c r="EF41" i="20"/>
  <c r="EE41" i="20"/>
  <c r="ED41" i="20"/>
  <c r="EC41" i="20"/>
  <c r="A41" i="20"/>
  <c r="EF40" i="20"/>
  <c r="EE40" i="20"/>
  <c r="ED40" i="20"/>
  <c r="EC40" i="20"/>
  <c r="A40" i="20"/>
  <c r="EF39" i="20"/>
  <c r="EE39" i="20"/>
  <c r="ED39" i="20"/>
  <c r="EC39" i="20"/>
  <c r="A39" i="20"/>
  <c r="EF38" i="20"/>
  <c r="EE38" i="20"/>
  <c r="ED38" i="20"/>
  <c r="EC38" i="20"/>
  <c r="A38" i="20"/>
  <c r="EF37" i="20"/>
  <c r="EE37" i="20"/>
  <c r="ED37" i="20"/>
  <c r="EC37" i="20"/>
  <c r="A37" i="20"/>
  <c r="EF36" i="20"/>
  <c r="EE36" i="20"/>
  <c r="ED36" i="20"/>
  <c r="EC36" i="20"/>
  <c r="A36" i="20"/>
  <c r="EF35" i="20"/>
  <c r="EE35" i="20"/>
  <c r="ED35" i="20"/>
  <c r="EC35" i="20"/>
  <c r="A35" i="20"/>
  <c r="EF34" i="20"/>
  <c r="EE34" i="20"/>
  <c r="ED34" i="20"/>
  <c r="EC34" i="20"/>
  <c r="A34" i="20"/>
  <c r="EF33" i="20"/>
  <c r="EE33" i="20"/>
  <c r="ED33" i="20"/>
  <c r="EC33" i="20"/>
  <c r="A33" i="20"/>
  <c r="EF32" i="20"/>
  <c r="EE32" i="20"/>
  <c r="ED32" i="20"/>
  <c r="EC32" i="20"/>
  <c r="A32" i="20"/>
  <c r="EF31" i="20"/>
  <c r="EE31" i="20"/>
  <c r="ED31" i="20"/>
  <c r="EC31" i="20"/>
  <c r="A31" i="20"/>
  <c r="EF30" i="20"/>
  <c r="EE30" i="20"/>
  <c r="ED30" i="20"/>
  <c r="EC30" i="20"/>
  <c r="A30" i="20"/>
  <c r="EF29" i="20"/>
  <c r="EE29" i="20"/>
  <c r="ED29" i="20"/>
  <c r="EC29" i="20"/>
  <c r="A29" i="20"/>
  <c r="DV13" i="20"/>
  <c r="DT13" i="20"/>
  <c r="DR13" i="20"/>
  <c r="DP13" i="20"/>
  <c r="DN13" i="20"/>
  <c r="DF13" i="20"/>
  <c r="DD13" i="20"/>
  <c r="DB13" i="20"/>
  <c r="CZ13" i="20"/>
  <c r="CX13" i="20"/>
  <c r="CP13" i="20"/>
  <c r="CN13" i="20"/>
  <c r="CL13" i="20"/>
  <c r="CJ13" i="20"/>
  <c r="CH13" i="20"/>
  <c r="BZ13" i="20"/>
  <c r="BX13" i="20"/>
  <c r="BV13" i="20"/>
  <c r="BT13" i="20"/>
  <c r="BR13" i="20"/>
  <c r="BJ13" i="20"/>
  <c r="BH13" i="20"/>
  <c r="BF13" i="20"/>
  <c r="BD13" i="20"/>
  <c r="BB13" i="20"/>
  <c r="AT13" i="20"/>
  <c r="AR13" i="20"/>
  <c r="AP13" i="20"/>
  <c r="AN13" i="20"/>
  <c r="AL13" i="20"/>
  <c r="AD13" i="20"/>
  <c r="AB13" i="20"/>
  <c r="Z13" i="20"/>
  <c r="X13" i="20"/>
  <c r="V13" i="20"/>
  <c r="DV1" i="20"/>
  <c r="DT1" i="20"/>
  <c r="DR1" i="20"/>
  <c r="DP1" i="20"/>
  <c r="DN1" i="20"/>
  <c r="DF1" i="20"/>
  <c r="DD1" i="20"/>
  <c r="DB1" i="20"/>
  <c r="CZ1" i="20"/>
  <c r="CX1" i="20"/>
  <c r="CP1" i="20"/>
  <c r="CN1" i="20"/>
  <c r="CL1" i="20"/>
  <c r="CJ1" i="20"/>
  <c r="CH1" i="20"/>
  <c r="BZ1" i="20"/>
  <c r="BX1" i="20"/>
  <c r="BV1" i="20"/>
  <c r="BT1" i="20"/>
  <c r="BR1" i="20"/>
  <c r="BJ1" i="20"/>
  <c r="BH1" i="20"/>
  <c r="BF1" i="20"/>
  <c r="BD1" i="20"/>
  <c r="BB1" i="20"/>
  <c r="AT1" i="20"/>
  <c r="AR1" i="20"/>
  <c r="AP1" i="20"/>
  <c r="AN1" i="20"/>
  <c r="AL1" i="20"/>
  <c r="AD1" i="20"/>
  <c r="AB1" i="20"/>
  <c r="Z1" i="20"/>
  <c r="X1" i="20"/>
  <c r="V1" i="20"/>
  <c r="N1" i="20"/>
  <c r="L1" i="20"/>
  <c r="J1" i="20"/>
  <c r="H1" i="20"/>
  <c r="F1" i="20"/>
  <c r="AB22" i="19"/>
  <c r="AB24" i="19" s="1"/>
  <c r="AB19" i="19"/>
  <c r="AB21" i="19" s="1"/>
  <c r="AB16" i="19"/>
  <c r="AB13" i="19"/>
  <c r="AU12" i="19"/>
  <c r="AT12" i="19"/>
  <c r="AQ12" i="19" s="1"/>
  <c r="F203" i="7" s="1"/>
  <c r="X12" i="19"/>
  <c r="AU11" i="19"/>
  <c r="AT11" i="19"/>
  <c r="AP11" i="19" s="1"/>
  <c r="F202" i="7" s="1"/>
  <c r="X11" i="19"/>
  <c r="AU10" i="19"/>
  <c r="AT10" i="19"/>
  <c r="AO10" i="19" s="1"/>
  <c r="F201" i="7" s="1"/>
  <c r="AB10" i="19"/>
  <c r="AB12" i="19" s="1"/>
  <c r="X10" i="19"/>
  <c r="AB7" i="19"/>
  <c r="AB4" i="19"/>
  <c r="I24" i="18"/>
  <c r="I23" i="18"/>
  <c r="I22" i="18"/>
  <c r="I21" i="18"/>
  <c r="I20" i="18"/>
  <c r="I19" i="18"/>
  <c r="I18" i="18"/>
  <c r="E18" i="18"/>
  <c r="I17" i="18"/>
  <c r="E17" i="18"/>
  <c r="I16" i="18"/>
  <c r="E16" i="18"/>
  <c r="J15" i="18"/>
  <c r="I15" i="18"/>
  <c r="E15" i="18"/>
  <c r="J14" i="18"/>
  <c r="I14" i="18"/>
  <c r="E14" i="18"/>
  <c r="J13" i="18"/>
  <c r="I13" i="18"/>
  <c r="E13" i="18"/>
  <c r="J12" i="18"/>
  <c r="I12" i="18"/>
  <c r="H12" i="18"/>
  <c r="E12" i="18"/>
  <c r="J11" i="18"/>
  <c r="I11" i="18"/>
  <c r="H11" i="18"/>
  <c r="E11" i="18"/>
  <c r="J10" i="18"/>
  <c r="I10" i="18"/>
  <c r="H10" i="18"/>
  <c r="E10" i="18"/>
  <c r="I9" i="18"/>
  <c r="I8" i="18"/>
  <c r="I7" i="18"/>
  <c r="I5" i="18"/>
  <c r="I4" i="18"/>
  <c r="F53" i="17"/>
  <c r="E53" i="17"/>
  <c r="F44" i="17"/>
  <c r="E44" i="17"/>
  <c r="D44" i="17"/>
  <c r="F35" i="17"/>
  <c r="E35" i="17"/>
  <c r="D35" i="17"/>
  <c r="F6" i="17"/>
  <c r="E6" i="17"/>
  <c r="D6" i="17"/>
  <c r="Q224" i="16"/>
  <c r="P224" i="16"/>
  <c r="O224" i="16"/>
  <c r="N224" i="16"/>
  <c r="M224" i="16"/>
  <c r="L224" i="16"/>
  <c r="K224" i="16"/>
  <c r="J224" i="16"/>
  <c r="G224" i="16"/>
  <c r="F224" i="16"/>
  <c r="Q223" i="16"/>
  <c r="P223" i="16"/>
  <c r="O223" i="16"/>
  <c r="N223" i="16"/>
  <c r="M223" i="16"/>
  <c r="L223" i="16"/>
  <c r="K223" i="16"/>
  <c r="J223" i="16"/>
  <c r="G223" i="16"/>
  <c r="F223" i="16"/>
  <c r="Q222" i="16"/>
  <c r="P222" i="16"/>
  <c r="O222" i="16"/>
  <c r="N222" i="16"/>
  <c r="M222" i="16"/>
  <c r="L222" i="16"/>
  <c r="K222" i="16"/>
  <c r="J222" i="16"/>
  <c r="G222" i="16"/>
  <c r="F222" i="16"/>
  <c r="Q221" i="16"/>
  <c r="P221" i="16"/>
  <c r="O221" i="16"/>
  <c r="N221" i="16"/>
  <c r="M221" i="16"/>
  <c r="L221" i="16"/>
  <c r="K221" i="16"/>
  <c r="J221" i="16"/>
  <c r="G221" i="16"/>
  <c r="F221" i="16"/>
  <c r="Q220" i="16"/>
  <c r="P220" i="16"/>
  <c r="O220" i="16"/>
  <c r="N220" i="16"/>
  <c r="M220" i="16"/>
  <c r="L220" i="16"/>
  <c r="K220" i="16"/>
  <c r="J220" i="16"/>
  <c r="G220" i="16"/>
  <c r="F220" i="16"/>
  <c r="Q219" i="16"/>
  <c r="P219" i="16"/>
  <c r="O219" i="16"/>
  <c r="N219" i="16"/>
  <c r="M219" i="16"/>
  <c r="L219" i="16"/>
  <c r="K219" i="16"/>
  <c r="J219" i="16"/>
  <c r="G219" i="16"/>
  <c r="F219" i="16"/>
  <c r="Q218" i="16"/>
  <c r="P218" i="16"/>
  <c r="O218" i="16"/>
  <c r="N218" i="16"/>
  <c r="M218" i="16"/>
  <c r="L218" i="16"/>
  <c r="K218" i="16"/>
  <c r="J218" i="16"/>
  <c r="G218" i="16"/>
  <c r="F218" i="16"/>
  <c r="Q217" i="16"/>
  <c r="P217" i="16"/>
  <c r="O217" i="16"/>
  <c r="N217" i="16"/>
  <c r="M217" i="16"/>
  <c r="L217" i="16"/>
  <c r="K217" i="16"/>
  <c r="J217" i="16"/>
  <c r="G217" i="16"/>
  <c r="F217" i="16"/>
  <c r="Q216" i="16"/>
  <c r="P216" i="16"/>
  <c r="O216" i="16"/>
  <c r="N216" i="16"/>
  <c r="M216" i="16"/>
  <c r="L216" i="16"/>
  <c r="K216" i="16"/>
  <c r="J216" i="16"/>
  <c r="G216" i="16"/>
  <c r="F216" i="16"/>
  <c r="K162" i="16" a="1"/>
  <c r="K162" i="16" s="1"/>
  <c r="J162" i="16" a="1"/>
  <c r="J162" i="16" s="1"/>
  <c r="A162" i="16"/>
  <c r="K161" i="16" a="1"/>
  <c r="K161" i="16" s="1"/>
  <c r="J161" i="16" a="1"/>
  <c r="J161" i="16" s="1"/>
  <c r="A161" i="16"/>
  <c r="K159" i="16" a="1"/>
  <c r="K159" i="16" s="1"/>
  <c r="J159" i="16" a="1"/>
  <c r="J159" i="16" s="1"/>
  <c r="A159" i="16"/>
  <c r="K158" i="16" a="1"/>
  <c r="K158" i="16" s="1"/>
  <c r="J158" i="16" a="1"/>
  <c r="J158" i="16" s="1"/>
  <c r="A158" i="16"/>
  <c r="K157" i="16" a="1"/>
  <c r="K157" i="16" s="1"/>
  <c r="J157" i="16" a="1"/>
  <c r="J157" i="16" s="1"/>
  <c r="A157" i="16"/>
  <c r="K156" i="16" a="1"/>
  <c r="K156" i="16" s="1"/>
  <c r="J156" i="16" a="1"/>
  <c r="J156" i="16" s="1"/>
  <c r="A156" i="16"/>
  <c r="K155" i="16" a="1"/>
  <c r="K155" i="16" s="1"/>
  <c r="J155" i="16" a="1"/>
  <c r="J155" i="16" s="1"/>
  <c r="A155" i="16"/>
  <c r="K154" i="16" a="1"/>
  <c r="K154" i="16" s="1"/>
  <c r="J154" i="16" a="1"/>
  <c r="J154" i="16" s="1"/>
  <c r="A154" i="16"/>
  <c r="K153" i="16" a="1"/>
  <c r="K153" i="16" s="1"/>
  <c r="J153" i="16" a="1"/>
  <c r="J153" i="16" s="1"/>
  <c r="A153" i="16"/>
  <c r="K152" i="16" a="1"/>
  <c r="K152" i="16" s="1"/>
  <c r="J152" i="16" a="1"/>
  <c r="J152" i="16" s="1"/>
  <c r="A152" i="16"/>
  <c r="K151" i="16" a="1"/>
  <c r="K151" i="16" s="1"/>
  <c r="J151" i="16" a="1"/>
  <c r="J151" i="16" s="1"/>
  <c r="A151" i="16"/>
  <c r="K150" i="16" a="1"/>
  <c r="K150" i="16" s="1"/>
  <c r="J150" i="16" a="1"/>
  <c r="J150" i="16" s="1"/>
  <c r="A150" i="16"/>
  <c r="K149" i="16" a="1"/>
  <c r="K149" i="16" s="1"/>
  <c r="J149" i="16" a="1"/>
  <c r="J149" i="16" s="1"/>
  <c r="A149" i="16"/>
  <c r="K148" i="16" a="1"/>
  <c r="K148" i="16" s="1"/>
  <c r="J148" i="16" a="1"/>
  <c r="J148" i="16" s="1"/>
  <c r="A148" i="16"/>
  <c r="K147" i="16" a="1"/>
  <c r="K147" i="16" s="1"/>
  <c r="J147" i="16" a="1"/>
  <c r="J147" i="16" s="1"/>
  <c r="A147" i="16"/>
  <c r="K146" i="16" a="1"/>
  <c r="K146" i="16" s="1"/>
  <c r="J146" i="16" a="1"/>
  <c r="J146" i="16" s="1"/>
  <c r="A146" i="16"/>
  <c r="K145" i="16" a="1"/>
  <c r="K145" i="16" s="1"/>
  <c r="J145" i="16" a="1"/>
  <c r="J145" i="16" s="1"/>
  <c r="A145" i="16"/>
  <c r="K144" i="16" a="1"/>
  <c r="K144" i="16" s="1"/>
  <c r="J144" i="16" a="1"/>
  <c r="J144" i="16" s="1"/>
  <c r="A144" i="16"/>
  <c r="K143" i="16" a="1"/>
  <c r="K143" i="16" s="1"/>
  <c r="J143" i="16" a="1"/>
  <c r="J143" i="16" s="1"/>
  <c r="A143" i="16"/>
  <c r="K142" i="16" a="1"/>
  <c r="K142" i="16" s="1"/>
  <c r="J142" i="16" a="1"/>
  <c r="J142" i="16" s="1"/>
  <c r="A142" i="16"/>
  <c r="K141" i="16" a="1"/>
  <c r="K141" i="16" s="1"/>
  <c r="J141" i="16" a="1"/>
  <c r="J141" i="16" s="1"/>
  <c r="A141" i="16"/>
  <c r="K140" i="16" a="1"/>
  <c r="K140" i="16" s="1"/>
  <c r="J140" i="16" a="1"/>
  <c r="J140" i="16" s="1"/>
  <c r="A140" i="16"/>
  <c r="K139" i="16" a="1"/>
  <c r="K139" i="16" s="1"/>
  <c r="J139" i="16" a="1"/>
  <c r="J139" i="16" s="1"/>
  <c r="A139" i="16"/>
  <c r="K138" i="16" a="1"/>
  <c r="K138" i="16" s="1"/>
  <c r="J138" i="16" a="1"/>
  <c r="J138" i="16" s="1"/>
  <c r="A138" i="16"/>
  <c r="K137" i="16" a="1"/>
  <c r="K137" i="16" s="1"/>
  <c r="J137" i="16" a="1"/>
  <c r="J137" i="16" s="1"/>
  <c r="A137" i="16"/>
  <c r="K136" i="16" a="1"/>
  <c r="K136" i="16" s="1"/>
  <c r="J136" i="16" a="1"/>
  <c r="J136" i="16" s="1"/>
  <c r="A136" i="16"/>
  <c r="K135" i="16" a="1"/>
  <c r="K135" i="16" s="1"/>
  <c r="J135" i="16" a="1"/>
  <c r="J135" i="16" s="1"/>
  <c r="A135" i="16"/>
  <c r="K134" i="16" a="1"/>
  <c r="K134" i="16" s="1"/>
  <c r="J134" i="16" a="1"/>
  <c r="J134" i="16" s="1"/>
  <c r="A134" i="16"/>
  <c r="K133" i="16" a="1"/>
  <c r="K133" i="16" s="1"/>
  <c r="J133" i="16" a="1"/>
  <c r="J133" i="16" s="1"/>
  <c r="A133" i="16"/>
  <c r="K132" i="16" a="1"/>
  <c r="K132" i="16" s="1"/>
  <c r="J132" i="16" a="1"/>
  <c r="J132" i="16" s="1"/>
  <c r="A132" i="16"/>
  <c r="K131" i="16" a="1"/>
  <c r="K131" i="16" s="1"/>
  <c r="J131" i="16" a="1"/>
  <c r="J131" i="16" s="1"/>
  <c r="A131" i="16"/>
  <c r="K130" i="16" a="1"/>
  <c r="K130" i="16" s="1"/>
  <c r="J130" i="16" a="1"/>
  <c r="J130" i="16" s="1"/>
  <c r="A130" i="16"/>
  <c r="K129" i="16" a="1"/>
  <c r="K129" i="16" s="1"/>
  <c r="J129" i="16" a="1"/>
  <c r="J129" i="16" s="1"/>
  <c r="A129" i="16"/>
  <c r="K128" i="16" a="1"/>
  <c r="K128" i="16" s="1"/>
  <c r="J128" i="16" a="1"/>
  <c r="J128" i="16" s="1"/>
  <c r="A128" i="16"/>
  <c r="K127" i="16" a="1"/>
  <c r="K127" i="16" s="1"/>
  <c r="J127" i="16" a="1"/>
  <c r="J127" i="16" s="1"/>
  <c r="A127" i="16"/>
  <c r="K126" i="16" a="1"/>
  <c r="K126" i="16" s="1"/>
  <c r="J126" i="16" a="1"/>
  <c r="J126" i="16" s="1"/>
  <c r="A126" i="16"/>
  <c r="K125" i="16" a="1"/>
  <c r="K125" i="16" s="1"/>
  <c r="J125" i="16" a="1"/>
  <c r="J125" i="16" s="1"/>
  <c r="A125" i="16"/>
  <c r="K124" i="16" a="1"/>
  <c r="K124" i="16" s="1"/>
  <c r="J124" i="16" a="1"/>
  <c r="J124" i="16" s="1"/>
  <c r="A124" i="16"/>
  <c r="K123" i="16" a="1"/>
  <c r="K123" i="16" s="1"/>
  <c r="J123" i="16" a="1"/>
  <c r="J123" i="16" s="1"/>
  <c r="A123" i="16"/>
  <c r="K122" i="16" a="1"/>
  <c r="K122" i="16" s="1"/>
  <c r="J122" i="16" a="1"/>
  <c r="J122" i="16" s="1"/>
  <c r="A122" i="16"/>
  <c r="K121" i="16" a="1"/>
  <c r="K121" i="16" s="1"/>
  <c r="J121" i="16" a="1"/>
  <c r="J121" i="16" s="1"/>
  <c r="A121" i="16"/>
  <c r="K120" i="16" a="1"/>
  <c r="K120" i="16" s="1"/>
  <c r="J120" i="16" a="1"/>
  <c r="J120" i="16" s="1"/>
  <c r="A120" i="16"/>
  <c r="K119" i="16" a="1"/>
  <c r="K119" i="16" s="1"/>
  <c r="J119" i="16" a="1"/>
  <c r="J119" i="16" s="1"/>
  <c r="A119" i="16"/>
  <c r="K118" i="16" a="1"/>
  <c r="K118" i="16" s="1"/>
  <c r="J118" i="16" a="1"/>
  <c r="J118" i="16" s="1"/>
  <c r="A118" i="16"/>
  <c r="K117" i="16" a="1"/>
  <c r="K117" i="16" s="1"/>
  <c r="J117" i="16" a="1"/>
  <c r="J117" i="16" s="1"/>
  <c r="A117" i="16"/>
  <c r="K116" i="16" a="1"/>
  <c r="K116" i="16" s="1"/>
  <c r="J116" i="16" a="1"/>
  <c r="J116" i="16" s="1"/>
  <c r="A116" i="16"/>
  <c r="K115" i="16" a="1"/>
  <c r="K115" i="16" s="1"/>
  <c r="J115" i="16" a="1"/>
  <c r="J115" i="16" s="1"/>
  <c r="A115" i="16"/>
  <c r="K114" i="16" a="1"/>
  <c r="K114" i="16" s="1"/>
  <c r="J114" i="16" a="1"/>
  <c r="J114" i="16" s="1"/>
  <c r="A114" i="16"/>
  <c r="K113" i="16" a="1"/>
  <c r="K113" i="16" s="1"/>
  <c r="J113" i="16" a="1"/>
  <c r="J113" i="16" s="1"/>
  <c r="A113" i="16"/>
  <c r="K112" i="16" a="1"/>
  <c r="K112" i="16" s="1"/>
  <c r="J112" i="16" a="1"/>
  <c r="J112" i="16" s="1"/>
  <c r="A112" i="16"/>
  <c r="K111" i="16" a="1"/>
  <c r="K111" i="16" s="1"/>
  <c r="J111" i="16" a="1"/>
  <c r="J111" i="16" s="1"/>
  <c r="A111" i="16"/>
  <c r="K110" i="16" a="1"/>
  <c r="K110" i="16" s="1"/>
  <c r="J110" i="16" a="1"/>
  <c r="J110" i="16" s="1"/>
  <c r="A110" i="16"/>
  <c r="K109" i="16" a="1"/>
  <c r="K109" i="16" s="1"/>
  <c r="J109" i="16" a="1"/>
  <c r="J109" i="16" s="1"/>
  <c r="A109" i="16"/>
  <c r="K108" i="16" a="1"/>
  <c r="K108" i="16" s="1"/>
  <c r="J108" i="16" a="1"/>
  <c r="J108" i="16" s="1"/>
  <c r="A108" i="16"/>
  <c r="K107" i="16" a="1"/>
  <c r="K107" i="16" s="1"/>
  <c r="J107" i="16" a="1"/>
  <c r="J107" i="16" s="1"/>
  <c r="A107" i="16"/>
  <c r="K106" i="16" a="1"/>
  <c r="K106" i="16" s="1"/>
  <c r="J106" i="16" a="1"/>
  <c r="J106" i="16" s="1"/>
  <c r="A106" i="16"/>
  <c r="K105" i="16" a="1"/>
  <c r="K105" i="16" s="1"/>
  <c r="J105" i="16" a="1"/>
  <c r="J105" i="16" s="1"/>
  <c r="A105" i="16"/>
  <c r="K104" i="16" a="1"/>
  <c r="K104" i="16" s="1"/>
  <c r="A104" i="16"/>
  <c r="K103" i="16" a="1"/>
  <c r="K103" i="16" s="1"/>
  <c r="J103" i="16" a="1"/>
  <c r="J103" i="16" s="1"/>
  <c r="A103" i="16"/>
  <c r="K102" i="16" a="1"/>
  <c r="K102" i="16" s="1"/>
  <c r="J102" i="16" a="1"/>
  <c r="J102" i="16" s="1"/>
  <c r="A102" i="16"/>
  <c r="K101" i="16" a="1"/>
  <c r="K101" i="16" s="1"/>
  <c r="J101" i="16" a="1"/>
  <c r="J101" i="16" s="1"/>
  <c r="A101" i="16"/>
  <c r="K100" i="16" a="1"/>
  <c r="K100" i="16" s="1"/>
  <c r="J100" i="16" a="1"/>
  <c r="J100" i="16" s="1"/>
  <c r="A100" i="16"/>
  <c r="K99" i="16" a="1"/>
  <c r="K99" i="16" s="1"/>
  <c r="J99" i="16" a="1"/>
  <c r="J99" i="16" s="1"/>
  <c r="A99" i="16"/>
  <c r="K98" i="16" a="1"/>
  <c r="K98" i="16" s="1"/>
  <c r="J98" i="16" a="1"/>
  <c r="J98" i="16" s="1"/>
  <c r="A98" i="16"/>
  <c r="K97" i="16" a="1"/>
  <c r="K97" i="16" s="1"/>
  <c r="J97" i="16" a="1"/>
  <c r="J97" i="16" s="1"/>
  <c r="A97" i="16"/>
  <c r="K96" i="16" a="1"/>
  <c r="K96" i="16" s="1"/>
  <c r="J96" i="16" a="1"/>
  <c r="J96" i="16" s="1"/>
  <c r="A96" i="16"/>
  <c r="K95" i="16" a="1"/>
  <c r="K95" i="16" s="1"/>
  <c r="J95" i="16" a="1"/>
  <c r="J95" i="16" s="1"/>
  <c r="A95" i="16"/>
  <c r="K94" i="16" a="1"/>
  <c r="K94" i="16" s="1"/>
  <c r="J94" i="16" a="1"/>
  <c r="J94" i="16" s="1"/>
  <c r="A94" i="16"/>
  <c r="K93" i="16" a="1"/>
  <c r="K93" i="16" s="1"/>
  <c r="J93" i="16" a="1"/>
  <c r="J93" i="16" s="1"/>
  <c r="A93" i="16"/>
  <c r="K92" i="16" a="1"/>
  <c r="K92" i="16" s="1"/>
  <c r="J92" i="16" a="1"/>
  <c r="J92" i="16" s="1"/>
  <c r="A92" i="16"/>
  <c r="K91" i="16" a="1"/>
  <c r="K91" i="16" s="1"/>
  <c r="J91" i="16" a="1"/>
  <c r="J91" i="16" s="1"/>
  <c r="A91" i="16"/>
  <c r="K90" i="16" a="1"/>
  <c r="K90" i="16" s="1"/>
  <c r="J90" i="16" a="1"/>
  <c r="J90" i="16" s="1"/>
  <c r="A90" i="16"/>
  <c r="K89" i="16" a="1"/>
  <c r="K89" i="16" s="1"/>
  <c r="J89" i="16" a="1"/>
  <c r="J89" i="16" s="1"/>
  <c r="A89" i="16"/>
  <c r="K88" i="16" a="1"/>
  <c r="K88" i="16" s="1"/>
  <c r="J88" i="16" a="1"/>
  <c r="J88" i="16" s="1"/>
  <c r="A88" i="16"/>
  <c r="K87" i="16" a="1"/>
  <c r="K87" i="16" s="1"/>
  <c r="J87" i="16" a="1"/>
  <c r="J87" i="16" s="1"/>
  <c r="A87" i="16"/>
  <c r="K86" i="16" a="1"/>
  <c r="K86" i="16" s="1"/>
  <c r="J86" i="16" a="1"/>
  <c r="J86" i="16" s="1"/>
  <c r="A86" i="16"/>
  <c r="K85" i="16" a="1"/>
  <c r="K85" i="16" s="1"/>
  <c r="J85" i="16" a="1"/>
  <c r="J85" i="16" s="1"/>
  <c r="A85" i="16"/>
  <c r="K84" i="16" a="1"/>
  <c r="K84" i="16" s="1"/>
  <c r="J84" i="16" a="1"/>
  <c r="J84" i="16" s="1"/>
  <c r="A84" i="16"/>
  <c r="K83" i="16" a="1"/>
  <c r="K83" i="16" s="1"/>
  <c r="J83" i="16" a="1"/>
  <c r="J83" i="16" s="1"/>
  <c r="A83" i="16"/>
  <c r="K82" i="16" a="1"/>
  <c r="K82" i="16" s="1"/>
  <c r="A82" i="16"/>
  <c r="K81" i="16" a="1"/>
  <c r="K81" i="16" s="1"/>
  <c r="A81" i="16"/>
  <c r="K80" i="16" a="1"/>
  <c r="K80" i="16" s="1"/>
  <c r="A80" i="16"/>
  <c r="K79" i="16" a="1"/>
  <c r="K79" i="16" s="1"/>
  <c r="J79" i="16" a="1"/>
  <c r="J79" i="16" s="1"/>
  <c r="A79" i="16"/>
  <c r="K78" i="16" a="1"/>
  <c r="K78" i="16" s="1"/>
  <c r="J78" i="16" a="1"/>
  <c r="J78" i="16" s="1"/>
  <c r="A78" i="16"/>
  <c r="K77" i="16" a="1"/>
  <c r="K77" i="16" s="1"/>
  <c r="J77" i="16" a="1"/>
  <c r="J77" i="16" s="1"/>
  <c r="A77" i="16"/>
  <c r="K76" i="16" a="1"/>
  <c r="K76" i="16" s="1"/>
  <c r="J76" i="16" a="1"/>
  <c r="J76" i="16" s="1"/>
  <c r="A76" i="16"/>
  <c r="K75" i="16" a="1"/>
  <c r="K75" i="16" s="1"/>
  <c r="J75" i="16" a="1"/>
  <c r="J75" i="16" s="1"/>
  <c r="A75" i="16"/>
  <c r="K74" i="16" a="1"/>
  <c r="K74" i="16" s="1"/>
  <c r="J74" i="16" a="1"/>
  <c r="J74" i="16" s="1"/>
  <c r="A74" i="16"/>
  <c r="K73" i="16" a="1"/>
  <c r="K73" i="16" s="1"/>
  <c r="J73" i="16" a="1"/>
  <c r="J73" i="16" s="1"/>
  <c r="A73" i="16"/>
  <c r="K72" i="16" a="1"/>
  <c r="K72" i="16" s="1"/>
  <c r="J72" i="16" a="1"/>
  <c r="J72" i="16" s="1"/>
  <c r="A72" i="16"/>
  <c r="K71" i="16" a="1"/>
  <c r="K71" i="16" s="1"/>
  <c r="J71" i="16" a="1"/>
  <c r="J71" i="16" s="1"/>
  <c r="A71" i="16"/>
  <c r="K70" i="16" a="1"/>
  <c r="K70" i="16" s="1"/>
  <c r="A70" i="16"/>
  <c r="K69" i="16" a="1"/>
  <c r="K69" i="16" s="1"/>
  <c r="J69" i="16" a="1"/>
  <c r="J69" i="16" s="1"/>
  <c r="A69" i="16"/>
  <c r="K68" i="16" a="1"/>
  <c r="K68" i="16" s="1"/>
  <c r="J68" i="16" a="1"/>
  <c r="J68" i="16" s="1"/>
  <c r="A68" i="16"/>
  <c r="K67" i="16" a="1"/>
  <c r="K67" i="16" s="1"/>
  <c r="J67" i="16" a="1"/>
  <c r="J67" i="16" s="1"/>
  <c r="A67" i="16"/>
  <c r="K66" i="16" a="1"/>
  <c r="K66" i="16" s="1"/>
  <c r="J66" i="16" a="1"/>
  <c r="J66" i="16" s="1"/>
  <c r="A66" i="16"/>
  <c r="K65" i="16" a="1"/>
  <c r="K65" i="16" s="1"/>
  <c r="J65" i="16" a="1"/>
  <c r="J65" i="16" s="1"/>
  <c r="A65" i="16"/>
  <c r="K64" i="16" a="1"/>
  <c r="K64" i="16" s="1"/>
  <c r="J64" i="16" a="1"/>
  <c r="J64" i="16" s="1"/>
  <c r="A64" i="16"/>
  <c r="K63" i="16" a="1"/>
  <c r="K63" i="16" s="1"/>
  <c r="J63" i="16" a="1"/>
  <c r="J63" i="16" s="1"/>
  <c r="A63" i="16"/>
  <c r="K62" i="16" a="1"/>
  <c r="K62" i="16" s="1"/>
  <c r="J62" i="16" a="1"/>
  <c r="J62" i="16" s="1"/>
  <c r="A62" i="16"/>
  <c r="K61" i="16" a="1"/>
  <c r="K61" i="16" s="1"/>
  <c r="J61" i="16" a="1"/>
  <c r="J61" i="16" s="1"/>
  <c r="A61" i="16"/>
  <c r="K60" i="16" a="1"/>
  <c r="K60" i="16" s="1"/>
  <c r="J60" i="16" a="1"/>
  <c r="J60" i="16" s="1"/>
  <c r="A60" i="16"/>
  <c r="K59" i="16" a="1"/>
  <c r="K59" i="16" s="1"/>
  <c r="J59" i="16" a="1"/>
  <c r="J59" i="16" s="1"/>
  <c r="A59" i="16"/>
  <c r="K58" i="16" a="1"/>
  <c r="K58" i="16" s="1"/>
  <c r="J58" i="16" a="1"/>
  <c r="J58" i="16" s="1"/>
  <c r="A58" i="16"/>
  <c r="K57" i="16" a="1"/>
  <c r="K57" i="16" s="1"/>
  <c r="J57" i="16" a="1"/>
  <c r="J57" i="16" s="1"/>
  <c r="A57" i="16"/>
  <c r="K56" i="16" a="1"/>
  <c r="K56" i="16" s="1"/>
  <c r="J56" i="16" a="1"/>
  <c r="J56" i="16" s="1"/>
  <c r="A56" i="16"/>
  <c r="K55" i="16" a="1"/>
  <c r="K55" i="16" s="1"/>
  <c r="J55" i="16" a="1"/>
  <c r="J55" i="16" s="1"/>
  <c r="K54" i="16" a="1"/>
  <c r="K54" i="16" s="1"/>
  <c r="J54" i="16" a="1"/>
  <c r="J54" i="16" s="1"/>
  <c r="K53" i="16" a="1"/>
  <c r="K53" i="16" s="1"/>
  <c r="J53" i="16" a="1"/>
  <c r="J53" i="16" s="1"/>
  <c r="K52" i="16" a="1"/>
  <c r="K52" i="16" s="1"/>
  <c r="J52" i="16" a="1"/>
  <c r="J52" i="16" s="1"/>
  <c r="K51" i="16" a="1"/>
  <c r="K51" i="16" s="1"/>
  <c r="J51" i="16" a="1"/>
  <c r="J51" i="16" s="1"/>
  <c r="A51" i="16"/>
  <c r="K50" i="16" a="1"/>
  <c r="K50" i="16" s="1"/>
  <c r="J50" i="16" a="1"/>
  <c r="J50" i="16" s="1"/>
  <c r="A50" i="16"/>
  <c r="K49" i="16" a="1"/>
  <c r="K49" i="16" s="1"/>
  <c r="J49" i="16" a="1"/>
  <c r="J49" i="16" s="1"/>
  <c r="A49" i="16"/>
  <c r="K48" i="16" a="1"/>
  <c r="K48" i="16" s="1"/>
  <c r="J48" i="16" a="1"/>
  <c r="J48" i="16" s="1"/>
  <c r="A48" i="16"/>
  <c r="K47" i="16" a="1"/>
  <c r="K47" i="16" s="1"/>
  <c r="A47" i="16"/>
  <c r="K46" i="16" a="1"/>
  <c r="K46" i="16" s="1"/>
  <c r="A46" i="16"/>
  <c r="K45" i="16" a="1"/>
  <c r="K45" i="16" s="1"/>
  <c r="J45" i="16" a="1"/>
  <c r="J45" i="16" s="1"/>
  <c r="A45" i="16"/>
  <c r="K44" i="16" a="1"/>
  <c r="K44" i="16" s="1"/>
  <c r="J44" i="16" a="1"/>
  <c r="J44" i="16" s="1"/>
  <c r="A44" i="16"/>
  <c r="K43" i="16" a="1"/>
  <c r="K43" i="16" s="1"/>
  <c r="J43" i="16" a="1"/>
  <c r="J43" i="16" s="1"/>
  <c r="A43" i="16"/>
  <c r="K42" i="16" a="1"/>
  <c r="K42" i="16" s="1"/>
  <c r="A42" i="16"/>
  <c r="K41" i="16" a="1"/>
  <c r="K41" i="16" s="1"/>
  <c r="A41" i="16"/>
  <c r="K40" i="16" a="1"/>
  <c r="K40" i="16" s="1"/>
  <c r="J40" i="16" a="1"/>
  <c r="J40" i="16" s="1"/>
  <c r="A40" i="16"/>
  <c r="K39" i="16" a="1"/>
  <c r="K39" i="16" s="1"/>
  <c r="J39" i="16" a="1"/>
  <c r="J39" i="16" s="1"/>
  <c r="A39" i="16"/>
  <c r="K38" i="16" a="1"/>
  <c r="K38" i="16" s="1"/>
  <c r="J38" i="16" a="1"/>
  <c r="J38" i="16" s="1"/>
  <c r="A38" i="16"/>
  <c r="K37" i="16" a="1"/>
  <c r="K37" i="16" s="1"/>
  <c r="J37" i="16" a="1"/>
  <c r="J37" i="16" s="1"/>
  <c r="A37" i="16"/>
  <c r="K36" i="16" a="1"/>
  <c r="K36" i="16" s="1"/>
  <c r="A36" i="16"/>
  <c r="K35" i="16" a="1"/>
  <c r="K35" i="16" s="1"/>
  <c r="J35" i="16" a="1"/>
  <c r="J35" i="16" s="1"/>
  <c r="A35" i="16"/>
  <c r="K34" i="16" a="1"/>
  <c r="K34" i="16" s="1"/>
  <c r="J34" i="16" a="1"/>
  <c r="J34" i="16" s="1"/>
  <c r="A34" i="16"/>
  <c r="K33" i="16" a="1"/>
  <c r="K33" i="16" s="1"/>
  <c r="J33" i="16" a="1"/>
  <c r="J33" i="16" s="1"/>
  <c r="A33" i="16"/>
  <c r="K32" i="16" a="1"/>
  <c r="K32" i="16" s="1"/>
  <c r="J32" i="16" a="1"/>
  <c r="J32" i="16" s="1"/>
  <c r="A32" i="16"/>
  <c r="K31" i="16" a="1"/>
  <c r="K31" i="16" s="1"/>
  <c r="J31" i="16" a="1"/>
  <c r="J31" i="16" s="1"/>
  <c r="A31" i="16"/>
  <c r="J30" i="16" a="1"/>
  <c r="J30" i="16" s="1"/>
  <c r="A30" i="16"/>
  <c r="K28" i="16" a="1"/>
  <c r="K28" i="16" s="1"/>
  <c r="A28" i="16"/>
  <c r="K27" i="16" a="1"/>
  <c r="K27" i="16" s="1"/>
  <c r="J27" i="16" a="1"/>
  <c r="J27" i="16" s="1"/>
  <c r="A27" i="16"/>
  <c r="K26" i="16" a="1"/>
  <c r="K26" i="16" s="1"/>
  <c r="J26" i="16" a="1"/>
  <c r="J26" i="16" s="1"/>
  <c r="A26" i="16"/>
  <c r="K25" i="16" a="1"/>
  <c r="K25" i="16" s="1"/>
  <c r="J25" i="16" a="1"/>
  <c r="J25" i="16" s="1"/>
  <c r="A25" i="16"/>
  <c r="K24" i="16" a="1"/>
  <c r="K24" i="16" s="1"/>
  <c r="J24" i="16" a="1"/>
  <c r="J24" i="16" s="1"/>
  <c r="A24" i="16"/>
  <c r="K23" i="16" a="1"/>
  <c r="K23" i="16" s="1"/>
  <c r="J23" i="16" a="1"/>
  <c r="J23" i="16" s="1"/>
  <c r="A23" i="16"/>
  <c r="K22" i="16" a="1"/>
  <c r="K22" i="16" s="1"/>
  <c r="J22" i="16" a="1"/>
  <c r="J22" i="16" s="1"/>
  <c r="A22" i="16"/>
  <c r="K21" i="16" a="1"/>
  <c r="K21" i="16" s="1"/>
  <c r="J21" i="16" a="1"/>
  <c r="J21" i="16" s="1"/>
  <c r="A21" i="16"/>
  <c r="K20" i="16" a="1"/>
  <c r="K20" i="16" s="1"/>
  <c r="J20" i="16" a="1"/>
  <c r="J20" i="16" s="1"/>
  <c r="A20" i="16"/>
  <c r="I12" i="16" a="1"/>
  <c r="I12" i="16" s="1"/>
  <c r="H12" i="16" a="1"/>
  <c r="H12" i="16" s="1"/>
  <c r="C12" i="16" a="1"/>
  <c r="C12" i="16" s="1"/>
  <c r="B12" i="16" a="1"/>
  <c r="B12" i="16" s="1"/>
  <c r="I11" i="16" a="1"/>
  <c r="I11" i="16" s="1"/>
  <c r="H11" i="16" a="1"/>
  <c r="H11" i="16" s="1"/>
  <c r="C11" i="16" a="1"/>
  <c r="C11" i="16" s="1"/>
  <c r="B11" i="16" a="1"/>
  <c r="B11" i="16" s="1"/>
  <c r="I10" i="16" a="1"/>
  <c r="I10" i="16" s="1"/>
  <c r="H10" i="16" a="1"/>
  <c r="H10" i="16" s="1"/>
  <c r="C10" i="16" a="1"/>
  <c r="C10" i="16" s="1"/>
  <c r="B10" i="16" a="1"/>
  <c r="B10" i="16" s="1"/>
  <c r="I9" i="16" a="1"/>
  <c r="I9" i="16" s="1"/>
  <c r="H9" i="16" a="1"/>
  <c r="H9" i="16" s="1"/>
  <c r="C9" i="16" a="1"/>
  <c r="C9" i="16" s="1"/>
  <c r="B9" i="16" a="1"/>
  <c r="B9" i="16" s="1"/>
  <c r="I8" i="16" a="1"/>
  <c r="I8" i="16" s="1"/>
  <c r="H8" i="16" a="1"/>
  <c r="H8" i="16" s="1"/>
  <c r="C8" i="16" a="1"/>
  <c r="C8" i="16" s="1"/>
  <c r="B8" i="16" a="1"/>
  <c r="B8" i="16" s="1"/>
  <c r="I7" i="16" a="1"/>
  <c r="I7" i="16" s="1"/>
  <c r="H7" i="16" a="1"/>
  <c r="H7" i="16" s="1"/>
  <c r="C7" i="16" a="1"/>
  <c r="C7" i="16" s="1"/>
  <c r="B7" i="16" a="1"/>
  <c r="B7" i="16" s="1"/>
  <c r="I6" i="16" a="1"/>
  <c r="I6" i="16" s="1"/>
  <c r="H6" i="16" a="1"/>
  <c r="H6" i="16" s="1"/>
  <c r="C6" i="16" a="1"/>
  <c r="C6" i="16" s="1"/>
  <c r="B6" i="16" a="1"/>
  <c r="B6" i="16" s="1"/>
  <c r="I5" i="16" a="1"/>
  <c r="I5" i="16" s="1"/>
  <c r="H5" i="16" a="1"/>
  <c r="H5" i="16" s="1"/>
  <c r="C5" i="16" a="1"/>
  <c r="C5" i="16" s="1"/>
  <c r="B5" i="16" a="1"/>
  <c r="B5" i="16" s="1"/>
  <c r="I4" i="16" a="1"/>
  <c r="I4" i="16" s="1"/>
  <c r="H4" i="16" a="1"/>
  <c r="H4" i="16" s="1"/>
  <c r="C4" i="16" a="1"/>
  <c r="C4" i="16" s="1"/>
  <c r="B4" i="16" a="1"/>
  <c r="B4" i="16" s="1"/>
  <c r="A4" i="16"/>
  <c r="I3" i="16" a="1"/>
  <c r="I3" i="16" s="1"/>
  <c r="H3" i="16" a="1"/>
  <c r="H3" i="16" s="1"/>
  <c r="C3" i="16" a="1"/>
  <c r="C3" i="16" s="1"/>
  <c r="B3" i="16" a="1"/>
  <c r="B3" i="16" s="1"/>
  <c r="C3" i="15"/>
  <c r="C2" i="15"/>
  <c r="D10" i="13"/>
  <c r="I3" i="13"/>
  <c r="I4" i="13" s="1"/>
  <c r="I5" i="13" s="1"/>
  <c r="I6" i="13" s="1"/>
  <c r="I7" i="13" s="1"/>
  <c r="I8" i="13" s="1"/>
  <c r="I9" i="13" s="1"/>
  <c r="I10" i="13" s="1"/>
  <c r="I11" i="13" s="1"/>
  <c r="I12" i="13" s="1"/>
  <c r="I13" i="13" s="1"/>
  <c r="I14" i="13" s="1"/>
  <c r="I15" i="13" s="1"/>
  <c r="I16" i="13" s="1"/>
  <c r="I17" i="13" s="1"/>
  <c r="I18" i="13" s="1"/>
  <c r="I19" i="13" s="1"/>
  <c r="I20" i="13" s="1"/>
  <c r="I21" i="13" s="1"/>
  <c r="I22" i="13" s="1"/>
  <c r="I23" i="13" s="1"/>
  <c r="I24" i="13" s="1"/>
  <c r="I25" i="13" s="1"/>
  <c r="I26" i="13" s="1"/>
  <c r="I27" i="13" s="1"/>
  <c r="I28" i="13" s="1"/>
  <c r="I29" i="13" s="1"/>
  <c r="I30" i="13" s="1"/>
  <c r="I31" i="13" s="1"/>
  <c r="I32" i="13" s="1"/>
  <c r="I33" i="13" s="1"/>
  <c r="I34" i="13" s="1"/>
  <c r="I35" i="13" s="1"/>
  <c r="I36" i="13" s="1"/>
  <c r="I37" i="13" s="1"/>
  <c r="I38" i="13" s="1"/>
  <c r="I39" i="13" s="1"/>
  <c r="I40" i="13" s="1"/>
  <c r="I41" i="13" s="1"/>
  <c r="I42" i="13" s="1"/>
  <c r="I43" i="13" s="1"/>
  <c r="I44" i="13" s="1"/>
  <c r="I45" i="13" s="1"/>
  <c r="I46" i="13" s="1"/>
  <c r="I47" i="13" s="1"/>
  <c r="I48" i="13" s="1"/>
  <c r="I49" i="13" s="1"/>
  <c r="I50" i="13" s="1"/>
  <c r="I51" i="13" s="1"/>
  <c r="I52" i="13" s="1"/>
  <c r="I53" i="13" s="1"/>
  <c r="I54" i="13" s="1"/>
  <c r="I55" i="13" s="1"/>
  <c r="I56" i="13" s="1"/>
  <c r="I57" i="13" s="1"/>
  <c r="I58" i="13" s="1"/>
  <c r="I59" i="13" s="1"/>
  <c r="I60" i="13" s="1"/>
  <c r="I61" i="13" s="1"/>
  <c r="I62" i="13" s="1"/>
  <c r="I63" i="13" s="1"/>
  <c r="I64" i="13" s="1"/>
  <c r="I65" i="13" s="1"/>
  <c r="I66" i="13" s="1"/>
  <c r="I67" i="13" s="1"/>
  <c r="I68" i="13" s="1"/>
  <c r="I69" i="13" s="1"/>
  <c r="I70" i="13" s="1"/>
  <c r="I71" i="13" s="1"/>
  <c r="I72" i="13" s="1"/>
  <c r="I73" i="13" s="1"/>
  <c r="I74" i="13" s="1"/>
  <c r="I75" i="13" s="1"/>
  <c r="I76" i="13" s="1"/>
  <c r="I77" i="13" s="1"/>
  <c r="I78" i="13" s="1"/>
  <c r="I79" i="13" s="1"/>
  <c r="I80" i="13" s="1"/>
  <c r="I81" i="13" s="1"/>
  <c r="I82" i="13" s="1"/>
  <c r="I83" i="13" s="1"/>
  <c r="I84" i="13" s="1"/>
  <c r="I85" i="13" s="1"/>
  <c r="I86" i="13" s="1"/>
  <c r="I87" i="13" s="1"/>
  <c r="I88" i="13" s="1"/>
  <c r="I89" i="13" s="1"/>
  <c r="I90" i="13" s="1"/>
  <c r="I91" i="13" s="1"/>
  <c r="I92" i="13" s="1"/>
  <c r="I93" i="13" s="1"/>
  <c r="I94" i="13" s="1"/>
  <c r="I95" i="13" s="1"/>
  <c r="I96" i="13" s="1"/>
  <c r="I97" i="13" s="1"/>
  <c r="I98" i="13" s="1"/>
  <c r="I99" i="13" s="1"/>
  <c r="I100" i="13" s="1"/>
  <c r="I101" i="13" s="1"/>
  <c r="I102" i="13" s="1"/>
  <c r="I103" i="13" s="1"/>
  <c r="I104" i="13" s="1"/>
  <c r="I105" i="13" s="1"/>
  <c r="I106" i="13" s="1"/>
  <c r="I107" i="13" s="1"/>
  <c r="I108" i="13" s="1"/>
  <c r="I109" i="13" s="1"/>
  <c r="I110" i="13" s="1"/>
  <c r="I111" i="13" s="1"/>
  <c r="I112" i="13" s="1"/>
  <c r="I113" i="13" s="1"/>
  <c r="I114" i="13" s="1"/>
  <c r="I115" i="13" s="1"/>
  <c r="I116" i="13" s="1"/>
  <c r="I117" i="13" s="1"/>
  <c r="I118" i="13" s="1"/>
  <c r="I119" i="13" s="1"/>
  <c r="I120" i="13" s="1"/>
  <c r="I121" i="13" s="1"/>
  <c r="I122" i="13" s="1"/>
  <c r="I123" i="13" s="1"/>
  <c r="I124" i="13" s="1"/>
  <c r="I125" i="13" s="1"/>
  <c r="I126" i="13" s="1"/>
  <c r="I127" i="13" s="1"/>
  <c r="I128" i="13" s="1"/>
  <c r="I129" i="13" s="1"/>
  <c r="I130" i="13" s="1"/>
  <c r="I131" i="13" s="1"/>
  <c r="I132" i="13" s="1"/>
  <c r="I133" i="13" s="1"/>
  <c r="I134" i="13" s="1"/>
  <c r="I135" i="13" s="1"/>
  <c r="I136" i="13" s="1"/>
  <c r="I137" i="13" s="1"/>
  <c r="I138" i="13" s="1"/>
  <c r="I139" i="13" s="1"/>
  <c r="I140" i="13" s="1"/>
  <c r="I141" i="13" s="1"/>
  <c r="I142" i="13" s="1"/>
  <c r="I143" i="13" s="1"/>
  <c r="I144" i="13" s="1"/>
  <c r="I145" i="13" s="1"/>
  <c r="I146" i="13" s="1"/>
  <c r="I147" i="13" s="1"/>
  <c r="I148" i="13" s="1"/>
  <c r="I149" i="13" s="1"/>
  <c r="I150" i="13" s="1"/>
  <c r="I151" i="13" s="1"/>
  <c r="I152" i="13" s="1"/>
  <c r="I153" i="13" s="1"/>
  <c r="I154" i="13" s="1"/>
  <c r="I155" i="13" s="1"/>
  <c r="I156" i="13" s="1"/>
  <c r="I157" i="13" s="1"/>
  <c r="I158" i="13" s="1"/>
  <c r="I159" i="13" s="1"/>
  <c r="I160" i="13" s="1"/>
  <c r="I161" i="13" s="1"/>
  <c r="I162" i="13" s="1"/>
  <c r="I163" i="13" s="1"/>
  <c r="I164" i="13" s="1"/>
  <c r="I165" i="13" s="1"/>
  <c r="I166" i="13" s="1"/>
  <c r="I167" i="13" s="1"/>
  <c r="I168" i="13" s="1"/>
  <c r="I169" i="13" s="1"/>
  <c r="I170" i="13" s="1"/>
  <c r="I171" i="13" s="1"/>
  <c r="I172" i="13" s="1"/>
  <c r="I173" i="13" s="1"/>
  <c r="I174" i="13" s="1"/>
  <c r="I175" i="13" s="1"/>
  <c r="I176" i="13" s="1"/>
  <c r="I177" i="13" s="1"/>
  <c r="I178" i="13" s="1"/>
  <c r="I179" i="13" s="1"/>
  <c r="I180" i="13" s="1"/>
  <c r="I181" i="13" s="1"/>
  <c r="I182" i="13" s="1"/>
  <c r="I183" i="13" s="1"/>
  <c r="I184" i="13" s="1"/>
  <c r="I185" i="13" s="1"/>
  <c r="I186" i="13" s="1"/>
  <c r="I187" i="13" s="1"/>
  <c r="I188" i="13" s="1"/>
  <c r="I189" i="13" s="1"/>
  <c r="I190" i="13" s="1"/>
  <c r="I191" i="13" s="1"/>
  <c r="I192" i="13" s="1"/>
  <c r="I193" i="13" s="1"/>
  <c r="I194" i="13" s="1"/>
  <c r="I195" i="13" s="1"/>
  <c r="I196" i="13" s="1"/>
  <c r="I197" i="13" s="1"/>
  <c r="I198" i="13" s="1"/>
  <c r="I199" i="13" s="1"/>
  <c r="I200" i="13" s="1"/>
  <c r="I201" i="13" s="1"/>
  <c r="I202" i="13" s="1"/>
  <c r="I203" i="13" s="1"/>
  <c r="I204" i="13" s="1"/>
  <c r="I205" i="13" s="1"/>
  <c r="I206" i="13" s="1"/>
  <c r="I207" i="13" s="1"/>
  <c r="I208" i="13" s="1"/>
  <c r="I209" i="13" s="1"/>
  <c r="I210" i="13" s="1"/>
  <c r="I211" i="13" s="1"/>
  <c r="I212" i="13" s="1"/>
  <c r="I213" i="13" s="1"/>
  <c r="I214" i="13" s="1"/>
  <c r="I215" i="13" s="1"/>
  <c r="I216" i="13" s="1"/>
  <c r="I217" i="13" s="1"/>
  <c r="I218" i="13" s="1"/>
  <c r="I219" i="13" s="1"/>
  <c r="I220" i="13" s="1"/>
  <c r="I221" i="13" s="1"/>
  <c r="I222" i="13" s="1"/>
  <c r="I223" i="13" s="1"/>
  <c r="I224" i="13" s="1"/>
  <c r="I225" i="13" s="1"/>
  <c r="I226" i="13" s="1"/>
  <c r="I227" i="13" s="1"/>
  <c r="I228" i="13" s="1"/>
  <c r="I229" i="13" s="1"/>
  <c r="I230" i="13" s="1"/>
  <c r="I231" i="13" s="1"/>
  <c r="I232" i="13" s="1"/>
  <c r="I233" i="13" s="1"/>
  <c r="I234" i="13" s="1"/>
  <c r="I235" i="13" s="1"/>
  <c r="I236" i="13" s="1"/>
  <c r="I237" i="13" s="1"/>
  <c r="I238" i="13" s="1"/>
  <c r="I239" i="13" s="1"/>
  <c r="I240" i="13" s="1"/>
  <c r="I241" i="13" s="1"/>
  <c r="I242" i="13" s="1"/>
  <c r="I243" i="13" s="1"/>
  <c r="I244" i="13" s="1"/>
  <c r="I245" i="13" s="1"/>
  <c r="I246" i="13" s="1"/>
  <c r="I247" i="13" s="1"/>
  <c r="I248" i="13" s="1"/>
  <c r="I249" i="13" s="1"/>
  <c r="I250" i="13" s="1"/>
  <c r="A5" i="8"/>
  <c r="A6" i="8" s="1"/>
  <c r="A7" i="8" s="1"/>
  <c r="A8" i="8" s="1"/>
  <c r="A9" i="8" s="1"/>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58" i="8" s="1"/>
  <c r="A59" i="8" s="1"/>
  <c r="A60" i="8" s="1"/>
  <c r="A61" i="8" s="1"/>
  <c r="A62" i="8" s="1"/>
  <c r="A63" i="8" s="1"/>
  <c r="A64" i="8" s="1"/>
  <c r="A65" i="8" s="1"/>
  <c r="A66" i="8" s="1"/>
  <c r="A67" i="8" s="1"/>
  <c r="A68" i="8" s="1"/>
  <c r="A69" i="8" s="1"/>
  <c r="A70" i="8" s="1"/>
  <c r="A71" i="8" s="1"/>
  <c r="A72" i="8" s="1"/>
  <c r="A73" i="8" s="1"/>
  <c r="A74" i="8" s="1"/>
  <c r="A75" i="8" s="1"/>
  <c r="A76" i="8" s="1"/>
  <c r="A77" i="8" s="1"/>
  <c r="A78" i="8" s="1"/>
  <c r="A79" i="8" s="1"/>
  <c r="A80" i="8" s="1"/>
  <c r="A81" i="8" s="1"/>
  <c r="A82" i="8" s="1"/>
  <c r="A83" i="8" s="1"/>
  <c r="A84" i="8" s="1"/>
  <c r="A85" i="8" s="1"/>
  <c r="A86" i="8" s="1"/>
  <c r="A87" i="8" s="1"/>
  <c r="A88" i="8" s="1"/>
  <c r="A89" i="8" s="1"/>
  <c r="A90" i="8" s="1"/>
  <c r="A91" i="8" s="1"/>
  <c r="A92" i="8" s="1"/>
  <c r="A93" i="8" s="1"/>
  <c r="A94" i="8" s="1"/>
  <c r="A95" i="8" s="1"/>
  <c r="A96" i="8" s="1"/>
  <c r="A97" i="8" s="1"/>
  <c r="A98" i="8" s="1"/>
  <c r="A99" i="8" s="1"/>
  <c r="A100" i="8" s="1"/>
  <c r="A101" i="8" s="1"/>
  <c r="A102" i="8" s="1"/>
  <c r="A103" i="8" s="1"/>
  <c r="K212" i="7"/>
  <c r="K211" i="7"/>
  <c r="K210" i="7"/>
  <c r="F209" i="7"/>
  <c r="F208" i="7"/>
  <c r="F207" i="7"/>
  <c r="BS149" i="7"/>
  <c r="AO149" i="7"/>
  <c r="F162" i="16" s="1"/>
  <c r="K149" i="7"/>
  <c r="N14" i="23" s="1"/>
  <c r="BS148" i="7"/>
  <c r="BS147" i="7"/>
  <c r="K147" i="7"/>
  <c r="F147" i="7"/>
  <c r="BS146" i="7"/>
  <c r="BS145" i="7"/>
  <c r="BS144" i="7"/>
  <c r="BS143" i="7"/>
  <c r="BS142" i="7"/>
  <c r="BS141" i="7"/>
  <c r="BS140" i="7"/>
  <c r="BS139" i="7"/>
  <c r="BS138" i="7"/>
  <c r="BS137" i="7"/>
  <c r="BS136" i="7"/>
  <c r="BS135" i="7"/>
  <c r="BS134" i="7"/>
  <c r="BS133" i="7"/>
  <c r="BS132" i="7"/>
  <c r="BS131" i="7"/>
  <c r="BS130" i="7"/>
  <c r="BS129" i="7"/>
  <c r="BS128" i="7"/>
  <c r="BS127" i="7"/>
  <c r="BS126" i="7"/>
  <c r="BS125" i="7"/>
  <c r="BS124" i="7"/>
  <c r="BS123" i="7"/>
  <c r="BS122" i="7"/>
  <c r="BS121" i="7"/>
  <c r="K121" i="7"/>
  <c r="BH121" i="7" s="1"/>
  <c r="U134" i="16" s="1"/>
  <c r="BS120" i="7"/>
  <c r="K120" i="7"/>
  <c r="BS119" i="7"/>
  <c r="BS118" i="7"/>
  <c r="K118" i="7"/>
  <c r="BS117" i="7"/>
  <c r="BS116" i="7"/>
  <c r="BS115" i="7"/>
  <c r="BS114" i="7"/>
  <c r="BS113" i="7"/>
  <c r="K113" i="7"/>
  <c r="BS112" i="7"/>
  <c r="BS111" i="7"/>
  <c r="BS110" i="7"/>
  <c r="BS109" i="7"/>
  <c r="BS108" i="7"/>
  <c r="K108" i="7"/>
  <c r="BS107" i="7"/>
  <c r="BS106" i="7"/>
  <c r="BS105" i="7"/>
  <c r="BS104" i="7"/>
  <c r="BS103" i="7"/>
  <c r="K103" i="7"/>
  <c r="BM103" i="7" s="1"/>
  <c r="V116" i="16" s="1"/>
  <c r="BS102" i="7"/>
  <c r="K102" i="7"/>
  <c r="AI102" i="7" s="1"/>
  <c r="BS101" i="7"/>
  <c r="K101" i="7"/>
  <c r="BS100" i="7"/>
  <c r="K100" i="7"/>
  <c r="BM100" i="7" s="1"/>
  <c r="V113" i="16" s="1"/>
  <c r="BS99" i="7"/>
  <c r="AU99" i="7"/>
  <c r="D112" i="16" s="1"/>
  <c r="BS98" i="7"/>
  <c r="BS97" i="7"/>
  <c r="BS96" i="7"/>
  <c r="BS95" i="7"/>
  <c r="AC95" i="7"/>
  <c r="P108" i="16" s="1"/>
  <c r="BS94" i="7"/>
  <c r="AC94" i="7"/>
  <c r="P107" i="16" s="1"/>
  <c r="BS93" i="7"/>
  <c r="AC93" i="7"/>
  <c r="P106" i="16" s="1"/>
  <c r="BS92" i="7"/>
  <c r="AC92" i="7"/>
  <c r="P105" i="16" s="1"/>
  <c r="BS91" i="7"/>
  <c r="K91" i="7"/>
  <c r="AI91" i="7" s="1"/>
  <c r="BS90" i="7"/>
  <c r="K90" i="7"/>
  <c r="BS89" i="7"/>
  <c r="K89" i="7"/>
  <c r="AI89" i="7" s="1"/>
  <c r="BS88" i="7"/>
  <c r="K88" i="7"/>
  <c r="AJ88" i="7" s="1"/>
  <c r="O101" i="16" s="1"/>
  <c r="BS87" i="7"/>
  <c r="K87" i="7"/>
  <c r="BS86" i="7"/>
  <c r="K86" i="7"/>
  <c r="BS85" i="7"/>
  <c r="BS84" i="7"/>
  <c r="BS83" i="7"/>
  <c r="BS82" i="7"/>
  <c r="BS81" i="7"/>
  <c r="BS80" i="7"/>
  <c r="AU80" i="7"/>
  <c r="D93" i="16" s="1"/>
  <c r="AC80" i="7"/>
  <c r="P93" i="16" s="1"/>
  <c r="BS79" i="7"/>
  <c r="AU79" i="7"/>
  <c r="D92" i="16" s="1"/>
  <c r="BS78" i="7"/>
  <c r="BS77" i="7"/>
  <c r="BS76" i="7"/>
  <c r="BS75" i="7"/>
  <c r="BS74" i="7"/>
  <c r="K74" i="7"/>
  <c r="BS73" i="7"/>
  <c r="K73" i="7"/>
  <c r="BM73" i="7" s="1"/>
  <c r="V86" i="16" s="1"/>
  <c r="BS72" i="7"/>
  <c r="K72" i="7"/>
  <c r="BM72" i="7" s="1"/>
  <c r="V85" i="16" s="1"/>
  <c r="BS71" i="7"/>
  <c r="K71" i="7"/>
  <c r="AK71" i="7" s="1"/>
  <c r="BS70" i="7"/>
  <c r="K70" i="7"/>
  <c r="AK70" i="7" s="1"/>
  <c r="BS69" i="7"/>
  <c r="K69" i="7"/>
  <c r="AJ69" i="7" s="1"/>
  <c r="O82" i="16" s="1"/>
  <c r="BS68" i="7"/>
  <c r="K68" i="7"/>
  <c r="BS67" i="7"/>
  <c r="K67" i="7"/>
  <c r="BS66" i="7"/>
  <c r="K66" i="7"/>
  <c r="AU66" i="7" s="1"/>
  <c r="D79" i="16" s="1"/>
  <c r="BS65" i="7"/>
  <c r="K65" i="7"/>
  <c r="BS64" i="7"/>
  <c r="K64" i="7"/>
  <c r="BS63" i="7"/>
  <c r="K63" i="7"/>
  <c r="BS62" i="7"/>
  <c r="K62" i="7"/>
  <c r="BM62" i="7" s="1"/>
  <c r="V75" i="16" s="1"/>
  <c r="BS61" i="7"/>
  <c r="K61" i="7"/>
  <c r="BM61" i="7" s="1"/>
  <c r="V74" i="16" s="1"/>
  <c r="BS60" i="7"/>
  <c r="K60" i="7"/>
  <c r="AK60" i="7" s="1"/>
  <c r="BS59" i="7"/>
  <c r="K59" i="7"/>
  <c r="BS58" i="7"/>
  <c r="BS57" i="7"/>
  <c r="K57" i="7"/>
  <c r="F57" i="7"/>
  <c r="BS56" i="7"/>
  <c r="K56" i="7"/>
  <c r="BA56" i="7" s="1"/>
  <c r="F56" i="7"/>
  <c r="BS55" i="7"/>
  <c r="K55" i="7"/>
  <c r="AC55" i="7" s="1"/>
  <c r="BS54" i="7"/>
  <c r="K53" i="7"/>
  <c r="BS52" i="7"/>
  <c r="K52" i="7"/>
  <c r="AL52" i="7" s="1"/>
  <c r="BS51" i="7"/>
  <c r="K51" i="7"/>
  <c r="BS50" i="7"/>
  <c r="K50" i="7"/>
  <c r="BS49" i="7"/>
  <c r="K49" i="7"/>
  <c r="AU49" i="7" s="1"/>
  <c r="D62" i="16" s="1"/>
  <c r="BS48" i="7"/>
  <c r="K48" i="7"/>
  <c r="BS47" i="7"/>
  <c r="K47" i="7"/>
  <c r="BM47" i="7" s="1"/>
  <c r="V60" i="16" s="1"/>
  <c r="BS46" i="7"/>
  <c r="K46" i="7"/>
  <c r="BM46" i="7" s="1"/>
  <c r="V59" i="16" s="1"/>
  <c r="BS45" i="7"/>
  <c r="K45" i="7"/>
  <c r="BM45" i="7" s="1"/>
  <c r="V58" i="16" s="1"/>
  <c r="BS44" i="7"/>
  <c r="K44" i="7"/>
  <c r="BM44" i="7" s="1"/>
  <c r="V57" i="16" s="1"/>
  <c r="BS43" i="7"/>
  <c r="K43" i="7"/>
  <c r="BS42" i="7"/>
  <c r="AU42" i="7"/>
  <c r="D55" i="16" s="1"/>
  <c r="AO42" i="7"/>
  <c r="F55" i="16" s="1"/>
  <c r="AI42" i="7"/>
  <c r="N55" i="16" s="1"/>
  <c r="AC42" i="7"/>
  <c r="P55" i="16" s="1"/>
  <c r="Q42" i="7"/>
  <c r="L55" i="16" s="1"/>
  <c r="BS41" i="7"/>
  <c r="K41" i="7"/>
  <c r="BS40" i="7"/>
  <c r="K40" i="7"/>
  <c r="AC40" i="7" s="1"/>
  <c r="P53" i="16" s="1"/>
  <c r="BS39" i="7"/>
  <c r="K39" i="7"/>
  <c r="BS38" i="7"/>
  <c r="K38" i="7"/>
  <c r="BS37" i="7"/>
  <c r="K37" i="7"/>
  <c r="BS36" i="7"/>
  <c r="K36" i="7"/>
  <c r="BA36" i="7" s="1"/>
  <c r="R49" i="16" s="1"/>
  <c r="BS35" i="7"/>
  <c r="K35" i="7"/>
  <c r="BS34" i="7"/>
  <c r="K34" i="7"/>
  <c r="BS33" i="7"/>
  <c r="K33" i="7"/>
  <c r="AI33" i="7" s="1"/>
  <c r="N46" i="16" s="1"/>
  <c r="BS32" i="7"/>
  <c r="K32" i="7"/>
  <c r="BS31" i="7"/>
  <c r="K31" i="7"/>
  <c r="BS30" i="7"/>
  <c r="K30" i="7"/>
  <c r="BS29" i="7"/>
  <c r="K29" i="7"/>
  <c r="BS28" i="7"/>
  <c r="K28" i="7"/>
  <c r="BS27" i="7"/>
  <c r="K27" i="7"/>
  <c r="F27" i="7"/>
  <c r="BS26" i="7"/>
  <c r="K26" i="7"/>
  <c r="F26" i="7"/>
  <c r="BS25" i="7"/>
  <c r="F25" i="7"/>
  <c r="BS24" i="7"/>
  <c r="K24" i="7"/>
  <c r="BS23" i="7"/>
  <c r="K23" i="7"/>
  <c r="BS22" i="7"/>
  <c r="K22" i="7"/>
  <c r="BS21" i="7"/>
  <c r="K21" i="7"/>
  <c r="BS20" i="7"/>
  <c r="BS19" i="7"/>
  <c r="BS18" i="7"/>
  <c r="BS17" i="7"/>
  <c r="BS15" i="7"/>
  <c r="AU15" i="7"/>
  <c r="D28" i="16" s="1"/>
  <c r="N28" i="16"/>
  <c r="AC15" i="7"/>
  <c r="P28" i="16" s="1"/>
  <c r="AA15" i="7"/>
  <c r="Y15" i="7"/>
  <c r="W15" i="7"/>
  <c r="J28" i="16" s="1" a="1"/>
  <c r="J28" i="16" s="1"/>
  <c r="Q15" i="7"/>
  <c r="L28" i="16" s="1"/>
  <c r="K15" i="7"/>
  <c r="AE15" i="7" s="1"/>
  <c r="BS14" i="7"/>
  <c r="BS13" i="7"/>
  <c r="K13" i="7"/>
  <c r="O13" i="7" s="1"/>
  <c r="L3" i="4" s="1"/>
  <c r="F13" i="7"/>
  <c r="BS12" i="7"/>
  <c r="K12" i="7"/>
  <c r="BS11" i="7"/>
  <c r="AV11" i="7"/>
  <c r="E24" i="16" s="1"/>
  <c r="AU11" i="7"/>
  <c r="D24" i="16" s="1"/>
  <c r="K11" i="7"/>
  <c r="F11" i="7"/>
  <c r="BS10" i="7"/>
  <c r="K10" i="7"/>
  <c r="BS9" i="7"/>
  <c r="BS7" i="7"/>
  <c r="G20" i="6"/>
  <c r="G21" i="6" s="1"/>
  <c r="G22" i="6" s="1"/>
  <c r="G23" i="6" s="1"/>
  <c r="C20" i="6"/>
  <c r="C21" i="6" s="1"/>
  <c r="C9" i="6"/>
  <c r="C14" i="6" s="1"/>
  <c r="L14" i="4"/>
  <c r="H9" i="4"/>
  <c r="H8" i="4" s="1"/>
  <c r="A9" i="3"/>
  <c r="BB53" i="7" l="1"/>
  <c r="S66" i="16" s="1"/>
  <c r="AJ58" i="7"/>
  <c r="O71" i="16" s="1"/>
  <c r="AJ57" i="7"/>
  <c r="O70" i="16" s="1"/>
  <c r="BM39" i="7"/>
  <c r="BA39" i="7"/>
  <c r="R52" i="16" s="1"/>
  <c r="AJ12" i="7"/>
  <c r="BA12" i="7"/>
  <c r="R25" i="16" s="1"/>
  <c r="E16" i="42"/>
  <c r="G25" i="42" s="1"/>
  <c r="H25" i="42" s="1"/>
  <c r="F22" i="36"/>
  <c r="F24" i="36" s="1"/>
  <c r="F21" i="36"/>
  <c r="E23" i="36"/>
  <c r="E25" i="36" s="1"/>
  <c r="F23" i="36"/>
  <c r="F25" i="36" s="1"/>
  <c r="D23" i="36"/>
  <c r="D25" i="36" s="1"/>
  <c r="H21" i="36"/>
  <c r="H22" i="36"/>
  <c r="H24" i="36" s="1"/>
  <c r="I21" i="36"/>
  <c r="I22" i="36"/>
  <c r="I24" i="36" s="1"/>
  <c r="AI39" i="7"/>
  <c r="I23" i="36"/>
  <c r="I25" i="36" s="1"/>
  <c r="H23" i="36"/>
  <c r="H25" i="36" s="1"/>
  <c r="G23" i="36"/>
  <c r="G25" i="36" s="1"/>
  <c r="G26" i="36" s="1"/>
  <c r="D16" i="42"/>
  <c r="E25" i="42" s="1"/>
  <c r="F25" i="42" s="1"/>
  <c r="E22" i="36"/>
  <c r="E24" i="36" s="1"/>
  <c r="E21" i="36"/>
  <c r="D22" i="36"/>
  <c r="D24" i="36" s="1"/>
  <c r="D21" i="36"/>
  <c r="AI55" i="7"/>
  <c r="N68" i="16" s="1"/>
  <c r="BA55" i="7"/>
  <c r="BM63" i="7"/>
  <c r="V76" i="16" s="1"/>
  <c r="AC63" i="7"/>
  <c r="AO53" i="7"/>
  <c r="F66" i="16" s="1"/>
  <c r="BJ24" i="7"/>
  <c r="BJ6" i="7" s="1"/>
  <c r="AF24" i="7"/>
  <c r="AF6" i="7" s="1"/>
  <c r="BD24" i="7"/>
  <c r="BD6" i="7" s="1"/>
  <c r="T24" i="7"/>
  <c r="T6" i="7" s="1"/>
  <c r="AR24" i="7"/>
  <c r="AR6" i="7" s="1"/>
  <c r="AL24" i="7"/>
  <c r="AL6" i="7" s="1"/>
  <c r="BP24" i="7"/>
  <c r="V2" i="39"/>
  <c r="W2" i="39" s="1"/>
  <c r="L19" i="40"/>
  <c r="G24" i="40" s="1"/>
  <c r="L19" i="39"/>
  <c r="G24" i="39" s="1"/>
  <c r="E2" i="18"/>
  <c r="BI2" i="7"/>
  <c r="F13" i="23"/>
  <c r="AP53" i="7"/>
  <c r="G66" i="16" s="1"/>
  <c r="U2" i="39"/>
  <c r="H16" i="42"/>
  <c r="M25" i="42" s="1"/>
  <c r="N25" i="42" s="1"/>
  <c r="G16" i="42"/>
  <c r="K25" i="42" s="1"/>
  <c r="L25" i="42" s="1"/>
  <c r="AK29" i="7"/>
  <c r="AK34" i="7"/>
  <c r="AI56" i="7"/>
  <c r="N69" i="16" s="1"/>
  <c r="AP24" i="7"/>
  <c r="G37" i="16" s="1"/>
  <c r="AK55" i="7"/>
  <c r="AP55" i="7"/>
  <c r="G68" i="16" s="1"/>
  <c r="AI24" i="7"/>
  <c r="N37" i="16" s="1"/>
  <c r="BN12" i="7"/>
  <c r="AB23" i="19"/>
  <c r="N54" i="16"/>
  <c r="AJ28" i="7"/>
  <c r="O41" i="16" s="1"/>
  <c r="AU74" i="7"/>
  <c r="D87" i="16" s="1"/>
  <c r="AI74" i="7"/>
  <c r="N87" i="16" s="1"/>
  <c r="BM41" i="7"/>
  <c r="V54" i="16" s="1"/>
  <c r="AJ41" i="7"/>
  <c r="O54" i="16" s="1"/>
  <c r="BM36" i="7"/>
  <c r="V49" i="16" s="1"/>
  <c r="AK36" i="7"/>
  <c r="Q2" i="26"/>
  <c r="AI51" i="7"/>
  <c r="N64" i="16" s="1"/>
  <c r="BM51" i="7"/>
  <c r="V64" i="16" s="1"/>
  <c r="AI50" i="7"/>
  <c r="N63" i="16" s="1"/>
  <c r="W67" i="7"/>
  <c r="J80" i="16" s="1" a="1"/>
  <c r="J80" i="16" s="1"/>
  <c r="AJ67" i="7"/>
  <c r="O80" i="16" s="1"/>
  <c r="AI23" i="7"/>
  <c r="BH30" i="7"/>
  <c r="U43" i="16" s="1"/>
  <c r="AK30" i="7"/>
  <c r="AI30" i="7"/>
  <c r="N43" i="16" s="1"/>
  <c r="AJ30" i="7"/>
  <c r="O43" i="16" s="1"/>
  <c r="BG52" i="7"/>
  <c r="T65" i="16" s="1"/>
  <c r="AK52" i="7"/>
  <c r="AJ90" i="7"/>
  <c r="O103" i="16" s="1"/>
  <c r="F19" i="42"/>
  <c r="W31" i="18"/>
  <c r="E31" i="18" s="1"/>
  <c r="F23" i="43"/>
  <c r="W7" i="18"/>
  <c r="K15" i="42"/>
  <c r="L15" i="42" s="1"/>
  <c r="P2" i="26"/>
  <c r="BM31" i="7"/>
  <c r="V44" i="16" s="1"/>
  <c r="AK31" i="7"/>
  <c r="N44" i="16"/>
  <c r="BM29" i="7"/>
  <c r="AI29" i="7"/>
  <c r="N42" i="16" s="1"/>
  <c r="AJ29" i="7"/>
  <c r="O42" i="16" s="1"/>
  <c r="C16" i="42"/>
  <c r="C25" i="42" s="1"/>
  <c r="D25" i="42" s="1"/>
  <c r="S19" i="19"/>
  <c r="O66" i="16"/>
  <c r="BM89" i="7"/>
  <c r="V102" i="16" s="1"/>
  <c r="N102" i="16"/>
  <c r="V52" i="16"/>
  <c r="AU35" i="7"/>
  <c r="D48" i="16" s="1"/>
  <c r="BM35" i="7"/>
  <c r="V48" i="16" s="1"/>
  <c r="AC39" i="7"/>
  <c r="P52" i="16" s="1"/>
  <c r="V47" i="16"/>
  <c r="BP34" i="7"/>
  <c r="BG23" i="7"/>
  <c r="E21" i="17"/>
  <c r="D21" i="17"/>
  <c r="F21" i="17"/>
  <c r="F17" i="40"/>
  <c r="D3" i="32"/>
  <c r="D5" i="32"/>
  <c r="C5" i="32"/>
  <c r="B5" i="32"/>
  <c r="E21" i="26"/>
  <c r="E23" i="26" s="1"/>
  <c r="D19" i="31"/>
  <c r="D21" i="31" s="1"/>
  <c r="F19" i="40"/>
  <c r="F21" i="40" s="1"/>
  <c r="F19" i="29"/>
  <c r="F21" i="29" s="1"/>
  <c r="D21" i="26"/>
  <c r="D23" i="26" s="1"/>
  <c r="C19" i="31"/>
  <c r="C21" i="31" s="1"/>
  <c r="E19" i="40"/>
  <c r="E21" i="40" s="1"/>
  <c r="D19" i="40"/>
  <c r="D21" i="40" s="1"/>
  <c r="E19" i="31"/>
  <c r="E21" i="31" s="1"/>
  <c r="E19" i="29"/>
  <c r="E21" i="29" s="1"/>
  <c r="C22" i="43"/>
  <c r="C24" i="43" s="1"/>
  <c r="F19" i="39"/>
  <c r="F21" i="39" s="1"/>
  <c r="D19" i="29"/>
  <c r="D21" i="29" s="1"/>
  <c r="F19" i="37"/>
  <c r="F21" i="37" s="1"/>
  <c r="D22" i="43"/>
  <c r="D24" i="43" s="1"/>
  <c r="E19" i="39"/>
  <c r="E21" i="39" s="1"/>
  <c r="E19" i="37"/>
  <c r="E21" i="37" s="1"/>
  <c r="D19" i="39"/>
  <c r="D21" i="39" s="1"/>
  <c r="E22" i="43"/>
  <c r="E24" i="43" s="1"/>
  <c r="D19" i="37"/>
  <c r="D21" i="37" s="1"/>
  <c r="F21" i="26"/>
  <c r="F23" i="26" s="1"/>
  <c r="G5" i="32"/>
  <c r="F5" i="32"/>
  <c r="E5" i="32"/>
  <c r="I19" i="39"/>
  <c r="I21" i="39" s="1"/>
  <c r="G19" i="29"/>
  <c r="G21" i="29" s="1"/>
  <c r="I19" i="37"/>
  <c r="I21" i="37" s="1"/>
  <c r="G21" i="26"/>
  <c r="G23" i="26" s="1"/>
  <c r="H19" i="29"/>
  <c r="H21" i="29" s="1"/>
  <c r="H19" i="39"/>
  <c r="H21" i="39" s="1"/>
  <c r="H19" i="37"/>
  <c r="H21" i="37" s="1"/>
  <c r="H19" i="40"/>
  <c r="H21" i="40" s="1"/>
  <c r="G19" i="39"/>
  <c r="G21" i="39" s="1"/>
  <c r="H22" i="43"/>
  <c r="H24" i="43" s="1"/>
  <c r="G19" i="37"/>
  <c r="G21" i="37" s="1"/>
  <c r="G22" i="37" s="1"/>
  <c r="H18" i="42"/>
  <c r="H20" i="42" s="1"/>
  <c r="F19" i="31"/>
  <c r="F21" i="31" s="1"/>
  <c r="G22" i="43"/>
  <c r="G24" i="43" s="1"/>
  <c r="G18" i="42"/>
  <c r="G20" i="42" s="1"/>
  <c r="I21" i="26"/>
  <c r="I23" i="26" s="1"/>
  <c r="F22" i="43"/>
  <c r="F24" i="43" s="1"/>
  <c r="H19" i="31"/>
  <c r="H21" i="31" s="1"/>
  <c r="F18" i="42"/>
  <c r="F20" i="42" s="1"/>
  <c r="G19" i="40"/>
  <c r="G21" i="40" s="1"/>
  <c r="G22" i="40" s="1"/>
  <c r="H21" i="26"/>
  <c r="H23" i="26" s="1"/>
  <c r="G19" i="31"/>
  <c r="G21" i="31" s="1"/>
  <c r="I19" i="40"/>
  <c r="I21" i="40" s="1"/>
  <c r="I19" i="29"/>
  <c r="I21" i="29" s="1"/>
  <c r="BB57" i="7"/>
  <c r="S70" i="16" s="1"/>
  <c r="X57" i="7"/>
  <c r="J70" i="16" s="1" a="1"/>
  <c r="J70" i="16" s="1"/>
  <c r="AV57" i="7"/>
  <c r="E70" i="16" s="1"/>
  <c r="BH57" i="7"/>
  <c r="U70" i="16" s="1"/>
  <c r="AD57" i="7"/>
  <c r="Q70" i="16" s="1"/>
  <c r="BN57" i="7"/>
  <c r="W70" i="16" s="1"/>
  <c r="D17" i="40"/>
  <c r="B3" i="32"/>
  <c r="I17" i="40"/>
  <c r="G3" i="32"/>
  <c r="E17" i="40"/>
  <c r="C3" i="32"/>
  <c r="H17" i="40"/>
  <c r="F3" i="32"/>
  <c r="D25" i="24"/>
  <c r="D27" i="24" s="1"/>
  <c r="R57" i="7"/>
  <c r="M70" i="16" s="1"/>
  <c r="V70" i="16"/>
  <c r="AP57" i="7"/>
  <c r="G70" i="16" s="1"/>
  <c r="R70" i="16"/>
  <c r="T70" i="16"/>
  <c r="D24" i="24"/>
  <c r="D26" i="24" s="1"/>
  <c r="D23" i="24"/>
  <c r="L2" i="4"/>
  <c r="M2" i="4"/>
  <c r="H20" i="43"/>
  <c r="C20" i="43"/>
  <c r="C21" i="43"/>
  <c r="E20" i="43"/>
  <c r="E21" i="43"/>
  <c r="D21" i="43"/>
  <c r="D20" i="43"/>
  <c r="G20" i="43"/>
  <c r="AU50" i="7"/>
  <c r="D63" i="16" s="1"/>
  <c r="BM50" i="7"/>
  <c r="V63" i="16" s="1"/>
  <c r="AU118" i="7"/>
  <c r="D131" i="16" s="1"/>
  <c r="BM118" i="7"/>
  <c r="V131" i="16" s="1"/>
  <c r="AV69" i="7"/>
  <c r="E82" i="16" s="1"/>
  <c r="BN69" i="7"/>
  <c r="W82" i="16" s="1"/>
  <c r="BH70" i="7"/>
  <c r="U83" i="16" s="1"/>
  <c r="AU70" i="7"/>
  <c r="D83" i="16" s="1"/>
  <c r="BM70" i="7"/>
  <c r="V83" i="16" s="1"/>
  <c r="BH90" i="7"/>
  <c r="U103" i="16" s="1"/>
  <c r="AU90" i="7"/>
  <c r="D103" i="16" s="1"/>
  <c r="BN90" i="7"/>
  <c r="W103" i="16" s="1"/>
  <c r="W33" i="7"/>
  <c r="J46" i="16" s="1" a="1"/>
  <c r="J46" i="16" s="1"/>
  <c r="BM33" i="7"/>
  <c r="V46" i="16" s="1"/>
  <c r="BH67" i="7"/>
  <c r="U80" i="16" s="1"/>
  <c r="BM67" i="7"/>
  <c r="V80" i="16" s="1"/>
  <c r="BH71" i="7"/>
  <c r="U84" i="16" s="1"/>
  <c r="BM71" i="7"/>
  <c r="V84" i="16" s="1"/>
  <c r="BH91" i="7"/>
  <c r="U104" i="16" s="1"/>
  <c r="BM91" i="7"/>
  <c r="V104" i="16" s="1"/>
  <c r="AV101" i="7"/>
  <c r="E114" i="16" s="1"/>
  <c r="BM101" i="7"/>
  <c r="V114" i="16" s="1"/>
  <c r="BH113" i="7"/>
  <c r="U126" i="16" s="1"/>
  <c r="BM113" i="7"/>
  <c r="V126" i="16" s="1"/>
  <c r="BN24" i="7"/>
  <c r="W37" i="16" s="1"/>
  <c r="AU30" i="7"/>
  <c r="D43" i="16" s="1"/>
  <c r="BM30" i="7"/>
  <c r="V43" i="16" s="1"/>
  <c r="BG60" i="7"/>
  <c r="T73" i="16" s="1"/>
  <c r="BM60" i="7"/>
  <c r="V73" i="16" s="1"/>
  <c r="BH64" i="7"/>
  <c r="U77" i="16" s="1"/>
  <c r="BN64" i="7"/>
  <c r="W77" i="16" s="1"/>
  <c r="BH68" i="7"/>
  <c r="U81" i="16" s="1"/>
  <c r="BM68" i="7"/>
  <c r="V81" i="16" s="1"/>
  <c r="AV88" i="7"/>
  <c r="E101" i="16" s="1"/>
  <c r="BN88" i="7"/>
  <c r="W101" i="16" s="1"/>
  <c r="BH120" i="7"/>
  <c r="U133" i="16" s="1"/>
  <c r="BM120" i="7"/>
  <c r="V133" i="16" s="1"/>
  <c r="AV102" i="7"/>
  <c r="E115" i="16" s="1"/>
  <c r="BM102" i="7"/>
  <c r="V115" i="16" s="1"/>
  <c r="V171" i="16"/>
  <c r="W171" i="16"/>
  <c r="BM53" i="7"/>
  <c r="V66" i="16" s="1"/>
  <c r="BN53" i="7"/>
  <c r="W66" i="16" s="1"/>
  <c r="J15" i="42"/>
  <c r="BG55" i="7"/>
  <c r="T68" i="16" s="1"/>
  <c r="BM55" i="7"/>
  <c r="V68" i="16" s="1"/>
  <c r="BH41" i="7"/>
  <c r="U54" i="16" s="1"/>
  <c r="U30" i="16"/>
  <c r="AV17" i="7"/>
  <c r="E30" i="16" s="1"/>
  <c r="W170" i="16"/>
  <c r="V170" i="16"/>
  <c r="BH88" i="7"/>
  <c r="U101" i="16" s="1"/>
  <c r="D101" i="16"/>
  <c r="BH69" i="7"/>
  <c r="U82" i="16" s="1"/>
  <c r="D82" i="16"/>
  <c r="U33" i="18"/>
  <c r="E18" i="42"/>
  <c r="E20" i="42" s="1"/>
  <c r="D18" i="42"/>
  <c r="D20" i="42" s="1"/>
  <c r="C18" i="42"/>
  <c r="C20" i="42" s="1"/>
  <c r="S31" i="19"/>
  <c r="S32" i="19"/>
  <c r="U32" i="18"/>
  <c r="S33" i="19"/>
  <c r="F18" i="39"/>
  <c r="F20" i="39" s="1"/>
  <c r="E17" i="42"/>
  <c r="D17" i="42"/>
  <c r="C17" i="42"/>
  <c r="BH53" i="7"/>
  <c r="U66" i="16" s="1"/>
  <c r="T23" i="23"/>
  <c r="M176" i="16"/>
  <c r="L176" i="16"/>
  <c r="M167" i="16"/>
  <c r="L167" i="16"/>
  <c r="D176" i="16"/>
  <c r="E176" i="16"/>
  <c r="O176" i="16"/>
  <c r="N176" i="16"/>
  <c r="G176" i="16"/>
  <c r="F176" i="16"/>
  <c r="L168" i="16"/>
  <c r="M168" i="16"/>
  <c r="Q176" i="16"/>
  <c r="P176" i="16"/>
  <c r="A5" i="16"/>
  <c r="D21" i="16"/>
  <c r="BO84" i="22"/>
  <c r="U37" i="16"/>
  <c r="Z24" i="7"/>
  <c r="Z6" i="7" s="1"/>
  <c r="BH89" i="7"/>
  <c r="U102" i="16" s="1"/>
  <c r="Q89" i="7"/>
  <c r="L102" i="16" s="1"/>
  <c r="G20" i="39"/>
  <c r="W28" i="18"/>
  <c r="AU45" i="7"/>
  <c r="D58" i="16" s="1"/>
  <c r="BG45" i="7"/>
  <c r="T58" i="16" s="1"/>
  <c r="AO61" i="7"/>
  <c r="F74" i="16" s="1"/>
  <c r="BH61" i="7"/>
  <c r="U74" i="16" s="1"/>
  <c r="BA108" i="7"/>
  <c r="R121" i="16" s="1"/>
  <c r="BH108" i="7"/>
  <c r="U121" i="16" s="1"/>
  <c r="Q46" i="7"/>
  <c r="L59" i="16" s="1"/>
  <c r="BG46" i="7"/>
  <c r="T59" i="16" s="1"/>
  <c r="AO90" i="7"/>
  <c r="F103" i="16" s="1"/>
  <c r="AU47" i="7"/>
  <c r="D60" i="16" s="1"/>
  <c r="BG47" i="7"/>
  <c r="T60" i="16" s="1"/>
  <c r="BA63" i="7"/>
  <c r="R76" i="16" s="1"/>
  <c r="BG63" i="7"/>
  <c r="T76" i="16" s="1"/>
  <c r="AV12" i="7"/>
  <c r="E25" i="16" s="1"/>
  <c r="BH12" i="7"/>
  <c r="D78" i="16"/>
  <c r="T78" i="16"/>
  <c r="D114" i="16"/>
  <c r="BH101" i="7"/>
  <c r="U114" i="16" s="1"/>
  <c r="AV62" i="7"/>
  <c r="E75" i="16" s="1"/>
  <c r="BH62" i="7"/>
  <c r="U75" i="16" s="1"/>
  <c r="N85" i="16"/>
  <c r="BH72" i="7"/>
  <c r="U85" i="16" s="1"/>
  <c r="N41" i="16"/>
  <c r="BG28" i="7"/>
  <c r="T41" i="16" s="1"/>
  <c r="AO36" i="7"/>
  <c r="F49" i="16" s="1"/>
  <c r="BH36" i="7"/>
  <c r="U49" i="16" s="1"/>
  <c r="Q73" i="7"/>
  <c r="L86" i="16" s="1"/>
  <c r="BH73" i="7"/>
  <c r="U86" i="16" s="1"/>
  <c r="AC66" i="7"/>
  <c r="P79" i="16" s="1"/>
  <c r="BH66" i="7"/>
  <c r="U79" i="16" s="1"/>
  <c r="D115" i="16"/>
  <c r="BH102" i="7"/>
  <c r="U115" i="16" s="1"/>
  <c r="BG29" i="7"/>
  <c r="T42" i="16" s="1"/>
  <c r="N56" i="16"/>
  <c r="BG43" i="7"/>
  <c r="T56" i="16" s="1"/>
  <c r="AO103" i="7"/>
  <c r="F116" i="16" s="1"/>
  <c r="BH103" i="7"/>
  <c r="U116" i="16" s="1"/>
  <c r="AQ44" i="7"/>
  <c r="AQ6" i="7" s="1"/>
  <c r="BH44" i="7"/>
  <c r="U57" i="16" s="1"/>
  <c r="AC60" i="7"/>
  <c r="P73" i="16" s="1"/>
  <c r="R44" i="16"/>
  <c r="BG31" i="7"/>
  <c r="T44" i="16" s="1"/>
  <c r="BG24" i="7"/>
  <c r="T37" i="16" s="1"/>
  <c r="M2" i="32"/>
  <c r="BG53" i="7"/>
  <c r="T66" i="16" s="1"/>
  <c r="S28" i="19"/>
  <c r="D18" i="40"/>
  <c r="D20" i="40" s="1"/>
  <c r="AU32" i="7"/>
  <c r="D45" i="16" s="1"/>
  <c r="BG32" i="7"/>
  <c r="T45" i="16" s="1"/>
  <c r="N12" i="23"/>
  <c r="N13" i="23"/>
  <c r="S30" i="19"/>
  <c r="F18" i="40"/>
  <c r="U30" i="18"/>
  <c r="S29" i="19"/>
  <c r="E18" i="40"/>
  <c r="U29" i="18"/>
  <c r="C5" i="15"/>
  <c r="H17" i="39"/>
  <c r="E17" i="39"/>
  <c r="F17" i="39"/>
  <c r="I17" i="39"/>
  <c r="D17" i="39"/>
  <c r="D70" i="16"/>
  <c r="N2" i="32"/>
  <c r="D69" i="16"/>
  <c r="L15" i="4"/>
  <c r="P76" i="16"/>
  <c r="AO63" i="7"/>
  <c r="F76" i="16" s="1"/>
  <c r="N11" i="4"/>
  <c r="N86" i="16"/>
  <c r="L11" i="4"/>
  <c r="M11" i="4"/>
  <c r="N12" i="4"/>
  <c r="N15" i="4"/>
  <c r="AC61" i="7"/>
  <c r="P74" i="16" s="1"/>
  <c r="M12" i="4"/>
  <c r="AC24" i="7"/>
  <c r="P37" i="16" s="1"/>
  <c r="AE24" i="7"/>
  <c r="AC47" i="7"/>
  <c r="P60" i="16" s="1"/>
  <c r="AP62" i="7"/>
  <c r="G75" i="16" s="1"/>
  <c r="AO30" i="7"/>
  <c r="F43" i="16" s="1"/>
  <c r="AC36" i="7"/>
  <c r="P49" i="16" s="1"/>
  <c r="M15" i="4"/>
  <c r="AC31" i="7"/>
  <c r="P44" i="16" s="1"/>
  <c r="AA43" i="7"/>
  <c r="AA6" i="7" s="1"/>
  <c r="AI63" i="7"/>
  <c r="N76" i="16" s="1"/>
  <c r="AC43" i="7"/>
  <c r="P56" i="16" s="1"/>
  <c r="AU51" i="7"/>
  <c r="D64" i="16" s="1"/>
  <c r="BA51" i="7"/>
  <c r="R64" i="16" s="1"/>
  <c r="AV63" i="7"/>
  <c r="E76" i="16" s="1"/>
  <c r="AU31" i="7"/>
  <c r="D44" i="16" s="1"/>
  <c r="AU97" i="7"/>
  <c r="D110" i="16" s="1"/>
  <c r="AC30" i="7"/>
  <c r="P43" i="16" s="1"/>
  <c r="AU52" i="7"/>
  <c r="D65" i="16" s="1"/>
  <c r="BA52" i="7"/>
  <c r="R65" i="16" s="1"/>
  <c r="AU60" i="7"/>
  <c r="D73" i="16" s="1"/>
  <c r="BA60" i="7"/>
  <c r="R73" i="16" s="1"/>
  <c r="L78" i="16"/>
  <c r="P78" i="16"/>
  <c r="L12" i="4"/>
  <c r="AU29" i="7"/>
  <c r="D42" i="16" s="1"/>
  <c r="R68" i="16"/>
  <c r="N78" i="16"/>
  <c r="BA100" i="7"/>
  <c r="R113" i="16" s="1"/>
  <c r="AU100" i="7"/>
  <c r="D113" i="16" s="1"/>
  <c r="R66" i="16"/>
  <c r="R69" i="16"/>
  <c r="AB11" i="19"/>
  <c r="AU33" i="7"/>
  <c r="D46" i="16" s="1"/>
  <c r="AI36" i="7"/>
  <c r="N49" i="16" s="1"/>
  <c r="AU73" i="7"/>
  <c r="D86" i="16" s="1"/>
  <c r="Y31" i="7"/>
  <c r="AU36" i="7"/>
  <c r="D49" i="16" s="1"/>
  <c r="Q47" i="7"/>
  <c r="L60" i="16" s="1"/>
  <c r="AI45" i="7"/>
  <c r="N58" i="16" s="1"/>
  <c r="W25" i="18"/>
  <c r="E25" i="18" s="1"/>
  <c r="AU46" i="7"/>
  <c r="D59" i="16" s="1"/>
  <c r="AC62" i="7"/>
  <c r="P75" i="16" s="1"/>
  <c r="E17" i="37"/>
  <c r="S26" i="19"/>
  <c r="F17" i="37"/>
  <c r="S27" i="19"/>
  <c r="S25" i="19"/>
  <c r="D17" i="37"/>
  <c r="N14" i="4"/>
  <c r="I17" i="37"/>
  <c r="U27" i="18"/>
  <c r="AC29" i="7"/>
  <c r="P42" i="16" s="1"/>
  <c r="BA29" i="7"/>
  <c r="R42" i="16" s="1"/>
  <c r="W29" i="7"/>
  <c r="J42" i="16" s="1" a="1"/>
  <c r="J42" i="16" s="1"/>
  <c r="AU41" i="7"/>
  <c r="D54" i="16" s="1"/>
  <c r="BA41" i="7"/>
  <c r="R54" i="16" s="1"/>
  <c r="AI44" i="7"/>
  <c r="N57" i="16" s="1"/>
  <c r="AV61" i="7"/>
  <c r="E74" i="16" s="1"/>
  <c r="BA61" i="7"/>
  <c r="R74" i="16" s="1"/>
  <c r="N13" i="4"/>
  <c r="BA64" i="7"/>
  <c r="R77" i="16" s="1"/>
  <c r="AC74" i="7"/>
  <c r="P87" i="16" s="1"/>
  <c r="AU89" i="7"/>
  <c r="D102" i="16" s="1"/>
  <c r="BA89" i="7"/>
  <c r="R102" i="16" s="1"/>
  <c r="AC28" i="7"/>
  <c r="P41" i="16" s="1"/>
  <c r="BA28" i="7"/>
  <c r="R41" i="16" s="1"/>
  <c r="AO44" i="7"/>
  <c r="F57" i="16" s="1"/>
  <c r="BA101" i="7"/>
  <c r="R114" i="16" s="1"/>
  <c r="W28" i="7"/>
  <c r="J41" i="16" s="1" a="1"/>
  <c r="J41" i="16" s="1"/>
  <c r="AO29" i="7"/>
  <c r="F42" i="16" s="1"/>
  <c r="AC33" i="7"/>
  <c r="P46" i="16" s="1"/>
  <c r="Q36" i="7"/>
  <c r="L49" i="16" s="1"/>
  <c r="Q43" i="7"/>
  <c r="L56" i="16" s="1"/>
  <c r="AI61" i="7"/>
  <c r="N74" i="16" s="1"/>
  <c r="AU67" i="7"/>
  <c r="D80" i="16" s="1"/>
  <c r="BB67" i="7"/>
  <c r="S80" i="16" s="1"/>
  <c r="AO70" i="7"/>
  <c r="F83" i="16" s="1"/>
  <c r="BA70" i="7"/>
  <c r="R83" i="16" s="1"/>
  <c r="AC73" i="7"/>
  <c r="P86" i="16" s="1"/>
  <c r="BA73" i="7"/>
  <c r="R86" i="16" s="1"/>
  <c r="AC89" i="7"/>
  <c r="P102" i="16" s="1"/>
  <c r="AO113" i="7"/>
  <c r="F126" i="16" s="1"/>
  <c r="BA113" i="7"/>
  <c r="R126" i="16" s="1"/>
  <c r="BA102" i="7"/>
  <c r="R115" i="16" s="1"/>
  <c r="AC120" i="7"/>
  <c r="P133" i="16" s="1"/>
  <c r="BA120" i="7"/>
  <c r="R133" i="16" s="1"/>
  <c r="D5" i="4"/>
  <c r="Q12" i="7"/>
  <c r="L25" i="16" s="1"/>
  <c r="AC45" i="7"/>
  <c r="P58" i="16" s="1"/>
  <c r="BA45" i="7"/>
  <c r="R58" i="16" s="1"/>
  <c r="AU68" i="7"/>
  <c r="D81" i="16" s="1"/>
  <c r="BA68" i="7"/>
  <c r="R81" i="16" s="1"/>
  <c r="AU71" i="7"/>
  <c r="D84" i="16" s="1"/>
  <c r="BA71" i="7"/>
  <c r="R84" i="16" s="1"/>
  <c r="AU120" i="7"/>
  <c r="D133" i="16" s="1"/>
  <c r="R17" i="7"/>
  <c r="R30" i="16"/>
  <c r="BB17" i="7"/>
  <c r="S30" i="16" s="1"/>
  <c r="D6" i="4"/>
  <c r="U26" i="18"/>
  <c r="H17" i="37"/>
  <c r="AO28" i="7"/>
  <c r="F41" i="16" s="1"/>
  <c r="AC12" i="7"/>
  <c r="P25" i="16" s="1"/>
  <c r="BA24" i="7"/>
  <c r="BB23" i="7"/>
  <c r="AU28" i="7"/>
  <c r="D41" i="16" s="1"/>
  <c r="R43" i="16"/>
  <c r="R47" i="16"/>
  <c r="Q45" i="7"/>
  <c r="L58" i="16" s="1"/>
  <c r="Q53" i="7"/>
  <c r="L66" i="16" s="1"/>
  <c r="Q60" i="7"/>
  <c r="L73" i="16" s="1"/>
  <c r="AI62" i="7"/>
  <c r="N75" i="16" s="1"/>
  <c r="BA62" i="7"/>
  <c r="R75" i="16" s="1"/>
  <c r="BA99" i="7"/>
  <c r="R112" i="16" s="1"/>
  <c r="AC44" i="7"/>
  <c r="P57" i="16" s="1"/>
  <c r="BA44" i="7"/>
  <c r="R57" i="16" s="1"/>
  <c r="AO69" i="7"/>
  <c r="F82" i="16" s="1"/>
  <c r="BB69" i="7"/>
  <c r="S82" i="16" s="1"/>
  <c r="AD69" i="7"/>
  <c r="Q82" i="16" s="1"/>
  <c r="AU72" i="7"/>
  <c r="D85" i="16" s="1"/>
  <c r="BA72" i="7"/>
  <c r="R85" i="16" s="1"/>
  <c r="AO88" i="7"/>
  <c r="F101" i="16" s="1"/>
  <c r="BA88" i="7"/>
  <c r="R101" i="16" s="1"/>
  <c r="AO121" i="7"/>
  <c r="F134" i="16" s="1"/>
  <c r="BA121" i="7"/>
  <c r="R134" i="16" s="1"/>
  <c r="Q44" i="7"/>
  <c r="L57" i="16" s="1"/>
  <c r="AO45" i="7"/>
  <c r="F58" i="16" s="1"/>
  <c r="AI66" i="7"/>
  <c r="N79" i="16" s="1"/>
  <c r="BA66" i="7"/>
  <c r="R79" i="16" s="1"/>
  <c r="W69" i="7"/>
  <c r="J82" i="16" s="1" a="1"/>
  <c r="J82" i="16" s="1"/>
  <c r="Q72" i="7"/>
  <c r="L85" i="16" s="1"/>
  <c r="S6" i="23"/>
  <c r="R21" i="23"/>
  <c r="S21" i="23"/>
  <c r="R25" i="23"/>
  <c r="R7" i="23"/>
  <c r="R10" i="23"/>
  <c r="S22" i="23"/>
  <c r="T25" i="23"/>
  <c r="R6" i="23"/>
  <c r="S10" i="23"/>
  <c r="T22" i="23"/>
  <c r="R8" i="23"/>
  <c r="R23" i="23"/>
  <c r="S8" i="23"/>
  <c r="AC100" i="7"/>
  <c r="P113" i="16" s="1"/>
  <c r="AU55" i="7"/>
  <c r="D68" i="16" s="1"/>
  <c r="D4" i="4"/>
  <c r="Q55" i="7"/>
  <c r="L68" i="16" s="1"/>
  <c r="I8" i="4"/>
  <c r="P68" i="16"/>
  <c r="AO56" i="7"/>
  <c r="F69" i="16" s="1"/>
  <c r="AC23" i="7"/>
  <c r="N115" i="16"/>
  <c r="AO102" i="7"/>
  <c r="F115" i="16" s="1"/>
  <c r="AO100" i="7"/>
  <c r="F113" i="16" s="1"/>
  <c r="Q31" i="7"/>
  <c r="L44" i="16" s="1"/>
  <c r="M14" i="4"/>
  <c r="AX24" i="7"/>
  <c r="Q40" i="7"/>
  <c r="L53" i="16" s="1"/>
  <c r="G23" i="35"/>
  <c r="N53" i="16"/>
  <c r="X17" i="7"/>
  <c r="AO40" i="7"/>
  <c r="F53" i="16" s="1"/>
  <c r="D25" i="35"/>
  <c r="D27" i="35" s="1"/>
  <c r="C25" i="35"/>
  <c r="C27" i="35" s="1"/>
  <c r="E25" i="35"/>
  <c r="E27" i="35" s="1"/>
  <c r="D2" i="4"/>
  <c r="E23" i="35"/>
  <c r="P71" i="16"/>
  <c r="H25" i="35"/>
  <c r="H27" i="35" s="1"/>
  <c r="G25" i="35"/>
  <c r="G27" i="35" s="1"/>
  <c r="F25" i="35"/>
  <c r="F27" i="35" s="1"/>
  <c r="AO91" i="7"/>
  <c r="F104" i="16" s="1"/>
  <c r="AC99" i="7"/>
  <c r="P112" i="16" s="1"/>
  <c r="D23" i="35"/>
  <c r="J8" i="7"/>
  <c r="AS25" i="19" s="1"/>
  <c r="H23" i="35"/>
  <c r="N52" i="16"/>
  <c r="AO99" i="7"/>
  <c r="F112" i="16" s="1"/>
  <c r="C23" i="35"/>
  <c r="AO39" i="7"/>
  <c r="F52" i="16" s="1"/>
  <c r="AC53" i="7"/>
  <c r="P66" i="16" s="1"/>
  <c r="AD17" i="7"/>
  <c r="AV8" i="7"/>
  <c r="F23" i="35"/>
  <c r="AC56" i="7"/>
  <c r="P69" i="16" s="1"/>
  <c r="AE40" i="7"/>
  <c r="F24" i="6"/>
  <c r="F26" i="6"/>
  <c r="F18" i="6"/>
  <c r="F29" i="6"/>
  <c r="F19" i="6"/>
  <c r="F27" i="6"/>
  <c r="F31" i="6"/>
  <c r="F28" i="6"/>
  <c r="F30" i="6"/>
  <c r="F25" i="6"/>
  <c r="F17" i="6"/>
  <c r="C22" i="6"/>
  <c r="F21" i="6"/>
  <c r="G4" i="27"/>
  <c r="I17" i="29"/>
  <c r="H23" i="25"/>
  <c r="H17" i="31"/>
  <c r="I19" i="26"/>
  <c r="H23" i="24"/>
  <c r="U24" i="18"/>
  <c r="U18" i="18"/>
  <c r="U6" i="18"/>
  <c r="W12" i="18"/>
  <c r="U9" i="18"/>
  <c r="U12" i="18"/>
  <c r="U21" i="18"/>
  <c r="U15" i="18"/>
  <c r="F4" i="17"/>
  <c r="Q52" i="7"/>
  <c r="L65" i="16" s="1"/>
  <c r="AC64" i="7"/>
  <c r="P77" i="16" s="1"/>
  <c r="Q67" i="7"/>
  <c r="L80" i="16" s="1"/>
  <c r="W68" i="7"/>
  <c r="J81" i="16" s="1" a="1"/>
  <c r="J81" i="16" s="1"/>
  <c r="E17" i="31"/>
  <c r="F17" i="29"/>
  <c r="D4" i="27"/>
  <c r="F19" i="26"/>
  <c r="E23" i="24"/>
  <c r="E23" i="25"/>
  <c r="S24" i="19"/>
  <c r="T41" i="19"/>
  <c r="S18" i="19"/>
  <c r="S9" i="19"/>
  <c r="S6" i="19"/>
  <c r="S15" i="19"/>
  <c r="S12" i="19"/>
  <c r="S21" i="19"/>
  <c r="O15" i="7"/>
  <c r="V6" i="18"/>
  <c r="V4" i="18"/>
  <c r="V5" i="18"/>
  <c r="E2" i="19"/>
  <c r="AP12" i="7"/>
  <c r="AP15" i="7"/>
  <c r="G28" i="16" s="1"/>
  <c r="O30" i="16"/>
  <c r="AO23" i="7"/>
  <c r="C17" i="31"/>
  <c r="D17" i="29"/>
  <c r="D37" i="29" s="1"/>
  <c r="E37" i="29" s="1"/>
  <c r="C23" i="25"/>
  <c r="B4" i="27"/>
  <c r="D19" i="26"/>
  <c r="C23" i="24"/>
  <c r="T39" i="19"/>
  <c r="S22" i="19"/>
  <c r="S13" i="19"/>
  <c r="S10" i="19"/>
  <c r="S16" i="19"/>
  <c r="S4" i="19"/>
  <c r="S7" i="19"/>
  <c r="AK32" i="7"/>
  <c r="AU39" i="7"/>
  <c r="D52" i="16" s="1"/>
  <c r="AU40" i="7"/>
  <c r="D53" i="16" s="1"/>
  <c r="AV44" i="7"/>
  <c r="E57" i="16" s="1"/>
  <c r="Y52" i="7"/>
  <c r="AI60" i="7"/>
  <c r="N73" i="16" s="1"/>
  <c r="AI64" i="7"/>
  <c r="N77" i="16" s="1"/>
  <c r="AC68" i="7"/>
  <c r="P81" i="16" s="1"/>
  <c r="N82" i="16"/>
  <c r="Q71" i="7"/>
  <c r="L84" i="16" s="1"/>
  <c r="Q88" i="7"/>
  <c r="L101" i="16" s="1"/>
  <c r="AO89" i="7"/>
  <c r="F102" i="16" s="1"/>
  <c r="Q91" i="7"/>
  <c r="L104" i="16" s="1"/>
  <c r="AP97" i="7"/>
  <c r="G110" i="16" s="1"/>
  <c r="AC101" i="7"/>
  <c r="P114" i="16" s="1"/>
  <c r="AI113" i="7"/>
  <c r="N126" i="16" s="1"/>
  <c r="N10" i="23"/>
  <c r="N7" i="23"/>
  <c r="AC22" i="23" s="1"/>
  <c r="U22" i="23" s="1"/>
  <c r="N11" i="23"/>
  <c r="N8" i="23"/>
  <c r="N9" i="23"/>
  <c r="N6" i="23"/>
  <c r="N5" i="23"/>
  <c r="L13" i="4"/>
  <c r="S15" i="7"/>
  <c r="S6" i="7" s="1"/>
  <c r="AP17" i="7"/>
  <c r="G30" i="16" s="1"/>
  <c r="AU23" i="7"/>
  <c r="F17" i="31"/>
  <c r="E4" i="27"/>
  <c r="G17" i="29"/>
  <c r="G19" i="26"/>
  <c r="F23" i="25"/>
  <c r="F23" i="24"/>
  <c r="U13" i="18"/>
  <c r="U10" i="18"/>
  <c r="D4" i="17"/>
  <c r="U22" i="18"/>
  <c r="U16" i="18"/>
  <c r="U7" i="18"/>
  <c r="U4" i="18"/>
  <c r="W10" i="18"/>
  <c r="U19" i="18"/>
  <c r="AC52" i="7"/>
  <c r="P65" i="16" s="1"/>
  <c r="AO60" i="7"/>
  <c r="F73" i="16" s="1"/>
  <c r="AP64" i="7"/>
  <c r="G77" i="16" s="1"/>
  <c r="AC67" i="7"/>
  <c r="P80" i="16" s="1"/>
  <c r="AI68" i="7"/>
  <c r="N81" i="16" s="1"/>
  <c r="AC71" i="7"/>
  <c r="P84" i="16" s="1"/>
  <c r="AC88" i="7"/>
  <c r="P101" i="16" s="1"/>
  <c r="W91" i="7"/>
  <c r="J104" i="16" s="1" a="1"/>
  <c r="J104" i="16" s="1"/>
  <c r="AI101" i="7"/>
  <c r="N114" i="16" s="1"/>
  <c r="V24" i="18"/>
  <c r="V22" i="18"/>
  <c r="V23" i="18"/>
  <c r="M13" i="4"/>
  <c r="F20" i="6"/>
  <c r="V18" i="18"/>
  <c r="V16" i="18"/>
  <c r="V17" i="18"/>
  <c r="V9" i="18"/>
  <c r="V7" i="18"/>
  <c r="V8" i="18"/>
  <c r="R124" i="22"/>
  <c r="R123" i="22"/>
  <c r="R121" i="22"/>
  <c r="R117" i="22"/>
  <c r="R112" i="22"/>
  <c r="R107" i="22"/>
  <c r="R99" i="22"/>
  <c r="R115" i="22"/>
  <c r="R102" i="22"/>
  <c r="R122" i="22"/>
  <c r="R120" i="22"/>
  <c r="R110" i="22"/>
  <c r="R105" i="22"/>
  <c r="R97" i="22"/>
  <c r="R92" i="22"/>
  <c r="R118" i="22"/>
  <c r="R113" i="22"/>
  <c r="R108" i="22"/>
  <c r="R103" i="22"/>
  <c r="R119" i="22"/>
  <c r="R109" i="22"/>
  <c r="R104" i="22"/>
  <c r="R91" i="22"/>
  <c r="R114" i="22"/>
  <c r="R96" i="22"/>
  <c r="R89" i="22"/>
  <c r="R82" i="22"/>
  <c r="R74" i="22"/>
  <c r="R85" i="22"/>
  <c r="R77" i="22"/>
  <c r="R69" i="22"/>
  <c r="R88" i="22"/>
  <c r="R80" i="22"/>
  <c r="R72" i="22"/>
  <c r="R64" i="22"/>
  <c r="R59" i="22"/>
  <c r="R111" i="22"/>
  <c r="R93" i="22"/>
  <c r="R83" i="22"/>
  <c r="R75" i="22"/>
  <c r="R101" i="22"/>
  <c r="R94" i="22"/>
  <c r="R86" i="22"/>
  <c r="R78" i="22"/>
  <c r="R70" i="22"/>
  <c r="R95" i="22"/>
  <c r="R90" i="22"/>
  <c r="R81" i="22"/>
  <c r="R73" i="22"/>
  <c r="R65" i="22"/>
  <c r="R68" i="22"/>
  <c r="R63" i="22"/>
  <c r="R61" i="22"/>
  <c r="R51" i="22"/>
  <c r="R43" i="22"/>
  <c r="R35" i="22"/>
  <c r="R58" i="22"/>
  <c r="R54" i="22"/>
  <c r="R46" i="22"/>
  <c r="R38" i="22"/>
  <c r="R30" i="22"/>
  <c r="R98" i="22"/>
  <c r="R49" i="22"/>
  <c r="R41" i="22"/>
  <c r="R33" i="22"/>
  <c r="R87" i="22"/>
  <c r="R79" i="22"/>
  <c r="R71" i="22"/>
  <c r="R60" i="22"/>
  <c r="R52" i="22"/>
  <c r="R44" i="22"/>
  <c r="R36" i="22"/>
  <c r="R100" i="22"/>
  <c r="R66" i="22"/>
  <c r="R57" i="22"/>
  <c r="R55" i="22"/>
  <c r="R47" i="22"/>
  <c r="R39" i="22"/>
  <c r="R31" i="22"/>
  <c r="R106" i="22"/>
  <c r="R62" i="22"/>
  <c r="AH58" i="22"/>
  <c r="R56" i="22"/>
  <c r="AH54" i="22"/>
  <c r="DJ52" i="22"/>
  <c r="AX52" i="22"/>
  <c r="DZ50" i="22"/>
  <c r="CD48" i="22"/>
  <c r="R48" i="22"/>
  <c r="AH46" i="22"/>
  <c r="DJ44" i="22"/>
  <c r="AX44" i="22"/>
  <c r="DZ42" i="22"/>
  <c r="CD40" i="22"/>
  <c r="R40" i="22"/>
  <c r="AH38" i="22"/>
  <c r="DJ36" i="22"/>
  <c r="AX36" i="22"/>
  <c r="DZ34" i="22"/>
  <c r="CD32" i="22"/>
  <c r="R32" i="22"/>
  <c r="AH30" i="22"/>
  <c r="AH117" i="22"/>
  <c r="AH61" i="22"/>
  <c r="AH59" i="22"/>
  <c r="DJ58" i="22"/>
  <c r="CD57" i="22"/>
  <c r="R50" i="22"/>
  <c r="R42" i="22"/>
  <c r="R34" i="22"/>
  <c r="CD94" i="22"/>
  <c r="AX58" i="22"/>
  <c r="AH56" i="22"/>
  <c r="DZ55" i="22"/>
  <c r="DJ54" i="22"/>
  <c r="AX49" i="22"/>
  <c r="AH48" i="22"/>
  <c r="DZ47" i="22"/>
  <c r="DJ46" i="22"/>
  <c r="AX41" i="22"/>
  <c r="AH40" i="22"/>
  <c r="DZ39" i="22"/>
  <c r="DJ38" i="22"/>
  <c r="AX33" i="22"/>
  <c r="AH32" i="22"/>
  <c r="DZ31" i="22"/>
  <c r="DJ30" i="22"/>
  <c r="DZ95" i="22"/>
  <c r="DJ83" i="22"/>
  <c r="DJ75" i="22"/>
  <c r="AX54" i="22"/>
  <c r="CD53" i="22"/>
  <c r="DZ52" i="22"/>
  <c r="AX46" i="22"/>
  <c r="CD45" i="22"/>
  <c r="DZ44" i="22"/>
  <c r="AX38" i="22"/>
  <c r="CD37" i="22"/>
  <c r="DZ36" i="22"/>
  <c r="AX30" i="22"/>
  <c r="CD29" i="22"/>
  <c r="DJ105" i="22"/>
  <c r="R84" i="22"/>
  <c r="R76" i="22"/>
  <c r="R53" i="22"/>
  <c r="R45" i="22"/>
  <c r="R37" i="22"/>
  <c r="R29" i="22"/>
  <c r="R116" i="22"/>
  <c r="AH85" i="22"/>
  <c r="AH77" i="22"/>
  <c r="AH69" i="22"/>
  <c r="AX62" i="22"/>
  <c r="DJ61" i="22"/>
  <c r="CD50" i="22"/>
  <c r="CD42" i="22"/>
  <c r="CD34" i="22"/>
  <c r="CD68" i="22"/>
  <c r="DZ58" i="22"/>
  <c r="AH51" i="22"/>
  <c r="AH43" i="22"/>
  <c r="AH35" i="22"/>
  <c r="CT59" i="22"/>
  <c r="CT48" i="22"/>
  <c r="CT40" i="22"/>
  <c r="CT32" i="22"/>
  <c r="DJ49" i="22"/>
  <c r="DJ41" i="22"/>
  <c r="DJ33" i="22"/>
  <c r="R67" i="22"/>
  <c r="Q28" i="7"/>
  <c r="L41" i="16" s="1"/>
  <c r="Q29" i="7"/>
  <c r="L42" i="16" s="1"/>
  <c r="Q30" i="7"/>
  <c r="L43" i="16" s="1"/>
  <c r="W34" i="7"/>
  <c r="J47" i="16" s="1" a="1"/>
  <c r="J47" i="16" s="1"/>
  <c r="AI52" i="7"/>
  <c r="N65" i="16" s="1"/>
  <c r="C6" i="27"/>
  <c r="B6" i="27"/>
  <c r="E25" i="25"/>
  <c r="E27" i="25" s="1"/>
  <c r="D25" i="25"/>
  <c r="D27" i="25" s="1"/>
  <c r="C25" i="25"/>
  <c r="C27" i="25" s="1"/>
  <c r="D6" i="27"/>
  <c r="E25" i="24"/>
  <c r="E27" i="24" s="1"/>
  <c r="C25" i="24"/>
  <c r="C27" i="24" s="1"/>
  <c r="AV64" i="7"/>
  <c r="E77" i="16" s="1"/>
  <c r="N80" i="16"/>
  <c r="AO68" i="7"/>
  <c r="F81" i="16" s="1"/>
  <c r="AI71" i="7"/>
  <c r="N84" i="16" s="1"/>
  <c r="AC91" i="7"/>
  <c r="P104" i="16" s="1"/>
  <c r="AP101" i="7"/>
  <c r="G114" i="16" s="1"/>
  <c r="P9" i="23"/>
  <c r="O9" i="23"/>
  <c r="Q9" i="23"/>
  <c r="F37" i="16"/>
  <c r="D17" i="31"/>
  <c r="E17" i="29"/>
  <c r="C4" i="27"/>
  <c r="E19" i="26"/>
  <c r="D23" i="25"/>
  <c r="T40" i="19"/>
  <c r="S14" i="19"/>
  <c r="S17" i="19"/>
  <c r="S20" i="19"/>
  <c r="S23" i="19"/>
  <c r="S11" i="19"/>
  <c r="S8" i="19"/>
  <c r="S5" i="19"/>
  <c r="G6" i="27"/>
  <c r="G25" i="25"/>
  <c r="G27" i="25" s="1"/>
  <c r="F25" i="25"/>
  <c r="F27" i="25" s="1"/>
  <c r="F6" i="27"/>
  <c r="H25" i="25"/>
  <c r="H27" i="25" s="1"/>
  <c r="H25" i="24"/>
  <c r="H27" i="24" s="1"/>
  <c r="E6" i="27"/>
  <c r="G25" i="24"/>
  <c r="G27" i="24" s="1"/>
  <c r="F25" i="24"/>
  <c r="F27" i="24" s="1"/>
  <c r="F2" i="18"/>
  <c r="AP67" i="7"/>
  <c r="G80" i="16" s="1"/>
  <c r="N104" i="16"/>
  <c r="C13" i="6"/>
  <c r="E21" i="6" s="1"/>
  <c r="V20" i="18"/>
  <c r="V21" i="18"/>
  <c r="V19" i="18"/>
  <c r="Q23" i="7"/>
  <c r="Q24" i="7"/>
  <c r="L37" i="16" s="1"/>
  <c r="G17" i="31"/>
  <c r="F4" i="27"/>
  <c r="H17" i="29"/>
  <c r="H19" i="26"/>
  <c r="G23" i="25"/>
  <c r="G23" i="24"/>
  <c r="U8" i="18"/>
  <c r="E4" i="17"/>
  <c r="U20" i="18"/>
  <c r="U14" i="18"/>
  <c r="W11" i="18"/>
  <c r="U23" i="18"/>
  <c r="U5" i="18"/>
  <c r="U17" i="18"/>
  <c r="U11" i="18"/>
  <c r="Q33" i="7"/>
  <c r="L46" i="16" s="1"/>
  <c r="Q39" i="7"/>
  <c r="L52" i="16" s="1"/>
  <c r="P70" i="16"/>
  <c r="AI70" i="7"/>
  <c r="N83" i="16" s="1"/>
  <c r="Q90" i="7"/>
  <c r="L103" i="16" s="1"/>
  <c r="C12" i="6"/>
  <c r="D21" i="6" s="1"/>
  <c r="W23" i="7"/>
  <c r="AU24" i="7"/>
  <c r="D37" i="16" s="1"/>
  <c r="N70" i="16"/>
  <c r="AB15" i="19"/>
  <c r="AB14" i="19"/>
  <c r="AB18" i="19"/>
  <c r="AB17" i="19"/>
  <c r="AB8" i="19"/>
  <c r="AB9" i="19"/>
  <c r="AB5" i="19"/>
  <c r="AB6" i="19"/>
  <c r="AB20" i="19"/>
  <c r="CT51" i="22"/>
  <c r="CD93" i="22"/>
  <c r="BN124" i="22"/>
  <c r="BN122" i="22"/>
  <c r="BN120" i="22"/>
  <c r="BN123" i="22"/>
  <c r="BN114" i="22"/>
  <c r="BN101" i="22"/>
  <c r="BN96" i="22"/>
  <c r="BN119" i="22"/>
  <c r="BN109" i="22"/>
  <c r="BN104" i="22"/>
  <c r="BN117" i="22"/>
  <c r="BN112" i="22"/>
  <c r="BN107" i="22"/>
  <c r="BN99" i="22"/>
  <c r="BN94" i="22"/>
  <c r="BN115" i="22"/>
  <c r="BN102" i="22"/>
  <c r="BN110" i="22"/>
  <c r="BN105" i="22"/>
  <c r="BN97" i="22"/>
  <c r="BN92" i="22"/>
  <c r="BN116" i="22"/>
  <c r="BN111" i="22"/>
  <c r="BN106" i="22"/>
  <c r="BN98" i="22"/>
  <c r="BN93" i="22"/>
  <c r="BN113" i="22"/>
  <c r="BN90" i="22"/>
  <c r="BN84" i="22"/>
  <c r="BN76" i="22"/>
  <c r="BN68" i="22"/>
  <c r="BN87" i="22"/>
  <c r="BN79" i="22"/>
  <c r="BN71" i="22"/>
  <c r="BN103" i="22"/>
  <c r="BN95" i="22"/>
  <c r="BN89" i="22"/>
  <c r="BN82" i="22"/>
  <c r="BN74" i="22"/>
  <c r="BN66" i="22"/>
  <c r="BN61" i="22"/>
  <c r="BN85" i="22"/>
  <c r="BN77" i="22"/>
  <c r="BN69" i="22"/>
  <c r="BN118" i="22"/>
  <c r="BN108" i="22"/>
  <c r="BN80" i="22"/>
  <c r="BN72" i="22"/>
  <c r="BN100" i="22"/>
  <c r="BN88" i="22"/>
  <c r="BN83" i="22"/>
  <c r="BN75" i="22"/>
  <c r="BN67" i="22"/>
  <c r="BN62" i="22"/>
  <c r="BN65" i="22"/>
  <c r="BN53" i="22"/>
  <c r="BN45" i="22"/>
  <c r="BN37" i="22"/>
  <c r="BN29" i="22"/>
  <c r="BN81" i="22"/>
  <c r="BN73" i="22"/>
  <c r="BN59" i="22"/>
  <c r="BN56" i="22"/>
  <c r="BN48" i="22"/>
  <c r="BN40" i="22"/>
  <c r="BN32" i="22"/>
  <c r="BN91" i="22"/>
  <c r="BN51" i="22"/>
  <c r="BN43" i="22"/>
  <c r="BN35" i="22"/>
  <c r="BN121" i="22"/>
  <c r="BN86" i="22"/>
  <c r="BN78" i="22"/>
  <c r="BN70" i="22"/>
  <c r="BN54" i="22"/>
  <c r="BN46" i="22"/>
  <c r="BN38" i="22"/>
  <c r="BN30" i="22"/>
  <c r="BN58" i="22"/>
  <c r="BN49" i="22"/>
  <c r="BN41" i="22"/>
  <c r="BN33" i="22"/>
  <c r="BN64" i="22"/>
  <c r="BN57" i="22"/>
  <c r="BN50" i="22"/>
  <c r="BN42" i="22"/>
  <c r="BN34" i="22"/>
  <c r="BN60" i="22"/>
  <c r="BN55" i="22"/>
  <c r="BN47" i="22"/>
  <c r="BN39" i="22"/>
  <c r="BN31" i="22"/>
  <c r="BN52" i="22"/>
  <c r="BN44" i="22"/>
  <c r="BN36" i="22"/>
  <c r="BN63" i="22"/>
  <c r="CT35" i="22"/>
  <c r="CT43" i="22"/>
  <c r="CT123" i="22"/>
  <c r="CT121" i="22"/>
  <c r="CT110" i="22"/>
  <c r="CT105" i="22"/>
  <c r="CT97" i="22"/>
  <c r="CT118" i="22"/>
  <c r="CT113" i="22"/>
  <c r="CT108" i="22"/>
  <c r="CT100" i="22"/>
  <c r="CT124" i="22"/>
  <c r="CT122" i="22"/>
  <c r="CT120" i="22"/>
  <c r="CT103" i="22"/>
  <c r="CT90" i="22"/>
  <c r="CT116" i="22"/>
  <c r="CT111" i="22"/>
  <c r="CT106" i="22"/>
  <c r="CT114" i="22"/>
  <c r="CT101" i="22"/>
  <c r="CT96" i="22"/>
  <c r="CT115" i="22"/>
  <c r="CT102" i="22"/>
  <c r="CT112" i="22"/>
  <c r="CT95" i="22"/>
  <c r="CT80" i="22"/>
  <c r="CT72" i="22"/>
  <c r="CT88" i="22"/>
  <c r="CT83" i="22"/>
  <c r="CT75" i="22"/>
  <c r="CT67" i="22"/>
  <c r="CT62" i="22"/>
  <c r="CT119" i="22"/>
  <c r="CT109" i="22"/>
  <c r="CT98" i="22"/>
  <c r="CT86" i="22"/>
  <c r="CT78" i="22"/>
  <c r="CT70" i="22"/>
  <c r="CT57" i="22"/>
  <c r="CT81" i="22"/>
  <c r="CT73" i="22"/>
  <c r="CT117" i="22"/>
  <c r="CT107" i="22"/>
  <c r="CT92" i="22"/>
  <c r="CT91" i="22"/>
  <c r="CT84" i="22"/>
  <c r="CT76" i="22"/>
  <c r="CT68" i="22"/>
  <c r="CT93" i="22"/>
  <c r="CT87" i="22"/>
  <c r="CT79" i="22"/>
  <c r="CT71" i="22"/>
  <c r="CT89" i="22"/>
  <c r="CT61" i="22"/>
  <c r="CT58" i="22"/>
  <c r="CT49" i="22"/>
  <c r="CT41" i="22"/>
  <c r="CT33" i="22"/>
  <c r="CT52" i="22"/>
  <c r="CT44" i="22"/>
  <c r="CT36" i="22"/>
  <c r="CT63" i="22"/>
  <c r="CT60" i="22"/>
  <c r="CT55" i="22"/>
  <c r="CT47" i="22"/>
  <c r="CT39" i="22"/>
  <c r="CT31" i="22"/>
  <c r="CT99" i="22"/>
  <c r="CT85" i="22"/>
  <c r="CT77" i="22"/>
  <c r="CT69" i="22"/>
  <c r="CT50" i="22"/>
  <c r="CT42" i="22"/>
  <c r="CT34" i="22"/>
  <c r="CT104" i="22"/>
  <c r="CT94" i="22"/>
  <c r="CT53" i="22"/>
  <c r="CT45" i="22"/>
  <c r="CT37" i="22"/>
  <c r="CT29" i="22"/>
  <c r="CT54" i="22"/>
  <c r="CT46" i="22"/>
  <c r="CT38" i="22"/>
  <c r="CT30" i="22"/>
  <c r="CT66" i="22"/>
  <c r="CT74" i="22"/>
  <c r="CT82" i="22"/>
  <c r="AX83" i="22"/>
  <c r="CT65" i="22"/>
  <c r="CT56" i="22"/>
  <c r="CT64" i="22"/>
  <c r="DZ60" i="22"/>
  <c r="AH63" i="22"/>
  <c r="CD66" i="22"/>
  <c r="DJ67" i="22"/>
  <c r="DJ72" i="22"/>
  <c r="DZ73" i="22"/>
  <c r="AH74" i="22"/>
  <c r="AX75" i="22"/>
  <c r="DJ80" i="22"/>
  <c r="DZ81" i="22"/>
  <c r="AH82" i="22"/>
  <c r="DZ88" i="22"/>
  <c r="AX123" i="22"/>
  <c r="AX124" i="22"/>
  <c r="AX122" i="22"/>
  <c r="AX120" i="22"/>
  <c r="AX121" i="22"/>
  <c r="AX103" i="22"/>
  <c r="AX116" i="22"/>
  <c r="AX111" i="22"/>
  <c r="AX106" i="22"/>
  <c r="AX114" i="22"/>
  <c r="AX101" i="22"/>
  <c r="AX96" i="22"/>
  <c r="AX119" i="22"/>
  <c r="AX109" i="22"/>
  <c r="AX104" i="22"/>
  <c r="AX117" i="22"/>
  <c r="AX112" i="22"/>
  <c r="AX107" i="22"/>
  <c r="AX99" i="22"/>
  <c r="AX94" i="22"/>
  <c r="AX118" i="22"/>
  <c r="AX113" i="22"/>
  <c r="AX108" i="22"/>
  <c r="AX100" i="22"/>
  <c r="AX95" i="22"/>
  <c r="AX105" i="22"/>
  <c r="AX92" i="22"/>
  <c r="AX91" i="22"/>
  <c r="AX86" i="22"/>
  <c r="AX78" i="22"/>
  <c r="AX70" i="22"/>
  <c r="AX93" i="22"/>
  <c r="AX81" i="22"/>
  <c r="AX73" i="22"/>
  <c r="AX65" i="22"/>
  <c r="AX102" i="22"/>
  <c r="AX90" i="22"/>
  <c r="AX84" i="22"/>
  <c r="AX76" i="22"/>
  <c r="AX68" i="22"/>
  <c r="AX63" i="22"/>
  <c r="AX97" i="22"/>
  <c r="AX87" i="22"/>
  <c r="AX79" i="22"/>
  <c r="AX71" i="22"/>
  <c r="AX110" i="22"/>
  <c r="AX89" i="22"/>
  <c r="AX82" i="22"/>
  <c r="AX74" i="22"/>
  <c r="AX98" i="22"/>
  <c r="AX85" i="22"/>
  <c r="AX77" i="22"/>
  <c r="AX69" i="22"/>
  <c r="AH29" i="22"/>
  <c r="CD31" i="22"/>
  <c r="DZ33" i="22"/>
  <c r="AX35" i="22"/>
  <c r="DJ35" i="22"/>
  <c r="AH37" i="22"/>
  <c r="CD39" i="22"/>
  <c r="DZ41" i="22"/>
  <c r="AX43" i="22"/>
  <c r="DJ43" i="22"/>
  <c r="AH45" i="22"/>
  <c r="CD47" i="22"/>
  <c r="DZ49" i="22"/>
  <c r="AX51" i="22"/>
  <c r="DJ51" i="22"/>
  <c r="AH53" i="22"/>
  <c r="CD55" i="22"/>
  <c r="DJ56" i="22"/>
  <c r="DJ59" i="22"/>
  <c r="CD60" i="22"/>
  <c r="AX61" i="22"/>
  <c r="DJ66" i="22"/>
  <c r="CD76" i="22"/>
  <c r="CD84" i="22"/>
  <c r="DZ124" i="22"/>
  <c r="DZ122" i="22"/>
  <c r="DZ120" i="22"/>
  <c r="DZ121" i="22"/>
  <c r="DZ114" i="22"/>
  <c r="DZ101" i="22"/>
  <c r="DZ96" i="22"/>
  <c r="DZ119" i="22"/>
  <c r="DZ109" i="22"/>
  <c r="DZ104" i="22"/>
  <c r="DZ117" i="22"/>
  <c r="DZ112" i="22"/>
  <c r="DZ107" i="22"/>
  <c r="DZ99" i="22"/>
  <c r="DZ94" i="22"/>
  <c r="DZ115" i="22"/>
  <c r="DZ102" i="22"/>
  <c r="DZ123" i="22"/>
  <c r="DZ110" i="22"/>
  <c r="DZ105" i="22"/>
  <c r="DZ97" i="22"/>
  <c r="DZ92" i="22"/>
  <c r="DZ116" i="22"/>
  <c r="DZ111" i="22"/>
  <c r="DZ106" i="22"/>
  <c r="DZ98" i="22"/>
  <c r="DZ93" i="22"/>
  <c r="DZ103" i="22"/>
  <c r="DZ84" i="22"/>
  <c r="DZ76" i="22"/>
  <c r="DZ68" i="22"/>
  <c r="DZ91" i="22"/>
  <c r="DZ87" i="22"/>
  <c r="DZ79" i="22"/>
  <c r="DZ71" i="22"/>
  <c r="DZ118" i="22"/>
  <c r="DZ108" i="22"/>
  <c r="DZ100" i="22"/>
  <c r="DZ90" i="22"/>
  <c r="DZ82" i="22"/>
  <c r="DZ74" i="22"/>
  <c r="DZ66" i="22"/>
  <c r="DZ61" i="22"/>
  <c r="DZ89" i="22"/>
  <c r="DZ85" i="22"/>
  <c r="DZ77" i="22"/>
  <c r="DZ69" i="22"/>
  <c r="DZ80" i="22"/>
  <c r="DZ72" i="22"/>
  <c r="DZ83" i="22"/>
  <c r="DZ75" i="22"/>
  <c r="DZ67" i="22"/>
  <c r="DZ62" i="22"/>
  <c r="DZ30" i="22"/>
  <c r="AX32" i="22"/>
  <c r="DJ32" i="22"/>
  <c r="AH34" i="22"/>
  <c r="CD36" i="22"/>
  <c r="DZ38" i="22"/>
  <c r="AX40" i="22"/>
  <c r="DJ40" i="22"/>
  <c r="AH42" i="22"/>
  <c r="CD44" i="22"/>
  <c r="DZ46" i="22"/>
  <c r="AX48" i="22"/>
  <c r="DJ48" i="22"/>
  <c r="AH50" i="22"/>
  <c r="CD52" i="22"/>
  <c r="DZ54" i="22"/>
  <c r="AX56" i="22"/>
  <c r="AX59" i="22"/>
  <c r="CD63" i="22"/>
  <c r="DJ64" i="22"/>
  <c r="DZ65" i="22"/>
  <c r="AX67" i="22"/>
  <c r="CD124" i="22"/>
  <c r="CD123" i="22"/>
  <c r="CD121" i="22"/>
  <c r="CD117" i="22"/>
  <c r="CD112" i="22"/>
  <c r="CD107" i="22"/>
  <c r="CD99" i="22"/>
  <c r="CD115" i="22"/>
  <c r="CD102" i="22"/>
  <c r="CD110" i="22"/>
  <c r="CD105" i="22"/>
  <c r="CD97" i="22"/>
  <c r="CD92" i="22"/>
  <c r="CD118" i="22"/>
  <c r="CD113" i="22"/>
  <c r="CD108" i="22"/>
  <c r="CD122" i="22"/>
  <c r="CD120" i="22"/>
  <c r="CD103" i="22"/>
  <c r="CD119" i="22"/>
  <c r="CD109" i="22"/>
  <c r="CD104" i="22"/>
  <c r="CD91" i="22"/>
  <c r="CD82" i="22"/>
  <c r="CD74" i="22"/>
  <c r="CD111" i="22"/>
  <c r="CD95" i="22"/>
  <c r="CD89" i="22"/>
  <c r="CD85" i="22"/>
  <c r="CD77" i="22"/>
  <c r="CD69" i="22"/>
  <c r="CD101" i="22"/>
  <c r="CD80" i="22"/>
  <c r="CD72" i="22"/>
  <c r="CD64" i="22"/>
  <c r="CD59" i="22"/>
  <c r="CD98" i="22"/>
  <c r="CD88" i="22"/>
  <c r="CD83" i="22"/>
  <c r="CD75" i="22"/>
  <c r="CD100" i="22"/>
  <c r="CD96" i="22"/>
  <c r="CD86" i="22"/>
  <c r="CD78" i="22"/>
  <c r="CD70" i="22"/>
  <c r="CD116" i="22"/>
  <c r="CD106" i="22"/>
  <c r="CD81" i="22"/>
  <c r="CD73" i="22"/>
  <c r="CD65" i="22"/>
  <c r="AX29" i="22"/>
  <c r="DJ29" i="22"/>
  <c r="AH31" i="22"/>
  <c r="CD33" i="22"/>
  <c r="DZ35" i="22"/>
  <c r="AX37" i="22"/>
  <c r="DJ37" i="22"/>
  <c r="AH39" i="22"/>
  <c r="CD41" i="22"/>
  <c r="DZ43" i="22"/>
  <c r="AX45" i="22"/>
  <c r="DJ45" i="22"/>
  <c r="AH47" i="22"/>
  <c r="CD49" i="22"/>
  <c r="DZ51" i="22"/>
  <c r="AX53" i="22"/>
  <c r="DJ53" i="22"/>
  <c r="AH55" i="22"/>
  <c r="DZ56" i="22"/>
  <c r="DJ57" i="22"/>
  <c r="CD58" i="22"/>
  <c r="DZ59" i="22"/>
  <c r="CD61" i="22"/>
  <c r="CD62" i="22"/>
  <c r="AH64" i="22"/>
  <c r="DZ64" i="22"/>
  <c r="AH65" i="22"/>
  <c r="AH66" i="22"/>
  <c r="AX88" i="22"/>
  <c r="AX115" i="22"/>
  <c r="AH123" i="22"/>
  <c r="AH121" i="22"/>
  <c r="AH122" i="22"/>
  <c r="AH120" i="22"/>
  <c r="AH110" i="22"/>
  <c r="AH105" i="22"/>
  <c r="AH97" i="22"/>
  <c r="AH118" i="22"/>
  <c r="AH113" i="22"/>
  <c r="AH108" i="22"/>
  <c r="AH100" i="22"/>
  <c r="AH103" i="22"/>
  <c r="AH90" i="22"/>
  <c r="AH116" i="22"/>
  <c r="AH111" i="22"/>
  <c r="AH106" i="22"/>
  <c r="AH114" i="22"/>
  <c r="AH101" i="22"/>
  <c r="AH96" i="22"/>
  <c r="AH115" i="22"/>
  <c r="AH102" i="22"/>
  <c r="AH104" i="22"/>
  <c r="AH88" i="22"/>
  <c r="AH80" i="22"/>
  <c r="AH72" i="22"/>
  <c r="AH92" i="22"/>
  <c r="AH83" i="22"/>
  <c r="AH75" i="22"/>
  <c r="AH67" i="22"/>
  <c r="AH62" i="22"/>
  <c r="AH112" i="22"/>
  <c r="AH99" i="22"/>
  <c r="AH93" i="22"/>
  <c r="AH91" i="22"/>
  <c r="AH86" i="22"/>
  <c r="AH78" i="22"/>
  <c r="AH70" i="22"/>
  <c r="AH57" i="22"/>
  <c r="AH124" i="22"/>
  <c r="AH94" i="22"/>
  <c r="AH81" i="22"/>
  <c r="AH73" i="22"/>
  <c r="AH119" i="22"/>
  <c r="AH109" i="22"/>
  <c r="AH95" i="22"/>
  <c r="AH84" i="22"/>
  <c r="AH76" i="22"/>
  <c r="AH68" i="22"/>
  <c r="AH87" i="22"/>
  <c r="AH79" i="22"/>
  <c r="AH71" i="22"/>
  <c r="CD30" i="22"/>
  <c r="DZ32" i="22"/>
  <c r="AX34" i="22"/>
  <c r="DJ34" i="22"/>
  <c r="AH36" i="22"/>
  <c r="CD38" i="22"/>
  <c r="DZ40" i="22"/>
  <c r="AX42" i="22"/>
  <c r="DJ42" i="22"/>
  <c r="AH44" i="22"/>
  <c r="CD46" i="22"/>
  <c r="DZ48" i="22"/>
  <c r="AX50" i="22"/>
  <c r="DJ50" i="22"/>
  <c r="AH52" i="22"/>
  <c r="CD54" i="22"/>
  <c r="AX57" i="22"/>
  <c r="AH60" i="22"/>
  <c r="DJ60" i="22"/>
  <c r="AX66" i="22"/>
  <c r="CD67" i="22"/>
  <c r="DZ70" i="22"/>
  <c r="CD71" i="22"/>
  <c r="AX72" i="22"/>
  <c r="DZ78" i="22"/>
  <c r="CD79" i="22"/>
  <c r="AX80" i="22"/>
  <c r="DZ86" i="22"/>
  <c r="CD87" i="22"/>
  <c r="AH89" i="22"/>
  <c r="DJ97" i="22"/>
  <c r="AH98" i="22"/>
  <c r="CD114" i="22"/>
  <c r="DJ123" i="22"/>
  <c r="DJ124" i="22"/>
  <c r="DJ122" i="22"/>
  <c r="DJ120" i="22"/>
  <c r="DJ103" i="22"/>
  <c r="DJ116" i="22"/>
  <c r="DJ111" i="22"/>
  <c r="DJ106" i="22"/>
  <c r="DJ121" i="22"/>
  <c r="DJ114" i="22"/>
  <c r="DJ101" i="22"/>
  <c r="DJ96" i="22"/>
  <c r="DJ119" i="22"/>
  <c r="DJ109" i="22"/>
  <c r="DJ104" i="22"/>
  <c r="DJ117" i="22"/>
  <c r="DJ112" i="22"/>
  <c r="DJ107" i="22"/>
  <c r="DJ99" i="22"/>
  <c r="DJ94" i="22"/>
  <c r="DJ118" i="22"/>
  <c r="DJ113" i="22"/>
  <c r="DJ108" i="22"/>
  <c r="DJ100" i="22"/>
  <c r="DJ95" i="22"/>
  <c r="DJ102" i="22"/>
  <c r="DJ88" i="22"/>
  <c r="DJ86" i="22"/>
  <c r="DJ78" i="22"/>
  <c r="DJ70" i="22"/>
  <c r="DJ98" i="22"/>
  <c r="DJ81" i="22"/>
  <c r="DJ73" i="22"/>
  <c r="DJ65" i="22"/>
  <c r="DJ110" i="22"/>
  <c r="DJ91" i="22"/>
  <c r="DJ84" i="22"/>
  <c r="DJ76" i="22"/>
  <c r="DJ68" i="22"/>
  <c r="DJ63" i="22"/>
  <c r="DJ92" i="22"/>
  <c r="DJ90" i="22"/>
  <c r="DJ87" i="22"/>
  <c r="DJ79" i="22"/>
  <c r="DJ71" i="22"/>
  <c r="DJ115" i="22"/>
  <c r="DJ93" i="22"/>
  <c r="DJ82" i="22"/>
  <c r="DJ74" i="22"/>
  <c r="DJ89" i="22"/>
  <c r="DJ85" i="22"/>
  <c r="DJ77" i="22"/>
  <c r="DJ69" i="22"/>
  <c r="DZ29" i="22"/>
  <c r="AX31" i="22"/>
  <c r="DJ31" i="22"/>
  <c r="AH33" i="22"/>
  <c r="CD35" i="22"/>
  <c r="DZ37" i="22"/>
  <c r="AX39" i="22"/>
  <c r="DJ39" i="22"/>
  <c r="CD43" i="22"/>
  <c r="DZ45" i="22"/>
  <c r="AX47" i="22"/>
  <c r="DJ47" i="22"/>
  <c r="AH49" i="22"/>
  <c r="CD51" i="22"/>
  <c r="DZ53" i="22"/>
  <c r="AX55" i="22"/>
  <c r="DJ55" i="22"/>
  <c r="CD56" i="22"/>
  <c r="DZ57" i="22"/>
  <c r="AX60" i="22"/>
  <c r="DJ62" i="22"/>
  <c r="DZ63" i="22"/>
  <c r="AX64" i="22"/>
  <c r="CD90" i="22"/>
  <c r="AH107" i="22"/>
  <c r="DZ113" i="22"/>
  <c r="T7" i="23"/>
  <c r="F26" i="36" l="1"/>
  <c r="I26" i="36"/>
  <c r="D26" i="36"/>
  <c r="E26" i="36"/>
  <c r="H26" i="36"/>
  <c r="G26" i="40"/>
  <c r="E12" i="32"/>
  <c r="E11" i="32" s="1"/>
  <c r="X6" i="7"/>
  <c r="BP6" i="7"/>
  <c r="E86" i="17" s="1"/>
  <c r="D77" i="17"/>
  <c r="E77" i="17"/>
  <c r="F77" i="17"/>
  <c r="AE6" i="7"/>
  <c r="F11" i="23" s="1"/>
  <c r="Y6" i="7"/>
  <c r="F8" i="23" s="1"/>
  <c r="V42" i="16"/>
  <c r="BM6" i="7"/>
  <c r="R37" i="16"/>
  <c r="BA6" i="7"/>
  <c r="E21" i="16"/>
  <c r="AV6" i="7"/>
  <c r="Q30" i="16"/>
  <c r="AD6" i="7"/>
  <c r="W6" i="7"/>
  <c r="G25" i="16"/>
  <c r="AP6" i="7"/>
  <c r="AJ6" i="7"/>
  <c r="AQ2" i="7"/>
  <c r="BH6" i="7"/>
  <c r="W25" i="16"/>
  <c r="BN6" i="7"/>
  <c r="M30" i="16"/>
  <c r="R6" i="7"/>
  <c r="BG6" i="7"/>
  <c r="S36" i="16"/>
  <c r="BB6" i="7"/>
  <c r="D36" i="16"/>
  <c r="F36" i="16"/>
  <c r="AO6" i="7"/>
  <c r="N36" i="16"/>
  <c r="P36" i="16"/>
  <c r="AC6" i="7"/>
  <c r="L36" i="16"/>
  <c r="Q6" i="7"/>
  <c r="F22" i="39"/>
  <c r="F26" i="39" s="1"/>
  <c r="G22" i="39"/>
  <c r="G26" i="39" s="1"/>
  <c r="N28" i="18" s="1"/>
  <c r="D22" i="40"/>
  <c r="D26" i="40" s="1"/>
  <c r="Q9" i="18"/>
  <c r="Q8" i="18"/>
  <c r="Q7" i="18"/>
  <c r="F21" i="42"/>
  <c r="N31" i="18" s="1"/>
  <c r="B14" i="23" s="1"/>
  <c r="G14" i="23" s="1"/>
  <c r="AC29" i="23" s="1"/>
  <c r="U29" i="23" s="1"/>
  <c r="AA29" i="23" s="1"/>
  <c r="J28" i="29"/>
  <c r="K28" i="29" s="1"/>
  <c r="J37" i="29"/>
  <c r="K37" i="29" s="1"/>
  <c r="F28" i="29"/>
  <c r="G28" i="29" s="1"/>
  <c r="F37" i="29"/>
  <c r="G37" i="29" s="1"/>
  <c r="N28" i="29"/>
  <c r="O28" i="29" s="1"/>
  <c r="N37" i="29"/>
  <c r="O37" i="29" s="1"/>
  <c r="H28" i="29"/>
  <c r="I28" i="29" s="1"/>
  <c r="H37" i="29"/>
  <c r="I37" i="29" s="1"/>
  <c r="L28" i="29"/>
  <c r="M28" i="29" s="1"/>
  <c r="L37" i="29"/>
  <c r="M37" i="29" s="1"/>
  <c r="F25" i="43"/>
  <c r="N7" i="18" s="1"/>
  <c r="R2" i="26"/>
  <c r="B18" i="32"/>
  <c r="C18" i="32" s="1"/>
  <c r="B24" i="32"/>
  <c r="C24" i="32" s="1"/>
  <c r="J18" i="32"/>
  <c r="K18" i="32" s="1"/>
  <c r="J24" i="32"/>
  <c r="K24" i="32" s="1"/>
  <c r="F18" i="32"/>
  <c r="G18" i="32" s="1"/>
  <c r="F24" i="32"/>
  <c r="G24" i="32" s="1"/>
  <c r="O25" i="16"/>
  <c r="D18" i="32"/>
  <c r="E18" i="32" s="1"/>
  <c r="D24" i="32"/>
  <c r="E24" i="32" s="1"/>
  <c r="L18" i="32"/>
  <c r="M18" i="32" s="1"/>
  <c r="L24" i="32"/>
  <c r="M24" i="32" s="1"/>
  <c r="W166" i="16"/>
  <c r="V166" i="16"/>
  <c r="W169" i="16"/>
  <c r="V169" i="16"/>
  <c r="E28" i="18"/>
  <c r="T166" i="16" s="1"/>
  <c r="V51" i="16"/>
  <c r="U30" i="19"/>
  <c r="N30" i="19" s="1"/>
  <c r="O30" i="19" s="1"/>
  <c r="F86" i="17"/>
  <c r="AX6" i="7"/>
  <c r="F12" i="17" s="1"/>
  <c r="D23" i="43"/>
  <c r="D25" i="43" s="1"/>
  <c r="AS8" i="19" s="1"/>
  <c r="U8" i="19"/>
  <c r="E23" i="43"/>
  <c r="E25" i="43" s="1"/>
  <c r="AS9" i="19" s="1"/>
  <c r="U9" i="19"/>
  <c r="C23" i="43"/>
  <c r="C25" i="43" s="1"/>
  <c r="AS7" i="19" s="1"/>
  <c r="U7" i="19"/>
  <c r="D28" i="24"/>
  <c r="K39" i="43"/>
  <c r="L39" i="43" s="1"/>
  <c r="K37" i="43"/>
  <c r="L37" i="43" s="1"/>
  <c r="K35" i="43"/>
  <c r="L35" i="43" s="1"/>
  <c r="K33" i="43"/>
  <c r="L33" i="43" s="1"/>
  <c r="K31" i="43"/>
  <c r="L31" i="43" s="1"/>
  <c r="K29" i="43"/>
  <c r="L29" i="43" s="1"/>
  <c r="K38" i="43"/>
  <c r="L38" i="43" s="1"/>
  <c r="K36" i="43"/>
  <c r="L36" i="43" s="1"/>
  <c r="K34" i="43"/>
  <c r="L34" i="43" s="1"/>
  <c r="K32" i="43"/>
  <c r="L32" i="43" s="1"/>
  <c r="K30" i="43"/>
  <c r="L30" i="43" s="1"/>
  <c r="AG7" i="19"/>
  <c r="AG8" i="19"/>
  <c r="AG9" i="19"/>
  <c r="E37" i="43"/>
  <c r="F37" i="43" s="1"/>
  <c r="E33" i="43"/>
  <c r="F33" i="43" s="1"/>
  <c r="E38" i="43"/>
  <c r="F38" i="43" s="1"/>
  <c r="E36" i="43"/>
  <c r="F36" i="43" s="1"/>
  <c r="E34" i="43"/>
  <c r="F34" i="43" s="1"/>
  <c r="E32" i="43"/>
  <c r="F32" i="43" s="1"/>
  <c r="E30" i="43"/>
  <c r="F30" i="43" s="1"/>
  <c r="E39" i="43"/>
  <c r="F39" i="43" s="1"/>
  <c r="E35" i="43"/>
  <c r="F35" i="43" s="1"/>
  <c r="E29" i="43"/>
  <c r="F29" i="43" s="1"/>
  <c r="E31" i="43"/>
  <c r="F31" i="43" s="1"/>
  <c r="G18" i="18"/>
  <c r="G32" i="18"/>
  <c r="G31" i="18"/>
  <c r="G33" i="18"/>
  <c r="G38" i="43"/>
  <c r="H38" i="43" s="1"/>
  <c r="G36" i="43"/>
  <c r="H36" i="43" s="1"/>
  <c r="G34" i="43"/>
  <c r="H34" i="43" s="1"/>
  <c r="G32" i="43"/>
  <c r="H32" i="43" s="1"/>
  <c r="G30" i="43"/>
  <c r="H30" i="43" s="1"/>
  <c r="G39" i="43"/>
  <c r="H39" i="43" s="1"/>
  <c r="G37" i="43"/>
  <c r="H37" i="43" s="1"/>
  <c r="G35" i="43"/>
  <c r="H35" i="43" s="1"/>
  <c r="G33" i="43"/>
  <c r="H33" i="43" s="1"/>
  <c r="G31" i="43"/>
  <c r="H31" i="43" s="1"/>
  <c r="G29" i="43"/>
  <c r="H29" i="43" s="1"/>
  <c r="C39" i="43"/>
  <c r="D39" i="43" s="1"/>
  <c r="C37" i="43"/>
  <c r="D37" i="43" s="1"/>
  <c r="C35" i="43"/>
  <c r="D35" i="43" s="1"/>
  <c r="C33" i="43"/>
  <c r="D33" i="43" s="1"/>
  <c r="C31" i="43"/>
  <c r="D31" i="43" s="1"/>
  <c r="C29" i="43"/>
  <c r="D29" i="43" s="1"/>
  <c r="C38" i="43"/>
  <c r="D38" i="43" s="1"/>
  <c r="C36" i="43"/>
  <c r="D36" i="43" s="1"/>
  <c r="C34" i="43"/>
  <c r="D34" i="43" s="1"/>
  <c r="C32" i="43"/>
  <c r="D32" i="43" s="1"/>
  <c r="C30" i="43"/>
  <c r="D30" i="43" s="1"/>
  <c r="M29" i="43"/>
  <c r="N29" i="43" s="1"/>
  <c r="M35" i="43"/>
  <c r="N35" i="43" s="1"/>
  <c r="M39" i="43"/>
  <c r="N39" i="43" s="1"/>
  <c r="M33" i="43"/>
  <c r="N33" i="43" s="1"/>
  <c r="M38" i="43"/>
  <c r="N38" i="43" s="1"/>
  <c r="M36" i="43"/>
  <c r="N36" i="43" s="1"/>
  <c r="M34" i="43"/>
  <c r="N34" i="43" s="1"/>
  <c r="M32" i="43"/>
  <c r="N32" i="43" s="1"/>
  <c r="M30" i="43"/>
  <c r="N30" i="43" s="1"/>
  <c r="M31" i="43"/>
  <c r="N31" i="43" s="1"/>
  <c r="M37" i="43"/>
  <c r="N37" i="43" s="1"/>
  <c r="V30" i="16"/>
  <c r="C19" i="42"/>
  <c r="C21" i="42" s="1"/>
  <c r="AS31" i="19" s="1"/>
  <c r="U31" i="19"/>
  <c r="L31" i="19" s="1"/>
  <c r="D19" i="42"/>
  <c r="D21" i="42" s="1"/>
  <c r="AS32" i="19" s="1"/>
  <c r="U32" i="19"/>
  <c r="M32" i="19" s="1"/>
  <c r="E19" i="42"/>
  <c r="E21" i="42" s="1"/>
  <c r="AS33" i="19" s="1"/>
  <c r="U33" i="19"/>
  <c r="N33" i="19" s="1"/>
  <c r="O33" i="19" s="1"/>
  <c r="P33" i="19" s="1"/>
  <c r="C34" i="42"/>
  <c r="D34" i="42" s="1"/>
  <c r="C30" i="42"/>
  <c r="D30" i="42" s="1"/>
  <c r="C26" i="42"/>
  <c r="D26" i="42" s="1"/>
  <c r="C35" i="42"/>
  <c r="D35" i="42" s="1"/>
  <c r="C31" i="42"/>
  <c r="D31" i="42" s="1"/>
  <c r="C27" i="42"/>
  <c r="D27" i="42" s="1"/>
  <c r="C37" i="42"/>
  <c r="D37" i="42" s="1"/>
  <c r="C36" i="42"/>
  <c r="D36" i="42" s="1"/>
  <c r="C32" i="42"/>
  <c r="D32" i="42" s="1"/>
  <c r="C28" i="42"/>
  <c r="D28" i="42" s="1"/>
  <c r="C33" i="42"/>
  <c r="D33" i="42" s="1"/>
  <c r="C29" i="42"/>
  <c r="D29" i="42" s="1"/>
  <c r="E35" i="42"/>
  <c r="F35" i="42" s="1"/>
  <c r="E31" i="42"/>
  <c r="F31" i="42" s="1"/>
  <c r="E27" i="42"/>
  <c r="F27" i="42" s="1"/>
  <c r="E36" i="42"/>
  <c r="F36" i="42" s="1"/>
  <c r="E32" i="42"/>
  <c r="F32" i="42" s="1"/>
  <c r="E28" i="42"/>
  <c r="F28" i="42" s="1"/>
  <c r="E37" i="42"/>
  <c r="F37" i="42" s="1"/>
  <c r="E29" i="42"/>
  <c r="F29" i="42" s="1"/>
  <c r="E33" i="42"/>
  <c r="F33" i="42" s="1"/>
  <c r="E34" i="42"/>
  <c r="F34" i="42" s="1"/>
  <c r="E30" i="42"/>
  <c r="F30" i="42" s="1"/>
  <c r="E26" i="42"/>
  <c r="F26" i="42" s="1"/>
  <c r="M37" i="42"/>
  <c r="N37" i="42" s="1"/>
  <c r="M33" i="42"/>
  <c r="N33" i="42" s="1"/>
  <c r="M29" i="42"/>
  <c r="N29" i="42" s="1"/>
  <c r="M34" i="42"/>
  <c r="N34" i="42" s="1"/>
  <c r="M30" i="42"/>
  <c r="N30" i="42" s="1"/>
  <c r="M26" i="42"/>
  <c r="N26" i="42" s="1"/>
  <c r="M36" i="42"/>
  <c r="N36" i="42" s="1"/>
  <c r="M35" i="42"/>
  <c r="N35" i="42" s="1"/>
  <c r="M31" i="42"/>
  <c r="N31" i="42" s="1"/>
  <c r="M27" i="42"/>
  <c r="N27" i="42" s="1"/>
  <c r="M32" i="42"/>
  <c r="N32" i="42" s="1"/>
  <c r="M28" i="42"/>
  <c r="N28" i="42" s="1"/>
  <c r="G35" i="42"/>
  <c r="H35" i="42" s="1"/>
  <c r="G31" i="42"/>
  <c r="H31" i="42" s="1"/>
  <c r="G27" i="42"/>
  <c r="H27" i="42" s="1"/>
  <c r="G32" i="42"/>
  <c r="H32" i="42" s="1"/>
  <c r="G28" i="42"/>
  <c r="H28" i="42" s="1"/>
  <c r="G36" i="42"/>
  <c r="H36" i="42" s="1"/>
  <c r="G37" i="42"/>
  <c r="H37" i="42" s="1"/>
  <c r="G33" i="42"/>
  <c r="H33" i="42" s="1"/>
  <c r="G29" i="42"/>
  <c r="H29" i="42" s="1"/>
  <c r="G34" i="42"/>
  <c r="H34" i="42" s="1"/>
  <c r="G30" i="42"/>
  <c r="H30" i="42" s="1"/>
  <c r="G26" i="42"/>
  <c r="H26" i="42" s="1"/>
  <c r="K36" i="42"/>
  <c r="L36" i="42" s="1"/>
  <c r="K32" i="42"/>
  <c r="L32" i="42" s="1"/>
  <c r="K28" i="42"/>
  <c r="L28" i="42" s="1"/>
  <c r="K37" i="42"/>
  <c r="L37" i="42" s="1"/>
  <c r="K29" i="42"/>
  <c r="L29" i="42" s="1"/>
  <c r="K33" i="42"/>
  <c r="L33" i="42" s="1"/>
  <c r="K34" i="42"/>
  <c r="L34" i="42" s="1"/>
  <c r="K30" i="42"/>
  <c r="L30" i="42" s="1"/>
  <c r="K26" i="42"/>
  <c r="L26" i="42" s="1"/>
  <c r="K35" i="42"/>
  <c r="L35" i="42" s="1"/>
  <c r="K31" i="42"/>
  <c r="L31" i="42" s="1"/>
  <c r="K27" i="42"/>
  <c r="L27" i="42" s="1"/>
  <c r="T36" i="16"/>
  <c r="BG2" i="7"/>
  <c r="G17" i="18"/>
  <c r="G9" i="18"/>
  <c r="G30" i="18"/>
  <c r="G28" i="18"/>
  <c r="G29" i="18"/>
  <c r="U25" i="16"/>
  <c r="F6" i="23"/>
  <c r="A6" i="16"/>
  <c r="F28" i="18"/>
  <c r="E3" i="27"/>
  <c r="F3" i="27" s="1"/>
  <c r="G3" i="27" s="1"/>
  <c r="K30" i="16" a="1"/>
  <c r="K30" i="16" s="1"/>
  <c r="K10" i="16" s="1" a="1"/>
  <c r="K10" i="16" s="1"/>
  <c r="F9" i="23"/>
  <c r="D41" i="40"/>
  <c r="E41" i="40" s="1"/>
  <c r="D42" i="40"/>
  <c r="E42" i="40" s="1"/>
  <c r="H35" i="40"/>
  <c r="I35" i="40" s="1"/>
  <c r="H30" i="40"/>
  <c r="I30" i="40" s="1"/>
  <c r="H36" i="40"/>
  <c r="I36" i="40" s="1"/>
  <c r="H39" i="40"/>
  <c r="I39" i="40" s="1"/>
  <c r="H37" i="40"/>
  <c r="I37" i="40" s="1"/>
  <c r="H41" i="40"/>
  <c r="I41" i="40" s="1"/>
  <c r="H42" i="40"/>
  <c r="I42" i="40" s="1"/>
  <c r="H34" i="40"/>
  <c r="I34" i="40" s="1"/>
  <c r="H38" i="40"/>
  <c r="I38" i="40" s="1"/>
  <c r="H31" i="40"/>
  <c r="I31" i="40" s="1"/>
  <c r="H40" i="40"/>
  <c r="I40" i="40" s="1"/>
  <c r="H32" i="40"/>
  <c r="I32" i="40" s="1"/>
  <c r="H33" i="40"/>
  <c r="I33" i="40" s="1"/>
  <c r="F41" i="40"/>
  <c r="G41" i="40" s="1"/>
  <c r="F42" i="40"/>
  <c r="G42" i="40" s="1"/>
  <c r="N41" i="40"/>
  <c r="O41" i="40" s="1"/>
  <c r="N42" i="40"/>
  <c r="O42" i="40" s="1"/>
  <c r="L41" i="40"/>
  <c r="M41" i="40" s="1"/>
  <c r="L42" i="40"/>
  <c r="M42" i="40" s="1"/>
  <c r="N42" i="39"/>
  <c r="O42" i="39" s="1"/>
  <c r="N41" i="39"/>
  <c r="O41" i="39" s="1"/>
  <c r="L41" i="39"/>
  <c r="M41" i="39" s="1"/>
  <c r="L42" i="39"/>
  <c r="M42" i="39" s="1"/>
  <c r="D40" i="39"/>
  <c r="E40" i="39" s="1"/>
  <c r="D41" i="39"/>
  <c r="E41" i="39" s="1"/>
  <c r="D42" i="39"/>
  <c r="E42" i="39" s="1"/>
  <c r="H41" i="39"/>
  <c r="I41" i="39" s="1"/>
  <c r="H42" i="39"/>
  <c r="I42" i="39" s="1"/>
  <c r="F41" i="39"/>
  <c r="G41" i="39" s="1"/>
  <c r="F42" i="39"/>
  <c r="G42" i="39" s="1"/>
  <c r="F20" i="40"/>
  <c r="F22" i="40" s="1"/>
  <c r="F26" i="40" s="1"/>
  <c r="E20" i="40"/>
  <c r="E22" i="40" s="1"/>
  <c r="E26" i="40" s="1"/>
  <c r="O10" i="4"/>
  <c r="O2" i="32"/>
  <c r="L38" i="40"/>
  <c r="M38" i="40" s="1"/>
  <c r="L39" i="40"/>
  <c r="M39" i="40" s="1"/>
  <c r="L36" i="40"/>
  <c r="M36" i="40" s="1"/>
  <c r="L35" i="40"/>
  <c r="M35" i="40" s="1"/>
  <c r="L40" i="40"/>
  <c r="M40" i="40" s="1"/>
  <c r="L34" i="40"/>
  <c r="M34" i="40" s="1"/>
  <c r="L31" i="40"/>
  <c r="M31" i="40" s="1"/>
  <c r="L37" i="40"/>
  <c r="M37" i="40" s="1"/>
  <c r="L32" i="40"/>
  <c r="M32" i="40" s="1"/>
  <c r="L33" i="40"/>
  <c r="M33" i="40" s="1"/>
  <c r="L30" i="40"/>
  <c r="M30" i="40" s="1"/>
  <c r="F25" i="18"/>
  <c r="D40" i="40"/>
  <c r="E40" i="40" s="1"/>
  <c r="D30" i="40"/>
  <c r="E30" i="40" s="1"/>
  <c r="D34" i="40"/>
  <c r="E34" i="40" s="1"/>
  <c r="D31" i="40"/>
  <c r="E31" i="40" s="1"/>
  <c r="D38" i="40"/>
  <c r="E38" i="40" s="1"/>
  <c r="D32" i="40"/>
  <c r="E32" i="40" s="1"/>
  <c r="D37" i="40"/>
  <c r="E37" i="40" s="1"/>
  <c r="D36" i="40"/>
  <c r="E36" i="40" s="1"/>
  <c r="D33" i="40"/>
  <c r="E33" i="40" s="1"/>
  <c r="D35" i="40"/>
  <c r="E35" i="40" s="1"/>
  <c r="D39" i="40"/>
  <c r="E39" i="40" s="1"/>
  <c r="F39" i="40"/>
  <c r="G39" i="40" s="1"/>
  <c r="F37" i="40"/>
  <c r="G37" i="40" s="1"/>
  <c r="F36" i="40"/>
  <c r="G36" i="40" s="1"/>
  <c r="F34" i="40"/>
  <c r="G34" i="40" s="1"/>
  <c r="F30" i="40"/>
  <c r="G30" i="40" s="1"/>
  <c r="F40" i="40"/>
  <c r="G40" i="40" s="1"/>
  <c r="F31" i="40"/>
  <c r="G31" i="40" s="1"/>
  <c r="F35" i="40"/>
  <c r="G35" i="40" s="1"/>
  <c r="F33" i="40"/>
  <c r="G33" i="40" s="1"/>
  <c r="F38" i="40"/>
  <c r="G38" i="40" s="1"/>
  <c r="F32" i="40"/>
  <c r="G32" i="40" s="1"/>
  <c r="D59" i="17"/>
  <c r="N37" i="40"/>
  <c r="O37" i="40" s="1"/>
  <c r="N36" i="40"/>
  <c r="O36" i="40" s="1"/>
  <c r="N32" i="40"/>
  <c r="O32" i="40" s="1"/>
  <c r="N33" i="40"/>
  <c r="O33" i="40" s="1"/>
  <c r="N40" i="40"/>
  <c r="O40" i="40" s="1"/>
  <c r="N31" i="40"/>
  <c r="O31" i="40" s="1"/>
  <c r="N30" i="40"/>
  <c r="O30" i="40" s="1"/>
  <c r="N34" i="40"/>
  <c r="O34" i="40" s="1"/>
  <c r="N39" i="40"/>
  <c r="O39" i="40" s="1"/>
  <c r="N35" i="40"/>
  <c r="O35" i="40" s="1"/>
  <c r="N38" i="40"/>
  <c r="O38" i="40" s="1"/>
  <c r="G15" i="18"/>
  <c r="G16" i="18"/>
  <c r="G7" i="18"/>
  <c r="D5" i="15"/>
  <c r="G4" i="18"/>
  <c r="G20" i="18"/>
  <c r="G23" i="18"/>
  <c r="G22" i="18"/>
  <c r="G26" i="18"/>
  <c r="G10" i="18"/>
  <c r="G11" i="18"/>
  <c r="G24" i="18"/>
  <c r="G25" i="18"/>
  <c r="G21" i="18"/>
  <c r="G14" i="18"/>
  <c r="G27" i="18"/>
  <c r="G19" i="18"/>
  <c r="G6" i="18"/>
  <c r="G13" i="18"/>
  <c r="G8" i="18"/>
  <c r="G5" i="18"/>
  <c r="G12" i="18"/>
  <c r="H40" i="39"/>
  <c r="I40" i="39" s="1"/>
  <c r="H38" i="39"/>
  <c r="I38" i="39" s="1"/>
  <c r="H33" i="39"/>
  <c r="I33" i="39" s="1"/>
  <c r="H31" i="39"/>
  <c r="I31" i="39" s="1"/>
  <c r="H39" i="39"/>
  <c r="I39" i="39" s="1"/>
  <c r="H37" i="39"/>
  <c r="I37" i="39" s="1"/>
  <c r="H32" i="39"/>
  <c r="I32" i="39" s="1"/>
  <c r="H30" i="39"/>
  <c r="I30" i="39" s="1"/>
  <c r="H35" i="39"/>
  <c r="I35" i="39" s="1"/>
  <c r="H34" i="39"/>
  <c r="I34" i="39" s="1"/>
  <c r="H36" i="39"/>
  <c r="I36" i="39" s="1"/>
  <c r="N35" i="39"/>
  <c r="O35" i="39" s="1"/>
  <c r="N39" i="39"/>
  <c r="O39" i="39" s="1"/>
  <c r="N37" i="39"/>
  <c r="O37" i="39" s="1"/>
  <c r="N32" i="39"/>
  <c r="O32" i="39" s="1"/>
  <c r="N30" i="39"/>
  <c r="O30" i="39" s="1"/>
  <c r="N40" i="39"/>
  <c r="O40" i="39" s="1"/>
  <c r="N38" i="39"/>
  <c r="O38" i="39" s="1"/>
  <c r="N33" i="39"/>
  <c r="O33" i="39" s="1"/>
  <c r="N31" i="39"/>
  <c r="O31" i="39" s="1"/>
  <c r="N36" i="39"/>
  <c r="O36" i="39" s="1"/>
  <c r="N34" i="39"/>
  <c r="O34" i="39" s="1"/>
  <c r="D37" i="39"/>
  <c r="E37" i="39" s="1"/>
  <c r="D32" i="39"/>
  <c r="E32" i="39" s="1"/>
  <c r="D38" i="39"/>
  <c r="E38" i="39" s="1"/>
  <c r="D33" i="39"/>
  <c r="E33" i="39" s="1"/>
  <c r="D31" i="39"/>
  <c r="E31" i="39" s="1"/>
  <c r="D34" i="39"/>
  <c r="E34" i="39" s="1"/>
  <c r="D35" i="39"/>
  <c r="E35" i="39" s="1"/>
  <c r="D36" i="39"/>
  <c r="E36" i="39" s="1"/>
  <c r="D39" i="39"/>
  <c r="E39" i="39" s="1"/>
  <c r="D30" i="39"/>
  <c r="E30" i="39" s="1"/>
  <c r="F39" i="39"/>
  <c r="G39" i="39" s="1"/>
  <c r="F37" i="39"/>
  <c r="G37" i="39" s="1"/>
  <c r="F32" i="39"/>
  <c r="G32" i="39" s="1"/>
  <c r="F30" i="39"/>
  <c r="G30" i="39" s="1"/>
  <c r="F40" i="39"/>
  <c r="G40" i="39" s="1"/>
  <c r="F38" i="39"/>
  <c r="G38" i="39" s="1"/>
  <c r="F33" i="39"/>
  <c r="G33" i="39" s="1"/>
  <c r="F31" i="39"/>
  <c r="G31" i="39" s="1"/>
  <c r="F36" i="39"/>
  <c r="G36" i="39" s="1"/>
  <c r="F34" i="39"/>
  <c r="G34" i="39" s="1"/>
  <c r="F35" i="39"/>
  <c r="G35" i="39" s="1"/>
  <c r="L39" i="39"/>
  <c r="M39" i="39" s="1"/>
  <c r="L32" i="39"/>
  <c r="M32" i="39" s="1"/>
  <c r="L30" i="39"/>
  <c r="M30" i="39" s="1"/>
  <c r="L40" i="39"/>
  <c r="M40" i="39" s="1"/>
  <c r="L38" i="39"/>
  <c r="M38" i="39" s="1"/>
  <c r="L33" i="39"/>
  <c r="M33" i="39" s="1"/>
  <c r="L31" i="39"/>
  <c r="M31" i="39" s="1"/>
  <c r="L34" i="39"/>
  <c r="M34" i="39" s="1"/>
  <c r="L35" i="39"/>
  <c r="M35" i="39" s="1"/>
  <c r="L36" i="39"/>
  <c r="M36" i="39" s="1"/>
  <c r="L37" i="39"/>
  <c r="M37" i="39" s="1"/>
  <c r="AY34" i="22"/>
  <c r="DK120" i="22"/>
  <c r="AI124" i="22"/>
  <c r="N10" i="4"/>
  <c r="C15" i="18" s="1"/>
  <c r="DK88" i="22"/>
  <c r="AY59" i="22"/>
  <c r="AY70" i="22"/>
  <c r="AI40" i="22"/>
  <c r="AY120" i="22"/>
  <c r="BO74" i="22"/>
  <c r="AI55" i="22"/>
  <c r="CE97" i="22"/>
  <c r="AI120" i="22"/>
  <c r="DZ14" i="22"/>
  <c r="H4" i="19" s="1"/>
  <c r="I4" i="19" s="1"/>
  <c r="EA48" i="22"/>
  <c r="AI87" i="22"/>
  <c r="AI34" i="22"/>
  <c r="CU97" i="22"/>
  <c r="BO63" i="22"/>
  <c r="EA77" i="22"/>
  <c r="EA107" i="22"/>
  <c r="CU66" i="22"/>
  <c r="BO60" i="22"/>
  <c r="AI64" i="22"/>
  <c r="CE63" i="22"/>
  <c r="CU109" i="22"/>
  <c r="AI90" i="22"/>
  <c r="AI91" i="22"/>
  <c r="EA109" i="22"/>
  <c r="CU115" i="22"/>
  <c r="DK110" i="22"/>
  <c r="AI93" i="22"/>
  <c r="CE102" i="22"/>
  <c r="DK60" i="22"/>
  <c r="CE117" i="22"/>
  <c r="AY116" i="22"/>
  <c r="AI73" i="22"/>
  <c r="BO65" i="22"/>
  <c r="AI103" i="22"/>
  <c r="CU121" i="22"/>
  <c r="DK93" i="22"/>
  <c r="DK113" i="22"/>
  <c r="V13" i="18"/>
  <c r="CE81" i="22"/>
  <c r="CU53" i="22"/>
  <c r="CU116" i="22"/>
  <c r="V15" i="18"/>
  <c r="CE101" i="22"/>
  <c r="CE122" i="22"/>
  <c r="V14" i="18"/>
  <c r="D50" i="17"/>
  <c r="F68" i="17"/>
  <c r="E68" i="17"/>
  <c r="D68" i="17"/>
  <c r="F12" i="23"/>
  <c r="BC2" i="7"/>
  <c r="S26" i="16"/>
  <c r="R26" i="16"/>
  <c r="H38" i="36"/>
  <c r="I38" i="36" s="1"/>
  <c r="H33" i="36"/>
  <c r="I33" i="36" s="1"/>
  <c r="H34" i="36"/>
  <c r="I34" i="36" s="1"/>
  <c r="H36" i="36"/>
  <c r="I36" i="36" s="1"/>
  <c r="H35" i="36"/>
  <c r="I35" i="36" s="1"/>
  <c r="H30" i="36"/>
  <c r="I30" i="36" s="1"/>
  <c r="H31" i="36"/>
  <c r="I31" i="36" s="1"/>
  <c r="H37" i="36"/>
  <c r="I37" i="36" s="1"/>
  <c r="H32" i="36"/>
  <c r="I32" i="36" s="1"/>
  <c r="H34" i="37"/>
  <c r="I34" i="37" s="1"/>
  <c r="H30" i="37"/>
  <c r="I30" i="37" s="1"/>
  <c r="H29" i="37"/>
  <c r="I29" i="37" s="1"/>
  <c r="H32" i="37"/>
  <c r="I32" i="37" s="1"/>
  <c r="H31" i="37"/>
  <c r="I31" i="37" s="1"/>
  <c r="H27" i="37"/>
  <c r="I27" i="37" s="1"/>
  <c r="H26" i="37"/>
  <c r="I26" i="37" s="1"/>
  <c r="H33" i="37"/>
  <c r="I33" i="37" s="1"/>
  <c r="H28" i="37"/>
  <c r="I28" i="37" s="1"/>
  <c r="H35" i="37"/>
  <c r="I35" i="37" s="1"/>
  <c r="D35" i="37"/>
  <c r="E35" i="37" s="1"/>
  <c r="D28" i="37"/>
  <c r="E28" i="37" s="1"/>
  <c r="D31" i="37"/>
  <c r="E31" i="37" s="1"/>
  <c r="D30" i="37"/>
  <c r="E30" i="37" s="1"/>
  <c r="D33" i="37"/>
  <c r="E33" i="37" s="1"/>
  <c r="D34" i="37"/>
  <c r="E34" i="37" s="1"/>
  <c r="D32" i="37"/>
  <c r="E32" i="37" s="1"/>
  <c r="D26" i="37"/>
  <c r="E26" i="37" s="1"/>
  <c r="D29" i="37"/>
  <c r="E29" i="37" s="1"/>
  <c r="D27" i="37"/>
  <c r="E27" i="37" s="1"/>
  <c r="F38" i="36"/>
  <c r="G38" i="36" s="1"/>
  <c r="F35" i="36"/>
  <c r="G35" i="36" s="1"/>
  <c r="F33" i="36"/>
  <c r="G33" i="36" s="1"/>
  <c r="F31" i="36"/>
  <c r="G31" i="36" s="1"/>
  <c r="F37" i="36"/>
  <c r="G37" i="36" s="1"/>
  <c r="F32" i="36"/>
  <c r="G32" i="36" s="1"/>
  <c r="F34" i="36"/>
  <c r="G34" i="36" s="1"/>
  <c r="F30" i="36"/>
  <c r="G30" i="36" s="1"/>
  <c r="F36" i="36"/>
  <c r="G36" i="36" s="1"/>
  <c r="F34" i="37"/>
  <c r="G34" i="37" s="1"/>
  <c r="F29" i="37"/>
  <c r="G29" i="37" s="1"/>
  <c r="F35" i="37"/>
  <c r="G35" i="37" s="1"/>
  <c r="F27" i="37"/>
  <c r="G27" i="37" s="1"/>
  <c r="F31" i="37"/>
  <c r="G31" i="37" s="1"/>
  <c r="F33" i="37"/>
  <c r="G33" i="37" s="1"/>
  <c r="F26" i="37"/>
  <c r="G26" i="37" s="1"/>
  <c r="F28" i="37"/>
  <c r="G28" i="37" s="1"/>
  <c r="F30" i="37"/>
  <c r="G30" i="37" s="1"/>
  <c r="F32" i="37"/>
  <c r="G32" i="37" s="1"/>
  <c r="D35" i="36"/>
  <c r="E35" i="36" s="1"/>
  <c r="D32" i="36"/>
  <c r="E32" i="36" s="1"/>
  <c r="D34" i="36"/>
  <c r="E34" i="36" s="1"/>
  <c r="D37" i="36"/>
  <c r="E37" i="36" s="1"/>
  <c r="D36" i="36"/>
  <c r="E36" i="36" s="1"/>
  <c r="D33" i="36"/>
  <c r="E33" i="36" s="1"/>
  <c r="D31" i="36"/>
  <c r="E31" i="36" s="1"/>
  <c r="D30" i="36"/>
  <c r="E30" i="36" s="1"/>
  <c r="D38" i="36"/>
  <c r="E38" i="36" s="1"/>
  <c r="S2" i="7"/>
  <c r="N34" i="37"/>
  <c r="O34" i="37" s="1"/>
  <c r="N33" i="37"/>
  <c r="O33" i="37" s="1"/>
  <c r="N27" i="37"/>
  <c r="O27" i="37" s="1"/>
  <c r="N31" i="37"/>
  <c r="O31" i="37" s="1"/>
  <c r="N29" i="37"/>
  <c r="O29" i="37" s="1"/>
  <c r="N35" i="37"/>
  <c r="O35" i="37" s="1"/>
  <c r="N30" i="37"/>
  <c r="O30" i="37" s="1"/>
  <c r="N26" i="37"/>
  <c r="O26" i="37" s="1"/>
  <c r="N32" i="37"/>
  <c r="O32" i="37" s="1"/>
  <c r="N28" i="37"/>
  <c r="O28" i="37" s="1"/>
  <c r="EA40" i="22"/>
  <c r="DK104" i="22"/>
  <c r="DK29" i="22"/>
  <c r="CE91" i="22"/>
  <c r="AY51" i="22"/>
  <c r="BO30" i="22"/>
  <c r="EA91" i="22"/>
  <c r="AY86" i="22"/>
  <c r="CE34" i="22"/>
  <c r="AY118" i="22"/>
  <c r="CU77" i="22"/>
  <c r="BO39" i="22"/>
  <c r="BO49" i="22"/>
  <c r="L36" i="36"/>
  <c r="M36" i="36" s="1"/>
  <c r="L35" i="36"/>
  <c r="M35" i="36" s="1"/>
  <c r="L32" i="36"/>
  <c r="M32" i="36" s="1"/>
  <c r="L38" i="36"/>
  <c r="M38" i="36" s="1"/>
  <c r="L31" i="36"/>
  <c r="M31" i="36" s="1"/>
  <c r="L37" i="36"/>
  <c r="M37" i="36" s="1"/>
  <c r="L34" i="36"/>
  <c r="M34" i="36" s="1"/>
  <c r="L33" i="36"/>
  <c r="M33" i="36" s="1"/>
  <c r="L30" i="36"/>
  <c r="M30" i="36" s="1"/>
  <c r="N38" i="36"/>
  <c r="O38" i="36" s="1"/>
  <c r="N35" i="36"/>
  <c r="O35" i="36" s="1"/>
  <c r="N33" i="36"/>
  <c r="O33" i="36" s="1"/>
  <c r="N31" i="36"/>
  <c r="O31" i="36" s="1"/>
  <c r="N37" i="36"/>
  <c r="O37" i="36" s="1"/>
  <c r="N32" i="36"/>
  <c r="O32" i="36" s="1"/>
  <c r="N34" i="36"/>
  <c r="O34" i="36" s="1"/>
  <c r="N30" i="36"/>
  <c r="O30" i="36" s="1"/>
  <c r="N36" i="36"/>
  <c r="O36" i="36" s="1"/>
  <c r="EA61" i="22"/>
  <c r="EA95" i="22"/>
  <c r="DK97" i="22"/>
  <c r="DK107" i="22"/>
  <c r="CE49" i="22"/>
  <c r="CE86" i="22"/>
  <c r="CE64" i="22"/>
  <c r="AY99" i="22"/>
  <c r="CU91" i="22"/>
  <c r="CU108" i="22"/>
  <c r="L35" i="37"/>
  <c r="M35" i="37" s="1"/>
  <c r="L28" i="37"/>
  <c r="M28" i="37" s="1"/>
  <c r="L34" i="37"/>
  <c r="M34" i="37" s="1"/>
  <c r="L27" i="37"/>
  <c r="M27" i="37" s="1"/>
  <c r="L33" i="37"/>
  <c r="M33" i="37" s="1"/>
  <c r="L30" i="37"/>
  <c r="M30" i="37" s="1"/>
  <c r="L29" i="37"/>
  <c r="M29" i="37" s="1"/>
  <c r="L26" i="37"/>
  <c r="M26" i="37" s="1"/>
  <c r="L32" i="37"/>
  <c r="M32" i="37" s="1"/>
  <c r="L31" i="37"/>
  <c r="M31" i="37" s="1"/>
  <c r="AY42" i="22"/>
  <c r="DK69" i="22"/>
  <c r="DK114" i="22"/>
  <c r="AI89" i="22"/>
  <c r="DK40" i="22"/>
  <c r="EA78" i="22"/>
  <c r="DK46" i="22"/>
  <c r="CU32" i="22"/>
  <c r="BO92" i="22"/>
  <c r="BO85" i="22"/>
  <c r="CU54" i="22"/>
  <c r="CU102" i="22"/>
  <c r="BO40" i="22"/>
  <c r="BO98" i="22"/>
  <c r="BO96" i="22"/>
  <c r="BO120" i="22"/>
  <c r="BO118" i="22"/>
  <c r="BO102" i="22"/>
  <c r="E32" i="17"/>
  <c r="L10" i="4"/>
  <c r="M10" i="4"/>
  <c r="C14" i="18" s="1"/>
  <c r="D28" i="29"/>
  <c r="E28" i="29" s="1"/>
  <c r="D29" i="29"/>
  <c r="E29" i="29" s="1"/>
  <c r="I41" i="35"/>
  <c r="J41" i="35" s="1"/>
  <c r="I33" i="35"/>
  <c r="J33" i="35" s="1"/>
  <c r="I43" i="35"/>
  <c r="J43" i="35" s="1"/>
  <c r="I46" i="35"/>
  <c r="J46" i="35" s="1"/>
  <c r="I44" i="35"/>
  <c r="J44" i="35" s="1"/>
  <c r="I42" i="35"/>
  <c r="J42" i="35" s="1"/>
  <c r="I40" i="35"/>
  <c r="J40" i="35" s="1"/>
  <c r="I38" i="35"/>
  <c r="J38" i="35" s="1"/>
  <c r="I36" i="35"/>
  <c r="J36" i="35" s="1"/>
  <c r="I34" i="35"/>
  <c r="J34" i="35" s="1"/>
  <c r="I32" i="35"/>
  <c r="J32" i="35" s="1"/>
  <c r="I39" i="35"/>
  <c r="J39" i="35" s="1"/>
  <c r="I45" i="35"/>
  <c r="J45" i="35" s="1"/>
  <c r="I37" i="35"/>
  <c r="J37" i="35" s="1"/>
  <c r="I35" i="35"/>
  <c r="J35" i="35" s="1"/>
  <c r="C46" i="35"/>
  <c r="D46" i="35" s="1"/>
  <c r="C44" i="35"/>
  <c r="D44" i="35" s="1"/>
  <c r="C42" i="35"/>
  <c r="D42" i="35" s="1"/>
  <c r="C40" i="35"/>
  <c r="D40" i="35" s="1"/>
  <c r="C38" i="35"/>
  <c r="D38" i="35" s="1"/>
  <c r="C36" i="35"/>
  <c r="D36" i="35" s="1"/>
  <c r="C34" i="35"/>
  <c r="D34" i="35" s="1"/>
  <c r="C32" i="35"/>
  <c r="D32" i="35" s="1"/>
  <c r="C45" i="35"/>
  <c r="D45" i="35" s="1"/>
  <c r="C43" i="35"/>
  <c r="D43" i="35" s="1"/>
  <c r="C41" i="35"/>
  <c r="D41" i="35" s="1"/>
  <c r="C39" i="35"/>
  <c r="D39" i="35" s="1"/>
  <c r="C37" i="35"/>
  <c r="D37" i="35" s="1"/>
  <c r="C35" i="35"/>
  <c r="D35" i="35" s="1"/>
  <c r="C33" i="35"/>
  <c r="D33" i="35" s="1"/>
  <c r="E46" i="35"/>
  <c r="F46" i="35" s="1"/>
  <c r="E44" i="35"/>
  <c r="F44" i="35" s="1"/>
  <c r="E38" i="35"/>
  <c r="F38" i="35" s="1"/>
  <c r="E36" i="35"/>
  <c r="F36" i="35" s="1"/>
  <c r="E45" i="35"/>
  <c r="F45" i="35" s="1"/>
  <c r="E43" i="35"/>
  <c r="F43" i="35" s="1"/>
  <c r="E41" i="35"/>
  <c r="F41" i="35" s="1"/>
  <c r="E39" i="35"/>
  <c r="F39" i="35" s="1"/>
  <c r="E37" i="35"/>
  <c r="F37" i="35" s="1"/>
  <c r="E35" i="35"/>
  <c r="F35" i="35" s="1"/>
  <c r="E33" i="35"/>
  <c r="F33" i="35" s="1"/>
  <c r="E32" i="35"/>
  <c r="F32" i="35" s="1"/>
  <c r="E42" i="35"/>
  <c r="F42" i="35" s="1"/>
  <c r="E40" i="35"/>
  <c r="F40" i="35" s="1"/>
  <c r="E34" i="35"/>
  <c r="F34" i="35" s="1"/>
  <c r="G45" i="35"/>
  <c r="H45" i="35" s="1"/>
  <c r="G43" i="35"/>
  <c r="H43" i="35" s="1"/>
  <c r="G41" i="35"/>
  <c r="H41" i="35" s="1"/>
  <c r="G39" i="35"/>
  <c r="H39" i="35" s="1"/>
  <c r="G37" i="35"/>
  <c r="H37" i="35" s="1"/>
  <c r="G35" i="35"/>
  <c r="H35" i="35" s="1"/>
  <c r="G33" i="35"/>
  <c r="H33" i="35" s="1"/>
  <c r="G46" i="35"/>
  <c r="H46" i="35" s="1"/>
  <c r="G44" i="35"/>
  <c r="H44" i="35" s="1"/>
  <c r="G42" i="35"/>
  <c r="H42" i="35" s="1"/>
  <c r="G40" i="35"/>
  <c r="H40" i="35" s="1"/>
  <c r="G38" i="35"/>
  <c r="H38" i="35" s="1"/>
  <c r="G36" i="35"/>
  <c r="H36" i="35" s="1"/>
  <c r="G34" i="35"/>
  <c r="H34" i="35" s="1"/>
  <c r="G32" i="35"/>
  <c r="H32" i="35" s="1"/>
  <c r="AK7" i="23"/>
  <c r="W7" i="23" s="1"/>
  <c r="AI7" i="23" s="1"/>
  <c r="AC7" i="23"/>
  <c r="U7" i="23" s="1"/>
  <c r="AG22" i="23"/>
  <c r="V22" i="23" s="1"/>
  <c r="AG7" i="23"/>
  <c r="AM7" i="23" s="1"/>
  <c r="Y22" i="23"/>
  <c r="K46" i="35"/>
  <c r="L46" i="35" s="1"/>
  <c r="K44" i="35"/>
  <c r="L44" i="35" s="1"/>
  <c r="K42" i="35"/>
  <c r="L42" i="35" s="1"/>
  <c r="K40" i="35"/>
  <c r="L40" i="35" s="1"/>
  <c r="K38" i="35"/>
  <c r="L38" i="35" s="1"/>
  <c r="K36" i="35"/>
  <c r="L36" i="35" s="1"/>
  <c r="K34" i="35"/>
  <c r="L34" i="35" s="1"/>
  <c r="K32" i="35"/>
  <c r="L32" i="35" s="1"/>
  <c r="K45" i="35"/>
  <c r="L45" i="35" s="1"/>
  <c r="K43" i="35"/>
  <c r="L43" i="35" s="1"/>
  <c r="K41" i="35"/>
  <c r="L41" i="35" s="1"/>
  <c r="K39" i="35"/>
  <c r="L39" i="35" s="1"/>
  <c r="K37" i="35"/>
  <c r="L37" i="35" s="1"/>
  <c r="K35" i="35"/>
  <c r="L35" i="35" s="1"/>
  <c r="K33" i="35"/>
  <c r="L33" i="35" s="1"/>
  <c r="AK22" i="23"/>
  <c r="W22" i="23" s="1"/>
  <c r="M38" i="35"/>
  <c r="N38" i="35" s="1"/>
  <c r="M44" i="35"/>
  <c r="N44" i="35" s="1"/>
  <c r="M42" i="35"/>
  <c r="N42" i="35" s="1"/>
  <c r="M34" i="35"/>
  <c r="N34" i="35" s="1"/>
  <c r="M45" i="35"/>
  <c r="N45" i="35" s="1"/>
  <c r="M43" i="35"/>
  <c r="N43" i="35" s="1"/>
  <c r="M41" i="35"/>
  <c r="N41" i="35" s="1"/>
  <c r="M39" i="35"/>
  <c r="N39" i="35" s="1"/>
  <c r="M37" i="35"/>
  <c r="N37" i="35" s="1"/>
  <c r="M35" i="35"/>
  <c r="N35" i="35" s="1"/>
  <c r="M33" i="35"/>
  <c r="N33" i="35" s="1"/>
  <c r="M40" i="35"/>
  <c r="N40" i="35" s="1"/>
  <c r="M46" i="35"/>
  <c r="N46" i="35" s="1"/>
  <c r="M32" i="35"/>
  <c r="N32" i="35" s="1"/>
  <c r="M36" i="35"/>
  <c r="N36" i="35" s="1"/>
  <c r="F10" i="18"/>
  <c r="H18" i="27"/>
  <c r="I18" i="27" s="1"/>
  <c r="H16" i="27"/>
  <c r="I16" i="27" s="1"/>
  <c r="H21" i="27"/>
  <c r="I21" i="27" s="1"/>
  <c r="H19" i="27"/>
  <c r="I19" i="27" s="1"/>
  <c r="H14" i="27"/>
  <c r="I14" i="27" s="1"/>
  <c r="H15" i="27"/>
  <c r="I15" i="27" s="1"/>
  <c r="H13" i="27"/>
  <c r="I13" i="27" s="1"/>
  <c r="H17" i="27"/>
  <c r="I17" i="27" s="1"/>
  <c r="H20" i="27"/>
  <c r="I20" i="27" s="1"/>
  <c r="H22" i="27"/>
  <c r="I22" i="27" s="1"/>
  <c r="B16" i="27"/>
  <c r="C16" i="27" s="1"/>
  <c r="B21" i="27"/>
  <c r="C21" i="27" s="1"/>
  <c r="B19" i="27"/>
  <c r="C19" i="27" s="1"/>
  <c r="B14" i="27"/>
  <c r="C14" i="27" s="1"/>
  <c r="B17" i="27"/>
  <c r="C17" i="27" s="1"/>
  <c r="B20" i="27"/>
  <c r="C20" i="27" s="1"/>
  <c r="B15" i="27"/>
  <c r="C15" i="27" s="1"/>
  <c r="B18" i="27"/>
  <c r="C18" i="27" s="1"/>
  <c r="B13" i="27"/>
  <c r="C13" i="27" s="1"/>
  <c r="B22" i="27"/>
  <c r="C22" i="27" s="1"/>
  <c r="D30" i="29"/>
  <c r="E30" i="29" s="1"/>
  <c r="D33" i="29"/>
  <c r="E33" i="29" s="1"/>
  <c r="D27" i="29"/>
  <c r="E27" i="29" s="1"/>
  <c r="D36" i="29"/>
  <c r="E36" i="29" s="1"/>
  <c r="D31" i="29"/>
  <c r="E31" i="29" s="1"/>
  <c r="D34" i="29"/>
  <c r="E34" i="29" s="1"/>
  <c r="D32" i="29"/>
  <c r="E32" i="29" s="1"/>
  <c r="D26" i="29"/>
  <c r="E26" i="29" s="1"/>
  <c r="D35" i="29"/>
  <c r="E35" i="29" s="1"/>
  <c r="F22" i="27"/>
  <c r="G22" i="27" s="1"/>
  <c r="F20" i="27"/>
  <c r="G20" i="27" s="1"/>
  <c r="F15" i="27"/>
  <c r="G15" i="27" s="1"/>
  <c r="F13" i="27"/>
  <c r="G13" i="27" s="1"/>
  <c r="F18" i="27"/>
  <c r="G18" i="27" s="1"/>
  <c r="F16" i="27"/>
  <c r="G16" i="27" s="1"/>
  <c r="F21" i="27"/>
  <c r="G21" i="27" s="1"/>
  <c r="F19" i="27"/>
  <c r="G19" i="27" s="1"/>
  <c r="F14" i="27"/>
  <c r="G14" i="27" s="1"/>
  <c r="F17" i="27"/>
  <c r="G17" i="27" s="1"/>
  <c r="F21" i="32"/>
  <c r="G21" i="32" s="1"/>
  <c r="F27" i="32"/>
  <c r="G27" i="32" s="1"/>
  <c r="F25" i="32"/>
  <c r="G25" i="32" s="1"/>
  <c r="F19" i="32"/>
  <c r="G19" i="32" s="1"/>
  <c r="F16" i="32"/>
  <c r="G16" i="32" s="1"/>
  <c r="F28" i="32"/>
  <c r="G28" i="32" s="1"/>
  <c r="F23" i="32"/>
  <c r="G23" i="32" s="1"/>
  <c r="F17" i="32"/>
  <c r="G17" i="32" s="1"/>
  <c r="F26" i="32"/>
  <c r="G26" i="32" s="1"/>
  <c r="F22" i="32"/>
  <c r="G22" i="32" s="1"/>
  <c r="F20" i="32"/>
  <c r="G20" i="32" s="1"/>
  <c r="M32" i="31"/>
  <c r="N32" i="31" s="1"/>
  <c r="M27" i="31"/>
  <c r="N27" i="31" s="1"/>
  <c r="M30" i="31"/>
  <c r="N30" i="31" s="1"/>
  <c r="M35" i="31"/>
  <c r="N35" i="31" s="1"/>
  <c r="M33" i="31"/>
  <c r="N33" i="31" s="1"/>
  <c r="M31" i="31"/>
  <c r="N31" i="31" s="1"/>
  <c r="M26" i="31"/>
  <c r="N26" i="31" s="1"/>
  <c r="M28" i="31"/>
  <c r="N28" i="31" s="1"/>
  <c r="M34" i="31"/>
  <c r="N34" i="31" s="1"/>
  <c r="M29" i="31"/>
  <c r="N29" i="31" s="1"/>
  <c r="G30" i="31"/>
  <c r="H30" i="31" s="1"/>
  <c r="G35" i="31"/>
  <c r="H35" i="31" s="1"/>
  <c r="G33" i="31"/>
  <c r="H33" i="31" s="1"/>
  <c r="G28" i="31"/>
  <c r="H28" i="31" s="1"/>
  <c r="G31" i="31"/>
  <c r="H31" i="31" s="1"/>
  <c r="G34" i="31"/>
  <c r="H34" i="31" s="1"/>
  <c r="G29" i="31"/>
  <c r="H29" i="31" s="1"/>
  <c r="G26" i="31"/>
  <c r="H26" i="31" s="1"/>
  <c r="G27" i="31"/>
  <c r="H27" i="31" s="1"/>
  <c r="G32" i="31"/>
  <c r="H32" i="31" s="1"/>
  <c r="DK72" i="22"/>
  <c r="DK79" i="22"/>
  <c r="DK123" i="22"/>
  <c r="DK109" i="22"/>
  <c r="DK122" i="22"/>
  <c r="AY29" i="22"/>
  <c r="AI122" i="22"/>
  <c r="AI108" i="22"/>
  <c r="CE67" i="22"/>
  <c r="CE113" i="22"/>
  <c r="CE31" i="22"/>
  <c r="EA83" i="22"/>
  <c r="EA92" i="22"/>
  <c r="AI69" i="22"/>
  <c r="G26" i="16"/>
  <c r="CE79" i="22"/>
  <c r="EA32" i="22"/>
  <c r="DK77" i="22"/>
  <c r="DK74" i="22"/>
  <c r="DK108" i="22"/>
  <c r="DK102" i="22"/>
  <c r="DK112" i="22"/>
  <c r="DK121" i="22"/>
  <c r="DK53" i="22"/>
  <c r="AI47" i="22"/>
  <c r="CE41" i="22"/>
  <c r="AI66" i="22"/>
  <c r="AI117" i="22"/>
  <c r="AI102" i="22"/>
  <c r="AI81" i="22"/>
  <c r="AI99" i="22"/>
  <c r="AI92" i="22"/>
  <c r="CE52" i="22"/>
  <c r="DK32" i="22"/>
  <c r="CE68" i="22"/>
  <c r="CE96" i="22"/>
  <c r="CE72" i="22"/>
  <c r="CE69" i="22"/>
  <c r="CE94" i="22"/>
  <c r="CE93" i="22"/>
  <c r="CE118" i="22"/>
  <c r="EA103" i="22"/>
  <c r="EA49" i="22"/>
  <c r="AY43" i="22"/>
  <c r="EA86" i="22"/>
  <c r="EA106" i="22"/>
  <c r="EA94" i="22"/>
  <c r="EA85" i="22"/>
  <c r="EA114" i="22"/>
  <c r="EA100" i="22"/>
  <c r="EA105" i="22"/>
  <c r="EA112" i="22"/>
  <c r="EA119" i="22"/>
  <c r="AI67" i="22"/>
  <c r="CE57" i="22"/>
  <c r="DK38" i="22"/>
  <c r="AI32" i="22"/>
  <c r="AY74" i="22"/>
  <c r="AY58" i="22"/>
  <c r="AY122" i="22"/>
  <c r="AY107" i="22"/>
  <c r="AY104" i="22"/>
  <c r="EA63" i="22"/>
  <c r="EA58" i="22"/>
  <c r="CU38" i="22"/>
  <c r="CU40" i="22"/>
  <c r="CU29" i="22"/>
  <c r="CU99" i="22"/>
  <c r="CU62" i="22"/>
  <c r="CU74" i="22"/>
  <c r="CU71" i="22"/>
  <c r="CU117" i="22"/>
  <c r="CU70" i="22"/>
  <c r="CU75" i="22"/>
  <c r="CU105" i="22"/>
  <c r="CU119" i="22"/>
  <c r="CU122" i="22"/>
  <c r="CU113" i="22"/>
  <c r="AI80" i="22"/>
  <c r="BO68" i="22"/>
  <c r="BO55" i="22"/>
  <c r="BO36" i="22"/>
  <c r="BO116" i="22"/>
  <c r="BO58" i="22"/>
  <c r="BO38" i="22"/>
  <c r="BO35" i="22"/>
  <c r="BO48" i="22"/>
  <c r="BO70" i="22"/>
  <c r="BO67" i="22"/>
  <c r="BO82" i="22"/>
  <c r="BO101" i="22"/>
  <c r="BO105" i="22"/>
  <c r="BO117" i="22"/>
  <c r="L30" i="29"/>
  <c r="M30" i="29" s="1"/>
  <c r="L33" i="29"/>
  <c r="M33" i="29" s="1"/>
  <c r="L27" i="29"/>
  <c r="M27" i="29" s="1"/>
  <c r="L36" i="29"/>
  <c r="M36" i="29" s="1"/>
  <c r="L31" i="29"/>
  <c r="M31" i="29" s="1"/>
  <c r="L34" i="29"/>
  <c r="M34" i="29" s="1"/>
  <c r="L29" i="29"/>
  <c r="M29" i="29" s="1"/>
  <c r="L32" i="29"/>
  <c r="M32" i="29" s="1"/>
  <c r="L26" i="29"/>
  <c r="M26" i="29" s="1"/>
  <c r="L35" i="29"/>
  <c r="M35" i="29" s="1"/>
  <c r="E46" i="25"/>
  <c r="F46" i="25" s="1"/>
  <c r="E44" i="25"/>
  <c r="F44" i="25" s="1"/>
  <c r="E42" i="25"/>
  <c r="F42" i="25" s="1"/>
  <c r="E40" i="25"/>
  <c r="F40" i="25" s="1"/>
  <c r="E38" i="25"/>
  <c r="F38" i="25" s="1"/>
  <c r="E36" i="25"/>
  <c r="F36" i="25" s="1"/>
  <c r="E34" i="25"/>
  <c r="F34" i="25" s="1"/>
  <c r="E32" i="25"/>
  <c r="F32" i="25" s="1"/>
  <c r="E43" i="25"/>
  <c r="F43" i="25" s="1"/>
  <c r="E35" i="25"/>
  <c r="F35" i="25" s="1"/>
  <c r="E45" i="25"/>
  <c r="F45" i="25" s="1"/>
  <c r="E37" i="25"/>
  <c r="F37" i="25" s="1"/>
  <c r="E39" i="25"/>
  <c r="F39" i="25" s="1"/>
  <c r="E33" i="25"/>
  <c r="F33" i="25" s="1"/>
  <c r="E41" i="25"/>
  <c r="F41" i="25" s="1"/>
  <c r="T24" i="23"/>
  <c r="T9" i="23"/>
  <c r="AD10" i="19"/>
  <c r="AE10" i="19" s="1"/>
  <c r="AD12" i="19"/>
  <c r="AE12" i="19" s="1"/>
  <c r="AD11" i="19"/>
  <c r="AE11" i="19" s="1"/>
  <c r="M46" i="25"/>
  <c r="N46" i="25" s="1"/>
  <c r="M44" i="25"/>
  <c r="N44" i="25" s="1"/>
  <c r="M42" i="25"/>
  <c r="N42" i="25" s="1"/>
  <c r="M40" i="25"/>
  <c r="N40" i="25" s="1"/>
  <c r="M38" i="25"/>
  <c r="N38" i="25" s="1"/>
  <c r="M36" i="25"/>
  <c r="N36" i="25" s="1"/>
  <c r="M34" i="25"/>
  <c r="N34" i="25" s="1"/>
  <c r="M32" i="25"/>
  <c r="N32" i="25" s="1"/>
  <c r="M45" i="25"/>
  <c r="N45" i="25" s="1"/>
  <c r="M37" i="25"/>
  <c r="N37" i="25" s="1"/>
  <c r="M39" i="25"/>
  <c r="N39" i="25" s="1"/>
  <c r="M41" i="25"/>
  <c r="N41" i="25" s="1"/>
  <c r="M33" i="25"/>
  <c r="N33" i="25" s="1"/>
  <c r="M35" i="25"/>
  <c r="N35" i="25" s="1"/>
  <c r="M43" i="25"/>
  <c r="N43" i="25" s="1"/>
  <c r="K26" i="31"/>
  <c r="L26" i="31" s="1"/>
  <c r="K34" i="31"/>
  <c r="L34" i="31" s="1"/>
  <c r="K29" i="31"/>
  <c r="L29" i="31" s="1"/>
  <c r="K32" i="31"/>
  <c r="L32" i="31" s="1"/>
  <c r="K27" i="31"/>
  <c r="L27" i="31" s="1"/>
  <c r="K30" i="31"/>
  <c r="L30" i="31" s="1"/>
  <c r="K35" i="31"/>
  <c r="L35" i="31" s="1"/>
  <c r="K31" i="31"/>
  <c r="L31" i="31" s="1"/>
  <c r="K33" i="31"/>
  <c r="L33" i="31" s="1"/>
  <c r="K28" i="31"/>
  <c r="L28" i="31" s="1"/>
  <c r="D17" i="27"/>
  <c r="E17" i="27" s="1"/>
  <c r="D22" i="27"/>
  <c r="E22" i="27" s="1"/>
  <c r="D20" i="27"/>
  <c r="E20" i="27" s="1"/>
  <c r="D15" i="27"/>
  <c r="E15" i="27" s="1"/>
  <c r="D13" i="27"/>
  <c r="E13" i="27" s="1"/>
  <c r="D18" i="27"/>
  <c r="E18" i="27" s="1"/>
  <c r="D16" i="27"/>
  <c r="E16" i="27" s="1"/>
  <c r="D21" i="27"/>
  <c r="E21" i="27" s="1"/>
  <c r="D19" i="27"/>
  <c r="E19" i="27" s="1"/>
  <c r="D14" i="27"/>
  <c r="E14" i="27" s="1"/>
  <c r="L20" i="32"/>
  <c r="M20" i="32" s="1"/>
  <c r="L28" i="32"/>
  <c r="M28" i="32" s="1"/>
  <c r="L26" i="32"/>
  <c r="M26" i="32" s="1"/>
  <c r="L23" i="32"/>
  <c r="M23" i="32" s="1"/>
  <c r="L17" i="32"/>
  <c r="M17" i="32" s="1"/>
  <c r="L21" i="32"/>
  <c r="M21" i="32" s="1"/>
  <c r="L25" i="32"/>
  <c r="M25" i="32" s="1"/>
  <c r="L19" i="32"/>
  <c r="M19" i="32" s="1"/>
  <c r="L27" i="32"/>
  <c r="M27" i="32" s="1"/>
  <c r="L16" i="32"/>
  <c r="M16" i="32" s="1"/>
  <c r="L22" i="32"/>
  <c r="M22" i="32" s="1"/>
  <c r="CE87" i="22"/>
  <c r="DK100" i="22"/>
  <c r="AI107" i="22"/>
  <c r="AI101" i="22"/>
  <c r="EA46" i="22"/>
  <c r="CE124" i="22"/>
  <c r="DK66" i="22"/>
  <c r="AI37" i="22"/>
  <c r="AI59" i="22"/>
  <c r="AY46" i="22"/>
  <c r="AY72" i="22"/>
  <c r="AY110" i="22"/>
  <c r="AY73" i="22"/>
  <c r="AY121" i="22"/>
  <c r="CU46" i="22"/>
  <c r="CU85" i="22"/>
  <c r="CU52" i="22"/>
  <c r="CU81" i="22"/>
  <c r="BO37" i="22"/>
  <c r="BO121" i="22"/>
  <c r="BO79" i="22"/>
  <c r="BO95" i="22"/>
  <c r="S26" i="23"/>
  <c r="S11" i="23"/>
  <c r="CE71" i="22"/>
  <c r="AY57" i="22"/>
  <c r="DK50" i="22"/>
  <c r="AI44" i="22"/>
  <c r="CE38" i="22"/>
  <c r="DK80" i="22"/>
  <c r="DK118" i="22"/>
  <c r="DK87" i="22"/>
  <c r="DK76" i="22"/>
  <c r="DK73" i="22"/>
  <c r="DK117" i="22"/>
  <c r="DK119" i="22"/>
  <c r="DK98" i="22"/>
  <c r="AY88" i="22"/>
  <c r="AY53" i="22"/>
  <c r="AI70" i="22"/>
  <c r="AI112" i="22"/>
  <c r="AI97" i="22"/>
  <c r="AI106" i="22"/>
  <c r="AI113" i="22"/>
  <c r="DK86" i="22"/>
  <c r="AI57" i="22"/>
  <c r="EA38" i="22"/>
  <c r="AY32" i="22"/>
  <c r="CE114" i="22"/>
  <c r="CE75" i="22"/>
  <c r="CE99" i="22"/>
  <c r="CE98" i="22"/>
  <c r="CE103" i="22"/>
  <c r="CE95" i="22"/>
  <c r="CE115" i="22"/>
  <c r="AY100" i="22"/>
  <c r="CE55" i="22"/>
  <c r="DK35" i="22"/>
  <c r="AI29" i="22"/>
  <c r="EA88" i="22"/>
  <c r="EA116" i="22"/>
  <c r="EA56" i="22"/>
  <c r="EA74" i="22"/>
  <c r="EA71" i="22"/>
  <c r="EA111" i="22"/>
  <c r="EA110" i="22"/>
  <c r="EA117" i="22"/>
  <c r="DK83" i="22"/>
  <c r="EA44" i="22"/>
  <c r="AY38" i="22"/>
  <c r="AY80" i="22"/>
  <c r="AY77" i="22"/>
  <c r="AY97" i="22"/>
  <c r="AY84" i="22"/>
  <c r="AY81" i="22"/>
  <c r="AY109" i="22"/>
  <c r="AY123" i="22"/>
  <c r="CU30" i="22"/>
  <c r="CU58" i="22"/>
  <c r="CU50" i="22"/>
  <c r="CU31" i="22"/>
  <c r="CU63" i="22"/>
  <c r="CU96" i="22"/>
  <c r="CU110" i="22"/>
  <c r="CU101" i="22"/>
  <c r="CU93" i="22"/>
  <c r="CU124" i="22"/>
  <c r="CU118" i="22"/>
  <c r="BO50" i="22"/>
  <c r="BO57" i="22"/>
  <c r="BO45" i="22"/>
  <c r="BO62" i="22"/>
  <c r="BO90" i="22"/>
  <c r="BO87" i="22"/>
  <c r="BO100" i="22"/>
  <c r="BO110" i="22"/>
  <c r="BO115" i="22"/>
  <c r="P26" i="16"/>
  <c r="K46" i="24"/>
  <c r="L46" i="24" s="1"/>
  <c r="K44" i="24"/>
  <c r="L44" i="24" s="1"/>
  <c r="K42" i="24"/>
  <c r="L42" i="24" s="1"/>
  <c r="K40" i="24"/>
  <c r="L40" i="24" s="1"/>
  <c r="K38" i="24"/>
  <c r="L38" i="24" s="1"/>
  <c r="K36" i="24"/>
  <c r="L36" i="24" s="1"/>
  <c r="K34" i="24"/>
  <c r="L34" i="24" s="1"/>
  <c r="K35" i="24"/>
  <c r="L35" i="24" s="1"/>
  <c r="K45" i="24"/>
  <c r="L45" i="24" s="1"/>
  <c r="K33" i="24"/>
  <c r="L33" i="24" s="1"/>
  <c r="K39" i="24"/>
  <c r="L39" i="24" s="1"/>
  <c r="K41" i="24"/>
  <c r="L41" i="24" s="1"/>
  <c r="K37" i="24"/>
  <c r="L37" i="24" s="1"/>
  <c r="K43" i="24"/>
  <c r="L43" i="24" s="1"/>
  <c r="K32" i="24"/>
  <c r="L32" i="24" s="1"/>
  <c r="J16" i="27"/>
  <c r="K16" i="27" s="1"/>
  <c r="J21" i="27"/>
  <c r="K21" i="27" s="1"/>
  <c r="J19" i="27"/>
  <c r="K19" i="27" s="1"/>
  <c r="J14" i="27"/>
  <c r="K14" i="27" s="1"/>
  <c r="J17" i="27"/>
  <c r="K17" i="27" s="1"/>
  <c r="J22" i="27"/>
  <c r="K22" i="27" s="1"/>
  <c r="J20" i="27"/>
  <c r="K20" i="27" s="1"/>
  <c r="J13" i="27"/>
  <c r="K13" i="27" s="1"/>
  <c r="J18" i="27"/>
  <c r="K18" i="27" s="1"/>
  <c r="J15" i="27"/>
  <c r="K15" i="27" s="1"/>
  <c r="E46" i="24"/>
  <c r="F46" i="24" s="1"/>
  <c r="E44" i="24"/>
  <c r="F44" i="24" s="1"/>
  <c r="E42" i="24"/>
  <c r="F42" i="24" s="1"/>
  <c r="E45" i="24"/>
  <c r="F45" i="24" s="1"/>
  <c r="E43" i="24"/>
  <c r="F43" i="24" s="1"/>
  <c r="E41" i="24"/>
  <c r="F41" i="24" s="1"/>
  <c r="E39" i="24"/>
  <c r="F39" i="24" s="1"/>
  <c r="E37" i="24"/>
  <c r="F37" i="24" s="1"/>
  <c r="E35" i="24"/>
  <c r="F35" i="24" s="1"/>
  <c r="E33" i="24"/>
  <c r="F33" i="24" s="1"/>
  <c r="E40" i="24"/>
  <c r="F40" i="24" s="1"/>
  <c r="E38" i="24"/>
  <c r="F38" i="24" s="1"/>
  <c r="E34" i="24"/>
  <c r="F34" i="24" s="1"/>
  <c r="E32" i="24"/>
  <c r="F32" i="24" s="1"/>
  <c r="E36" i="24"/>
  <c r="F36" i="24" s="1"/>
  <c r="I45" i="24"/>
  <c r="J45" i="24" s="1"/>
  <c r="I43" i="24"/>
  <c r="J43" i="24" s="1"/>
  <c r="I41" i="24"/>
  <c r="J41" i="24" s="1"/>
  <c r="I46" i="24"/>
  <c r="J46" i="24" s="1"/>
  <c r="I44" i="24"/>
  <c r="J44" i="24" s="1"/>
  <c r="I42" i="24"/>
  <c r="J42" i="24" s="1"/>
  <c r="I40" i="24"/>
  <c r="J40" i="24" s="1"/>
  <c r="I38" i="24"/>
  <c r="J38" i="24" s="1"/>
  <c r="I36" i="24"/>
  <c r="J36" i="24" s="1"/>
  <c r="I32" i="24"/>
  <c r="J32" i="24" s="1"/>
  <c r="I35" i="24"/>
  <c r="J35" i="24" s="1"/>
  <c r="I34" i="24"/>
  <c r="J34" i="24" s="1"/>
  <c r="I33" i="24"/>
  <c r="J33" i="24" s="1"/>
  <c r="I37" i="24"/>
  <c r="J37" i="24" s="1"/>
  <c r="I39" i="24"/>
  <c r="J39" i="24" s="1"/>
  <c r="F22" i="17"/>
  <c r="E22" i="17"/>
  <c r="D22" i="17"/>
  <c r="C26" i="31"/>
  <c r="D26" i="31" s="1"/>
  <c r="C34" i="31"/>
  <c r="D34" i="31" s="1"/>
  <c r="C29" i="31"/>
  <c r="D29" i="31" s="1"/>
  <c r="C32" i="31"/>
  <c r="D32" i="31" s="1"/>
  <c r="C27" i="31"/>
  <c r="D27" i="31" s="1"/>
  <c r="C33" i="31"/>
  <c r="D33" i="31" s="1"/>
  <c r="C28" i="31"/>
  <c r="D28" i="31" s="1"/>
  <c r="C30" i="31"/>
  <c r="D30" i="31" s="1"/>
  <c r="C31" i="31"/>
  <c r="D31" i="31" s="1"/>
  <c r="C35" i="31"/>
  <c r="D35" i="31" s="1"/>
  <c r="G46" i="25"/>
  <c r="H46" i="25" s="1"/>
  <c r="G44" i="25"/>
  <c r="H44" i="25" s="1"/>
  <c r="G42" i="25"/>
  <c r="H42" i="25" s="1"/>
  <c r="G40" i="25"/>
  <c r="H40" i="25" s="1"/>
  <c r="G38" i="25"/>
  <c r="H38" i="25" s="1"/>
  <c r="G36" i="25"/>
  <c r="H36" i="25" s="1"/>
  <c r="G34" i="25"/>
  <c r="H34" i="25" s="1"/>
  <c r="G32" i="25"/>
  <c r="H32" i="25" s="1"/>
  <c r="G45" i="25"/>
  <c r="H45" i="25" s="1"/>
  <c r="G43" i="25"/>
  <c r="H43" i="25" s="1"/>
  <c r="G41" i="25"/>
  <c r="H41" i="25" s="1"/>
  <c r="G39" i="25"/>
  <c r="H39" i="25" s="1"/>
  <c r="G37" i="25"/>
  <c r="H37" i="25" s="1"/>
  <c r="G35" i="25"/>
  <c r="H35" i="25" s="1"/>
  <c r="G33" i="25"/>
  <c r="H33" i="25" s="1"/>
  <c r="M46" i="24"/>
  <c r="N46" i="24" s="1"/>
  <c r="M44" i="24"/>
  <c r="N44" i="24" s="1"/>
  <c r="M42" i="24"/>
  <c r="N42" i="24" s="1"/>
  <c r="M40" i="24"/>
  <c r="N40" i="24" s="1"/>
  <c r="M45" i="24"/>
  <c r="N45" i="24" s="1"/>
  <c r="M43" i="24"/>
  <c r="N43" i="24" s="1"/>
  <c r="M41" i="24"/>
  <c r="N41" i="24" s="1"/>
  <c r="M39" i="24"/>
  <c r="N39" i="24" s="1"/>
  <c r="M37" i="24"/>
  <c r="N37" i="24" s="1"/>
  <c r="M35" i="24"/>
  <c r="N35" i="24" s="1"/>
  <c r="M38" i="24"/>
  <c r="N38" i="24" s="1"/>
  <c r="M33" i="24"/>
  <c r="N33" i="24" s="1"/>
  <c r="M36" i="24"/>
  <c r="N36" i="24" s="1"/>
  <c r="M32" i="24"/>
  <c r="N32" i="24" s="1"/>
  <c r="M34" i="24"/>
  <c r="N34" i="24" s="1"/>
  <c r="D12" i="4"/>
  <c r="N47" i="16"/>
  <c r="D3" i="4"/>
  <c r="L39" i="26"/>
  <c r="L33" i="26"/>
  <c r="M33" i="26" s="1"/>
  <c r="L36" i="26"/>
  <c r="M36" i="26" s="1"/>
  <c r="L31" i="26"/>
  <c r="M31" i="26" s="1"/>
  <c r="L34" i="26"/>
  <c r="M34" i="26" s="1"/>
  <c r="L29" i="26"/>
  <c r="M29" i="26" s="1"/>
  <c r="L28" i="26"/>
  <c r="M28" i="26" s="1"/>
  <c r="L38" i="26"/>
  <c r="L32" i="26"/>
  <c r="M32" i="26" s="1"/>
  <c r="L37" i="26"/>
  <c r="M37" i="26" s="1"/>
  <c r="L30" i="26"/>
  <c r="M30" i="26" s="1"/>
  <c r="L35" i="26"/>
  <c r="M35" i="26" s="1"/>
  <c r="T26" i="23"/>
  <c r="T11" i="23"/>
  <c r="J32" i="29"/>
  <c r="K32" i="29" s="1"/>
  <c r="J26" i="29"/>
  <c r="K26" i="29" s="1"/>
  <c r="J35" i="29"/>
  <c r="K35" i="29" s="1"/>
  <c r="J30" i="29"/>
  <c r="K30" i="29" s="1"/>
  <c r="J33" i="29"/>
  <c r="K33" i="29" s="1"/>
  <c r="J27" i="29"/>
  <c r="K27" i="29" s="1"/>
  <c r="J34" i="29"/>
  <c r="K34" i="29" s="1"/>
  <c r="J29" i="29"/>
  <c r="K29" i="29" s="1"/>
  <c r="J36" i="29"/>
  <c r="K36" i="29" s="1"/>
  <c r="J31" i="29"/>
  <c r="K31" i="29" s="1"/>
  <c r="Y2" i="7"/>
  <c r="D33" i="26"/>
  <c r="E33" i="26" s="1"/>
  <c r="D38" i="26"/>
  <c r="D36" i="26"/>
  <c r="E36" i="26" s="1"/>
  <c r="D31" i="26"/>
  <c r="E31" i="26" s="1"/>
  <c r="D34" i="26"/>
  <c r="E34" i="26" s="1"/>
  <c r="D39" i="26"/>
  <c r="D37" i="26"/>
  <c r="E37" i="26" s="1"/>
  <c r="D35" i="26"/>
  <c r="E35" i="26" s="1"/>
  <c r="D28" i="26"/>
  <c r="E28" i="26" s="1"/>
  <c r="D30" i="26"/>
  <c r="E30" i="26" s="1"/>
  <c r="D29" i="26"/>
  <c r="E29" i="26" s="1"/>
  <c r="D32" i="26"/>
  <c r="E32" i="26" s="1"/>
  <c r="CE46" i="22"/>
  <c r="EA65" i="22"/>
  <c r="AY40" i="22"/>
  <c r="CE92" i="22"/>
  <c r="CE121" i="22"/>
  <c r="AI115" i="22"/>
  <c r="DK43" i="22"/>
  <c r="EA52" i="22"/>
  <c r="AY76" i="22"/>
  <c r="CU57" i="22"/>
  <c r="CU55" i="22"/>
  <c r="CU107" i="22"/>
  <c r="CU88" i="22"/>
  <c r="CU120" i="22"/>
  <c r="CU59" i="22"/>
  <c r="BO47" i="22"/>
  <c r="BO93" i="22"/>
  <c r="AY66" i="22"/>
  <c r="AY50" i="22"/>
  <c r="DK85" i="22"/>
  <c r="DK82" i="22"/>
  <c r="DK58" i="22"/>
  <c r="DK103" i="22"/>
  <c r="EA59" i="22"/>
  <c r="DK45" i="22"/>
  <c r="AI39" i="22"/>
  <c r="CE33" i="22"/>
  <c r="AI74" i="22"/>
  <c r="AI71" i="22"/>
  <c r="AI104" i="22"/>
  <c r="AI114" i="22"/>
  <c r="AI111" i="22"/>
  <c r="AI121" i="22"/>
  <c r="AI118" i="22"/>
  <c r="DK78" i="22"/>
  <c r="AI50" i="22"/>
  <c r="CE44" i="22"/>
  <c r="CE76" i="22"/>
  <c r="CE70" i="22"/>
  <c r="CE109" i="22"/>
  <c r="CE80" i="22"/>
  <c r="CE77" i="22"/>
  <c r="CE105" i="22"/>
  <c r="AY92" i="22"/>
  <c r="EA41" i="22"/>
  <c r="AY35" i="22"/>
  <c r="EA97" i="22"/>
  <c r="EA93" i="22"/>
  <c r="EA120" i="22"/>
  <c r="EA108" i="22"/>
  <c r="EA115" i="22"/>
  <c r="AY78" i="22"/>
  <c r="DK65" i="22"/>
  <c r="AI56" i="22"/>
  <c r="CE50" i="22"/>
  <c r="DK30" i="22"/>
  <c r="AY82" i="22"/>
  <c r="AY90" i="22"/>
  <c r="AY102" i="22"/>
  <c r="AY112" i="22"/>
  <c r="AY98" i="22"/>
  <c r="DK62" i="22"/>
  <c r="CU61" i="22"/>
  <c r="CU48" i="22"/>
  <c r="CU37" i="22"/>
  <c r="CU67" i="22"/>
  <c r="CU82" i="22"/>
  <c r="CU79" i="22"/>
  <c r="CU60" i="22"/>
  <c r="CU78" i="22"/>
  <c r="CU83" i="22"/>
  <c r="CU98" i="22"/>
  <c r="CU95" i="22"/>
  <c r="BO42" i="22"/>
  <c r="BO64" i="22"/>
  <c r="BO44" i="22"/>
  <c r="BO33" i="22"/>
  <c r="BO46" i="22"/>
  <c r="BO43" i="22"/>
  <c r="BO91" i="22"/>
  <c r="BO59" i="22"/>
  <c r="BO78" i="22"/>
  <c r="BO75" i="22"/>
  <c r="BO72" i="22"/>
  <c r="BO69" i="22"/>
  <c r="BO111" i="22"/>
  <c r="BO97" i="22"/>
  <c r="D30" i="6"/>
  <c r="D24" i="6"/>
  <c r="D27" i="6"/>
  <c r="D19" i="6"/>
  <c r="D25" i="6"/>
  <c r="D29" i="6"/>
  <c r="D26" i="6"/>
  <c r="D18" i="6"/>
  <c r="D28" i="6"/>
  <c r="D31" i="6"/>
  <c r="D17" i="6"/>
  <c r="AE2" i="7"/>
  <c r="E27" i="6"/>
  <c r="E19" i="6"/>
  <c r="E29" i="6"/>
  <c r="E24" i="6"/>
  <c r="E30" i="6"/>
  <c r="E26" i="6"/>
  <c r="E18" i="6"/>
  <c r="E31" i="6"/>
  <c r="E25" i="6"/>
  <c r="E28" i="6"/>
  <c r="E17" i="6"/>
  <c r="CD1" i="22"/>
  <c r="CD14" i="22"/>
  <c r="H7" i="19" s="1"/>
  <c r="I7" i="19" s="1"/>
  <c r="I45" i="25"/>
  <c r="J45" i="25" s="1"/>
  <c r="I43" i="25"/>
  <c r="J43" i="25" s="1"/>
  <c r="I41" i="25"/>
  <c r="J41" i="25" s="1"/>
  <c r="I39" i="25"/>
  <c r="J39" i="25" s="1"/>
  <c r="I37" i="25"/>
  <c r="J37" i="25" s="1"/>
  <c r="I35" i="25"/>
  <c r="J35" i="25" s="1"/>
  <c r="I33" i="25"/>
  <c r="J33" i="25" s="1"/>
  <c r="I40" i="25"/>
  <c r="J40" i="25" s="1"/>
  <c r="I32" i="25"/>
  <c r="J32" i="25" s="1"/>
  <c r="I42" i="25"/>
  <c r="J42" i="25" s="1"/>
  <c r="I34" i="25"/>
  <c r="J34" i="25" s="1"/>
  <c r="I44" i="25"/>
  <c r="J44" i="25" s="1"/>
  <c r="I36" i="25"/>
  <c r="J36" i="25" s="1"/>
  <c r="I38" i="25"/>
  <c r="J38" i="25" s="1"/>
  <c r="I46" i="25"/>
  <c r="J46" i="25" s="1"/>
  <c r="C45" i="25"/>
  <c r="D45" i="25" s="1"/>
  <c r="C43" i="25"/>
  <c r="D43" i="25" s="1"/>
  <c r="C41" i="25"/>
  <c r="D41" i="25" s="1"/>
  <c r="C39" i="25"/>
  <c r="D39" i="25" s="1"/>
  <c r="C37" i="25"/>
  <c r="D37" i="25" s="1"/>
  <c r="C35" i="25"/>
  <c r="D35" i="25" s="1"/>
  <c r="C33" i="25"/>
  <c r="D33" i="25" s="1"/>
  <c r="C46" i="25"/>
  <c r="D46" i="25" s="1"/>
  <c r="C44" i="25"/>
  <c r="D44" i="25" s="1"/>
  <c r="C42" i="25"/>
  <c r="D42" i="25" s="1"/>
  <c r="C40" i="25"/>
  <c r="D40" i="25" s="1"/>
  <c r="C38" i="25"/>
  <c r="D38" i="25" s="1"/>
  <c r="C36" i="25"/>
  <c r="D36" i="25" s="1"/>
  <c r="C34" i="25"/>
  <c r="D34" i="25" s="1"/>
  <c r="C32" i="25"/>
  <c r="D32" i="25" s="1"/>
  <c r="B22" i="32"/>
  <c r="C22" i="32" s="1"/>
  <c r="B20" i="32"/>
  <c r="C20" i="32" s="1"/>
  <c r="B28" i="32"/>
  <c r="C28" i="32" s="1"/>
  <c r="B26" i="32"/>
  <c r="C26" i="32" s="1"/>
  <c r="B23" i="32"/>
  <c r="C23" i="32" s="1"/>
  <c r="B17" i="32"/>
  <c r="C17" i="32" s="1"/>
  <c r="B21" i="32"/>
  <c r="C21" i="32" s="1"/>
  <c r="B27" i="32"/>
  <c r="C27" i="32" s="1"/>
  <c r="B16" i="32"/>
  <c r="C16" i="32" s="1"/>
  <c r="B19" i="32"/>
  <c r="C19" i="32" s="1"/>
  <c r="B25" i="32"/>
  <c r="C25" i="32" s="1"/>
  <c r="G45" i="24"/>
  <c r="H45" i="24" s="1"/>
  <c r="G43" i="24"/>
  <c r="H43" i="24" s="1"/>
  <c r="G41" i="24"/>
  <c r="H41" i="24" s="1"/>
  <c r="G39" i="24"/>
  <c r="H39" i="24" s="1"/>
  <c r="G37" i="24"/>
  <c r="H37" i="24" s="1"/>
  <c r="G35" i="24"/>
  <c r="H35" i="24" s="1"/>
  <c r="G40" i="24"/>
  <c r="H40" i="24" s="1"/>
  <c r="G38" i="24"/>
  <c r="H38" i="24" s="1"/>
  <c r="G42" i="24"/>
  <c r="H42" i="24" s="1"/>
  <c r="G34" i="24"/>
  <c r="H34" i="24" s="1"/>
  <c r="G32" i="24"/>
  <c r="H32" i="24" s="1"/>
  <c r="G36" i="24"/>
  <c r="H36" i="24" s="1"/>
  <c r="G44" i="24"/>
  <c r="H44" i="24" s="1"/>
  <c r="G46" i="24"/>
  <c r="H46" i="24" s="1"/>
  <c r="G33" i="24"/>
  <c r="H33" i="24" s="1"/>
  <c r="N36" i="26"/>
  <c r="O36" i="26" s="1"/>
  <c r="N31" i="26"/>
  <c r="O31" i="26" s="1"/>
  <c r="N34" i="26"/>
  <c r="O34" i="26" s="1"/>
  <c r="N29" i="26"/>
  <c r="O29" i="26" s="1"/>
  <c r="N32" i="26"/>
  <c r="O32" i="26" s="1"/>
  <c r="N37" i="26"/>
  <c r="O37" i="26" s="1"/>
  <c r="N35" i="26"/>
  <c r="O35" i="26" s="1"/>
  <c r="N39" i="26"/>
  <c r="N38" i="26"/>
  <c r="N30" i="26"/>
  <c r="O30" i="26" s="1"/>
  <c r="N33" i="26"/>
  <c r="O33" i="26" s="1"/>
  <c r="N28" i="26"/>
  <c r="O28" i="26" s="1"/>
  <c r="S123" i="22"/>
  <c r="S115" i="22"/>
  <c r="S102" i="22"/>
  <c r="S122" i="22"/>
  <c r="S120" i="22"/>
  <c r="S110" i="22"/>
  <c r="S105" i="22"/>
  <c r="S121" i="22"/>
  <c r="S118" i="22"/>
  <c r="S113" i="22"/>
  <c r="S108" i="22"/>
  <c r="S100" i="22"/>
  <c r="S95" i="22"/>
  <c r="S103" i="22"/>
  <c r="S116" i="22"/>
  <c r="S111" i="22"/>
  <c r="S106" i="22"/>
  <c r="S98" i="22"/>
  <c r="S93" i="22"/>
  <c r="S117" i="22"/>
  <c r="S112" i="22"/>
  <c r="S107" i="22"/>
  <c r="S99" i="22"/>
  <c r="S94" i="22"/>
  <c r="S85" i="22"/>
  <c r="S77" i="22"/>
  <c r="S69" i="22"/>
  <c r="S104" i="22"/>
  <c r="S88" i="22"/>
  <c r="S80" i="22"/>
  <c r="S72" i="22"/>
  <c r="S64" i="22"/>
  <c r="S92" i="22"/>
  <c r="S83" i="22"/>
  <c r="S75" i="22"/>
  <c r="S67" i="22"/>
  <c r="S62" i="22"/>
  <c r="S101" i="22"/>
  <c r="S91" i="22"/>
  <c r="S86" i="22"/>
  <c r="S78" i="22"/>
  <c r="S70" i="22"/>
  <c r="S124" i="22"/>
  <c r="S97" i="22"/>
  <c r="S90" i="22"/>
  <c r="S81" i="22"/>
  <c r="S73" i="22"/>
  <c r="S119" i="22"/>
  <c r="S109" i="22"/>
  <c r="S84" i="22"/>
  <c r="S76" i="22"/>
  <c r="S68" i="22"/>
  <c r="S63" i="22"/>
  <c r="S82" i="22"/>
  <c r="S74" i="22"/>
  <c r="S58" i="22"/>
  <c r="S54" i="22"/>
  <c r="S46" i="22"/>
  <c r="S38" i="22"/>
  <c r="S30" i="22"/>
  <c r="S49" i="22"/>
  <c r="S41" i="22"/>
  <c r="S33" i="22"/>
  <c r="S114" i="22"/>
  <c r="S89" i="22"/>
  <c r="S87" i="22"/>
  <c r="S79" i="22"/>
  <c r="S71" i="22"/>
  <c r="S60" i="22"/>
  <c r="S52" i="22"/>
  <c r="S44" i="22"/>
  <c r="S36" i="22"/>
  <c r="S66" i="22"/>
  <c r="S65" i="22"/>
  <c r="S57" i="22"/>
  <c r="S55" i="22"/>
  <c r="S47" i="22"/>
  <c r="S39" i="22"/>
  <c r="S31" i="22"/>
  <c r="S50" i="22"/>
  <c r="S42" i="22"/>
  <c r="S34" i="22"/>
  <c r="S96" i="22"/>
  <c r="S61" i="22"/>
  <c r="EA57" i="22"/>
  <c r="CE56" i="22"/>
  <c r="DK55" i="22"/>
  <c r="AY55" i="22"/>
  <c r="EA53" i="22"/>
  <c r="CE51" i="22"/>
  <c r="S51" i="22"/>
  <c r="AI49" i="22"/>
  <c r="DK47" i="22"/>
  <c r="AY47" i="22"/>
  <c r="EA45" i="22"/>
  <c r="CE43" i="22"/>
  <c r="S43" i="22"/>
  <c r="AI41" i="22"/>
  <c r="DK39" i="22"/>
  <c r="AY39" i="22"/>
  <c r="EA37" i="22"/>
  <c r="CE35" i="22"/>
  <c r="S35" i="22"/>
  <c r="AI33" i="22"/>
  <c r="DK31" i="22"/>
  <c r="AY31" i="22"/>
  <c r="EA29" i="22"/>
  <c r="EA55" i="22"/>
  <c r="AY49" i="22"/>
  <c r="CE48" i="22"/>
  <c r="EA47" i="22"/>
  <c r="AY41" i="22"/>
  <c r="CE40" i="22"/>
  <c r="EA39" i="22"/>
  <c r="AY33" i="22"/>
  <c r="CE32" i="22"/>
  <c r="EA31" i="22"/>
  <c r="EA81" i="22"/>
  <c r="EA73" i="22"/>
  <c r="S59" i="22"/>
  <c r="CE65" i="22"/>
  <c r="AI58" i="22"/>
  <c r="S56" i="22"/>
  <c r="CE53" i="22"/>
  <c r="S48" i="22"/>
  <c r="CE45" i="22"/>
  <c r="S40" i="22"/>
  <c r="CE37" i="22"/>
  <c r="S32" i="22"/>
  <c r="CE29" i="22"/>
  <c r="DK95" i="22"/>
  <c r="CE82" i="22"/>
  <c r="CE74" i="22"/>
  <c r="DK67" i="22"/>
  <c r="CE66" i="22"/>
  <c r="EA62" i="22"/>
  <c r="DK61" i="22"/>
  <c r="EA50" i="22"/>
  <c r="EA42" i="22"/>
  <c r="EA34" i="22"/>
  <c r="AY105" i="22"/>
  <c r="EA60" i="22"/>
  <c r="AY52" i="22"/>
  <c r="AI51" i="22"/>
  <c r="DK49" i="22"/>
  <c r="AY44" i="22"/>
  <c r="AI43" i="22"/>
  <c r="DK41" i="22"/>
  <c r="AY36" i="22"/>
  <c r="AI35" i="22"/>
  <c r="DK33" i="22"/>
  <c r="CE104" i="22"/>
  <c r="AI96" i="22"/>
  <c r="AI62" i="22"/>
  <c r="CU51" i="22"/>
  <c r="CU43" i="22"/>
  <c r="CU35" i="22"/>
  <c r="AY83" i="22"/>
  <c r="AI63" i="22"/>
  <c r="DK52" i="22"/>
  <c r="DK44" i="22"/>
  <c r="DK36" i="22"/>
  <c r="CU56" i="22"/>
  <c r="AY75" i="22"/>
  <c r="S53" i="22"/>
  <c r="S45" i="22"/>
  <c r="S37" i="22"/>
  <c r="S29" i="22"/>
  <c r="BO76" i="22"/>
  <c r="AI54" i="22"/>
  <c r="AI46" i="22"/>
  <c r="AI38" i="22"/>
  <c r="AI30" i="22"/>
  <c r="AI61" i="22"/>
  <c r="D20" i="32"/>
  <c r="E20" i="32" s="1"/>
  <c r="D28" i="32"/>
  <c r="E28" i="32" s="1"/>
  <c r="D26" i="32"/>
  <c r="E26" i="32" s="1"/>
  <c r="D23" i="32"/>
  <c r="E23" i="32" s="1"/>
  <c r="D17" i="32"/>
  <c r="E17" i="32" s="1"/>
  <c r="D21" i="32"/>
  <c r="E21" i="32" s="1"/>
  <c r="D27" i="32"/>
  <c r="E27" i="32" s="1"/>
  <c r="D22" i="32"/>
  <c r="E22" i="32" s="1"/>
  <c r="D16" i="32"/>
  <c r="E16" i="32" s="1"/>
  <c r="D25" i="32"/>
  <c r="E25" i="32" s="1"/>
  <c r="D19" i="32"/>
  <c r="E19" i="32" s="1"/>
  <c r="R26" i="23"/>
  <c r="R11" i="23"/>
  <c r="AI52" i="22"/>
  <c r="DK68" i="22"/>
  <c r="DK90" i="22"/>
  <c r="CE61" i="22"/>
  <c r="EA35" i="22"/>
  <c r="AI98" i="22"/>
  <c r="DK56" i="22"/>
  <c r="EA66" i="22"/>
  <c r="EA98" i="22"/>
  <c r="EA102" i="22"/>
  <c r="AI85" i="22"/>
  <c r="AY69" i="22"/>
  <c r="AY87" i="22"/>
  <c r="AY114" i="22"/>
  <c r="CU49" i="22"/>
  <c r="CU42" i="22"/>
  <c r="BO56" i="22"/>
  <c r="BO112" i="22"/>
  <c r="BO119" i="22"/>
  <c r="BO106" i="22"/>
  <c r="AL22" i="23"/>
  <c r="AA22" i="23"/>
  <c r="DK42" i="22"/>
  <c r="AI36" i="22"/>
  <c r="CE30" i="22"/>
  <c r="DK89" i="22"/>
  <c r="DK92" i="22"/>
  <c r="DK84" i="22"/>
  <c r="DK81" i="22"/>
  <c r="DK115" i="22"/>
  <c r="DK91" i="22"/>
  <c r="DK101" i="22"/>
  <c r="DK106" i="22"/>
  <c r="DK124" i="22"/>
  <c r="CE58" i="22"/>
  <c r="EA51" i="22"/>
  <c r="AY45" i="22"/>
  <c r="AI76" i="22"/>
  <c r="AI60" i="22"/>
  <c r="AI78" i="22"/>
  <c r="AI75" i="22"/>
  <c r="AI105" i="22"/>
  <c r="AI109" i="22"/>
  <c r="AI116" i="22"/>
  <c r="AI95" i="22"/>
  <c r="AI72" i="22"/>
  <c r="AY56" i="22"/>
  <c r="EA30" i="22"/>
  <c r="CE119" i="22"/>
  <c r="CE83" i="22"/>
  <c r="CE107" i="22"/>
  <c r="CE106" i="22"/>
  <c r="CE100" i="22"/>
  <c r="CE110" i="22"/>
  <c r="EA84" i="22"/>
  <c r="AY61" i="22"/>
  <c r="AI53" i="22"/>
  <c r="CE47" i="22"/>
  <c r="EA67" i="22"/>
  <c r="EA72" i="22"/>
  <c r="EA82" i="22"/>
  <c r="EA79" i="22"/>
  <c r="EA96" i="22"/>
  <c r="EA121" i="22"/>
  <c r="EA123" i="22"/>
  <c r="AI77" i="22"/>
  <c r="AY62" i="22"/>
  <c r="EA36" i="22"/>
  <c r="AY30" i="22"/>
  <c r="AY96" i="22"/>
  <c r="AY85" i="22"/>
  <c r="AY71" i="22"/>
  <c r="AY63" i="22"/>
  <c r="AY103" i="22"/>
  <c r="AY117" i="22"/>
  <c r="AY119" i="22"/>
  <c r="AY124" i="22"/>
  <c r="CU33" i="22"/>
  <c r="CU89" i="22"/>
  <c r="CU39" i="22"/>
  <c r="CU36" i="22"/>
  <c r="CU72" i="22"/>
  <c r="CU76" i="22"/>
  <c r="CU65" i="22"/>
  <c r="CU103" i="22"/>
  <c r="BO34" i="22"/>
  <c r="BO122" i="22"/>
  <c r="BO53" i="22"/>
  <c r="BN14" i="22"/>
  <c r="BN1" i="22"/>
  <c r="BO61" i="22"/>
  <c r="BO103" i="22"/>
  <c r="BO94" i="22"/>
  <c r="BO114" i="22"/>
  <c r="BO108" i="22"/>
  <c r="BO89" i="22"/>
  <c r="BO99" i="22"/>
  <c r="J22" i="32"/>
  <c r="K22" i="32" s="1"/>
  <c r="J20" i="32"/>
  <c r="K20" i="32" s="1"/>
  <c r="J28" i="32"/>
  <c r="K28" i="32" s="1"/>
  <c r="J26" i="32"/>
  <c r="K26" i="32" s="1"/>
  <c r="J23" i="32"/>
  <c r="K23" i="32" s="1"/>
  <c r="J17" i="32"/>
  <c r="K17" i="32" s="1"/>
  <c r="J25" i="32"/>
  <c r="K25" i="32" s="1"/>
  <c r="J19" i="32"/>
  <c r="K19" i="32" s="1"/>
  <c r="J21" i="32"/>
  <c r="K21" i="32" s="1"/>
  <c r="J27" i="32"/>
  <c r="K27" i="32" s="1"/>
  <c r="J16" i="32"/>
  <c r="K16" i="32" s="1"/>
  <c r="F36" i="26"/>
  <c r="G36" i="26" s="1"/>
  <c r="F31" i="26"/>
  <c r="G31" i="26" s="1"/>
  <c r="F38" i="26"/>
  <c r="F34" i="26"/>
  <c r="G34" i="26" s="1"/>
  <c r="F39" i="26"/>
  <c r="F32" i="26"/>
  <c r="G32" i="26" s="1"/>
  <c r="F37" i="26"/>
  <c r="G37" i="26" s="1"/>
  <c r="F35" i="26"/>
  <c r="G35" i="26" s="1"/>
  <c r="F30" i="26"/>
  <c r="G30" i="26" s="1"/>
  <c r="F33" i="26"/>
  <c r="G33" i="26" s="1"/>
  <c r="F29" i="26"/>
  <c r="G29" i="26" s="1"/>
  <c r="F28" i="26"/>
  <c r="G28" i="26" s="1"/>
  <c r="F27" i="29"/>
  <c r="G27" i="29" s="1"/>
  <c r="F36" i="29"/>
  <c r="G36" i="29" s="1"/>
  <c r="F31" i="29"/>
  <c r="G31" i="29" s="1"/>
  <c r="F34" i="29"/>
  <c r="G34" i="29" s="1"/>
  <c r="F29" i="29"/>
  <c r="G29" i="29" s="1"/>
  <c r="F32" i="29"/>
  <c r="G32" i="29" s="1"/>
  <c r="F26" i="29"/>
  <c r="G26" i="29" s="1"/>
  <c r="F33" i="29"/>
  <c r="G33" i="29" s="1"/>
  <c r="F35" i="29"/>
  <c r="G35" i="29" s="1"/>
  <c r="F30" i="29"/>
  <c r="G30" i="29" s="1"/>
  <c r="R24" i="23"/>
  <c r="R9" i="23"/>
  <c r="R1" i="22"/>
  <c r="R14" i="22"/>
  <c r="H22" i="19" s="1"/>
  <c r="I22" i="19" s="1"/>
  <c r="E20" i="6"/>
  <c r="H34" i="29"/>
  <c r="I34" i="29" s="1"/>
  <c r="H29" i="29"/>
  <c r="I29" i="29" s="1"/>
  <c r="H32" i="29"/>
  <c r="I32" i="29" s="1"/>
  <c r="H26" i="29"/>
  <c r="I26" i="29" s="1"/>
  <c r="H35" i="29"/>
  <c r="I35" i="29" s="1"/>
  <c r="H30" i="29"/>
  <c r="I30" i="29" s="1"/>
  <c r="H36" i="29"/>
  <c r="I36" i="29" s="1"/>
  <c r="H31" i="29"/>
  <c r="I31" i="29" s="1"/>
  <c r="H33" i="29"/>
  <c r="I33" i="29" s="1"/>
  <c r="H27" i="29"/>
  <c r="I27" i="29" s="1"/>
  <c r="N27" i="29"/>
  <c r="O27" i="29" s="1"/>
  <c r="N36" i="29"/>
  <c r="O36" i="29" s="1"/>
  <c r="N31" i="29"/>
  <c r="O31" i="29" s="1"/>
  <c r="N34" i="29"/>
  <c r="O34" i="29" s="1"/>
  <c r="N29" i="29"/>
  <c r="O29" i="29" s="1"/>
  <c r="N32" i="29"/>
  <c r="O32" i="29" s="1"/>
  <c r="N26" i="29"/>
  <c r="O26" i="29" s="1"/>
  <c r="N35" i="29"/>
  <c r="O35" i="29" s="1"/>
  <c r="N30" i="29"/>
  <c r="O30" i="29" s="1"/>
  <c r="N33" i="29"/>
  <c r="O33" i="29" s="1"/>
  <c r="EA89" i="22"/>
  <c r="CU45" i="22"/>
  <c r="BO52" i="22"/>
  <c r="BO41" i="22"/>
  <c r="BO54" i="22"/>
  <c r="BO51" i="22"/>
  <c r="BO32" i="22"/>
  <c r="BO73" i="22"/>
  <c r="BO86" i="22"/>
  <c r="BO83" i="22"/>
  <c r="BO80" i="22"/>
  <c r="BO77" i="22"/>
  <c r="BO66" i="22"/>
  <c r="BO104" i="22"/>
  <c r="BO124" i="22"/>
  <c r="D41" i="17"/>
  <c r="F41" i="17"/>
  <c r="E41" i="17"/>
  <c r="F11" i="18"/>
  <c r="K45" i="25"/>
  <c r="L45" i="25" s="1"/>
  <c r="K43" i="25"/>
  <c r="L43" i="25" s="1"/>
  <c r="K41" i="25"/>
  <c r="L41" i="25" s="1"/>
  <c r="K39" i="25"/>
  <c r="L39" i="25" s="1"/>
  <c r="K37" i="25"/>
  <c r="L37" i="25" s="1"/>
  <c r="K35" i="25"/>
  <c r="L35" i="25" s="1"/>
  <c r="K33" i="25"/>
  <c r="L33" i="25" s="1"/>
  <c r="K46" i="25"/>
  <c r="L46" i="25" s="1"/>
  <c r="K44" i="25"/>
  <c r="L44" i="25" s="1"/>
  <c r="K42" i="25"/>
  <c r="L42" i="25" s="1"/>
  <c r="K40" i="25"/>
  <c r="L40" i="25" s="1"/>
  <c r="K38" i="25"/>
  <c r="L38" i="25" s="1"/>
  <c r="K36" i="25"/>
  <c r="L36" i="25" s="1"/>
  <c r="K34" i="25"/>
  <c r="L34" i="25" s="1"/>
  <c r="K32" i="25"/>
  <c r="L32" i="25" s="1"/>
  <c r="CU123" i="20"/>
  <c r="AI123" i="20"/>
  <c r="DK121" i="20"/>
  <c r="AY121" i="20"/>
  <c r="CE120" i="20"/>
  <c r="S120" i="20"/>
  <c r="EA117" i="20"/>
  <c r="BO117" i="20"/>
  <c r="DK114" i="20"/>
  <c r="AY114" i="20"/>
  <c r="EA112" i="20"/>
  <c r="BO112" i="20"/>
  <c r="CE110" i="20"/>
  <c r="S110" i="20"/>
  <c r="EA107" i="20"/>
  <c r="BO107" i="20"/>
  <c r="CE105" i="20"/>
  <c r="S105" i="20"/>
  <c r="CU103" i="20"/>
  <c r="AI103" i="20"/>
  <c r="DK101" i="20"/>
  <c r="AY101" i="20"/>
  <c r="EA99" i="20"/>
  <c r="BO99" i="20"/>
  <c r="CE97" i="20"/>
  <c r="S97" i="20"/>
  <c r="DK96" i="20"/>
  <c r="AY96" i="20"/>
  <c r="EA94" i="20"/>
  <c r="BO94" i="20"/>
  <c r="CE92" i="20"/>
  <c r="S92" i="20"/>
  <c r="CU90" i="20"/>
  <c r="AI90" i="20"/>
  <c r="DK124" i="20"/>
  <c r="AY124" i="20"/>
  <c r="EA122" i="20"/>
  <c r="BO122" i="20"/>
  <c r="DK119" i="20"/>
  <c r="AY119" i="20"/>
  <c r="CE118" i="20"/>
  <c r="S118" i="20"/>
  <c r="CU116" i="20"/>
  <c r="AI116" i="20"/>
  <c r="EA115" i="20"/>
  <c r="BO115" i="20"/>
  <c r="CE113" i="20"/>
  <c r="S113" i="20"/>
  <c r="CU111" i="20"/>
  <c r="AI111" i="20"/>
  <c r="DK109" i="20"/>
  <c r="AY109" i="20"/>
  <c r="CE108" i="20"/>
  <c r="S108" i="20"/>
  <c r="CU106" i="20"/>
  <c r="AI106" i="20"/>
  <c r="DK104" i="20"/>
  <c r="AY104" i="20"/>
  <c r="EA102" i="20"/>
  <c r="BO102" i="20"/>
  <c r="CE100" i="20"/>
  <c r="S100" i="20"/>
  <c r="CU98" i="20"/>
  <c r="AI98" i="20"/>
  <c r="CE95" i="20"/>
  <c r="S95" i="20"/>
  <c r="CU93" i="20"/>
  <c r="AI93" i="20"/>
  <c r="DK91" i="20"/>
  <c r="AY91" i="20"/>
  <c r="EA89" i="20"/>
  <c r="BO89" i="20"/>
  <c r="CU88" i="20"/>
  <c r="AI88" i="20"/>
  <c r="CE123" i="20"/>
  <c r="S123" i="20"/>
  <c r="CU121" i="20"/>
  <c r="AI121" i="20"/>
  <c r="EA120" i="20"/>
  <c r="BO120" i="20"/>
  <c r="DK117" i="20"/>
  <c r="AY117" i="20"/>
  <c r="CU114" i="20"/>
  <c r="AI114" i="20"/>
  <c r="DK112" i="20"/>
  <c r="AY112" i="20"/>
  <c r="EA110" i="20"/>
  <c r="BO110" i="20"/>
  <c r="DK107" i="20"/>
  <c r="AY107" i="20"/>
  <c r="EA105" i="20"/>
  <c r="BO105" i="20"/>
  <c r="CE103" i="20"/>
  <c r="S103" i="20"/>
  <c r="CU101" i="20"/>
  <c r="AI101" i="20"/>
  <c r="DK99" i="20"/>
  <c r="AY99" i="20"/>
  <c r="EA97" i="20"/>
  <c r="BO97" i="20"/>
  <c r="CU96" i="20"/>
  <c r="AI96" i="20"/>
  <c r="DK94" i="20"/>
  <c r="AY94" i="20"/>
  <c r="EA92" i="20"/>
  <c r="BO92" i="20"/>
  <c r="CU124" i="20"/>
  <c r="AI124" i="20"/>
  <c r="DK122" i="20"/>
  <c r="AY122" i="20"/>
  <c r="CU119" i="20"/>
  <c r="AI119" i="20"/>
  <c r="EA118" i="20"/>
  <c r="BO118" i="20"/>
  <c r="CE116" i="20"/>
  <c r="S116" i="20"/>
  <c r="DK115" i="20"/>
  <c r="AY115" i="20"/>
  <c r="EA113" i="20"/>
  <c r="BO113" i="20"/>
  <c r="CE111" i="20"/>
  <c r="S111" i="20"/>
  <c r="CU109" i="20"/>
  <c r="AI109" i="20"/>
  <c r="EA108" i="20"/>
  <c r="BO108" i="20"/>
  <c r="CE106" i="20"/>
  <c r="S106" i="20"/>
  <c r="CU104" i="20"/>
  <c r="AI104" i="20"/>
  <c r="DK102" i="20"/>
  <c r="AY102" i="20"/>
  <c r="EA100" i="20"/>
  <c r="BO100" i="20"/>
  <c r="CE98" i="20"/>
  <c r="S98" i="20"/>
  <c r="EA95" i="20"/>
  <c r="BO95" i="20"/>
  <c r="CE93" i="20"/>
  <c r="S93" i="20"/>
  <c r="CU91" i="20"/>
  <c r="AI91" i="20"/>
  <c r="DK89" i="20"/>
  <c r="AY89" i="20"/>
  <c r="CE88" i="20"/>
  <c r="S88" i="20"/>
  <c r="EA123" i="20"/>
  <c r="BO123" i="20"/>
  <c r="CE121" i="20"/>
  <c r="S121" i="20"/>
  <c r="DK120" i="20"/>
  <c r="AY120" i="20"/>
  <c r="CU117" i="20"/>
  <c r="AI117" i="20"/>
  <c r="CE114" i="20"/>
  <c r="S114" i="20"/>
  <c r="CU112" i="20"/>
  <c r="AI112" i="20"/>
  <c r="DK110" i="20"/>
  <c r="AY110" i="20"/>
  <c r="CU107" i="20"/>
  <c r="AI107" i="20"/>
  <c r="DK105" i="20"/>
  <c r="AY105" i="20"/>
  <c r="EA103" i="20"/>
  <c r="BO103" i="20"/>
  <c r="CE101" i="20"/>
  <c r="S101" i="20"/>
  <c r="CU99" i="20"/>
  <c r="AI99" i="20"/>
  <c r="DK97" i="20"/>
  <c r="AY97" i="20"/>
  <c r="CE96" i="20"/>
  <c r="S96" i="20"/>
  <c r="CU94" i="20"/>
  <c r="AI94" i="20"/>
  <c r="DK92" i="20"/>
  <c r="AY92" i="20"/>
  <c r="EA90" i="20"/>
  <c r="BO90" i="20"/>
  <c r="DK87" i="20"/>
  <c r="AY87" i="20"/>
  <c r="CU122" i="20"/>
  <c r="EA119" i="20"/>
  <c r="EA116" i="20"/>
  <c r="BO114" i="20"/>
  <c r="DK113" i="20"/>
  <c r="DK111" i="20"/>
  <c r="S109" i="20"/>
  <c r="CU108" i="20"/>
  <c r="CU105" i="20"/>
  <c r="CU102" i="20"/>
  <c r="CU100" i="20"/>
  <c r="CU97" i="20"/>
  <c r="AY123" i="20"/>
  <c r="AI120" i="20"/>
  <c r="CE119" i="20"/>
  <c r="S117" i="20"/>
  <c r="BO111" i="20"/>
  <c r="AY108" i="20"/>
  <c r="AY106" i="20"/>
  <c r="AY103" i="20"/>
  <c r="AY100" i="20"/>
  <c r="AY98" i="20"/>
  <c r="EA96" i="20"/>
  <c r="AI95" i="20"/>
  <c r="AI92" i="20"/>
  <c r="S89" i="20"/>
  <c r="EA85" i="20"/>
  <c r="BO85" i="20"/>
  <c r="CE83" i="20"/>
  <c r="S83" i="20"/>
  <c r="CU81" i="20"/>
  <c r="AI81" i="20"/>
  <c r="EA124" i="20"/>
  <c r="CE122" i="20"/>
  <c r="DK118" i="20"/>
  <c r="DK116" i="20"/>
  <c r="CU115" i="20"/>
  <c r="CU113" i="20"/>
  <c r="CU110" i="20"/>
  <c r="CE107" i="20"/>
  <c r="CE124" i="20"/>
  <c r="AI122" i="20"/>
  <c r="EA121" i="20"/>
  <c r="BO119" i="20"/>
  <c r="BO116" i="20"/>
  <c r="AY113" i="20"/>
  <c r="AY111" i="20"/>
  <c r="AI108" i="20"/>
  <c r="AI105" i="20"/>
  <c r="CE104" i="20"/>
  <c r="AI102" i="20"/>
  <c r="EA101" i="20"/>
  <c r="AI100" i="20"/>
  <c r="AI97" i="20"/>
  <c r="S94" i="20"/>
  <c r="CU89" i="20"/>
  <c r="EA87" i="20"/>
  <c r="AI87" i="20"/>
  <c r="DK85" i="20"/>
  <c r="AY85" i="20"/>
  <c r="EA83" i="20"/>
  <c r="BO83" i="20"/>
  <c r="CE81" i="20"/>
  <c r="S81" i="20"/>
  <c r="CU79" i="20"/>
  <c r="AI79" i="20"/>
  <c r="DK77" i="20"/>
  <c r="AY77" i="20"/>
  <c r="EA75" i="20"/>
  <c r="BO75" i="20"/>
  <c r="CE73" i="20"/>
  <c r="S73" i="20"/>
  <c r="CU71" i="20"/>
  <c r="AI71" i="20"/>
  <c r="DK69" i="20"/>
  <c r="AY69" i="20"/>
  <c r="BO124" i="20"/>
  <c r="S122" i="20"/>
  <c r="AY118" i="20"/>
  <c r="AY116" i="20"/>
  <c r="AI115" i="20"/>
  <c r="EA114" i="20"/>
  <c r="AI113" i="20"/>
  <c r="AI110" i="20"/>
  <c r="CE109" i="20"/>
  <c r="S107" i="20"/>
  <c r="BO104" i="20"/>
  <c r="S102" i="20"/>
  <c r="S99" i="20"/>
  <c r="BO93" i="20"/>
  <c r="CE89" i="20"/>
  <c r="CU87" i="20"/>
  <c r="S87" i="20"/>
  <c r="CU85" i="20"/>
  <c r="AI85" i="20"/>
  <c r="DK83" i="20"/>
  <c r="AY83" i="20"/>
  <c r="EA81" i="20"/>
  <c r="BO81" i="20"/>
  <c r="CE79" i="20"/>
  <c r="S79" i="20"/>
  <c r="CU77" i="20"/>
  <c r="AI77" i="20"/>
  <c r="DK75" i="20"/>
  <c r="AY75" i="20"/>
  <c r="EA73" i="20"/>
  <c r="BO73" i="20"/>
  <c r="S124" i="20"/>
  <c r="DK123" i="20"/>
  <c r="BO121" i="20"/>
  <c r="CU120" i="20"/>
  <c r="CE117" i="20"/>
  <c r="EA111" i="20"/>
  <c r="DK108" i="20"/>
  <c r="DK106" i="20"/>
  <c r="S104" i="20"/>
  <c r="DK103" i="20"/>
  <c r="BO101" i="20"/>
  <c r="DK100" i="20"/>
  <c r="DK98" i="20"/>
  <c r="CU95" i="20"/>
  <c r="CU92" i="20"/>
  <c r="S91" i="20"/>
  <c r="DK90" i="20"/>
  <c r="EA88" i="20"/>
  <c r="DK86" i="20"/>
  <c r="AY86" i="20"/>
  <c r="EA84" i="20"/>
  <c r="BO84" i="20"/>
  <c r="CE82" i="20"/>
  <c r="S82" i="20"/>
  <c r="CU80" i="20"/>
  <c r="AI80" i="20"/>
  <c r="DK78" i="20"/>
  <c r="AY78" i="20"/>
  <c r="EA76" i="20"/>
  <c r="BO76" i="20"/>
  <c r="CE74" i="20"/>
  <c r="S74" i="20"/>
  <c r="CU72" i="20"/>
  <c r="AI72" i="20"/>
  <c r="CE115" i="20"/>
  <c r="EA106" i="20"/>
  <c r="AY95" i="20"/>
  <c r="CE94" i="20"/>
  <c r="EA93" i="20"/>
  <c r="EA91" i="20"/>
  <c r="CE86" i="20"/>
  <c r="S85" i="20"/>
  <c r="DK84" i="20"/>
  <c r="BO80" i="20"/>
  <c r="AI78" i="20"/>
  <c r="EA77" i="20"/>
  <c r="S77" i="20"/>
  <c r="DK76" i="20"/>
  <c r="S76" i="20"/>
  <c r="CU74" i="20"/>
  <c r="S71" i="20"/>
  <c r="AY70" i="20"/>
  <c r="CE67" i="20"/>
  <c r="S67" i="20"/>
  <c r="CU65" i="20"/>
  <c r="AI65" i="20"/>
  <c r="CE62" i="20"/>
  <c r="S62" i="20"/>
  <c r="CU60" i="20"/>
  <c r="AI60" i="20"/>
  <c r="DK58" i="20"/>
  <c r="AY58" i="20"/>
  <c r="EA56" i="20"/>
  <c r="BO56" i="20"/>
  <c r="CE54" i="20"/>
  <c r="S54" i="20"/>
  <c r="CU52" i="20"/>
  <c r="AI52" i="20"/>
  <c r="DK50" i="20"/>
  <c r="AY50" i="20"/>
  <c r="EA48" i="20"/>
  <c r="BO48" i="20"/>
  <c r="CE46" i="20"/>
  <c r="S46" i="20"/>
  <c r="CU44" i="20"/>
  <c r="AI44" i="20"/>
  <c r="DK42" i="20"/>
  <c r="AY42" i="20"/>
  <c r="EA40" i="20"/>
  <c r="BO40" i="20"/>
  <c r="CE38" i="20"/>
  <c r="S38" i="20"/>
  <c r="CU36" i="20"/>
  <c r="AI36" i="20"/>
  <c r="DK34" i="20"/>
  <c r="AY34" i="20"/>
  <c r="EA32" i="20"/>
  <c r="BO32" i="20"/>
  <c r="CE30" i="20"/>
  <c r="S30" i="20"/>
  <c r="S119" i="20"/>
  <c r="S115" i="20"/>
  <c r="BO106" i="20"/>
  <c r="BO96" i="20"/>
  <c r="DK93" i="20"/>
  <c r="CE91" i="20"/>
  <c r="BO86" i="20"/>
  <c r="CU84" i="20"/>
  <c r="AI83" i="20"/>
  <c r="EA82" i="20"/>
  <c r="AY80" i="20"/>
  <c r="AY79" i="20"/>
  <c r="EA78" i="20"/>
  <c r="CE75" i="20"/>
  <c r="AY73" i="20"/>
  <c r="BO72" i="20"/>
  <c r="CE71" i="20"/>
  <c r="DK70" i="20"/>
  <c r="BO69" i="20"/>
  <c r="CU68" i="20"/>
  <c r="AI68" i="20"/>
  <c r="DK66" i="20"/>
  <c r="AY66" i="20"/>
  <c r="EA64" i="20"/>
  <c r="BO64" i="20"/>
  <c r="CU63" i="20"/>
  <c r="AI63" i="20"/>
  <c r="DK61" i="20"/>
  <c r="AY61" i="20"/>
  <c r="EA59" i="20"/>
  <c r="BO59" i="20"/>
  <c r="CE57" i="20"/>
  <c r="S57" i="20"/>
  <c r="CU55" i="20"/>
  <c r="AI55" i="20"/>
  <c r="DK53" i="20"/>
  <c r="AY53" i="20"/>
  <c r="EA51" i="20"/>
  <c r="BO51" i="20"/>
  <c r="CE49" i="20"/>
  <c r="S49" i="20"/>
  <c r="CU47" i="20"/>
  <c r="AI47" i="20"/>
  <c r="DK45" i="20"/>
  <c r="AY45" i="20"/>
  <c r="EA43" i="20"/>
  <c r="BO43" i="20"/>
  <c r="CE41" i="20"/>
  <c r="S41" i="20"/>
  <c r="CU39" i="20"/>
  <c r="AI39" i="20"/>
  <c r="DK37" i="20"/>
  <c r="AY37" i="20"/>
  <c r="EA35" i="20"/>
  <c r="BO35" i="20"/>
  <c r="CE33" i="20"/>
  <c r="S33" i="20"/>
  <c r="CU31" i="20"/>
  <c r="AI31" i="20"/>
  <c r="DK29" i="20"/>
  <c r="AY29" i="20"/>
  <c r="EA98" i="20"/>
  <c r="AY93" i="20"/>
  <c r="BO91" i="20"/>
  <c r="CE90" i="20"/>
  <c r="CE84" i="20"/>
  <c r="DK82" i="20"/>
  <c r="AY81" i="20"/>
  <c r="EA79" i="20"/>
  <c r="S78" i="20"/>
  <c r="CU76" i="20"/>
  <c r="BO74" i="20"/>
  <c r="AY72" i="20"/>
  <c r="AI70" i="20"/>
  <c r="EA69" i="20"/>
  <c r="EA67" i="20"/>
  <c r="BO67" i="20"/>
  <c r="CE65" i="20"/>
  <c r="S65" i="20"/>
  <c r="EA62" i="20"/>
  <c r="BO62" i="20"/>
  <c r="CE60" i="20"/>
  <c r="S60" i="20"/>
  <c r="CU58" i="20"/>
  <c r="AI58" i="20"/>
  <c r="DK56" i="20"/>
  <c r="AY56" i="20"/>
  <c r="EA54" i="20"/>
  <c r="BO54" i="20"/>
  <c r="CE52" i="20"/>
  <c r="S52" i="20"/>
  <c r="CU50" i="20"/>
  <c r="AI50" i="20"/>
  <c r="DK48" i="20"/>
  <c r="AY48" i="20"/>
  <c r="EA46" i="20"/>
  <c r="BO46" i="20"/>
  <c r="CE44" i="20"/>
  <c r="S44" i="20"/>
  <c r="CU42" i="20"/>
  <c r="AI42" i="20"/>
  <c r="DK40" i="20"/>
  <c r="AY40" i="20"/>
  <c r="EA38" i="20"/>
  <c r="BO38" i="20"/>
  <c r="CE36" i="20"/>
  <c r="S36" i="20"/>
  <c r="CU34" i="20"/>
  <c r="AI34" i="20"/>
  <c r="DK32" i="20"/>
  <c r="AY32" i="20"/>
  <c r="EA30" i="20"/>
  <c r="BO30" i="20"/>
  <c r="CE112" i="20"/>
  <c r="CE99" i="20"/>
  <c r="BO98" i="20"/>
  <c r="AY90" i="20"/>
  <c r="DK88" i="20"/>
  <c r="AI86" i="20"/>
  <c r="CU82" i="20"/>
  <c r="EA80" i="20"/>
  <c r="S80" i="20"/>
  <c r="CU78" i="20"/>
  <c r="CE77" i="20"/>
  <c r="CE76" i="20"/>
  <c r="AI73" i="20"/>
  <c r="EA72" i="20"/>
  <c r="BO71" i="20"/>
  <c r="CU70" i="20"/>
  <c r="CE68" i="20"/>
  <c r="S68" i="20"/>
  <c r="CU66" i="20"/>
  <c r="AI66" i="20"/>
  <c r="DK64" i="20"/>
  <c r="AY64" i="20"/>
  <c r="CE63" i="20"/>
  <c r="S63" i="20"/>
  <c r="CU61" i="20"/>
  <c r="AI61" i="20"/>
  <c r="DK59" i="20"/>
  <c r="AY59" i="20"/>
  <c r="EA57" i="20"/>
  <c r="BO57" i="20"/>
  <c r="CE55" i="20"/>
  <c r="S55" i="20"/>
  <c r="CU53" i="20"/>
  <c r="AI53" i="20"/>
  <c r="DK51" i="20"/>
  <c r="AY51" i="20"/>
  <c r="EA49" i="20"/>
  <c r="BO49" i="20"/>
  <c r="CE47" i="20"/>
  <c r="S47" i="20"/>
  <c r="CU45" i="20"/>
  <c r="AI45" i="20"/>
  <c r="DK43" i="20"/>
  <c r="AY43" i="20"/>
  <c r="EA41" i="20"/>
  <c r="BO41" i="20"/>
  <c r="CE39" i="20"/>
  <c r="S39" i="20"/>
  <c r="CU37" i="20"/>
  <c r="AI37" i="20"/>
  <c r="DK35" i="20"/>
  <c r="AY35" i="20"/>
  <c r="EA33" i="20"/>
  <c r="BO33" i="20"/>
  <c r="CE31" i="20"/>
  <c r="S31" i="20"/>
  <c r="CU29" i="20"/>
  <c r="AI29" i="20"/>
  <c r="S112" i="20"/>
  <c r="S90" i="20"/>
  <c r="AI89" i="20"/>
  <c r="BO88" i="20"/>
  <c r="CE87" i="20"/>
  <c r="S86" i="20"/>
  <c r="CE85" i="20"/>
  <c r="AY84" i="20"/>
  <c r="DK80" i="20"/>
  <c r="DK79" i="20"/>
  <c r="AI75" i="20"/>
  <c r="AY74" i="20"/>
  <c r="DK73" i="20"/>
  <c r="DK72" i="20"/>
  <c r="EA71" i="20"/>
  <c r="S70" i="20"/>
  <c r="AI69" i="20"/>
  <c r="DK67" i="20"/>
  <c r="AY67" i="20"/>
  <c r="EA65" i="20"/>
  <c r="BO65" i="20"/>
  <c r="DK62" i="20"/>
  <c r="AY62" i="20"/>
  <c r="EA60" i="20"/>
  <c r="BO60" i="20"/>
  <c r="CE58" i="20"/>
  <c r="S58" i="20"/>
  <c r="CU56" i="20"/>
  <c r="AI56" i="20"/>
  <c r="DK54" i="20"/>
  <c r="AY54" i="20"/>
  <c r="EA52" i="20"/>
  <c r="BO52" i="20"/>
  <c r="CE50" i="20"/>
  <c r="S50" i="20"/>
  <c r="CU48" i="20"/>
  <c r="AI48" i="20"/>
  <c r="DK46" i="20"/>
  <c r="AY46" i="20"/>
  <c r="EA44" i="20"/>
  <c r="BO44" i="20"/>
  <c r="CE42" i="20"/>
  <c r="S42" i="20"/>
  <c r="CU40" i="20"/>
  <c r="AI40" i="20"/>
  <c r="DK38" i="20"/>
  <c r="AY38" i="20"/>
  <c r="EA36" i="20"/>
  <c r="BO36" i="20"/>
  <c r="CE34" i="20"/>
  <c r="S34" i="20"/>
  <c r="CU32" i="20"/>
  <c r="AI32" i="20"/>
  <c r="DK30" i="20"/>
  <c r="AY30" i="20"/>
  <c r="AY88" i="20"/>
  <c r="BO87" i="20"/>
  <c r="EA86" i="20"/>
  <c r="AI84" i="20"/>
  <c r="CU83" i="20"/>
  <c r="BO82" i="20"/>
  <c r="CE78" i="20"/>
  <c r="BO77" i="20"/>
  <c r="AY76" i="20"/>
  <c r="EA74" i="20"/>
  <c r="AI74" i="20"/>
  <c r="S72" i="20"/>
  <c r="AY71" i="20"/>
  <c r="CE70" i="20"/>
  <c r="CU69" i="20"/>
  <c r="EA68" i="20"/>
  <c r="BO68" i="20"/>
  <c r="CE66" i="20"/>
  <c r="S66" i="20"/>
  <c r="CU64" i="20"/>
  <c r="AI64" i="20"/>
  <c r="EA63" i="20"/>
  <c r="BO63" i="20"/>
  <c r="CE61" i="20"/>
  <c r="S61" i="20"/>
  <c r="CU59" i="20"/>
  <c r="AI59" i="20"/>
  <c r="DK57" i="20"/>
  <c r="AY57" i="20"/>
  <c r="EA55" i="20"/>
  <c r="BO55" i="20"/>
  <c r="CE53" i="20"/>
  <c r="S53" i="20"/>
  <c r="CU51" i="20"/>
  <c r="AI51" i="20"/>
  <c r="DK49" i="20"/>
  <c r="AY49" i="20"/>
  <c r="EA47" i="20"/>
  <c r="BO47" i="20"/>
  <c r="CE45" i="20"/>
  <c r="S45" i="20"/>
  <c r="CU118" i="20"/>
  <c r="EA109" i="20"/>
  <c r="CE102" i="20"/>
  <c r="S84" i="20"/>
  <c r="AY82" i="20"/>
  <c r="DK81" i="20"/>
  <c r="CE80" i="20"/>
  <c r="BO78" i="20"/>
  <c r="S75" i="20"/>
  <c r="CU73" i="20"/>
  <c r="DK71" i="20"/>
  <c r="BO70" i="20"/>
  <c r="S69" i="20"/>
  <c r="CU67" i="20"/>
  <c r="AI67" i="20"/>
  <c r="DK65" i="20"/>
  <c r="AY65" i="20"/>
  <c r="CU62" i="20"/>
  <c r="AI62" i="20"/>
  <c r="DK60" i="20"/>
  <c r="AY60" i="20"/>
  <c r="EA58" i="20"/>
  <c r="BO58" i="20"/>
  <c r="CE56" i="20"/>
  <c r="S56" i="20"/>
  <c r="CU54" i="20"/>
  <c r="AI54" i="20"/>
  <c r="DK52" i="20"/>
  <c r="AY52" i="20"/>
  <c r="EA50" i="20"/>
  <c r="BO50" i="20"/>
  <c r="CE48" i="20"/>
  <c r="S48" i="20"/>
  <c r="CU46" i="20"/>
  <c r="AI46" i="20"/>
  <c r="DK44" i="20"/>
  <c r="AY44" i="20"/>
  <c r="EA42" i="20"/>
  <c r="BO42" i="20"/>
  <c r="CE40" i="20"/>
  <c r="S40" i="20"/>
  <c r="CU38" i="20"/>
  <c r="AI38" i="20"/>
  <c r="DK36" i="20"/>
  <c r="AY36" i="20"/>
  <c r="EA34" i="20"/>
  <c r="BO34" i="20"/>
  <c r="CE32" i="20"/>
  <c r="S32" i="20"/>
  <c r="CU30" i="20"/>
  <c r="AI30" i="20"/>
  <c r="CU75" i="20"/>
  <c r="EA70" i="20"/>
  <c r="DK63" i="20"/>
  <c r="DK55" i="20"/>
  <c r="DK47" i="20"/>
  <c r="AY41" i="20"/>
  <c r="EA39" i="20"/>
  <c r="AY33" i="20"/>
  <c r="EA31" i="20"/>
  <c r="AY63" i="20"/>
  <c r="AY55" i="20"/>
  <c r="AY47" i="20"/>
  <c r="AI41" i="20"/>
  <c r="DK39" i="20"/>
  <c r="AI33" i="20"/>
  <c r="DK31" i="20"/>
  <c r="AI76" i="20"/>
  <c r="CE64" i="20"/>
  <c r="CU57" i="20"/>
  <c r="CU49" i="20"/>
  <c r="BO39" i="20"/>
  <c r="EA37" i="20"/>
  <c r="BO31" i="20"/>
  <c r="EA29" i="20"/>
  <c r="CE72" i="20"/>
  <c r="S64" i="20"/>
  <c r="AI57" i="20"/>
  <c r="AI49" i="20"/>
  <c r="AY39" i="20"/>
  <c r="CE37" i="20"/>
  <c r="AY31" i="20"/>
  <c r="CE29" i="20"/>
  <c r="EA66" i="20"/>
  <c r="CE59" i="20"/>
  <c r="CE51" i="20"/>
  <c r="CU43" i="20"/>
  <c r="BO37" i="20"/>
  <c r="CU35" i="20"/>
  <c r="BO29" i="20"/>
  <c r="BO109" i="20"/>
  <c r="CU86" i="20"/>
  <c r="AI82" i="20"/>
  <c r="BO66" i="20"/>
  <c r="S59" i="20"/>
  <c r="S51" i="20"/>
  <c r="CE43" i="20"/>
  <c r="S37" i="20"/>
  <c r="CE35" i="20"/>
  <c r="S29" i="20"/>
  <c r="BO53" i="20"/>
  <c r="AI43" i="20"/>
  <c r="AI35" i="20"/>
  <c r="DK95" i="20"/>
  <c r="S43" i="20"/>
  <c r="S35" i="20"/>
  <c r="BO79" i="20"/>
  <c r="EA61" i="20"/>
  <c r="EA45" i="20"/>
  <c r="EA104" i="20"/>
  <c r="BO61" i="20"/>
  <c r="BO45" i="20"/>
  <c r="DK74" i="20"/>
  <c r="DK68" i="20"/>
  <c r="CE69" i="20"/>
  <c r="DK41" i="20"/>
  <c r="EA53" i="20"/>
  <c r="CU41" i="20"/>
  <c r="DK33" i="20"/>
  <c r="CU33" i="20"/>
  <c r="AI118" i="20"/>
  <c r="AY68" i="20"/>
  <c r="J37" i="26"/>
  <c r="K37" i="26" s="1"/>
  <c r="J35" i="26"/>
  <c r="K35" i="26" s="1"/>
  <c r="J39" i="26"/>
  <c r="J30" i="26"/>
  <c r="K30" i="26" s="1"/>
  <c r="J33" i="26"/>
  <c r="K33" i="26" s="1"/>
  <c r="J36" i="26"/>
  <c r="K36" i="26" s="1"/>
  <c r="J31" i="26"/>
  <c r="K31" i="26" s="1"/>
  <c r="J38" i="26"/>
  <c r="J34" i="26"/>
  <c r="K34" i="26" s="1"/>
  <c r="J28" i="26"/>
  <c r="K28" i="26" s="1"/>
  <c r="J29" i="26"/>
  <c r="K29" i="26" s="1"/>
  <c r="J32" i="26"/>
  <c r="K32" i="26" s="1"/>
  <c r="I28" i="31"/>
  <c r="J28" i="31" s="1"/>
  <c r="I31" i="31"/>
  <c r="J31" i="31" s="1"/>
  <c r="I26" i="31"/>
  <c r="J26" i="31" s="1"/>
  <c r="I34" i="31"/>
  <c r="J34" i="31" s="1"/>
  <c r="I29" i="31"/>
  <c r="J29" i="31" s="1"/>
  <c r="I30" i="31"/>
  <c r="J30" i="31" s="1"/>
  <c r="I35" i="31"/>
  <c r="J35" i="31" s="1"/>
  <c r="I32" i="31"/>
  <c r="J32" i="31" s="1"/>
  <c r="I27" i="31"/>
  <c r="J27" i="31" s="1"/>
  <c r="I33" i="31"/>
  <c r="J33" i="31" s="1"/>
  <c r="C46" i="24"/>
  <c r="D46" i="24" s="1"/>
  <c r="C44" i="24"/>
  <c r="D44" i="24" s="1"/>
  <c r="C42" i="24"/>
  <c r="D42" i="24" s="1"/>
  <c r="C40" i="24"/>
  <c r="D40" i="24" s="1"/>
  <c r="C38" i="24"/>
  <c r="D38" i="24" s="1"/>
  <c r="C36" i="24"/>
  <c r="D36" i="24" s="1"/>
  <c r="C37" i="24"/>
  <c r="D37" i="24" s="1"/>
  <c r="C43" i="24"/>
  <c r="D43" i="24" s="1"/>
  <c r="C45" i="24"/>
  <c r="D45" i="24" s="1"/>
  <c r="C33" i="24"/>
  <c r="D33" i="24" s="1"/>
  <c r="C35" i="24"/>
  <c r="D35" i="24" s="1"/>
  <c r="C41" i="24"/>
  <c r="D41" i="24" s="1"/>
  <c r="C32" i="24"/>
  <c r="D32" i="24" s="1"/>
  <c r="C39" i="24"/>
  <c r="D39" i="24" s="1"/>
  <c r="C34" i="24"/>
  <c r="D34" i="24" s="1"/>
  <c r="H38" i="26"/>
  <c r="H32" i="26"/>
  <c r="I32" i="26" s="1"/>
  <c r="H39" i="26"/>
  <c r="H37" i="26"/>
  <c r="I37" i="26" s="1"/>
  <c r="H35" i="26"/>
  <c r="I35" i="26" s="1"/>
  <c r="H30" i="26"/>
  <c r="I30" i="26" s="1"/>
  <c r="H33" i="26"/>
  <c r="I33" i="26" s="1"/>
  <c r="H29" i="26"/>
  <c r="I29" i="26" s="1"/>
  <c r="H36" i="26"/>
  <c r="I36" i="26" s="1"/>
  <c r="H31" i="26"/>
  <c r="I31" i="26" s="1"/>
  <c r="H34" i="26"/>
  <c r="I34" i="26" s="1"/>
  <c r="H28" i="26"/>
  <c r="I28" i="26" s="1"/>
  <c r="L17" i="27"/>
  <c r="M17" i="27" s="1"/>
  <c r="L22" i="27"/>
  <c r="M22" i="27" s="1"/>
  <c r="L20" i="27"/>
  <c r="M20" i="27" s="1"/>
  <c r="L15" i="27"/>
  <c r="M15" i="27" s="1"/>
  <c r="L13" i="27"/>
  <c r="M13" i="27" s="1"/>
  <c r="L18" i="27"/>
  <c r="M18" i="27" s="1"/>
  <c r="L16" i="27"/>
  <c r="M16" i="27" s="1"/>
  <c r="L21" i="27"/>
  <c r="M21" i="27" s="1"/>
  <c r="L19" i="27"/>
  <c r="M19" i="27" s="1"/>
  <c r="L14" i="27"/>
  <c r="M14" i="27" s="1"/>
  <c r="DK99" i="22"/>
  <c r="DK96" i="22"/>
  <c r="DK111" i="22"/>
  <c r="AY65" i="22"/>
  <c r="DK57" i="22"/>
  <c r="DK37" i="22"/>
  <c r="AI31" i="22"/>
  <c r="AI82" i="22"/>
  <c r="AI79" i="22"/>
  <c r="AI65" i="22"/>
  <c r="AI94" i="22"/>
  <c r="AI110" i="22"/>
  <c r="AI88" i="22"/>
  <c r="AI123" i="22"/>
  <c r="DK70" i="22"/>
  <c r="DK48" i="22"/>
  <c r="AI42" i="22"/>
  <c r="CE36" i="22"/>
  <c r="DJ1" i="22"/>
  <c r="DJ14" i="22"/>
  <c r="H19" i="19" s="1"/>
  <c r="I19" i="19" s="1"/>
  <c r="CE84" i="22"/>
  <c r="CE73" i="22"/>
  <c r="CE78" i="22"/>
  <c r="CE88" i="22"/>
  <c r="CE85" i="22"/>
  <c r="CE111" i="22"/>
  <c r="EA76" i="22"/>
  <c r="CE60" i="22"/>
  <c r="EA33" i="22"/>
  <c r="EA70" i="22"/>
  <c r="EA69" i="22"/>
  <c r="EA122" i="22"/>
  <c r="EA113" i="22"/>
  <c r="EA99" i="22"/>
  <c r="DK54" i="22"/>
  <c r="AI48" i="22"/>
  <c r="CE42" i="22"/>
  <c r="AH14" i="22"/>
  <c r="H10" i="19" s="1"/>
  <c r="AH1" i="22"/>
  <c r="AY89" i="22"/>
  <c r="AY94" i="22"/>
  <c r="AY101" i="22"/>
  <c r="AY106" i="22"/>
  <c r="AY60" i="22"/>
  <c r="CU112" i="22"/>
  <c r="CU64" i="22"/>
  <c r="CU80" i="22"/>
  <c r="CU87" i="22"/>
  <c r="CU86" i="22"/>
  <c r="CU114" i="22"/>
  <c r="CU106" i="22"/>
  <c r="CU100" i="22"/>
  <c r="CE54" i="22"/>
  <c r="DK34" i="22"/>
  <c r="DK64" i="22"/>
  <c r="DK105" i="22"/>
  <c r="DK94" i="22"/>
  <c r="DK71" i="22"/>
  <c r="DK63" i="22"/>
  <c r="DK116" i="22"/>
  <c r="EA64" i="22"/>
  <c r="EA43" i="22"/>
  <c r="AY37" i="22"/>
  <c r="AI84" i="22"/>
  <c r="AI86" i="22"/>
  <c r="AI83" i="22"/>
  <c r="AI119" i="22"/>
  <c r="AI100" i="22"/>
  <c r="AY67" i="22"/>
  <c r="EA54" i="22"/>
  <c r="AY48" i="22"/>
  <c r="AX14" i="22"/>
  <c r="H13" i="19" s="1"/>
  <c r="I13" i="19" s="1"/>
  <c r="AX1" i="22"/>
  <c r="CE90" i="22"/>
  <c r="CE62" i="22"/>
  <c r="CE89" i="22"/>
  <c r="CE112" i="22"/>
  <c r="CE116" i="22"/>
  <c r="CE120" i="22"/>
  <c r="CE108" i="22"/>
  <c r="CE123" i="22"/>
  <c r="EA68" i="22"/>
  <c r="DK59" i="22"/>
  <c r="DK51" i="22"/>
  <c r="AI45" i="22"/>
  <c r="CE39" i="22"/>
  <c r="EA75" i="22"/>
  <c r="EA80" i="22"/>
  <c r="EA90" i="22"/>
  <c r="EA87" i="22"/>
  <c r="EA101" i="22"/>
  <c r="EA118" i="22"/>
  <c r="EA104" i="22"/>
  <c r="EA124" i="22"/>
  <c r="DK75" i="22"/>
  <c r="AY54" i="22"/>
  <c r="AY64" i="22"/>
  <c r="AY108" i="22"/>
  <c r="AY95" i="22"/>
  <c r="AY79" i="22"/>
  <c r="AY68" i="22"/>
  <c r="AY113" i="22"/>
  <c r="AY93" i="22"/>
  <c r="AY115" i="22"/>
  <c r="AY91" i="22"/>
  <c r="AY111" i="22"/>
  <c r="AI68" i="22"/>
  <c r="CE59" i="22"/>
  <c r="CU41" i="22"/>
  <c r="CT1" i="22"/>
  <c r="CT14" i="22"/>
  <c r="CU68" i="22"/>
  <c r="CU34" i="22"/>
  <c r="CU69" i="22"/>
  <c r="CU47" i="22"/>
  <c r="CU44" i="22"/>
  <c r="CU94" i="22"/>
  <c r="CU90" i="22"/>
  <c r="CU84" i="22"/>
  <c r="CU73" i="22"/>
  <c r="CU123" i="22"/>
  <c r="CU92" i="22"/>
  <c r="CU104" i="22"/>
  <c r="CU111" i="22"/>
  <c r="BO31" i="22"/>
  <c r="BO29" i="22"/>
  <c r="BO81" i="22"/>
  <c r="BO88" i="22"/>
  <c r="BO71" i="22"/>
  <c r="BO123" i="22"/>
  <c r="BO113" i="22"/>
  <c r="BO107" i="22"/>
  <c r="BO109" i="22"/>
  <c r="J36" i="16" a="1"/>
  <c r="J36" i="16" s="1"/>
  <c r="W2" i="7"/>
  <c r="DZ124" i="20"/>
  <c r="BN124" i="20"/>
  <c r="CD122" i="20"/>
  <c r="R122" i="20"/>
  <c r="DZ119" i="20"/>
  <c r="BN119" i="20"/>
  <c r="CT118" i="20"/>
  <c r="AH118" i="20"/>
  <c r="DJ116" i="20"/>
  <c r="AX116" i="20"/>
  <c r="CD115" i="20"/>
  <c r="R115" i="20"/>
  <c r="CT113" i="20"/>
  <c r="AH113" i="20"/>
  <c r="DJ111" i="20"/>
  <c r="AX111" i="20"/>
  <c r="DZ109" i="20"/>
  <c r="BN109" i="20"/>
  <c r="CT108" i="20"/>
  <c r="AH108" i="20"/>
  <c r="DJ106" i="20"/>
  <c r="AX106" i="20"/>
  <c r="DZ104" i="20"/>
  <c r="BN104" i="20"/>
  <c r="CD102" i="20"/>
  <c r="R102" i="20"/>
  <c r="CT100" i="20"/>
  <c r="AH100" i="20"/>
  <c r="DJ98" i="20"/>
  <c r="AX98" i="20"/>
  <c r="CT95" i="20"/>
  <c r="AH95" i="20"/>
  <c r="DJ93" i="20"/>
  <c r="AX93" i="20"/>
  <c r="DZ91" i="20"/>
  <c r="BN91" i="20"/>
  <c r="CD89" i="20"/>
  <c r="R89" i="20"/>
  <c r="DJ88" i="20"/>
  <c r="AX88" i="20"/>
  <c r="CT123" i="20"/>
  <c r="AH123" i="20"/>
  <c r="DJ121" i="20"/>
  <c r="AX121" i="20"/>
  <c r="CD120" i="20"/>
  <c r="R120" i="20"/>
  <c r="DZ117" i="20"/>
  <c r="BN117" i="20"/>
  <c r="DJ114" i="20"/>
  <c r="AX114" i="20"/>
  <c r="DZ112" i="20"/>
  <c r="BN112" i="20"/>
  <c r="CD110" i="20"/>
  <c r="R110" i="20"/>
  <c r="DZ107" i="20"/>
  <c r="BN107" i="20"/>
  <c r="CD105" i="20"/>
  <c r="R105" i="20"/>
  <c r="CT103" i="20"/>
  <c r="AH103" i="20"/>
  <c r="DJ101" i="20"/>
  <c r="AX101" i="20"/>
  <c r="DZ99" i="20"/>
  <c r="BN99" i="20"/>
  <c r="CD97" i="20"/>
  <c r="R97" i="20"/>
  <c r="DJ96" i="20"/>
  <c r="AX96" i="20"/>
  <c r="DZ94" i="20"/>
  <c r="BN94" i="20"/>
  <c r="CD92" i="20"/>
  <c r="R92" i="20"/>
  <c r="CT90" i="20"/>
  <c r="AH90" i="20"/>
  <c r="CD87" i="20"/>
  <c r="DJ124" i="20"/>
  <c r="AX124" i="20"/>
  <c r="DZ122" i="20"/>
  <c r="BN122" i="20"/>
  <c r="DJ119" i="20"/>
  <c r="AX119" i="20"/>
  <c r="CD118" i="20"/>
  <c r="R118" i="20"/>
  <c r="CT116" i="20"/>
  <c r="AH116" i="20"/>
  <c r="DZ115" i="20"/>
  <c r="BN115" i="20"/>
  <c r="CD113" i="20"/>
  <c r="R113" i="20"/>
  <c r="CT111" i="20"/>
  <c r="AH111" i="20"/>
  <c r="DJ109" i="20"/>
  <c r="AX109" i="20"/>
  <c r="CD108" i="20"/>
  <c r="R108" i="20"/>
  <c r="CT106" i="20"/>
  <c r="AH106" i="20"/>
  <c r="DJ104" i="20"/>
  <c r="AX104" i="20"/>
  <c r="DZ102" i="20"/>
  <c r="BN102" i="20"/>
  <c r="CD100" i="20"/>
  <c r="R100" i="20"/>
  <c r="CT98" i="20"/>
  <c r="AH98" i="20"/>
  <c r="CD95" i="20"/>
  <c r="R95" i="20"/>
  <c r="CT93" i="20"/>
  <c r="AH93" i="20"/>
  <c r="CD123" i="20"/>
  <c r="R123" i="20"/>
  <c r="CT121" i="20"/>
  <c r="AH121" i="20"/>
  <c r="DZ120" i="20"/>
  <c r="BN120" i="20"/>
  <c r="DJ117" i="20"/>
  <c r="AX117" i="20"/>
  <c r="CT114" i="20"/>
  <c r="AH114" i="20"/>
  <c r="DJ112" i="20"/>
  <c r="AX112" i="20"/>
  <c r="DZ110" i="20"/>
  <c r="BN110" i="20"/>
  <c r="DJ107" i="20"/>
  <c r="AX107" i="20"/>
  <c r="DZ105" i="20"/>
  <c r="BN105" i="20"/>
  <c r="CD103" i="20"/>
  <c r="R103" i="20"/>
  <c r="CT101" i="20"/>
  <c r="AH101" i="20"/>
  <c r="DJ99" i="20"/>
  <c r="AX99" i="20"/>
  <c r="DZ97" i="20"/>
  <c r="BN97" i="20"/>
  <c r="CT96" i="20"/>
  <c r="AH96" i="20"/>
  <c r="DJ94" i="20"/>
  <c r="AX94" i="20"/>
  <c r="DZ92" i="20"/>
  <c r="BN92" i="20"/>
  <c r="CD90" i="20"/>
  <c r="R90" i="20"/>
  <c r="DZ87" i="20"/>
  <c r="CT124" i="20"/>
  <c r="AH124" i="20"/>
  <c r="DJ122" i="20"/>
  <c r="AX122" i="20"/>
  <c r="CT119" i="20"/>
  <c r="AH119" i="20"/>
  <c r="DZ118" i="20"/>
  <c r="BN118" i="20"/>
  <c r="CD116" i="20"/>
  <c r="R116" i="20"/>
  <c r="DJ115" i="20"/>
  <c r="AX115" i="20"/>
  <c r="DZ113" i="20"/>
  <c r="BN113" i="20"/>
  <c r="CD111" i="20"/>
  <c r="R111" i="20"/>
  <c r="CT109" i="20"/>
  <c r="AH109" i="20"/>
  <c r="DZ108" i="20"/>
  <c r="BN108" i="20"/>
  <c r="CD106" i="20"/>
  <c r="R106" i="20"/>
  <c r="CT104" i="20"/>
  <c r="AH104" i="20"/>
  <c r="DJ102" i="20"/>
  <c r="AX102" i="20"/>
  <c r="DZ100" i="20"/>
  <c r="BN100" i="20"/>
  <c r="CD98" i="20"/>
  <c r="R98" i="20"/>
  <c r="DZ95" i="20"/>
  <c r="BN95" i="20"/>
  <c r="CD93" i="20"/>
  <c r="R93" i="20"/>
  <c r="CT91" i="20"/>
  <c r="AH91" i="20"/>
  <c r="DJ89" i="20"/>
  <c r="AX89" i="20"/>
  <c r="CD88" i="20"/>
  <c r="R88" i="20"/>
  <c r="BN123" i="20"/>
  <c r="R121" i="20"/>
  <c r="AX120" i="20"/>
  <c r="AH117" i="20"/>
  <c r="R112" i="20"/>
  <c r="BN106" i="20"/>
  <c r="BN103" i="20"/>
  <c r="R101" i="20"/>
  <c r="BN98" i="20"/>
  <c r="CT122" i="20"/>
  <c r="DZ116" i="20"/>
  <c r="BN114" i="20"/>
  <c r="DJ113" i="20"/>
  <c r="DJ110" i="20"/>
  <c r="R109" i="20"/>
  <c r="CT107" i="20"/>
  <c r="CT105" i="20"/>
  <c r="CT102" i="20"/>
  <c r="CT99" i="20"/>
  <c r="CT97" i="20"/>
  <c r="CD94" i="20"/>
  <c r="DJ91" i="20"/>
  <c r="BN90" i="20"/>
  <c r="CT88" i="20"/>
  <c r="BN87" i="20"/>
  <c r="CT86" i="20"/>
  <c r="AH86" i="20"/>
  <c r="DJ84" i="20"/>
  <c r="AX84" i="20"/>
  <c r="DZ82" i="20"/>
  <c r="BN82" i="20"/>
  <c r="AX123" i="20"/>
  <c r="AH120" i="20"/>
  <c r="CD119" i="20"/>
  <c r="R117" i="20"/>
  <c r="R114" i="20"/>
  <c r="BN111" i="20"/>
  <c r="AX108" i="20"/>
  <c r="DJ118" i="20"/>
  <c r="CT115" i="20"/>
  <c r="CT112" i="20"/>
  <c r="CT110" i="20"/>
  <c r="CD107" i="20"/>
  <c r="CD99" i="20"/>
  <c r="CD96" i="20"/>
  <c r="DZ93" i="20"/>
  <c r="CD91" i="20"/>
  <c r="AX90" i="20"/>
  <c r="BN88" i="20"/>
  <c r="CD86" i="20"/>
  <c r="R86" i="20"/>
  <c r="CT84" i="20"/>
  <c r="AH84" i="20"/>
  <c r="DJ82" i="20"/>
  <c r="AX82" i="20"/>
  <c r="DZ80" i="20"/>
  <c r="BN80" i="20"/>
  <c r="CD78" i="20"/>
  <c r="R78" i="20"/>
  <c r="CT76" i="20"/>
  <c r="AH76" i="20"/>
  <c r="DJ74" i="20"/>
  <c r="AX74" i="20"/>
  <c r="DZ72" i="20"/>
  <c r="BN72" i="20"/>
  <c r="CD70" i="20"/>
  <c r="R70" i="20"/>
  <c r="DZ123" i="20"/>
  <c r="CD121" i="20"/>
  <c r="DJ120" i="20"/>
  <c r="R119" i="20"/>
  <c r="CT117" i="20"/>
  <c r="CD112" i="20"/>
  <c r="DZ106" i="20"/>
  <c r="DZ103" i="20"/>
  <c r="CD101" i="20"/>
  <c r="DZ98" i="20"/>
  <c r="BN96" i="20"/>
  <c r="DJ95" i="20"/>
  <c r="DJ92" i="20"/>
  <c r="AX91" i="20"/>
  <c r="DZ90" i="20"/>
  <c r="AH88" i="20"/>
  <c r="DZ86" i="20"/>
  <c r="BN86" i="20"/>
  <c r="CD84" i="20"/>
  <c r="R84" i="20"/>
  <c r="CT82" i="20"/>
  <c r="AH82" i="20"/>
  <c r="DJ80" i="20"/>
  <c r="AX80" i="20"/>
  <c r="DZ78" i="20"/>
  <c r="BN78" i="20"/>
  <c r="CD76" i="20"/>
  <c r="R76" i="20"/>
  <c r="CT74" i="20"/>
  <c r="AH74" i="20"/>
  <c r="AX118" i="20"/>
  <c r="AH115" i="20"/>
  <c r="DZ114" i="20"/>
  <c r="AH112" i="20"/>
  <c r="AH110" i="20"/>
  <c r="CD109" i="20"/>
  <c r="R107" i="20"/>
  <c r="R99" i="20"/>
  <c r="R96" i="20"/>
  <c r="BN93" i="20"/>
  <c r="BN89" i="20"/>
  <c r="CT87" i="20"/>
  <c r="R87" i="20"/>
  <c r="CT85" i="20"/>
  <c r="AH85" i="20"/>
  <c r="DJ83" i="20"/>
  <c r="AX83" i="20"/>
  <c r="DZ81" i="20"/>
  <c r="BN81" i="20"/>
  <c r="CD79" i="20"/>
  <c r="R79" i="20"/>
  <c r="CT77" i="20"/>
  <c r="AH77" i="20"/>
  <c r="DJ75" i="20"/>
  <c r="AX75" i="20"/>
  <c r="DZ73" i="20"/>
  <c r="BN73" i="20"/>
  <c r="AX110" i="20"/>
  <c r="AX105" i="20"/>
  <c r="CD104" i="20"/>
  <c r="AX103" i="20"/>
  <c r="DZ96" i="20"/>
  <c r="CT92" i="20"/>
  <c r="BN83" i="20"/>
  <c r="R82" i="20"/>
  <c r="CT81" i="20"/>
  <c r="BN79" i="20"/>
  <c r="CT75" i="20"/>
  <c r="CD73" i="20"/>
  <c r="CD72" i="20"/>
  <c r="CT71" i="20"/>
  <c r="DZ70" i="20"/>
  <c r="CD69" i="20"/>
  <c r="DJ68" i="20"/>
  <c r="AX68" i="20"/>
  <c r="DZ66" i="20"/>
  <c r="BN66" i="20"/>
  <c r="CD64" i="20"/>
  <c r="R64" i="20"/>
  <c r="DJ63" i="20"/>
  <c r="AX63" i="20"/>
  <c r="DZ61" i="20"/>
  <c r="BN61" i="20"/>
  <c r="CD59" i="20"/>
  <c r="R59" i="20"/>
  <c r="CT57" i="20"/>
  <c r="AH57" i="20"/>
  <c r="DJ55" i="20"/>
  <c r="AX55" i="20"/>
  <c r="DZ53" i="20"/>
  <c r="BN53" i="20"/>
  <c r="CD51" i="20"/>
  <c r="R51" i="20"/>
  <c r="CT49" i="20"/>
  <c r="AH49" i="20"/>
  <c r="DJ47" i="20"/>
  <c r="AX47" i="20"/>
  <c r="DZ45" i="20"/>
  <c r="BN45" i="20"/>
  <c r="CD43" i="20"/>
  <c r="R43" i="20"/>
  <c r="CT41" i="20"/>
  <c r="AH41" i="20"/>
  <c r="DJ39" i="20"/>
  <c r="AX39" i="20"/>
  <c r="DZ37" i="20"/>
  <c r="BN37" i="20"/>
  <c r="CD35" i="20"/>
  <c r="R35" i="20"/>
  <c r="CT33" i="20"/>
  <c r="AH33" i="20"/>
  <c r="DJ31" i="20"/>
  <c r="AX31" i="20"/>
  <c r="DZ29" i="20"/>
  <c r="BN29" i="20"/>
  <c r="DJ123" i="20"/>
  <c r="AH105" i="20"/>
  <c r="R104" i="20"/>
  <c r="DJ97" i="20"/>
  <c r="AX95" i="20"/>
  <c r="AH94" i="20"/>
  <c r="AX92" i="20"/>
  <c r="DJ90" i="20"/>
  <c r="R85" i="20"/>
  <c r="CD81" i="20"/>
  <c r="AH78" i="20"/>
  <c r="DZ77" i="20"/>
  <c r="R77" i="20"/>
  <c r="DJ76" i="20"/>
  <c r="CD74" i="20"/>
  <c r="R71" i="20"/>
  <c r="AX70" i="20"/>
  <c r="CD67" i="20"/>
  <c r="R67" i="20"/>
  <c r="CT65" i="20"/>
  <c r="AH65" i="20"/>
  <c r="CD62" i="20"/>
  <c r="R62" i="20"/>
  <c r="CT60" i="20"/>
  <c r="AH60" i="20"/>
  <c r="DJ58" i="20"/>
  <c r="AX58" i="20"/>
  <c r="DZ56" i="20"/>
  <c r="BN56" i="20"/>
  <c r="CD54" i="20"/>
  <c r="R54" i="20"/>
  <c r="CT52" i="20"/>
  <c r="AH52" i="20"/>
  <c r="DJ50" i="20"/>
  <c r="AX50" i="20"/>
  <c r="DZ48" i="20"/>
  <c r="BN48" i="20"/>
  <c r="CD46" i="20"/>
  <c r="R46" i="20"/>
  <c r="CT44" i="20"/>
  <c r="AH44" i="20"/>
  <c r="DJ42" i="20"/>
  <c r="AX42" i="20"/>
  <c r="DZ40" i="20"/>
  <c r="BN40" i="20"/>
  <c r="CD38" i="20"/>
  <c r="R38" i="20"/>
  <c r="CT36" i="20"/>
  <c r="AH36" i="20"/>
  <c r="DJ34" i="20"/>
  <c r="AX34" i="20"/>
  <c r="DZ32" i="20"/>
  <c r="BN32" i="20"/>
  <c r="CD30" i="20"/>
  <c r="R30" i="20"/>
  <c r="CD124" i="20"/>
  <c r="DZ111" i="20"/>
  <c r="AH107" i="20"/>
  <c r="AX97" i="20"/>
  <c r="R94" i="20"/>
  <c r="AH92" i="20"/>
  <c r="DZ89" i="20"/>
  <c r="DZ88" i="20"/>
  <c r="AX86" i="20"/>
  <c r="DZ85" i="20"/>
  <c r="AH83" i="20"/>
  <c r="AH80" i="20"/>
  <c r="AX79" i="20"/>
  <c r="DJ78" i="20"/>
  <c r="DJ77" i="20"/>
  <c r="CD75" i="20"/>
  <c r="AX73" i="20"/>
  <c r="CD71" i="20"/>
  <c r="DJ70" i="20"/>
  <c r="BN69" i="20"/>
  <c r="CT68" i="20"/>
  <c r="AH68" i="20"/>
  <c r="DJ66" i="20"/>
  <c r="AX66" i="20"/>
  <c r="DZ64" i="20"/>
  <c r="BN64" i="20"/>
  <c r="CT63" i="20"/>
  <c r="AH63" i="20"/>
  <c r="DJ61" i="20"/>
  <c r="AX61" i="20"/>
  <c r="DZ59" i="20"/>
  <c r="BN59" i="20"/>
  <c r="CD57" i="20"/>
  <c r="R57" i="20"/>
  <c r="CT55" i="20"/>
  <c r="AH55" i="20"/>
  <c r="DJ53" i="20"/>
  <c r="AX53" i="20"/>
  <c r="DZ51" i="20"/>
  <c r="BN51" i="20"/>
  <c r="CD49" i="20"/>
  <c r="R49" i="20"/>
  <c r="CT47" i="20"/>
  <c r="AH47" i="20"/>
  <c r="DJ45" i="20"/>
  <c r="AX45" i="20"/>
  <c r="DZ43" i="20"/>
  <c r="BN43" i="20"/>
  <c r="CD41" i="20"/>
  <c r="R41" i="20"/>
  <c r="CT39" i="20"/>
  <c r="AH39" i="20"/>
  <c r="DJ37" i="20"/>
  <c r="AX37" i="20"/>
  <c r="DZ35" i="20"/>
  <c r="BN35" i="20"/>
  <c r="CD33" i="20"/>
  <c r="R33" i="20"/>
  <c r="CT31" i="20"/>
  <c r="AH31" i="20"/>
  <c r="DJ29" i="20"/>
  <c r="AX29" i="20"/>
  <c r="R124" i="20"/>
  <c r="CT120" i="20"/>
  <c r="BN116" i="20"/>
  <c r="AH97" i="20"/>
  <c r="R91" i="20"/>
  <c r="CT89" i="20"/>
  <c r="DJ87" i="20"/>
  <c r="DJ85" i="20"/>
  <c r="BN84" i="20"/>
  <c r="R83" i="20"/>
  <c r="AX81" i="20"/>
  <c r="DZ79" i="20"/>
  <c r="AH79" i="20"/>
  <c r="BN75" i="20"/>
  <c r="BN74" i="20"/>
  <c r="AX72" i="20"/>
  <c r="AH70" i="20"/>
  <c r="DZ69" i="20"/>
  <c r="AX69" i="20"/>
  <c r="DZ67" i="20"/>
  <c r="BN67" i="20"/>
  <c r="CD65" i="20"/>
  <c r="R65" i="20"/>
  <c r="DZ62" i="20"/>
  <c r="BN62" i="20"/>
  <c r="CD60" i="20"/>
  <c r="R60" i="20"/>
  <c r="CT58" i="20"/>
  <c r="AH58" i="20"/>
  <c r="DJ56" i="20"/>
  <c r="AX56" i="20"/>
  <c r="DZ54" i="20"/>
  <c r="BN54" i="20"/>
  <c r="CD52" i="20"/>
  <c r="R52" i="20"/>
  <c r="CT50" i="20"/>
  <c r="AH50" i="20"/>
  <c r="DJ48" i="20"/>
  <c r="AX48" i="20"/>
  <c r="DZ46" i="20"/>
  <c r="BN46" i="20"/>
  <c r="CD44" i="20"/>
  <c r="R44" i="20"/>
  <c r="CT42" i="20"/>
  <c r="AH42" i="20"/>
  <c r="DJ40" i="20"/>
  <c r="AX40" i="20"/>
  <c r="DZ38" i="20"/>
  <c r="BN38" i="20"/>
  <c r="CD36" i="20"/>
  <c r="R36" i="20"/>
  <c r="CT34" i="20"/>
  <c r="AH34" i="20"/>
  <c r="DJ32" i="20"/>
  <c r="AX32" i="20"/>
  <c r="DZ30" i="20"/>
  <c r="BN30" i="20"/>
  <c r="DJ108" i="20"/>
  <c r="DJ100" i="20"/>
  <c r="AH99" i="20"/>
  <c r="DZ83" i="20"/>
  <c r="CD82" i="20"/>
  <c r="AH81" i="20"/>
  <c r="R80" i="20"/>
  <c r="CT78" i="20"/>
  <c r="CD77" i="20"/>
  <c r="BN76" i="20"/>
  <c r="AH73" i="20"/>
  <c r="AH72" i="20"/>
  <c r="BN71" i="20"/>
  <c r="CT70" i="20"/>
  <c r="DJ69" i="20"/>
  <c r="CD68" i="20"/>
  <c r="R68" i="20"/>
  <c r="CT66" i="20"/>
  <c r="AH66" i="20"/>
  <c r="DJ64" i="20"/>
  <c r="AX64" i="20"/>
  <c r="CD63" i="20"/>
  <c r="R63" i="20"/>
  <c r="CT61" i="20"/>
  <c r="AH61" i="20"/>
  <c r="DJ59" i="20"/>
  <c r="AX59" i="20"/>
  <c r="DZ57" i="20"/>
  <c r="BN57" i="20"/>
  <c r="CD55" i="20"/>
  <c r="R55" i="20"/>
  <c r="CT53" i="20"/>
  <c r="AH53" i="20"/>
  <c r="DJ51" i="20"/>
  <c r="AX51" i="20"/>
  <c r="DZ49" i="20"/>
  <c r="BN49" i="20"/>
  <c r="CD47" i="20"/>
  <c r="R47" i="20"/>
  <c r="CT45" i="20"/>
  <c r="AH45" i="20"/>
  <c r="DJ43" i="20"/>
  <c r="AX43" i="20"/>
  <c r="DZ41" i="20"/>
  <c r="BN41" i="20"/>
  <c r="CD39" i="20"/>
  <c r="R39" i="20"/>
  <c r="CT37" i="20"/>
  <c r="AH37" i="20"/>
  <c r="DJ35" i="20"/>
  <c r="AX35" i="20"/>
  <c r="DZ33" i="20"/>
  <c r="BN33" i="20"/>
  <c r="CD31" i="20"/>
  <c r="R31" i="20"/>
  <c r="CT29" i="20"/>
  <c r="AH29" i="20"/>
  <c r="DZ121" i="20"/>
  <c r="CD117" i="20"/>
  <c r="AX113" i="20"/>
  <c r="DZ101" i="20"/>
  <c r="AX100" i="20"/>
  <c r="AH89" i="20"/>
  <c r="CD85" i="20"/>
  <c r="R81" i="20"/>
  <c r="CT80" i="20"/>
  <c r="DJ79" i="20"/>
  <c r="AH75" i="20"/>
  <c r="DJ73" i="20"/>
  <c r="R73" i="20"/>
  <c r="DJ72" i="20"/>
  <c r="DZ71" i="20"/>
  <c r="AH69" i="20"/>
  <c r="DJ67" i="20"/>
  <c r="AX67" i="20"/>
  <c r="DZ65" i="20"/>
  <c r="BN65" i="20"/>
  <c r="DJ62" i="20"/>
  <c r="AX62" i="20"/>
  <c r="DZ60" i="20"/>
  <c r="BN60" i="20"/>
  <c r="CD58" i="20"/>
  <c r="R58" i="20"/>
  <c r="CT56" i="20"/>
  <c r="AH56" i="20"/>
  <c r="DJ54" i="20"/>
  <c r="AX54" i="20"/>
  <c r="DZ52" i="20"/>
  <c r="BN52" i="20"/>
  <c r="CD50" i="20"/>
  <c r="R50" i="20"/>
  <c r="CT48" i="20"/>
  <c r="AH48" i="20"/>
  <c r="DJ46" i="20"/>
  <c r="AX46" i="20"/>
  <c r="DZ44" i="20"/>
  <c r="BN44" i="20"/>
  <c r="BN121" i="20"/>
  <c r="BN101" i="20"/>
  <c r="AX87" i="20"/>
  <c r="DJ86" i="20"/>
  <c r="BN85" i="20"/>
  <c r="CT83" i="20"/>
  <c r="CT79" i="20"/>
  <c r="BN77" i="20"/>
  <c r="AX76" i="20"/>
  <c r="DZ75" i="20"/>
  <c r="DZ74" i="20"/>
  <c r="R74" i="20"/>
  <c r="CT72" i="20"/>
  <c r="R72" i="20"/>
  <c r="AX71" i="20"/>
  <c r="CT69" i="20"/>
  <c r="DZ68" i="20"/>
  <c r="BN68" i="20"/>
  <c r="CD66" i="20"/>
  <c r="R66" i="20"/>
  <c r="CT64" i="20"/>
  <c r="AH64" i="20"/>
  <c r="DZ63" i="20"/>
  <c r="BN63" i="20"/>
  <c r="CD61" i="20"/>
  <c r="R61" i="20"/>
  <c r="CT59" i="20"/>
  <c r="AH59" i="20"/>
  <c r="DJ57" i="20"/>
  <c r="AX57" i="20"/>
  <c r="DZ55" i="20"/>
  <c r="BN55" i="20"/>
  <c r="CD53" i="20"/>
  <c r="R53" i="20"/>
  <c r="CT51" i="20"/>
  <c r="AH51" i="20"/>
  <c r="DJ49" i="20"/>
  <c r="AX49" i="20"/>
  <c r="DZ47" i="20"/>
  <c r="BN47" i="20"/>
  <c r="CD45" i="20"/>
  <c r="R45" i="20"/>
  <c r="CT43" i="20"/>
  <c r="AH43" i="20"/>
  <c r="DJ41" i="20"/>
  <c r="AX41" i="20"/>
  <c r="DZ39" i="20"/>
  <c r="BN39" i="20"/>
  <c r="CD37" i="20"/>
  <c r="R37" i="20"/>
  <c r="CT35" i="20"/>
  <c r="AH35" i="20"/>
  <c r="DJ33" i="20"/>
  <c r="AX33" i="20"/>
  <c r="DZ31" i="20"/>
  <c r="BN31" i="20"/>
  <c r="CD29" i="20"/>
  <c r="R29" i="20"/>
  <c r="R69" i="20"/>
  <c r="AH62" i="20"/>
  <c r="AH54" i="20"/>
  <c r="AH46" i="20"/>
  <c r="R42" i="20"/>
  <c r="CD40" i="20"/>
  <c r="R34" i="20"/>
  <c r="CD32" i="20"/>
  <c r="DJ105" i="20"/>
  <c r="DZ84" i="20"/>
  <c r="CD80" i="20"/>
  <c r="DZ76" i="20"/>
  <c r="R75" i="20"/>
  <c r="DJ71" i="20"/>
  <c r="BN70" i="20"/>
  <c r="CD56" i="20"/>
  <c r="CD48" i="20"/>
  <c r="AH40" i="20"/>
  <c r="DJ38" i="20"/>
  <c r="AH32" i="20"/>
  <c r="DJ30" i="20"/>
  <c r="AH71" i="20"/>
  <c r="R56" i="20"/>
  <c r="R48" i="20"/>
  <c r="R40" i="20"/>
  <c r="CT38" i="20"/>
  <c r="R32" i="20"/>
  <c r="CT30" i="20"/>
  <c r="CD114" i="20"/>
  <c r="AH102" i="20"/>
  <c r="AX85" i="20"/>
  <c r="DJ81" i="20"/>
  <c r="AX77" i="20"/>
  <c r="DJ65" i="20"/>
  <c r="DZ58" i="20"/>
  <c r="DZ50" i="20"/>
  <c r="AX38" i="20"/>
  <c r="DZ36" i="20"/>
  <c r="AX30" i="20"/>
  <c r="AH122" i="20"/>
  <c r="CT94" i="20"/>
  <c r="AX65" i="20"/>
  <c r="BN58" i="20"/>
  <c r="BN50" i="20"/>
  <c r="AH38" i="20"/>
  <c r="DJ36" i="20"/>
  <c r="AH30" i="20"/>
  <c r="DJ103" i="20"/>
  <c r="AX78" i="20"/>
  <c r="CT73" i="20"/>
  <c r="CT67" i="20"/>
  <c r="DJ60" i="20"/>
  <c r="DJ52" i="20"/>
  <c r="DJ44" i="20"/>
  <c r="DZ42" i="20"/>
  <c r="BN36" i="20"/>
  <c r="DZ34" i="20"/>
  <c r="BN42" i="20"/>
  <c r="BN34" i="20"/>
  <c r="AH87" i="20"/>
  <c r="CT54" i="20"/>
  <c r="AX60" i="20"/>
  <c r="AX44" i="20"/>
  <c r="AX36" i="20"/>
  <c r="AH67" i="20"/>
  <c r="CT62" i="20"/>
  <c r="CT46" i="20"/>
  <c r="CT40" i="20"/>
  <c r="CT32" i="20"/>
  <c r="AX52" i="20"/>
  <c r="CD83" i="20"/>
  <c r="CD42" i="20"/>
  <c r="CD34" i="20"/>
  <c r="E32" i="31"/>
  <c r="F32" i="31" s="1"/>
  <c r="E27" i="31"/>
  <c r="F27" i="31" s="1"/>
  <c r="E30" i="31"/>
  <c r="F30" i="31" s="1"/>
  <c r="E35" i="31"/>
  <c r="F35" i="31" s="1"/>
  <c r="E33" i="31"/>
  <c r="F33" i="31" s="1"/>
  <c r="E28" i="31"/>
  <c r="F28" i="31" s="1"/>
  <c r="E34" i="31"/>
  <c r="F34" i="31" s="1"/>
  <c r="E29" i="31"/>
  <c r="F29" i="31" s="1"/>
  <c r="E31" i="31"/>
  <c r="F31" i="31" s="1"/>
  <c r="E26" i="31"/>
  <c r="F26" i="31" s="1"/>
  <c r="S24" i="23"/>
  <c r="S9" i="23"/>
  <c r="H27" i="32"/>
  <c r="I27" i="32" s="1"/>
  <c r="H25" i="32"/>
  <c r="I25" i="32" s="1"/>
  <c r="H19" i="32"/>
  <c r="I19" i="32" s="1"/>
  <c r="H16" i="32"/>
  <c r="I16" i="32" s="1"/>
  <c r="H22" i="32"/>
  <c r="I22" i="32" s="1"/>
  <c r="H28" i="32"/>
  <c r="I28" i="32" s="1"/>
  <c r="H23" i="32"/>
  <c r="I23" i="32" s="1"/>
  <c r="H17" i="32"/>
  <c r="I17" i="32" s="1"/>
  <c r="H20" i="32"/>
  <c r="I20" i="32" s="1"/>
  <c r="H26" i="32"/>
  <c r="I26" i="32" s="1"/>
  <c r="H21" i="32"/>
  <c r="I21" i="32" s="1"/>
  <c r="D20" i="6"/>
  <c r="F12" i="18"/>
  <c r="E22" i="6"/>
  <c r="F22" i="6"/>
  <c r="D22" i="6"/>
  <c r="C23" i="6"/>
  <c r="AI3" i="7" l="1"/>
  <c r="AK53" i="7"/>
  <c r="AK6" i="7" s="1"/>
  <c r="AI53" i="7"/>
  <c r="D86" i="17"/>
  <c r="E41" i="36"/>
  <c r="B13" i="23"/>
  <c r="G13" i="23" s="1"/>
  <c r="AC13" i="23" s="1"/>
  <c r="Y13" i="23" s="1"/>
  <c r="E39" i="29"/>
  <c r="AC14" i="23"/>
  <c r="Y14" i="23" s="1"/>
  <c r="AU53" i="7"/>
  <c r="AW2" i="7"/>
  <c r="O39" i="29"/>
  <c r="I39" i="29"/>
  <c r="G39" i="29"/>
  <c r="K39" i="29"/>
  <c r="M39" i="29"/>
  <c r="AU3" i="7"/>
  <c r="U166" i="16"/>
  <c r="N25" i="18"/>
  <c r="B12" i="23" s="1"/>
  <c r="G12" i="23" s="1"/>
  <c r="AC12" i="23" s="1"/>
  <c r="BL6" i="7"/>
  <c r="D31" i="18" s="1"/>
  <c r="E12" i="17"/>
  <c r="D12" i="17"/>
  <c r="R9" i="18"/>
  <c r="R8" i="18"/>
  <c r="T172" i="16"/>
  <c r="U172" i="16"/>
  <c r="W172" i="16"/>
  <c r="V172" i="16"/>
  <c r="R7" i="18"/>
  <c r="N41" i="43"/>
  <c r="H21" i="43" s="1"/>
  <c r="D41" i="43"/>
  <c r="H41" i="43"/>
  <c r="F41" i="43"/>
  <c r="L41" i="43"/>
  <c r="G21" i="43" s="1"/>
  <c r="I10" i="19"/>
  <c r="J10" i="19" s="1"/>
  <c r="J12" i="19" s="1"/>
  <c r="AU33" i="19"/>
  <c r="AT33" i="19"/>
  <c r="V33" i="19"/>
  <c r="AT31" i="19"/>
  <c r="AU31" i="19"/>
  <c r="V31" i="19"/>
  <c r="AU32" i="19"/>
  <c r="AT32" i="19"/>
  <c r="V32" i="19"/>
  <c r="U14" i="23"/>
  <c r="AA14" i="23" s="1"/>
  <c r="O31" i="19"/>
  <c r="P31" i="19" s="1"/>
  <c r="O32" i="19"/>
  <c r="P32" i="19" s="1"/>
  <c r="AL14" i="23"/>
  <c r="O31" i="18" s="1"/>
  <c r="H31" i="18" s="1"/>
  <c r="Y29" i="23"/>
  <c r="AB29" i="23" s="1"/>
  <c r="Z29" i="23" s="1"/>
  <c r="AL29" i="23"/>
  <c r="N39" i="42"/>
  <c r="H17" i="42" s="1"/>
  <c r="L39" i="42"/>
  <c r="G17" i="42" s="1"/>
  <c r="D39" i="42"/>
  <c r="F39" i="42"/>
  <c r="BF6" i="7"/>
  <c r="D28" i="18" s="1"/>
  <c r="H39" i="42"/>
  <c r="O172" i="16"/>
  <c r="N172" i="16"/>
  <c r="P172" i="16"/>
  <c r="Q172" i="16"/>
  <c r="S172" i="16"/>
  <c r="R172" i="16"/>
  <c r="E172" i="16"/>
  <c r="D172" i="16"/>
  <c r="G172" i="16"/>
  <c r="F172" i="16"/>
  <c r="M172" i="16"/>
  <c r="L172" i="16"/>
  <c r="D14" i="17"/>
  <c r="C8" i="18"/>
  <c r="C9" i="18"/>
  <c r="C7" i="18"/>
  <c r="U169" i="16"/>
  <c r="T169" i="16"/>
  <c r="S169" i="16"/>
  <c r="R169" i="16"/>
  <c r="R166" i="16"/>
  <c r="S166" i="16"/>
  <c r="N26" i="16"/>
  <c r="D26" i="16"/>
  <c r="O26" i="16"/>
  <c r="K8" i="16" a="1"/>
  <c r="K8" i="16" s="1"/>
  <c r="E26" i="16"/>
  <c r="F26" i="16"/>
  <c r="K7" i="16" a="1"/>
  <c r="K7" i="16" s="1"/>
  <c r="Q26" i="16"/>
  <c r="K4" i="16" a="1"/>
  <c r="K4" i="16" s="1"/>
  <c r="M26" i="16"/>
  <c r="L26" i="16"/>
  <c r="K3" i="16" a="1"/>
  <c r="K3" i="16" s="1"/>
  <c r="K11" i="16" a="1"/>
  <c r="K11" i="16" s="1"/>
  <c r="K6" i="16" a="1"/>
  <c r="K6" i="16" s="1"/>
  <c r="K5" i="16" a="1"/>
  <c r="K5" i="16" s="1"/>
  <c r="K9" i="16" a="1"/>
  <c r="K9" i="16" s="1"/>
  <c r="A7" i="16"/>
  <c r="K12" i="16" a="1"/>
  <c r="K12" i="16" s="1"/>
  <c r="H16" i="19"/>
  <c r="I31" i="19" s="1"/>
  <c r="I44" i="40"/>
  <c r="E44" i="40"/>
  <c r="G44" i="40"/>
  <c r="O44" i="40"/>
  <c r="I18" i="40" s="1"/>
  <c r="I24" i="40" s="1"/>
  <c r="M44" i="40"/>
  <c r="H18" i="40" s="1"/>
  <c r="H24" i="40" s="1"/>
  <c r="O44" i="39"/>
  <c r="I18" i="39" s="1"/>
  <c r="I24" i="39" s="1"/>
  <c r="M44" i="39"/>
  <c r="H18" i="39" s="1"/>
  <c r="H24" i="39" s="1"/>
  <c r="I44" i="39"/>
  <c r="G44" i="39"/>
  <c r="E44" i="39"/>
  <c r="J7" i="19"/>
  <c r="J9" i="19" s="1"/>
  <c r="J22" i="19"/>
  <c r="J23" i="19" s="1"/>
  <c r="J13" i="19"/>
  <c r="J19" i="19"/>
  <c r="J21" i="19" s="1"/>
  <c r="V6" i="7"/>
  <c r="D15" i="18" s="1"/>
  <c r="J4" i="19"/>
  <c r="E50" i="17"/>
  <c r="F50" i="17"/>
  <c r="E18" i="39"/>
  <c r="E20" i="39" s="1"/>
  <c r="E22" i="39" s="1"/>
  <c r="E26" i="39" s="1"/>
  <c r="AI22" i="23"/>
  <c r="D18" i="39"/>
  <c r="D20" i="39" s="1"/>
  <c r="D22" i="39" s="1"/>
  <c r="D26" i="39" s="1"/>
  <c r="D32" i="17"/>
  <c r="E59" i="17"/>
  <c r="F59" i="17"/>
  <c r="F32" i="17"/>
  <c r="C11" i="18"/>
  <c r="AL7" i="23"/>
  <c r="I24" i="27"/>
  <c r="E5" i="27" s="1"/>
  <c r="J21" i="28" s="1"/>
  <c r="AF11" i="19"/>
  <c r="AG11" i="19" s="1"/>
  <c r="AF12" i="19"/>
  <c r="AG12" i="19" s="1"/>
  <c r="AF10" i="19"/>
  <c r="AG10" i="19" s="1"/>
  <c r="BA2" i="7"/>
  <c r="I41" i="36"/>
  <c r="I37" i="37"/>
  <c r="F18" i="37" s="1"/>
  <c r="F20" i="37" s="1"/>
  <c r="F22" i="37" s="1"/>
  <c r="G41" i="36"/>
  <c r="G37" i="37"/>
  <c r="E18" i="37" s="1"/>
  <c r="E20" i="37" s="1"/>
  <c r="E22" i="37" s="1"/>
  <c r="E37" i="37"/>
  <c r="D18" i="37" s="1"/>
  <c r="D20" i="37" s="1"/>
  <c r="D22" i="37" s="1"/>
  <c r="M24" i="27"/>
  <c r="G5" i="27" s="1"/>
  <c r="L11" i="28" s="1"/>
  <c r="DK1" i="22"/>
  <c r="M37" i="37"/>
  <c r="H18" i="37" s="1"/>
  <c r="H20" i="37" s="1"/>
  <c r="H22" i="37" s="1"/>
  <c r="O41" i="36"/>
  <c r="K24" i="27"/>
  <c r="F5" i="27" s="1"/>
  <c r="K19" i="28" s="1"/>
  <c r="M41" i="36"/>
  <c r="O37" i="37"/>
  <c r="I18" i="37" s="1"/>
  <c r="I20" i="37" s="1"/>
  <c r="I22" i="37" s="1"/>
  <c r="AN7" i="23"/>
  <c r="Y7" i="23"/>
  <c r="AB7" i="23" s="1"/>
  <c r="AA7" i="23"/>
  <c r="AM22" i="23"/>
  <c r="DZ14" i="20"/>
  <c r="EA14" i="20"/>
  <c r="DK14" i="22"/>
  <c r="EA14" i="22"/>
  <c r="C12" i="18"/>
  <c r="AN22" i="23"/>
  <c r="D24" i="17"/>
  <c r="C13" i="18"/>
  <c r="AE22" i="23"/>
  <c r="C10" i="18"/>
  <c r="AJ22" i="23"/>
  <c r="F48" i="35"/>
  <c r="D24" i="35" s="1"/>
  <c r="D26" i="35" s="1"/>
  <c r="D28" i="35" s="1"/>
  <c r="AF22" i="23"/>
  <c r="AB22" i="23"/>
  <c r="Z22" i="23" s="1"/>
  <c r="J48" i="35"/>
  <c r="F24" i="35" s="1"/>
  <c r="F26" i="35" s="1"/>
  <c r="F28" i="35" s="1"/>
  <c r="V7" i="23"/>
  <c r="AE7" i="23" s="1"/>
  <c r="I30" i="32"/>
  <c r="E4" i="32" s="1"/>
  <c r="L48" i="24"/>
  <c r="G24" i="24" s="1"/>
  <c r="D48" i="35"/>
  <c r="C24" i="35" s="1"/>
  <c r="C26" i="35" s="1"/>
  <c r="C28" i="35" s="1"/>
  <c r="L48" i="35"/>
  <c r="G24" i="35" s="1"/>
  <c r="G26" i="35" s="1"/>
  <c r="G28" i="35" s="1"/>
  <c r="N48" i="25"/>
  <c r="H24" i="25" s="1"/>
  <c r="H26" i="25" s="1"/>
  <c r="H28" i="25" s="1"/>
  <c r="H48" i="35"/>
  <c r="E24" i="35" s="1"/>
  <c r="E26" i="35" s="1"/>
  <c r="E28" i="35" s="1"/>
  <c r="N48" i="35"/>
  <c r="H24" i="35" s="1"/>
  <c r="H26" i="35" s="1"/>
  <c r="H28" i="35" s="1"/>
  <c r="R1" i="20"/>
  <c r="R14" i="20"/>
  <c r="K30" i="32"/>
  <c r="F4" i="32" s="1"/>
  <c r="C30" i="32"/>
  <c r="B4" i="32" s="1"/>
  <c r="E1" i="4"/>
  <c r="D1" i="4"/>
  <c r="AC2" i="7"/>
  <c r="AI14" i="22"/>
  <c r="AI1" i="22"/>
  <c r="N37" i="31"/>
  <c r="H18" i="31" s="1"/>
  <c r="G24" i="27"/>
  <c r="D5" i="27" s="1"/>
  <c r="CD1" i="20"/>
  <c r="CD14" i="20"/>
  <c r="BO14" i="20"/>
  <c r="BO1" i="20"/>
  <c r="AH14" i="20"/>
  <c r="AH1" i="20"/>
  <c r="DK1" i="20"/>
  <c r="DK14" i="20"/>
  <c r="D48" i="25"/>
  <c r="C24" i="25" s="1"/>
  <c r="C26" i="25" s="1"/>
  <c r="C28" i="25" s="1"/>
  <c r="M41" i="26"/>
  <c r="H20" i="26" s="1"/>
  <c r="AO2" i="7"/>
  <c r="D18" i="29"/>
  <c r="D20" i="29" s="1"/>
  <c r="D22" i="29" s="1"/>
  <c r="K41" i="26"/>
  <c r="G20" i="26" s="1"/>
  <c r="AY14" i="20"/>
  <c r="AY1" i="20"/>
  <c r="CT1" i="20"/>
  <c r="CT14" i="20"/>
  <c r="J6" i="16" a="1"/>
  <c r="J6" i="16" s="1"/>
  <c r="J5" i="16" a="1"/>
  <c r="J5" i="16" s="1"/>
  <c r="J12" i="16" a="1"/>
  <c r="J12" i="16" s="1"/>
  <c r="J11" i="16" a="1"/>
  <c r="J11" i="16" s="1"/>
  <c r="J3" i="16" a="1"/>
  <c r="J3" i="16" s="1"/>
  <c r="J7" i="16" a="1"/>
  <c r="J7" i="16" s="1"/>
  <c r="J10" i="16" a="1"/>
  <c r="J10" i="16" s="1"/>
  <c r="J4" i="16" a="1"/>
  <c r="J4" i="16" s="1"/>
  <c r="J9" i="16" a="1"/>
  <c r="J9" i="16" s="1"/>
  <c r="J8" i="16" a="1"/>
  <c r="J8" i="16" s="1"/>
  <c r="AI14" i="20"/>
  <c r="AI1" i="20"/>
  <c r="L48" i="25"/>
  <c r="G24" i="25" s="1"/>
  <c r="G26" i="25" s="1"/>
  <c r="G28" i="25" s="1"/>
  <c r="E18" i="29"/>
  <c r="E20" i="29" s="1"/>
  <c r="E22" i="29" s="1"/>
  <c r="G41" i="26"/>
  <c r="E20" i="26" s="1"/>
  <c r="O41" i="26"/>
  <c r="I20" i="26" s="1"/>
  <c r="H48" i="24"/>
  <c r="E24" i="24" s="1"/>
  <c r="H48" i="25"/>
  <c r="E24" i="25" s="1"/>
  <c r="E26" i="25" s="1"/>
  <c r="E28" i="25" s="1"/>
  <c r="CE14" i="20"/>
  <c r="CE1" i="20"/>
  <c r="BN14" i="20"/>
  <c r="BN1" i="20"/>
  <c r="AX14" i="20"/>
  <c r="AX1" i="20"/>
  <c r="J37" i="31"/>
  <c r="F18" i="31" s="1"/>
  <c r="CU1" i="20"/>
  <c r="CU14" i="20"/>
  <c r="I18" i="29"/>
  <c r="I20" i="29" s="1"/>
  <c r="I22" i="29" s="1"/>
  <c r="CE14" i="22"/>
  <c r="CE1" i="22"/>
  <c r="E11" i="4"/>
  <c r="D11" i="4"/>
  <c r="E8" i="4"/>
  <c r="N48" i="24"/>
  <c r="H24" i="24" s="1"/>
  <c r="F48" i="24"/>
  <c r="AY14" i="22"/>
  <c r="AY1" i="22"/>
  <c r="H37" i="31"/>
  <c r="E18" i="31" s="1"/>
  <c r="F37" i="31"/>
  <c r="D18" i="31" s="1"/>
  <c r="DJ1" i="20"/>
  <c r="DJ14" i="20"/>
  <c r="BO14" i="22"/>
  <c r="BO1" i="22"/>
  <c r="E30" i="32"/>
  <c r="C4" i="32" s="1"/>
  <c r="G18" i="29"/>
  <c r="D37" i="31"/>
  <c r="C18" i="31" s="1"/>
  <c r="M30" i="32"/>
  <c r="G4" i="32" s="1"/>
  <c r="L37" i="31"/>
  <c r="G18" i="31" s="1"/>
  <c r="CU1" i="22"/>
  <c r="CU14" i="22"/>
  <c r="F23" i="6"/>
  <c r="F32" i="6" s="1"/>
  <c r="C37" i="6" s="1"/>
  <c r="D23" i="6"/>
  <c r="D32" i="6" s="1"/>
  <c r="C35" i="6" s="1"/>
  <c r="E23" i="6"/>
  <c r="E32" i="6" s="1"/>
  <c r="C36" i="6" s="1"/>
  <c r="I41" i="26"/>
  <c r="F20" i="26" s="1"/>
  <c r="S1" i="22"/>
  <c r="S14" i="22"/>
  <c r="J48" i="24"/>
  <c r="F24" i="24" s="1"/>
  <c r="E24" i="27"/>
  <c r="C5" i="27" s="1"/>
  <c r="G30" i="32"/>
  <c r="D4" i="32" s="1"/>
  <c r="C24" i="27"/>
  <c r="B5" i="27" s="1"/>
  <c r="D48" i="24"/>
  <c r="C24" i="24" s="1"/>
  <c r="S1" i="20"/>
  <c r="S14" i="20"/>
  <c r="F18" i="29"/>
  <c r="F20" i="29" s="1"/>
  <c r="F22" i="29" s="1"/>
  <c r="J48" i="25"/>
  <c r="F24" i="25" s="1"/>
  <c r="F26" i="25" s="1"/>
  <c r="F28" i="25" s="1"/>
  <c r="E41" i="26"/>
  <c r="D20" i="26" s="1"/>
  <c r="Q2" i="7"/>
  <c r="F48" i="25"/>
  <c r="D24" i="25" s="1"/>
  <c r="D26" i="25" s="1"/>
  <c r="D28" i="25" s="1"/>
  <c r="H18" i="29"/>
  <c r="H20" i="29" s="1"/>
  <c r="H22" i="29" s="1"/>
  <c r="AB14" i="23" l="1"/>
  <c r="D66" i="16"/>
  <c r="AU6" i="7"/>
  <c r="AT6" i="7" s="1"/>
  <c r="K170" i="7" s="1"/>
  <c r="AC28" i="23"/>
  <c r="Y28" i="23" s="1"/>
  <c r="AB28" i="23" s="1"/>
  <c r="N66" i="16"/>
  <c r="AI6" i="7"/>
  <c r="AH6" i="7" s="1"/>
  <c r="D21" i="18" s="1"/>
  <c r="AU2" i="7"/>
  <c r="AI2" i="7"/>
  <c r="F12" i="32"/>
  <c r="F11" i="32" s="1"/>
  <c r="G12" i="32"/>
  <c r="G11" i="32" s="1"/>
  <c r="F5" i="23"/>
  <c r="H23" i="43"/>
  <c r="H25" i="43" s="1"/>
  <c r="N9" i="18" s="1"/>
  <c r="D6" i="23" s="1"/>
  <c r="I6" i="23" s="1"/>
  <c r="AK21" i="23" s="1"/>
  <c r="W21" i="23" s="1"/>
  <c r="W9" i="18"/>
  <c r="H19" i="42"/>
  <c r="H21" i="42" s="1"/>
  <c r="N33" i="18" s="1"/>
  <c r="D14" i="23" s="1"/>
  <c r="I14" i="23" s="1"/>
  <c r="W33" i="18"/>
  <c r="E33" i="18" s="1"/>
  <c r="W32" i="18"/>
  <c r="E32" i="18" s="1"/>
  <c r="G19" i="42"/>
  <c r="G21" i="42" s="1"/>
  <c r="N32" i="18" s="1"/>
  <c r="C14" i="23" s="1"/>
  <c r="H14" i="23" s="1"/>
  <c r="G23" i="43"/>
  <c r="G25" i="43" s="1"/>
  <c r="N8" i="18" s="1"/>
  <c r="W8" i="18"/>
  <c r="F10" i="23"/>
  <c r="AK2" i="7"/>
  <c r="D33" i="18"/>
  <c r="D32" i="18"/>
  <c r="W173" i="16"/>
  <c r="V173" i="16"/>
  <c r="W22" i="18"/>
  <c r="G20" i="29"/>
  <c r="G22" i="29" s="1"/>
  <c r="N22" i="18" s="1"/>
  <c r="B11" i="23" s="1"/>
  <c r="I25" i="19"/>
  <c r="J25" i="19" s="1"/>
  <c r="J26" i="19" s="1"/>
  <c r="I28" i="19"/>
  <c r="J28" i="19" s="1"/>
  <c r="J29" i="19" s="1"/>
  <c r="I16" i="19"/>
  <c r="J16" i="19" s="1"/>
  <c r="Z14" i="23"/>
  <c r="J31" i="19"/>
  <c r="L31" i="18"/>
  <c r="D16" i="17"/>
  <c r="F16" i="17"/>
  <c r="E16" i="17"/>
  <c r="G165" i="16"/>
  <c r="F165" i="16"/>
  <c r="H20" i="40"/>
  <c r="I20" i="40"/>
  <c r="A8" i="16"/>
  <c r="D29" i="18"/>
  <c r="D30" i="18"/>
  <c r="AH22" i="23"/>
  <c r="I20" i="39"/>
  <c r="I22" i="39" s="1"/>
  <c r="I26" i="39" s="1"/>
  <c r="N30" i="18" s="1"/>
  <c r="H20" i="39"/>
  <c r="H22" i="39" s="1"/>
  <c r="H26" i="39" s="1"/>
  <c r="N29" i="18" s="1"/>
  <c r="K236" i="7"/>
  <c r="D11" i="18"/>
  <c r="D14" i="18"/>
  <c r="D13" i="18"/>
  <c r="D10" i="18"/>
  <c r="D12" i="18"/>
  <c r="U28" i="19"/>
  <c r="L28" i="19" s="1"/>
  <c r="O28" i="19" s="1"/>
  <c r="AS28" i="19"/>
  <c r="U29" i="19"/>
  <c r="M29" i="19" s="1"/>
  <c r="O29" i="19" s="1"/>
  <c r="W30" i="18"/>
  <c r="E30" i="18" s="1"/>
  <c r="T168" i="16" s="1"/>
  <c r="W29" i="18"/>
  <c r="E29" i="18" s="1"/>
  <c r="U13" i="23"/>
  <c r="AA13" i="23" s="1"/>
  <c r="AL13" i="23"/>
  <c r="O28" i="18" s="1"/>
  <c r="H28" i="18" s="1"/>
  <c r="AB13" i="23"/>
  <c r="J10" i="28"/>
  <c r="J5" i="28"/>
  <c r="J15" i="28"/>
  <c r="J25" i="28"/>
  <c r="J11" i="19"/>
  <c r="J19" i="28"/>
  <c r="J4" i="28"/>
  <c r="J28" i="28"/>
  <c r="J23" i="28"/>
  <c r="J22" i="28"/>
  <c r="J2" i="28"/>
  <c r="J6" i="28"/>
  <c r="J17" i="28"/>
  <c r="J9" i="28"/>
  <c r="J20" i="28"/>
  <c r="J8" i="28"/>
  <c r="J26" i="28"/>
  <c r="J14" i="28"/>
  <c r="J27" i="28"/>
  <c r="J3" i="28"/>
  <c r="J7" i="28"/>
  <c r="AJ7" i="23"/>
  <c r="AH7" i="23" s="1"/>
  <c r="J29" i="28"/>
  <c r="J11" i="28"/>
  <c r="W13" i="18"/>
  <c r="F13" i="18" s="1"/>
  <c r="J13" i="28"/>
  <c r="J12" i="28"/>
  <c r="J16" i="28"/>
  <c r="J24" i="28"/>
  <c r="J18" i="28"/>
  <c r="V9" i="19"/>
  <c r="W9" i="19" s="1"/>
  <c r="V8" i="19"/>
  <c r="W8" i="19" s="1"/>
  <c r="D24" i="38"/>
  <c r="D40" i="38"/>
  <c r="D19" i="38"/>
  <c r="D23" i="38"/>
  <c r="D20" i="38"/>
  <c r="D26" i="38"/>
  <c r="D21" i="38"/>
  <c r="D8" i="38"/>
  <c r="D25" i="38"/>
  <c r="D23" i="33"/>
  <c r="D28" i="38"/>
  <c r="D30" i="38"/>
  <c r="D9" i="38"/>
  <c r="D10" i="38"/>
  <c r="D36" i="38"/>
  <c r="D16" i="38"/>
  <c r="D18" i="38"/>
  <c r="D22" i="38"/>
  <c r="D31" i="38"/>
  <c r="D17" i="38"/>
  <c r="D5" i="38"/>
  <c r="D32" i="38"/>
  <c r="D11" i="38"/>
  <c r="D13" i="38"/>
  <c r="D35" i="38"/>
  <c r="D14" i="38"/>
  <c r="D37" i="38"/>
  <c r="D38" i="38"/>
  <c r="D27" i="38"/>
  <c r="D6" i="38"/>
  <c r="D29" i="38"/>
  <c r="D33" i="38"/>
  <c r="D12" i="38"/>
  <c r="D34" i="38"/>
  <c r="D15" i="38"/>
  <c r="D39" i="38"/>
  <c r="D7" i="38"/>
  <c r="D36" i="33"/>
  <c r="D37" i="33"/>
  <c r="D32" i="33"/>
  <c r="D51" i="33"/>
  <c r="D47" i="33"/>
  <c r="D27" i="33"/>
  <c r="D28" i="33"/>
  <c r="D29" i="33"/>
  <c r="D30" i="33"/>
  <c r="D31" i="33"/>
  <c r="D26" i="33"/>
  <c r="D52" i="33"/>
  <c r="D46" i="33"/>
  <c r="D41" i="33"/>
  <c r="D42" i="33"/>
  <c r="U23" i="19"/>
  <c r="M23" i="19" s="1"/>
  <c r="O23" i="19" s="1"/>
  <c r="AS26" i="19"/>
  <c r="U26" i="19"/>
  <c r="M26" i="19" s="1"/>
  <c r="O26" i="19" s="1"/>
  <c r="E26" i="24"/>
  <c r="E28" i="24" s="1"/>
  <c r="N9" i="19"/>
  <c r="O9" i="19" s="1"/>
  <c r="U24" i="19"/>
  <c r="N24" i="19" s="1"/>
  <c r="O24" i="19" s="1"/>
  <c r="D20" i="31"/>
  <c r="D22" i="31" s="1"/>
  <c r="U17" i="19"/>
  <c r="M17" i="19" s="1"/>
  <c r="O17" i="19" s="1"/>
  <c r="E20" i="31"/>
  <c r="E22" i="31" s="1"/>
  <c r="U18" i="19"/>
  <c r="N18" i="19" s="1"/>
  <c r="O18" i="19" s="1"/>
  <c r="M8" i="19"/>
  <c r="O8" i="19" s="1"/>
  <c r="F24" i="38"/>
  <c r="F40" i="38"/>
  <c r="F16" i="38"/>
  <c r="F32" i="33"/>
  <c r="F48" i="33"/>
  <c r="F25" i="38"/>
  <c r="F23" i="38"/>
  <c r="F17" i="38"/>
  <c r="F33" i="33"/>
  <c r="F49" i="33"/>
  <c r="F18" i="38"/>
  <c r="F34" i="33"/>
  <c r="F50" i="33"/>
  <c r="F19" i="38"/>
  <c r="F35" i="33"/>
  <c r="F51" i="33"/>
  <c r="F39" i="38"/>
  <c r="F26" i="38"/>
  <c r="F27" i="38"/>
  <c r="F28" i="38"/>
  <c r="F20" i="38"/>
  <c r="F36" i="33"/>
  <c r="F52" i="33"/>
  <c r="F29" i="38"/>
  <c r="F21" i="38"/>
  <c r="F37" i="33"/>
  <c r="F23" i="33"/>
  <c r="F34" i="38"/>
  <c r="F27" i="33"/>
  <c r="F13" i="38"/>
  <c r="F46" i="33"/>
  <c r="F30" i="38"/>
  <c r="F6" i="38"/>
  <c r="F22" i="38"/>
  <c r="F38" i="33"/>
  <c r="F8" i="38"/>
  <c r="F40" i="33"/>
  <c r="F25" i="33"/>
  <c r="F41" i="33"/>
  <c r="F10" i="38"/>
  <c r="F11" i="38"/>
  <c r="F43" i="33"/>
  <c r="F28" i="33"/>
  <c r="F37" i="38"/>
  <c r="F29" i="33"/>
  <c r="F38" i="38"/>
  <c r="F31" i="38"/>
  <c r="F7" i="38"/>
  <c r="F5" i="38"/>
  <c r="F39" i="33"/>
  <c r="F24" i="33"/>
  <c r="F33" i="38"/>
  <c r="F9" i="38"/>
  <c r="F26" i="33"/>
  <c r="F12" i="38"/>
  <c r="F14" i="38"/>
  <c r="F15" i="38"/>
  <c r="F32" i="38"/>
  <c r="F44" i="33"/>
  <c r="F45" i="33"/>
  <c r="F30" i="33"/>
  <c r="F47" i="33"/>
  <c r="F42" i="33"/>
  <c r="F35" i="38"/>
  <c r="F36" i="38"/>
  <c r="F31" i="33"/>
  <c r="D12" i="32"/>
  <c r="D11" i="32" s="1"/>
  <c r="AS27" i="19"/>
  <c r="U27" i="19"/>
  <c r="N27" i="19" s="1"/>
  <c r="O27" i="19" s="1"/>
  <c r="H22" i="28"/>
  <c r="H28" i="28"/>
  <c r="H19" i="28"/>
  <c r="H24" i="28"/>
  <c r="H15" i="28"/>
  <c r="H11" i="28"/>
  <c r="H29" i="28"/>
  <c r="H26" i="28"/>
  <c r="H7" i="28"/>
  <c r="H20" i="28"/>
  <c r="H2" i="28"/>
  <c r="H27" i="28"/>
  <c r="H3" i="28"/>
  <c r="H21" i="28"/>
  <c r="H25" i="28"/>
  <c r="H17" i="28"/>
  <c r="H13" i="28"/>
  <c r="H16" i="28"/>
  <c r="H9" i="28"/>
  <c r="H12" i="28"/>
  <c r="H5" i="28"/>
  <c r="H23" i="28"/>
  <c r="H18" i="28"/>
  <c r="H4" i="28"/>
  <c r="H10" i="28"/>
  <c r="H8" i="28"/>
  <c r="H14" i="28"/>
  <c r="U14" i="19"/>
  <c r="M14" i="19" s="1"/>
  <c r="O14" i="19" s="1"/>
  <c r="H6" i="28"/>
  <c r="E38" i="38"/>
  <c r="E34" i="33"/>
  <c r="E50" i="33"/>
  <c r="E17" i="38"/>
  <c r="E39" i="38"/>
  <c r="E35" i="33"/>
  <c r="E51" i="33"/>
  <c r="E18" i="38"/>
  <c r="E24" i="38"/>
  <c r="E40" i="38"/>
  <c r="E36" i="33"/>
  <c r="E52" i="33"/>
  <c r="E19" i="38"/>
  <c r="E25" i="38"/>
  <c r="E23" i="38"/>
  <c r="E37" i="33"/>
  <c r="E23" i="33"/>
  <c r="E20" i="38"/>
  <c r="E49" i="33"/>
  <c r="E26" i="38"/>
  <c r="E38" i="33"/>
  <c r="E21" i="38"/>
  <c r="E27" i="38"/>
  <c r="E39" i="33"/>
  <c r="E6" i="38"/>
  <c r="E22" i="38"/>
  <c r="E28" i="33"/>
  <c r="E12" i="38"/>
  <c r="E34" i="38"/>
  <c r="E30" i="33"/>
  <c r="E13" i="38"/>
  <c r="E47" i="33"/>
  <c r="E37" i="38"/>
  <c r="E16" i="38"/>
  <c r="E28" i="38"/>
  <c r="E24" i="33"/>
  <c r="E40" i="33"/>
  <c r="E7" i="38"/>
  <c r="E5" i="38"/>
  <c r="E9" i="38"/>
  <c r="E31" i="38"/>
  <c r="E43" i="33"/>
  <c r="E11" i="38"/>
  <c r="E46" i="33"/>
  <c r="E32" i="33"/>
  <c r="E33" i="33"/>
  <c r="E29" i="38"/>
  <c r="E25" i="33"/>
  <c r="E41" i="33"/>
  <c r="E8" i="38"/>
  <c r="E30" i="38"/>
  <c r="E42" i="33"/>
  <c r="E27" i="33"/>
  <c r="E32" i="38"/>
  <c r="E33" i="38"/>
  <c r="E29" i="33"/>
  <c r="E35" i="38"/>
  <c r="E31" i="33"/>
  <c r="E48" i="33"/>
  <c r="E26" i="33"/>
  <c r="E44" i="33"/>
  <c r="E45" i="33"/>
  <c r="E10" i="38"/>
  <c r="E14" i="38"/>
  <c r="E36" i="38"/>
  <c r="E15" i="38"/>
  <c r="C12" i="32"/>
  <c r="C11" i="32" s="1"/>
  <c r="I15" i="28"/>
  <c r="U15" i="19"/>
  <c r="N15" i="19" s="1"/>
  <c r="O15" i="19" s="1"/>
  <c r="I11" i="28"/>
  <c r="I7" i="28"/>
  <c r="I3" i="28"/>
  <c r="I29" i="28"/>
  <c r="I28" i="28"/>
  <c r="I25" i="28"/>
  <c r="I16" i="28"/>
  <c r="I12" i="28"/>
  <c r="I21" i="28"/>
  <c r="I13" i="28"/>
  <c r="I18" i="28"/>
  <c r="I14" i="28"/>
  <c r="I9" i="28"/>
  <c r="I20" i="28"/>
  <c r="I10" i="28"/>
  <c r="I23" i="28"/>
  <c r="I6" i="28"/>
  <c r="I8" i="28"/>
  <c r="I17" i="28"/>
  <c r="I2" i="28"/>
  <c r="I5" i="28"/>
  <c r="I24" i="28"/>
  <c r="I19" i="28"/>
  <c r="I22" i="28"/>
  <c r="I4" i="28"/>
  <c r="I26" i="28"/>
  <c r="I27" i="28"/>
  <c r="U21" i="19"/>
  <c r="F22" i="26"/>
  <c r="F24" i="26" s="1"/>
  <c r="AS21" i="19" s="1"/>
  <c r="E22" i="26"/>
  <c r="E24" i="26" s="1"/>
  <c r="AS20" i="19" s="1"/>
  <c r="U20" i="19"/>
  <c r="M20" i="19" s="1"/>
  <c r="O20" i="19" s="1"/>
  <c r="K22" i="28"/>
  <c r="H32" i="38"/>
  <c r="H18" i="38"/>
  <c r="H33" i="38"/>
  <c r="H19" i="38"/>
  <c r="H33" i="33"/>
  <c r="H49" i="33"/>
  <c r="H34" i="38"/>
  <c r="H20" i="38"/>
  <c r="H34" i="33"/>
  <c r="H50" i="33"/>
  <c r="H37" i="38"/>
  <c r="H7" i="38"/>
  <c r="H37" i="33"/>
  <c r="H35" i="38"/>
  <c r="H21" i="38"/>
  <c r="H35" i="33"/>
  <c r="H51" i="33"/>
  <c r="H5" i="38"/>
  <c r="H23" i="33"/>
  <c r="H46" i="33"/>
  <c r="H36" i="38"/>
  <c r="H6" i="38"/>
  <c r="H22" i="38"/>
  <c r="H36" i="33"/>
  <c r="H52" i="33"/>
  <c r="H38" i="38"/>
  <c r="H8" i="38"/>
  <c r="H38" i="33"/>
  <c r="H39" i="38"/>
  <c r="H9" i="38"/>
  <c r="H39" i="33"/>
  <c r="H24" i="38"/>
  <c r="H40" i="38"/>
  <c r="H10" i="38"/>
  <c r="H24" i="33"/>
  <c r="H40" i="33"/>
  <c r="H25" i="38"/>
  <c r="H23" i="38"/>
  <c r="H11" i="38"/>
  <c r="H25" i="33"/>
  <c r="H41" i="33"/>
  <c r="H28" i="38"/>
  <c r="H14" i="38"/>
  <c r="H28" i="33"/>
  <c r="H30" i="33"/>
  <c r="H26" i="38"/>
  <c r="H12" i="38"/>
  <c r="H26" i="33"/>
  <c r="H42" i="33"/>
  <c r="H27" i="38"/>
  <c r="H13" i="38"/>
  <c r="H27" i="33"/>
  <c r="H43" i="33"/>
  <c r="H44" i="33"/>
  <c r="H29" i="38"/>
  <c r="H15" i="38"/>
  <c r="H29" i="33"/>
  <c r="H45" i="33"/>
  <c r="H30" i="38"/>
  <c r="H16" i="38"/>
  <c r="H31" i="38"/>
  <c r="H17" i="38"/>
  <c r="H31" i="33"/>
  <c r="H47" i="33"/>
  <c r="H32" i="33"/>
  <c r="H48" i="33"/>
  <c r="I34" i="38"/>
  <c r="I20" i="38"/>
  <c r="I30" i="33"/>
  <c r="I35" i="38"/>
  <c r="I21" i="38"/>
  <c r="I31" i="33"/>
  <c r="I47" i="33"/>
  <c r="I36" i="38"/>
  <c r="I6" i="38"/>
  <c r="I22" i="38"/>
  <c r="I32" i="33"/>
  <c r="I48" i="33"/>
  <c r="I44" i="33"/>
  <c r="I37" i="38"/>
  <c r="I7" i="38"/>
  <c r="I5" i="38"/>
  <c r="I33" i="33"/>
  <c r="I49" i="33"/>
  <c r="I39" i="38"/>
  <c r="I9" i="38"/>
  <c r="I35" i="33"/>
  <c r="I51" i="33"/>
  <c r="I38" i="38"/>
  <c r="I8" i="38"/>
  <c r="I34" i="33"/>
  <c r="I50" i="33"/>
  <c r="I24" i="38"/>
  <c r="I40" i="38"/>
  <c r="I10" i="38"/>
  <c r="I36" i="33"/>
  <c r="I52" i="33"/>
  <c r="I42" i="33"/>
  <c r="I25" i="38"/>
  <c r="I23" i="38"/>
  <c r="I11" i="38"/>
  <c r="I37" i="33"/>
  <c r="I23" i="33"/>
  <c r="I16" i="38"/>
  <c r="I26" i="38"/>
  <c r="I12" i="38"/>
  <c r="I38" i="33"/>
  <c r="I26" i="33"/>
  <c r="I27" i="38"/>
  <c r="I13" i="38"/>
  <c r="I39" i="33"/>
  <c r="I28" i="38"/>
  <c r="I14" i="38"/>
  <c r="I24" i="33"/>
  <c r="I40" i="33"/>
  <c r="I29" i="38"/>
  <c r="I15" i="38"/>
  <c r="I25" i="33"/>
  <c r="I41" i="33"/>
  <c r="I30" i="38"/>
  <c r="I31" i="38"/>
  <c r="I17" i="38"/>
  <c r="I27" i="33"/>
  <c r="I43" i="33"/>
  <c r="I32" i="38"/>
  <c r="I18" i="38"/>
  <c r="I28" i="33"/>
  <c r="I33" i="38"/>
  <c r="I19" i="38"/>
  <c r="I29" i="33"/>
  <c r="I45" i="33"/>
  <c r="I46" i="33"/>
  <c r="G4" i="33"/>
  <c r="E7" i="32" s="1"/>
  <c r="G30" i="38"/>
  <c r="G34" i="33"/>
  <c r="G31" i="38"/>
  <c r="G17" i="38"/>
  <c r="G51" i="33"/>
  <c r="G32" i="38"/>
  <c r="G18" i="38"/>
  <c r="G36" i="33"/>
  <c r="G52" i="33"/>
  <c r="G21" i="38"/>
  <c r="G33" i="38"/>
  <c r="G19" i="38"/>
  <c r="G37" i="33"/>
  <c r="G23" i="33"/>
  <c r="G34" i="38"/>
  <c r="G20" i="38"/>
  <c r="G38" i="33"/>
  <c r="G35" i="38"/>
  <c r="G39" i="33"/>
  <c r="G36" i="38"/>
  <c r="G6" i="38"/>
  <c r="G22" i="38"/>
  <c r="G24" i="33"/>
  <c r="G40" i="33"/>
  <c r="G48" i="33"/>
  <c r="G37" i="38"/>
  <c r="G7" i="38"/>
  <c r="G5" i="38"/>
  <c r="G25" i="33"/>
  <c r="G41" i="33"/>
  <c r="G30" i="33"/>
  <c r="G38" i="38"/>
  <c r="G8" i="38"/>
  <c r="G26" i="33"/>
  <c r="G42" i="33"/>
  <c r="G39" i="38"/>
  <c r="G9" i="38"/>
  <c r="G27" i="33"/>
  <c r="G43" i="33"/>
  <c r="G24" i="38"/>
  <c r="G40" i="38"/>
  <c r="G10" i="38"/>
  <c r="G28" i="33"/>
  <c r="G44" i="33"/>
  <c r="G46" i="33"/>
  <c r="G25" i="38"/>
  <c r="G23" i="38"/>
  <c r="G11" i="38"/>
  <c r="G29" i="33"/>
  <c r="G45" i="33"/>
  <c r="G26" i="38"/>
  <c r="G12" i="38"/>
  <c r="G27" i="38"/>
  <c r="G13" i="38"/>
  <c r="G31" i="33"/>
  <c r="G47" i="33"/>
  <c r="G28" i="38"/>
  <c r="G14" i="38"/>
  <c r="G32" i="33"/>
  <c r="G29" i="38"/>
  <c r="G15" i="38"/>
  <c r="G33" i="33"/>
  <c r="G49" i="33"/>
  <c r="G16" i="38"/>
  <c r="G50" i="33"/>
  <c r="G35" i="33"/>
  <c r="J14" i="19"/>
  <c r="J15" i="19"/>
  <c r="J5" i="19"/>
  <c r="J6" i="19"/>
  <c r="C26" i="24"/>
  <c r="C28" i="24" s="1"/>
  <c r="L7" i="19"/>
  <c r="O7" i="19" s="1"/>
  <c r="U22" i="19"/>
  <c r="L22" i="19" s="1"/>
  <c r="O22" i="19" s="1"/>
  <c r="D19" i="33"/>
  <c r="D5" i="33"/>
  <c r="D7" i="33"/>
  <c r="D33" i="33"/>
  <c r="D8" i="33"/>
  <c r="D24" i="33"/>
  <c r="D20" i="33"/>
  <c r="D6" i="33"/>
  <c r="D25" i="33"/>
  <c r="D21" i="33"/>
  <c r="D22" i="33"/>
  <c r="D34" i="33"/>
  <c r="D9" i="33"/>
  <c r="D35" i="33"/>
  <c r="D10" i="33"/>
  <c r="D38" i="33"/>
  <c r="D45" i="33"/>
  <c r="D16" i="33"/>
  <c r="D17" i="33"/>
  <c r="D11" i="33"/>
  <c r="D39" i="33"/>
  <c r="D12" i="33"/>
  <c r="D40" i="33"/>
  <c r="D13" i="33"/>
  <c r="D49" i="33"/>
  <c r="D43" i="33"/>
  <c r="D14" i="33"/>
  <c r="D44" i="33"/>
  <c r="D15" i="33"/>
  <c r="D48" i="33"/>
  <c r="D18" i="33"/>
  <c r="D50" i="33"/>
  <c r="D4" i="38"/>
  <c r="B12" i="32"/>
  <c r="B11" i="32" s="1"/>
  <c r="J20" i="19"/>
  <c r="U25" i="19"/>
  <c r="L25" i="19" s="1"/>
  <c r="O25" i="19" s="1"/>
  <c r="V25" i="19"/>
  <c r="W25" i="19" s="1"/>
  <c r="D22" i="26"/>
  <c r="D24" i="26" s="1"/>
  <c r="AS19" i="19" s="1"/>
  <c r="U19" i="19"/>
  <c r="L19" i="19" s="1"/>
  <c r="O19" i="19" s="1"/>
  <c r="F19" i="33"/>
  <c r="F22" i="33"/>
  <c r="F20" i="33"/>
  <c r="F21" i="33"/>
  <c r="F6" i="33"/>
  <c r="F5" i="33"/>
  <c r="F7" i="33"/>
  <c r="F8" i="33"/>
  <c r="F9" i="33"/>
  <c r="F10" i="33"/>
  <c r="F15" i="33"/>
  <c r="F16" i="33"/>
  <c r="F17" i="33"/>
  <c r="F11" i="33"/>
  <c r="F12" i="33"/>
  <c r="F4" i="38"/>
  <c r="F13" i="33"/>
  <c r="F14" i="33"/>
  <c r="F18" i="33"/>
  <c r="G14" i="28"/>
  <c r="U13" i="19"/>
  <c r="L13" i="19" s="1"/>
  <c r="O13" i="19" s="1"/>
  <c r="G10" i="28"/>
  <c r="G6" i="28"/>
  <c r="G2" i="28"/>
  <c r="G28" i="28"/>
  <c r="G26" i="28"/>
  <c r="G24" i="28"/>
  <c r="G22" i="28"/>
  <c r="G25" i="28"/>
  <c r="G20" i="28"/>
  <c r="G23" i="28"/>
  <c r="G19" i="28"/>
  <c r="G29" i="28"/>
  <c r="G16" i="28"/>
  <c r="G27" i="28"/>
  <c r="G15" i="28"/>
  <c r="G21" i="28"/>
  <c r="G12" i="28"/>
  <c r="G17" i="28"/>
  <c r="G11" i="28"/>
  <c r="G13" i="28"/>
  <c r="G8" i="28"/>
  <c r="G9" i="28"/>
  <c r="G7" i="28"/>
  <c r="G5" i="28"/>
  <c r="G4" i="28"/>
  <c r="G18" i="28"/>
  <c r="G3" i="28"/>
  <c r="C20" i="31"/>
  <c r="C22" i="31" s="1"/>
  <c r="U16" i="19"/>
  <c r="L16" i="19" s="1"/>
  <c r="O16" i="19" s="1"/>
  <c r="E18" i="33"/>
  <c r="E19" i="33"/>
  <c r="E20" i="33"/>
  <c r="E21" i="33"/>
  <c r="E6" i="33"/>
  <c r="E22" i="33"/>
  <c r="E5" i="33"/>
  <c r="E8" i="33"/>
  <c r="E9" i="33"/>
  <c r="E4" i="38"/>
  <c r="E10" i="33"/>
  <c r="E11" i="33"/>
  <c r="E12" i="33"/>
  <c r="E15" i="33"/>
  <c r="E14" i="33"/>
  <c r="E13" i="33"/>
  <c r="E16" i="33"/>
  <c r="E17" i="33"/>
  <c r="E7" i="33"/>
  <c r="L2" i="28"/>
  <c r="L29" i="28"/>
  <c r="L12" i="28"/>
  <c r="L19" i="28"/>
  <c r="L6" i="28"/>
  <c r="L27" i="28"/>
  <c r="L8" i="28"/>
  <c r="L28" i="28"/>
  <c r="L10" i="28"/>
  <c r="L3" i="28"/>
  <c r="I20" i="33"/>
  <c r="I21" i="33"/>
  <c r="I6" i="33"/>
  <c r="I22" i="33"/>
  <c r="I5" i="33"/>
  <c r="I7" i="33"/>
  <c r="I8" i="33"/>
  <c r="I19" i="33"/>
  <c r="I18" i="33"/>
  <c r="I9" i="33"/>
  <c r="I10" i="33"/>
  <c r="I14" i="33"/>
  <c r="I15" i="33"/>
  <c r="I16" i="33"/>
  <c r="I17" i="33"/>
  <c r="I11" i="33"/>
  <c r="I12" i="33"/>
  <c r="I4" i="38"/>
  <c r="I13" i="33"/>
  <c r="L26" i="28"/>
  <c r="L13" i="28"/>
  <c r="L22" i="28"/>
  <c r="L21" i="28"/>
  <c r="L23" i="28"/>
  <c r="G19" i="33"/>
  <c r="G20" i="33"/>
  <c r="G21" i="33"/>
  <c r="G6" i="33"/>
  <c r="G22" i="33"/>
  <c r="G5" i="33"/>
  <c r="G4" i="38"/>
  <c r="G7" i="33"/>
  <c r="G18" i="33"/>
  <c r="G8" i="33"/>
  <c r="G14" i="33"/>
  <c r="G16" i="33"/>
  <c r="G9" i="33"/>
  <c r="G13" i="33"/>
  <c r="G10" i="33"/>
  <c r="G12" i="33"/>
  <c r="G11" i="33"/>
  <c r="G15" i="33"/>
  <c r="G17" i="33"/>
  <c r="L25" i="28"/>
  <c r="L20" i="28"/>
  <c r="L18" i="28"/>
  <c r="H20" i="33"/>
  <c r="H21" i="33"/>
  <c r="H6" i="33"/>
  <c r="H22" i="33"/>
  <c r="H5" i="33"/>
  <c r="H7" i="33"/>
  <c r="H15" i="33"/>
  <c r="H17" i="33"/>
  <c r="H19" i="33"/>
  <c r="H8" i="33"/>
  <c r="H16" i="33"/>
  <c r="H9" i="33"/>
  <c r="H13" i="33"/>
  <c r="H14" i="33"/>
  <c r="H18" i="33"/>
  <c r="H10" i="33"/>
  <c r="H4" i="38"/>
  <c r="H11" i="33"/>
  <c r="H12" i="33"/>
  <c r="L4" i="28"/>
  <c r="L5" i="28"/>
  <c r="L15" i="28"/>
  <c r="L16" i="28"/>
  <c r="W15" i="18"/>
  <c r="F15" i="18" s="1"/>
  <c r="K2" i="28"/>
  <c r="K26" i="28"/>
  <c r="K10" i="28"/>
  <c r="K4" i="28"/>
  <c r="K12" i="28"/>
  <c r="L9" i="28"/>
  <c r="K9" i="28"/>
  <c r="L14" i="28"/>
  <c r="K13" i="28"/>
  <c r="K18" i="28"/>
  <c r="B24" i="17"/>
  <c r="K27" i="28"/>
  <c r="AC27" i="23"/>
  <c r="U27" i="23" s="1"/>
  <c r="U12" i="23"/>
  <c r="AA12" i="23" s="1"/>
  <c r="AL12" i="23"/>
  <c r="O25" i="18" s="1"/>
  <c r="H25" i="18" s="1"/>
  <c r="AZ6" i="7"/>
  <c r="K5" i="28"/>
  <c r="K16" i="28"/>
  <c r="K7" i="28"/>
  <c r="K24" i="28"/>
  <c r="K14" i="28"/>
  <c r="K6" i="28"/>
  <c r="K11" i="28"/>
  <c r="K20" i="28"/>
  <c r="L17" i="28"/>
  <c r="K23" i="28"/>
  <c r="K29" i="28"/>
  <c r="L7" i="28"/>
  <c r="K17" i="28"/>
  <c r="K8" i="28"/>
  <c r="K15" i="28"/>
  <c r="K28" i="28"/>
  <c r="W14" i="18"/>
  <c r="F14" i="18" s="1"/>
  <c r="L24" i="28"/>
  <c r="K25" i="28"/>
  <c r="K21" i="28"/>
  <c r="K3" i="28"/>
  <c r="AH10" i="19"/>
  <c r="AI10" i="19" s="1"/>
  <c r="AJ11" i="19"/>
  <c r="AK11" i="19" s="1"/>
  <c r="AL12" i="19"/>
  <c r="AM12" i="19" s="1"/>
  <c r="Y12" i="23"/>
  <c r="AB12" i="23" s="1"/>
  <c r="J24" i="19"/>
  <c r="N26" i="18"/>
  <c r="W26" i="18"/>
  <c r="E26" i="18" s="1"/>
  <c r="W27" i="18"/>
  <c r="E27" i="18" s="1"/>
  <c r="J8" i="19"/>
  <c r="AN6" i="7"/>
  <c r="D7" i="18" s="1"/>
  <c r="AF7" i="23"/>
  <c r="AD7" i="23" s="1"/>
  <c r="Z7" i="23"/>
  <c r="AD22" i="23"/>
  <c r="H26" i="24"/>
  <c r="H28" i="24" s="1"/>
  <c r="N24" i="18"/>
  <c r="D11" i="23" s="1"/>
  <c r="W24" i="18"/>
  <c r="E24" i="18" s="1"/>
  <c r="H20" i="31"/>
  <c r="H22" i="31" s="1"/>
  <c r="W18" i="18"/>
  <c r="F18" i="18" s="1"/>
  <c r="I22" i="26"/>
  <c r="I24" i="26" s="1"/>
  <c r="W21" i="18"/>
  <c r="E21" i="18" s="1"/>
  <c r="N23" i="18"/>
  <c r="C11" i="23" s="1"/>
  <c r="W23" i="18"/>
  <c r="E23" i="18" s="1"/>
  <c r="H22" i="26"/>
  <c r="H24" i="26" s="1"/>
  <c r="W20" i="18"/>
  <c r="E20" i="18" s="1"/>
  <c r="G20" i="31"/>
  <c r="G22" i="31" s="1"/>
  <c r="W17" i="18"/>
  <c r="F17" i="18" s="1"/>
  <c r="G26" i="24"/>
  <c r="G28" i="24" s="1"/>
  <c r="W19" i="18"/>
  <c r="G22" i="26"/>
  <c r="G24" i="26" s="1"/>
  <c r="F20" i="31"/>
  <c r="F22" i="31" s="1"/>
  <c r="W16" i="18"/>
  <c r="F16" i="18" s="1"/>
  <c r="F26" i="24"/>
  <c r="F28" i="24" s="1"/>
  <c r="D8" i="4"/>
  <c r="I4" i="33"/>
  <c r="F4" i="33"/>
  <c r="Q5" i="4"/>
  <c r="AB6" i="7"/>
  <c r="D4" i="33"/>
  <c r="B7" i="32" s="1"/>
  <c r="E4" i="33"/>
  <c r="H4" i="33"/>
  <c r="P6" i="7"/>
  <c r="W5" i="18" l="1"/>
  <c r="F5" i="18" s="1"/>
  <c r="E19" i="18"/>
  <c r="AL28" i="23"/>
  <c r="P169" i="16"/>
  <c r="E22" i="18"/>
  <c r="W6" i="18"/>
  <c r="F6" i="18" s="1"/>
  <c r="U28" i="23"/>
  <c r="AA28" i="23" s="1"/>
  <c r="Z28" i="23" s="1"/>
  <c r="W4" i="18"/>
  <c r="F4" i="18" s="1"/>
  <c r="I22" i="40"/>
  <c r="I26" i="40" s="1"/>
  <c r="H22" i="40"/>
  <c r="H26" i="40" s="1"/>
  <c r="Q169" i="16"/>
  <c r="V168" i="16"/>
  <c r="W168" i="16"/>
  <c r="AK14" i="23"/>
  <c r="AK29" i="23"/>
  <c r="S168" i="16"/>
  <c r="R168" i="16"/>
  <c r="N168" i="16"/>
  <c r="O168" i="16"/>
  <c r="L171" i="16"/>
  <c r="M171" i="16"/>
  <c r="N167" i="16"/>
  <c r="O167" i="16"/>
  <c r="L170" i="16"/>
  <c r="M170" i="16"/>
  <c r="T167" i="16"/>
  <c r="U167" i="16"/>
  <c r="D170" i="16"/>
  <c r="E170" i="16"/>
  <c r="S167" i="16"/>
  <c r="R167" i="16"/>
  <c r="AG14" i="23"/>
  <c r="AG29" i="23"/>
  <c r="W167" i="16"/>
  <c r="V167" i="16"/>
  <c r="U173" i="16"/>
  <c r="T173" i="16"/>
  <c r="N4" i="18"/>
  <c r="B5" i="23" s="1"/>
  <c r="G5" i="23" s="1"/>
  <c r="J18" i="19"/>
  <c r="J17" i="19"/>
  <c r="J32" i="19"/>
  <c r="J33" i="19"/>
  <c r="Y31" i="18"/>
  <c r="D79" i="17" s="1"/>
  <c r="AE31" i="18"/>
  <c r="J27" i="19"/>
  <c r="J30" i="19"/>
  <c r="N21" i="19"/>
  <c r="O21" i="19" s="1"/>
  <c r="S173" i="16"/>
  <c r="R173" i="16"/>
  <c r="M169" i="16"/>
  <c r="L169" i="16"/>
  <c r="E169" i="16"/>
  <c r="D169" i="16"/>
  <c r="U168" i="16"/>
  <c r="L28" i="18"/>
  <c r="Y28" i="18" s="1"/>
  <c r="Z28" i="18" s="1"/>
  <c r="A9" i="16"/>
  <c r="L11" i="18"/>
  <c r="AE11" i="18" s="1"/>
  <c r="AD11" i="18" s="1"/>
  <c r="L12" i="18"/>
  <c r="Y12" i="18" s="1"/>
  <c r="Z12" i="18" s="1"/>
  <c r="C13" i="23"/>
  <c r="H13" i="23" s="1"/>
  <c r="AG13" i="23" s="1"/>
  <c r="AF13" i="23" s="1"/>
  <c r="D13" i="23"/>
  <c r="I13" i="23" s="1"/>
  <c r="AK28" i="23" s="1"/>
  <c r="AN28" i="23" s="1"/>
  <c r="L10" i="18"/>
  <c r="AE10" i="18" s="1"/>
  <c r="AD10" i="18" s="1"/>
  <c r="AS30" i="19"/>
  <c r="AS29" i="19"/>
  <c r="V28" i="19"/>
  <c r="W28" i="19" s="1"/>
  <c r="AU28" i="19"/>
  <c r="AT28" i="19"/>
  <c r="F30" i="18"/>
  <c r="F29" i="18"/>
  <c r="Z13" i="23"/>
  <c r="F187" i="7"/>
  <c r="AT9" i="19"/>
  <c r="AU9" i="19"/>
  <c r="E8" i="27"/>
  <c r="N13" i="18" s="1"/>
  <c r="K232" i="7" s="1"/>
  <c r="K190" i="7"/>
  <c r="AU8" i="19"/>
  <c r="C8" i="27"/>
  <c r="F230" i="7" s="1"/>
  <c r="AT8" i="19"/>
  <c r="F186" i="7"/>
  <c r="B8" i="27"/>
  <c r="U11" i="19"/>
  <c r="M11" i="19" s="1"/>
  <c r="AS18" i="19"/>
  <c r="F253" i="7"/>
  <c r="D8" i="27"/>
  <c r="AS17" i="19"/>
  <c r="F252" i="7"/>
  <c r="V20" i="19"/>
  <c r="W20" i="19" s="1"/>
  <c r="AU20" i="19"/>
  <c r="AT20" i="19"/>
  <c r="F274" i="7"/>
  <c r="AS24" i="19"/>
  <c r="F297" i="7"/>
  <c r="U12" i="19"/>
  <c r="D7" i="32"/>
  <c r="AS6" i="19" s="1"/>
  <c r="C7" i="32"/>
  <c r="AS5" i="19" s="1"/>
  <c r="V21" i="19"/>
  <c r="W21" i="19" s="1"/>
  <c r="F275" i="7"/>
  <c r="AU21" i="19"/>
  <c r="AT21" i="19"/>
  <c r="U5" i="19"/>
  <c r="V26" i="19"/>
  <c r="W26" i="19" s="1"/>
  <c r="AT26" i="19"/>
  <c r="AU26" i="19"/>
  <c r="AT27" i="19"/>
  <c r="AU27" i="19"/>
  <c r="V27" i="19"/>
  <c r="W27" i="19" s="1"/>
  <c r="U6" i="19"/>
  <c r="AS23" i="19"/>
  <c r="F296" i="7"/>
  <c r="G7" i="32"/>
  <c r="F7" i="32"/>
  <c r="AL27" i="23"/>
  <c r="Y27" i="23"/>
  <c r="AB27" i="23" s="1"/>
  <c r="AS4" i="19"/>
  <c r="U4" i="19"/>
  <c r="AS22" i="19"/>
  <c r="F295" i="7"/>
  <c r="U10" i="19"/>
  <c r="L10" i="19" s="1"/>
  <c r="O10" i="19" s="1"/>
  <c r="AS16" i="19"/>
  <c r="F251" i="7"/>
  <c r="AU7" i="19"/>
  <c r="AT7" i="19"/>
  <c r="F185" i="7"/>
  <c r="V7" i="19"/>
  <c r="W7" i="19" s="1"/>
  <c r="AU19" i="19"/>
  <c r="AT19" i="19"/>
  <c r="V19" i="19"/>
  <c r="W19" i="19" s="1"/>
  <c r="F273" i="7"/>
  <c r="AU25" i="19"/>
  <c r="AT25" i="19"/>
  <c r="F8" i="27"/>
  <c r="C8" i="23" s="1"/>
  <c r="H8" i="23" s="1"/>
  <c r="Z12" i="23"/>
  <c r="G8" i="27"/>
  <c r="D8" i="23" s="1"/>
  <c r="I8" i="23" s="1"/>
  <c r="AK23" i="23" s="1"/>
  <c r="W23" i="23" s="1"/>
  <c r="AA27" i="23"/>
  <c r="N27" i="18"/>
  <c r="D12" i="23" s="1"/>
  <c r="I12" i="23" s="1"/>
  <c r="K188" i="7"/>
  <c r="B6" i="23"/>
  <c r="G6" i="23" s="1"/>
  <c r="AC21" i="23" s="1"/>
  <c r="Y21" i="23" s="1"/>
  <c r="C12" i="23"/>
  <c r="H12" i="23" s="1"/>
  <c r="K189" i="7"/>
  <c r="C6" i="23"/>
  <c r="H6" i="23" s="1"/>
  <c r="K192" i="7"/>
  <c r="D9" i="18"/>
  <c r="D8" i="18"/>
  <c r="F27" i="18"/>
  <c r="F26" i="18"/>
  <c r="G11" i="23"/>
  <c r="AC26" i="23" s="1"/>
  <c r="Y26" i="23" s="1"/>
  <c r="K298" i="7"/>
  <c r="H11" i="23"/>
  <c r="AG26" i="23" s="1"/>
  <c r="AM26" i="23" s="1"/>
  <c r="K299" i="7"/>
  <c r="I11" i="23"/>
  <c r="AK26" i="23" s="1"/>
  <c r="W26" i="23" s="1"/>
  <c r="K300" i="7"/>
  <c r="AK6" i="23"/>
  <c r="W6" i="23" s="1"/>
  <c r="N18" i="18"/>
  <c r="F9" i="18"/>
  <c r="E9" i="18"/>
  <c r="N21" i="18"/>
  <c r="N17" i="18"/>
  <c r="N20" i="18"/>
  <c r="E8" i="18"/>
  <c r="F8" i="18"/>
  <c r="N16" i="18"/>
  <c r="N19" i="18"/>
  <c r="E7" i="18"/>
  <c r="F7" i="18"/>
  <c r="D6" i="18"/>
  <c r="D5" i="18"/>
  <c r="D4" i="18"/>
  <c r="D20" i="18"/>
  <c r="D19" i="18"/>
  <c r="K280" i="7"/>
  <c r="D23" i="18"/>
  <c r="D24" i="18"/>
  <c r="D22" i="18"/>
  <c r="K302" i="7"/>
  <c r="D17" i="18"/>
  <c r="D18" i="18"/>
  <c r="D16" i="18"/>
  <c r="K258" i="7"/>
  <c r="AN21" i="23"/>
  <c r="AI21" i="23"/>
  <c r="E6" i="18" l="1"/>
  <c r="E5" i="18"/>
  <c r="E4" i="18"/>
  <c r="N171" i="16"/>
  <c r="O171" i="16"/>
  <c r="S171" i="16"/>
  <c r="R171" i="16"/>
  <c r="P171" i="16"/>
  <c r="Q171" i="16"/>
  <c r="F171" i="16"/>
  <c r="G171" i="16"/>
  <c r="W29" i="23"/>
  <c r="AI29" i="23" s="1"/>
  <c r="AN29" i="23"/>
  <c r="AJ29" i="23"/>
  <c r="W14" i="23"/>
  <c r="AI14" i="23" s="1"/>
  <c r="AN14" i="23"/>
  <c r="O33" i="18" s="1"/>
  <c r="H33" i="18" s="1"/>
  <c r="AJ14" i="23"/>
  <c r="G168" i="16"/>
  <c r="F168" i="16"/>
  <c r="P168" i="16"/>
  <c r="Q168" i="16"/>
  <c r="E171" i="16"/>
  <c r="D171" i="16"/>
  <c r="T171" i="16"/>
  <c r="U171" i="16"/>
  <c r="D168" i="16"/>
  <c r="E168" i="16"/>
  <c r="O170" i="16"/>
  <c r="N170" i="16"/>
  <c r="E167" i="16"/>
  <c r="D167" i="16"/>
  <c r="R170" i="16"/>
  <c r="S170" i="16"/>
  <c r="F167" i="16"/>
  <c r="G167" i="16"/>
  <c r="F170" i="16"/>
  <c r="G170" i="16"/>
  <c r="P170" i="16"/>
  <c r="Q170" i="16"/>
  <c r="U170" i="16"/>
  <c r="T170" i="16"/>
  <c r="V29" i="23"/>
  <c r="AE29" i="23" s="1"/>
  <c r="AF29" i="23"/>
  <c r="AM29" i="23"/>
  <c r="P167" i="16"/>
  <c r="Q167" i="16"/>
  <c r="V14" i="23"/>
  <c r="AE14" i="23" s="1"/>
  <c r="AF14" i="23"/>
  <c r="AM14" i="23"/>
  <c r="O32" i="18" s="1"/>
  <c r="H32" i="18" s="1"/>
  <c r="AC31" i="18"/>
  <c r="D82" i="17" s="1"/>
  <c r="D87" i="17"/>
  <c r="V43" i="23" s="1"/>
  <c r="AD31" i="18"/>
  <c r="D81" i="17" s="1"/>
  <c r="Z31" i="18"/>
  <c r="AB31" i="18"/>
  <c r="M5" i="19"/>
  <c r="N12" i="19"/>
  <c r="N6" i="19"/>
  <c r="P19" i="19"/>
  <c r="L4" i="19"/>
  <c r="F169" i="16"/>
  <c r="G169" i="16"/>
  <c r="G166" i="16"/>
  <c r="F166" i="16"/>
  <c r="N166" i="16"/>
  <c r="O166" i="16"/>
  <c r="O169" i="16"/>
  <c r="N169" i="16"/>
  <c r="P166" i="16"/>
  <c r="Q166" i="16"/>
  <c r="E166" i="16"/>
  <c r="D166" i="16"/>
  <c r="AE28" i="18"/>
  <c r="AC28" i="18" s="1"/>
  <c r="D73" i="17" s="1"/>
  <c r="A10" i="16"/>
  <c r="Y11" i="18"/>
  <c r="AC11" i="18"/>
  <c r="K206" i="7"/>
  <c r="AE12" i="18"/>
  <c r="AD12" i="18" s="1"/>
  <c r="AB12" i="18"/>
  <c r="AK13" i="23"/>
  <c r="W13" i="23" s="1"/>
  <c r="AI13" i="23" s="1"/>
  <c r="W28" i="23"/>
  <c r="AI28" i="23" s="1"/>
  <c r="AJ28" i="23"/>
  <c r="AG28" i="23"/>
  <c r="V28" i="23" s="1"/>
  <c r="AE28" i="23" s="1"/>
  <c r="Y10" i="18"/>
  <c r="AC10" i="18"/>
  <c r="P27" i="19"/>
  <c r="P15" i="19"/>
  <c r="P24" i="19"/>
  <c r="O11" i="19"/>
  <c r="P11" i="19" s="1"/>
  <c r="P8" i="19"/>
  <c r="P14" i="19"/>
  <c r="P23" i="19"/>
  <c r="P29" i="19"/>
  <c r="P26" i="19"/>
  <c r="P20" i="19"/>
  <c r="P28" i="19"/>
  <c r="P16" i="19"/>
  <c r="P13" i="19"/>
  <c r="P22" i="19"/>
  <c r="P25" i="19"/>
  <c r="P7" i="19"/>
  <c r="P10" i="19"/>
  <c r="P30" i="19"/>
  <c r="AM13" i="23"/>
  <c r="O29" i="18" s="1"/>
  <c r="H29" i="18" s="1"/>
  <c r="V13" i="23"/>
  <c r="AE13" i="23" s="1"/>
  <c r="AD13" i="23" s="1"/>
  <c r="AU29" i="19"/>
  <c r="AT29" i="19"/>
  <c r="V29" i="19"/>
  <c r="W29" i="19" s="1"/>
  <c r="AU30" i="19"/>
  <c r="V30" i="19"/>
  <c r="W30" i="19" s="1"/>
  <c r="AT30" i="19"/>
  <c r="B8" i="23"/>
  <c r="G8" i="23" s="1"/>
  <c r="AC8" i="23" s="1"/>
  <c r="U8" i="23" s="1"/>
  <c r="D29" i="17" s="1"/>
  <c r="N14" i="18"/>
  <c r="K233" i="7" s="1"/>
  <c r="D70" i="17"/>
  <c r="AB28" i="18"/>
  <c r="P21" i="19"/>
  <c r="AC6" i="23"/>
  <c r="U6" i="23" s="1"/>
  <c r="AA6" i="23" s="1"/>
  <c r="Z27" i="23"/>
  <c r="F229" i="7"/>
  <c r="V5" i="19"/>
  <c r="W5" i="19" s="1"/>
  <c r="F164" i="7"/>
  <c r="AT5" i="19"/>
  <c r="AU5" i="19"/>
  <c r="V23" i="19"/>
  <c r="W23" i="19" s="1"/>
  <c r="AT23" i="19"/>
  <c r="AU23" i="19"/>
  <c r="AU6" i="19"/>
  <c r="AT6" i="19"/>
  <c r="V6" i="19"/>
  <c r="W6" i="19" s="1"/>
  <c r="F165" i="7"/>
  <c r="V17" i="19"/>
  <c r="W17" i="19" s="1"/>
  <c r="AU17" i="19"/>
  <c r="AT17" i="19"/>
  <c r="P9" i="19"/>
  <c r="P17" i="19"/>
  <c r="F231" i="7"/>
  <c r="AU18" i="19"/>
  <c r="V18" i="19"/>
  <c r="W18" i="19" s="1"/>
  <c r="AT18" i="19"/>
  <c r="P18" i="19"/>
  <c r="V24" i="19"/>
  <c r="W24" i="19" s="1"/>
  <c r="AT24" i="19"/>
  <c r="AU24" i="19"/>
  <c r="N15" i="18"/>
  <c r="K234" i="7" s="1"/>
  <c r="AK8" i="23"/>
  <c r="W8" i="23" s="1"/>
  <c r="F29" i="17" s="1"/>
  <c r="AT16" i="19"/>
  <c r="V16" i="19"/>
  <c r="W16" i="19" s="1"/>
  <c r="AU16" i="19"/>
  <c r="AU22" i="19"/>
  <c r="V22" i="19"/>
  <c r="W22" i="19" s="1"/>
  <c r="AT22" i="19"/>
  <c r="V4" i="19"/>
  <c r="AU4" i="19"/>
  <c r="AT4" i="19"/>
  <c r="F163" i="7"/>
  <c r="AG27" i="23"/>
  <c r="AM27" i="23" s="1"/>
  <c r="AG12" i="23"/>
  <c r="AM12" i="23" s="1"/>
  <c r="O26" i="18" s="1"/>
  <c r="H26" i="18" s="1"/>
  <c r="AK27" i="23"/>
  <c r="W27" i="23" s="1"/>
  <c r="AK12" i="23"/>
  <c r="AJ12" i="23" s="1"/>
  <c r="AG6" i="23"/>
  <c r="AG21" i="23"/>
  <c r="AN23" i="23"/>
  <c r="AC20" i="23"/>
  <c r="Y20" i="23" s="1"/>
  <c r="AC5" i="23"/>
  <c r="Y5" i="23" s="1"/>
  <c r="K166" i="7"/>
  <c r="K276" i="7"/>
  <c r="B10" i="23"/>
  <c r="G10" i="23" s="1"/>
  <c r="AC25" i="23" s="1"/>
  <c r="K256" i="7"/>
  <c r="D9" i="23"/>
  <c r="I9" i="23" s="1"/>
  <c r="AK9" i="23" s="1"/>
  <c r="K254" i="7"/>
  <c r="B9" i="23"/>
  <c r="G9" i="23" s="1"/>
  <c r="AC24" i="23" s="1"/>
  <c r="K255" i="7"/>
  <c r="C9" i="23"/>
  <c r="H9" i="23" s="1"/>
  <c r="AG24" i="23" s="1"/>
  <c r="K278" i="7"/>
  <c r="D10" i="23"/>
  <c r="I10" i="23" s="1"/>
  <c r="AK10" i="23" s="1"/>
  <c r="K277" i="7"/>
  <c r="C10" i="23"/>
  <c r="H10" i="23" s="1"/>
  <c r="AG25" i="23" s="1"/>
  <c r="AG11" i="23"/>
  <c r="V11" i="23" s="1"/>
  <c r="AE11" i="23" s="1"/>
  <c r="AC11" i="23"/>
  <c r="U11" i="23" s="1"/>
  <c r="AJ26" i="23"/>
  <c r="AB26" i="23"/>
  <c r="U26" i="23"/>
  <c r="AA26" i="23" s="1"/>
  <c r="AN26" i="23"/>
  <c r="AI26" i="23"/>
  <c r="AL26" i="23"/>
  <c r="AF26" i="23"/>
  <c r="V26" i="23"/>
  <c r="AE26" i="23" s="1"/>
  <c r="AN6" i="23"/>
  <c r="O9" i="18" s="1"/>
  <c r="H9" i="18" s="1"/>
  <c r="AI6" i="23"/>
  <c r="AK11" i="23"/>
  <c r="W11" i="23" s="1"/>
  <c r="U21" i="23"/>
  <c r="AA21" i="23" s="1"/>
  <c r="AB21" i="23"/>
  <c r="AJ21" i="23"/>
  <c r="AH21" i="23" s="1"/>
  <c r="AL21" i="23"/>
  <c r="AI23" i="23"/>
  <c r="N6" i="18"/>
  <c r="D5" i="23" s="1"/>
  <c r="I5" i="23" s="1"/>
  <c r="AK5" i="23" s="1"/>
  <c r="AG8" i="23"/>
  <c r="V8" i="23" s="1"/>
  <c r="E29" i="17" s="1"/>
  <c r="AG23" i="23"/>
  <c r="N5" i="18"/>
  <c r="AD14" i="23" l="1"/>
  <c r="R43" i="23"/>
  <c r="AD29" i="23"/>
  <c r="AH29" i="23"/>
  <c r="G175" i="16"/>
  <c r="F175" i="16"/>
  <c r="AH14" i="23"/>
  <c r="V175" i="16"/>
  <c r="W175" i="16"/>
  <c r="L33" i="18"/>
  <c r="R174" i="16"/>
  <c r="S174" i="16"/>
  <c r="U174" i="16"/>
  <c r="T174" i="16"/>
  <c r="W174" i="16"/>
  <c r="V174" i="16"/>
  <c r="L32" i="18"/>
  <c r="O6" i="19"/>
  <c r="P6" i="19" s="1"/>
  <c r="O12" i="19"/>
  <c r="P12" i="19" s="1"/>
  <c r="W4" i="19"/>
  <c r="X4" i="19" s="1"/>
  <c r="AD4" i="19" s="1"/>
  <c r="AE4" i="19" s="1"/>
  <c r="W33" i="19"/>
  <c r="X33" i="19" s="1"/>
  <c r="AD33" i="19" s="1"/>
  <c r="AE33" i="19" s="1"/>
  <c r="AF33" i="19" s="1"/>
  <c r="W32" i="19"/>
  <c r="X32" i="19" s="1"/>
  <c r="AD32" i="19" s="1"/>
  <c r="AE32" i="19" s="1"/>
  <c r="AF32" i="19" s="1"/>
  <c r="W31" i="19"/>
  <c r="X31" i="19" s="1"/>
  <c r="AD31" i="19" s="1"/>
  <c r="AE31" i="19" s="1"/>
  <c r="AF31" i="19" s="1"/>
  <c r="O5" i="19"/>
  <c r="P5" i="19" s="1"/>
  <c r="O4" i="19"/>
  <c r="P4" i="19" s="1"/>
  <c r="AD28" i="18"/>
  <c r="D72" i="17" s="1"/>
  <c r="D78" i="17"/>
  <c r="V42" i="23" s="1"/>
  <c r="L29" i="18"/>
  <c r="AE29" i="18" s="1"/>
  <c r="E78" i="17" s="1"/>
  <c r="AJ13" i="23"/>
  <c r="AH13" i="23" s="1"/>
  <c r="A11" i="16"/>
  <c r="K204" i="7"/>
  <c r="Z10" i="18"/>
  <c r="AB11" i="18"/>
  <c r="Z11" i="18"/>
  <c r="AN13" i="23"/>
  <c r="O30" i="18" s="1"/>
  <c r="H30" i="18" s="1"/>
  <c r="K205" i="7"/>
  <c r="AC12" i="18"/>
  <c r="AH28" i="23"/>
  <c r="AF28" i="23"/>
  <c r="AD28" i="23" s="1"/>
  <c r="AM28" i="23"/>
  <c r="AB10" i="18"/>
  <c r="X29" i="19"/>
  <c r="AD29" i="19" s="1"/>
  <c r="AE29" i="19" s="1"/>
  <c r="X9" i="19"/>
  <c r="AD9" i="19" s="1"/>
  <c r="AE9" i="19" s="1"/>
  <c r="X28" i="19"/>
  <c r="AD28" i="19" s="1"/>
  <c r="AE28" i="19" s="1"/>
  <c r="X18" i="19"/>
  <c r="AD18" i="19" s="1"/>
  <c r="AE18" i="19" s="1"/>
  <c r="X24" i="19"/>
  <c r="AD24" i="19" s="1"/>
  <c r="AE24" i="19" s="1"/>
  <c r="X17" i="19"/>
  <c r="AD17" i="19" s="1"/>
  <c r="AE17" i="19" s="1"/>
  <c r="X8" i="19"/>
  <c r="AD8" i="19" s="1"/>
  <c r="AE8" i="19" s="1"/>
  <c r="X23" i="19"/>
  <c r="AD23" i="19" s="1"/>
  <c r="AE23" i="19" s="1"/>
  <c r="X16" i="19"/>
  <c r="AD16" i="19" s="1"/>
  <c r="AE16" i="19" s="1"/>
  <c r="X25" i="19"/>
  <c r="AD25" i="19" s="1"/>
  <c r="AE25" i="19" s="1"/>
  <c r="X19" i="19"/>
  <c r="AD19" i="19" s="1"/>
  <c r="AE19" i="19" s="1"/>
  <c r="X7" i="19"/>
  <c r="AD7" i="19" s="1"/>
  <c r="AE7" i="19" s="1"/>
  <c r="X22" i="19"/>
  <c r="AD22" i="19" s="1"/>
  <c r="AE22" i="19" s="1"/>
  <c r="AC23" i="23"/>
  <c r="AL23" i="23" s="1"/>
  <c r="X30" i="19"/>
  <c r="AD30" i="19" s="1"/>
  <c r="AE30" i="19" s="1"/>
  <c r="AN8" i="23"/>
  <c r="O15" i="18" s="1"/>
  <c r="H15" i="18" s="1"/>
  <c r="AI8" i="23"/>
  <c r="Y6" i="23"/>
  <c r="AB6" i="23" s="1"/>
  <c r="Z6" i="23" s="1"/>
  <c r="AL6" i="23"/>
  <c r="O7" i="18" s="1"/>
  <c r="H7" i="18" s="1"/>
  <c r="AC9" i="23"/>
  <c r="U9" i="23" s="1"/>
  <c r="AA9" i="23" s="1"/>
  <c r="AG9" i="23"/>
  <c r="AM9" i="23" s="1"/>
  <c r="O17" i="18" s="1"/>
  <c r="H17" i="18" s="1"/>
  <c r="AT14" i="19"/>
  <c r="AU14" i="19"/>
  <c r="AU13" i="19"/>
  <c r="AT13" i="19"/>
  <c r="X6" i="19"/>
  <c r="AD6" i="19" s="1"/>
  <c r="AE6" i="19" s="1"/>
  <c r="AT15" i="19"/>
  <c r="AU15" i="19"/>
  <c r="X5" i="19"/>
  <c r="AD5" i="19" s="1"/>
  <c r="AE5" i="19" s="1"/>
  <c r="AB20" i="23"/>
  <c r="AL20" i="23"/>
  <c r="AF12" i="23"/>
  <c r="V12" i="23"/>
  <c r="AE12" i="23" s="1"/>
  <c r="V27" i="23"/>
  <c r="AE27" i="23" s="1"/>
  <c r="AF27" i="23"/>
  <c r="W12" i="23"/>
  <c r="AI12" i="23" s="1"/>
  <c r="AH12" i="23" s="1"/>
  <c r="AN12" i="23"/>
  <c r="O27" i="18" s="1"/>
  <c r="H27" i="18" s="1"/>
  <c r="AN27" i="23"/>
  <c r="AM21" i="23"/>
  <c r="V21" i="23"/>
  <c r="AE21" i="23" s="1"/>
  <c r="V6" i="23"/>
  <c r="AE6" i="23" s="1"/>
  <c r="AM6" i="23"/>
  <c r="O8" i="18" s="1"/>
  <c r="H8" i="18" s="1"/>
  <c r="AB5" i="23"/>
  <c r="AL5" i="23"/>
  <c r="O4" i="18" s="1"/>
  <c r="H4" i="18" s="1"/>
  <c r="AF21" i="23"/>
  <c r="AJ27" i="23"/>
  <c r="AI27" i="23"/>
  <c r="AC10" i="23"/>
  <c r="AL10" i="23" s="1"/>
  <c r="O19" i="18" s="1"/>
  <c r="K167" i="7"/>
  <c r="C5" i="23"/>
  <c r="H5" i="23" s="1"/>
  <c r="AG20" i="23" s="1"/>
  <c r="K168" i="7"/>
  <c r="AG10" i="23"/>
  <c r="V10" i="23" s="1"/>
  <c r="AK24" i="23"/>
  <c r="AN24" i="23" s="1"/>
  <c r="AK25" i="23"/>
  <c r="W25" i="23" s="1"/>
  <c r="AI25" i="23" s="1"/>
  <c r="AM11" i="23"/>
  <c r="O23" i="18" s="1"/>
  <c r="H23" i="18" s="1"/>
  <c r="Z26" i="23"/>
  <c r="AH26" i="23"/>
  <c r="AD26" i="23"/>
  <c r="AA11" i="23"/>
  <c r="AL11" i="23"/>
  <c r="O22" i="18" s="1"/>
  <c r="H22" i="18" s="1"/>
  <c r="Y11" i="23"/>
  <c r="AF11" i="23" s="1"/>
  <c r="AD11" i="23" s="1"/>
  <c r="AI11" i="23"/>
  <c r="AN11" i="23"/>
  <c r="O24" i="18" s="1"/>
  <c r="H24" i="18" s="1"/>
  <c r="Z21" i="23"/>
  <c r="W9" i="23"/>
  <c r="AI9" i="23" s="1"/>
  <c r="AN9" i="23"/>
  <c r="O18" i="18" s="1"/>
  <c r="H18" i="18" s="1"/>
  <c r="W10" i="23"/>
  <c r="AN10" i="23"/>
  <c r="O21" i="18" s="1"/>
  <c r="V24" i="23"/>
  <c r="AE24" i="23" s="1"/>
  <c r="AM24" i="23"/>
  <c r="V25" i="23"/>
  <c r="AE25" i="23" s="1"/>
  <c r="AM25" i="23"/>
  <c r="V23" i="23"/>
  <c r="AE23" i="23" s="1"/>
  <c r="AM23" i="23"/>
  <c r="AM8" i="23"/>
  <c r="O14" i="18" s="1"/>
  <c r="H14" i="18" s="1"/>
  <c r="AE8" i="23"/>
  <c r="AL8" i="23"/>
  <c r="O13" i="18" s="1"/>
  <c r="H13" i="18" s="1"/>
  <c r="AA8" i="23"/>
  <c r="Y8" i="23"/>
  <c r="D30" i="17" s="1"/>
  <c r="U24" i="23"/>
  <c r="AA24" i="23" s="1"/>
  <c r="Y24" i="23"/>
  <c r="AL24" i="23"/>
  <c r="U25" i="23"/>
  <c r="AA25" i="23" s="1"/>
  <c r="Y25" i="23"/>
  <c r="AB25" i="23" s="1"/>
  <c r="AL25" i="23"/>
  <c r="L9" i="18"/>
  <c r="Y9" i="18" s="1"/>
  <c r="Z9" i="18" s="1"/>
  <c r="S42" i="23" l="1"/>
  <c r="W42" i="23"/>
  <c r="R42" i="23"/>
  <c r="AI10" i="23"/>
  <c r="AE10" i="23"/>
  <c r="W10" i="16" a="1"/>
  <c r="W10" i="16" s="1"/>
  <c r="AE33" i="18"/>
  <c r="Y33" i="18"/>
  <c r="M175" i="16"/>
  <c r="L175" i="16"/>
  <c r="S175" i="16"/>
  <c r="S4" i="16" s="1" a="1"/>
  <c r="S4" i="16" s="1"/>
  <c r="R175" i="16"/>
  <c r="Q175" i="16"/>
  <c r="P175" i="16"/>
  <c r="T175" i="16"/>
  <c r="U175" i="16"/>
  <c r="U11" i="16" s="1" a="1"/>
  <c r="U11" i="16" s="1"/>
  <c r="G174" i="16"/>
  <c r="F174" i="16"/>
  <c r="Y32" i="18"/>
  <c r="AE32" i="18"/>
  <c r="M174" i="16"/>
  <c r="L174" i="16"/>
  <c r="V3" i="16" a="1"/>
  <c r="V3" i="16" s="1"/>
  <c r="V5" i="16" a="1"/>
  <c r="V5" i="16" s="1"/>
  <c r="V4" i="16" a="1"/>
  <c r="V4" i="16" s="1"/>
  <c r="V6" i="16" a="1"/>
  <c r="V6" i="16" s="1"/>
  <c r="V8" i="16" a="1"/>
  <c r="V8" i="16" s="1"/>
  <c r="V7" i="16" a="1"/>
  <c r="V7" i="16" s="1"/>
  <c r="V9" i="16" a="1"/>
  <c r="V9" i="16" s="1"/>
  <c r="Q174" i="16"/>
  <c r="P174" i="16"/>
  <c r="W8" i="16" a="1"/>
  <c r="W8" i="16" s="1"/>
  <c r="W7" i="16" a="1"/>
  <c r="W7" i="16" s="1"/>
  <c r="W5" i="16" a="1"/>
  <c r="W5" i="16" s="1"/>
  <c r="W4" i="16" a="1"/>
  <c r="W4" i="16" s="1"/>
  <c r="W3" i="16" a="1"/>
  <c r="W3" i="16" s="1"/>
  <c r="W6" i="16" a="1"/>
  <c r="W6" i="16" s="1"/>
  <c r="W9" i="16" a="1"/>
  <c r="W9" i="16" s="1"/>
  <c r="V10" i="16" a="1"/>
  <c r="V10" i="16" s="1"/>
  <c r="H21" i="18"/>
  <c r="L21" i="18" s="1"/>
  <c r="Y21" i="18" s="1"/>
  <c r="Z21" i="18" s="1"/>
  <c r="H19" i="18"/>
  <c r="L19" i="18" s="1"/>
  <c r="AE19" i="18" s="1"/>
  <c r="AC19" i="18" s="1"/>
  <c r="T43" i="19"/>
  <c r="AG32" i="19"/>
  <c r="AJ32" i="19" s="1"/>
  <c r="AG33" i="19"/>
  <c r="AL33" i="19" s="1"/>
  <c r="AG31" i="19"/>
  <c r="AH31" i="19" s="1"/>
  <c r="W11" i="16" a="1"/>
  <c r="W11" i="16" s="1"/>
  <c r="V11" i="16" a="1"/>
  <c r="V11" i="16" s="1"/>
  <c r="AC29" i="18"/>
  <c r="E73" i="17" s="1"/>
  <c r="Y29" i="18"/>
  <c r="E70" i="17" s="1"/>
  <c r="F173" i="16"/>
  <c r="G173" i="16"/>
  <c r="E173" i="16"/>
  <c r="D173" i="16"/>
  <c r="P173" i="16"/>
  <c r="Q173" i="16"/>
  <c r="AD29" i="18"/>
  <c r="E72" i="17" s="1"/>
  <c r="L30" i="18"/>
  <c r="AE30" i="18" s="1"/>
  <c r="AD30" i="18" s="1"/>
  <c r="F72" i="17" s="1"/>
  <c r="L7" i="18"/>
  <c r="Y7" i="18" s="1"/>
  <c r="Z7" i="18" s="1"/>
  <c r="A12" i="16"/>
  <c r="S11" i="16" a="1"/>
  <c r="S11" i="16" s="1"/>
  <c r="Y23" i="23"/>
  <c r="AB23" i="23" s="1"/>
  <c r="U23" i="23"/>
  <c r="AA23" i="23" s="1"/>
  <c r="AL9" i="23"/>
  <c r="O16" i="18" s="1"/>
  <c r="H16" i="18" s="1"/>
  <c r="V9" i="23"/>
  <c r="AE9" i="23" s="1"/>
  <c r="L15" i="18"/>
  <c r="AE15" i="18" s="1"/>
  <c r="F33" i="17" s="1"/>
  <c r="AB9" i="18"/>
  <c r="Y9" i="23"/>
  <c r="AB9" i="23" s="1"/>
  <c r="Z9" i="23" s="1"/>
  <c r="AF6" i="23"/>
  <c r="AD6" i="23" s="1"/>
  <c r="AJ6" i="23"/>
  <c r="AH6" i="23" s="1"/>
  <c r="X13" i="19"/>
  <c r="AD13" i="19" s="1"/>
  <c r="AE13" i="19" s="1"/>
  <c r="X14" i="19"/>
  <c r="AD14" i="19" s="1"/>
  <c r="AE14" i="19" s="1"/>
  <c r="X15" i="19"/>
  <c r="AD15" i="19" s="1"/>
  <c r="AE15" i="19" s="1"/>
  <c r="X27" i="19"/>
  <c r="AD27" i="19" s="1"/>
  <c r="AE27" i="19" s="1"/>
  <c r="X21" i="19"/>
  <c r="AD21" i="19" s="1"/>
  <c r="AE21" i="19" s="1"/>
  <c r="X26" i="19"/>
  <c r="AD26" i="19" s="1"/>
  <c r="AE26" i="19" s="1"/>
  <c r="X20" i="19"/>
  <c r="AD20" i="19" s="1"/>
  <c r="AE20" i="19" s="1"/>
  <c r="AD21" i="23"/>
  <c r="L8" i="18"/>
  <c r="Y8" i="18" s="1"/>
  <c r="Z8" i="18" s="1"/>
  <c r="AD12" i="23"/>
  <c r="AD27" i="23"/>
  <c r="AH27" i="23"/>
  <c r="AG5" i="23"/>
  <c r="AM5" i="23" s="1"/>
  <c r="O5" i="18" s="1"/>
  <c r="H5" i="18" s="1"/>
  <c r="W24" i="23"/>
  <c r="AI24" i="23" s="1"/>
  <c r="AN25" i="23"/>
  <c r="U10" i="23"/>
  <c r="Y10" i="23"/>
  <c r="AK20" i="23"/>
  <c r="AJ20" i="23" s="1"/>
  <c r="AM10" i="23"/>
  <c r="O20" i="18" s="1"/>
  <c r="L23" i="18"/>
  <c r="Y23" i="18" s="1"/>
  <c r="L22" i="18"/>
  <c r="AE22" i="18" s="1"/>
  <c r="L24" i="18"/>
  <c r="AE24" i="18" s="1"/>
  <c r="AC24" i="18" s="1"/>
  <c r="F55" i="17" s="1"/>
  <c r="AJ11" i="23"/>
  <c r="AH11" i="23" s="1"/>
  <c r="AB11" i="23"/>
  <c r="Z11" i="23" s="1"/>
  <c r="L14" i="18"/>
  <c r="AE14" i="18" s="1"/>
  <c r="E33" i="17" s="1"/>
  <c r="L18" i="18"/>
  <c r="AE18" i="18" s="1"/>
  <c r="L13" i="18"/>
  <c r="AE13" i="18" s="1"/>
  <c r="D33" i="17" s="1"/>
  <c r="AN5" i="23"/>
  <c r="O6" i="18" s="1"/>
  <c r="H6" i="18" s="1"/>
  <c r="AJ5" i="23"/>
  <c r="AM20" i="23"/>
  <c r="AF20" i="23"/>
  <c r="L17" i="18"/>
  <c r="Y17" i="18" s="1"/>
  <c r="AJ8" i="23"/>
  <c r="AH8" i="23" s="1"/>
  <c r="AF8" i="23"/>
  <c r="AD8" i="23" s="1"/>
  <c r="AB8" i="23"/>
  <c r="Z8" i="23" s="1"/>
  <c r="Z25" i="23"/>
  <c r="AF25" i="23"/>
  <c r="AD25" i="23" s="1"/>
  <c r="AJ25" i="23"/>
  <c r="AH25" i="23" s="1"/>
  <c r="AB24" i="23"/>
  <c r="Z24" i="23" s="1"/>
  <c r="AJ24" i="23"/>
  <c r="AF24" i="23"/>
  <c r="AD24" i="23" s="1"/>
  <c r="AE9" i="18"/>
  <c r="L4" i="18"/>
  <c r="T37" i="23" l="1"/>
  <c r="X37" i="23"/>
  <c r="S37" i="23"/>
  <c r="W37" i="23"/>
  <c r="R37" i="23"/>
  <c r="V37" i="23"/>
  <c r="T36" i="23"/>
  <c r="X36" i="23"/>
  <c r="S36" i="23"/>
  <c r="W36" i="23"/>
  <c r="R36" i="23"/>
  <c r="V36" i="23"/>
  <c r="AJ10" i="23"/>
  <c r="AH10" i="23" s="1"/>
  <c r="AA10" i="23"/>
  <c r="N173" i="16"/>
  <c r="O173" i="16"/>
  <c r="O175" i="16"/>
  <c r="E175" i="16"/>
  <c r="D175" i="16"/>
  <c r="N175" i="16"/>
  <c r="F79" i="17"/>
  <c r="AB33" i="18"/>
  <c r="Z33" i="18"/>
  <c r="AC33" i="18"/>
  <c r="F82" i="17" s="1"/>
  <c r="F87" i="17"/>
  <c r="AD33" i="18"/>
  <c r="F81" i="17" s="1"/>
  <c r="AC32" i="18"/>
  <c r="E82" i="17" s="1"/>
  <c r="AD32" i="18"/>
  <c r="E81" i="17" s="1"/>
  <c r="E87" i="17"/>
  <c r="E79" i="17"/>
  <c r="Z32" i="18"/>
  <c r="AB32" i="18"/>
  <c r="D174" i="16"/>
  <c r="E174" i="16"/>
  <c r="H20" i="18"/>
  <c r="O174" i="16" s="1"/>
  <c r="AQ33" i="19"/>
  <c r="AM33" i="19"/>
  <c r="AO31" i="19"/>
  <c r="AI31" i="19"/>
  <c r="AP32" i="19"/>
  <c r="AK32" i="19"/>
  <c r="A13" i="16"/>
  <c r="A14" i="16" s="1"/>
  <c r="W12" i="16" a="1"/>
  <c r="W12" i="16" s="1"/>
  <c r="V12" i="16" a="1"/>
  <c r="V12" i="16" s="1"/>
  <c r="AF23" i="23"/>
  <c r="AD23" i="23" s="1"/>
  <c r="Z23" i="23"/>
  <c r="T13" i="16" a="1"/>
  <c r="T13" i="16" s="1"/>
  <c r="R13" i="16" a="1"/>
  <c r="R13" i="16" s="1"/>
  <c r="AB29" i="18"/>
  <c r="Z29" i="18"/>
  <c r="Q11" i="16" a="1"/>
  <c r="Q11" i="16" s="1"/>
  <c r="Q13" i="16" a="1"/>
  <c r="Q13" i="16" s="1"/>
  <c r="P9" i="16" a="1"/>
  <c r="P9" i="16" s="1"/>
  <c r="P13" i="16" a="1"/>
  <c r="P13" i="16" s="1"/>
  <c r="G11" i="16" a="1"/>
  <c r="G11" i="16" s="1"/>
  <c r="G13" i="16" a="1"/>
  <c r="G13" i="16" s="1"/>
  <c r="F13" i="16" a="1"/>
  <c r="F13" i="16" s="1"/>
  <c r="F78" i="17"/>
  <c r="AC30" i="18"/>
  <c r="F73" i="17" s="1"/>
  <c r="Y30" i="18"/>
  <c r="AB30" i="18" s="1"/>
  <c r="L173" i="16"/>
  <c r="L12" i="16" s="1" a="1"/>
  <c r="L12" i="16" s="1"/>
  <c r="M173" i="16"/>
  <c r="M12" i="16" s="1" a="1"/>
  <c r="M12" i="16" s="1"/>
  <c r="P11" i="16" a="1"/>
  <c r="P11" i="16" s="1"/>
  <c r="AE21" i="18"/>
  <c r="AE7" i="18"/>
  <c r="AC7" i="18" s="1"/>
  <c r="D18" i="17" s="1"/>
  <c r="P12" i="16" a="1"/>
  <c r="P12" i="16" s="1"/>
  <c r="P3" i="16" a="1"/>
  <c r="P3" i="16" s="1"/>
  <c r="P4" i="16" a="1"/>
  <c r="P4" i="16" s="1"/>
  <c r="P5" i="16" a="1"/>
  <c r="P5" i="16" s="1"/>
  <c r="P6" i="16" a="1"/>
  <c r="P6" i="16" s="1"/>
  <c r="P7" i="16" a="1"/>
  <c r="P7" i="16" s="1"/>
  <c r="P10" i="16" a="1"/>
  <c r="P10" i="16" s="1"/>
  <c r="P8" i="16" a="1"/>
  <c r="P8" i="16" s="1"/>
  <c r="AB7" i="18"/>
  <c r="Q4" i="16" a="1"/>
  <c r="Q4" i="16" s="1"/>
  <c r="Q9" i="16" a="1"/>
  <c r="Q9" i="16" s="1"/>
  <c r="Q10" i="16" a="1"/>
  <c r="Q10" i="16" s="1"/>
  <c r="Q6" i="16" a="1"/>
  <c r="Q6" i="16" s="1"/>
  <c r="Q7" i="16" a="1"/>
  <c r="Q7" i="16" s="1"/>
  <c r="Q8" i="16" a="1"/>
  <c r="Q8" i="16" s="1"/>
  <c r="Q5" i="16" a="1"/>
  <c r="Q5" i="16" s="1"/>
  <c r="Q3" i="16" a="1"/>
  <c r="Q3" i="16" s="1"/>
  <c r="U10" i="16" a="1"/>
  <c r="U10" i="16" s="1"/>
  <c r="U7" i="16" a="1"/>
  <c r="U7" i="16" s="1"/>
  <c r="U4" i="16" a="1"/>
  <c r="U4" i="16" s="1"/>
  <c r="U9" i="16" a="1"/>
  <c r="U9" i="16" s="1"/>
  <c r="U8" i="16" a="1"/>
  <c r="U8" i="16" s="1"/>
  <c r="U6" i="16" a="1"/>
  <c r="U6" i="16" s="1"/>
  <c r="U5" i="16" a="1"/>
  <c r="U5" i="16" s="1"/>
  <c r="T5" i="16" a="1"/>
  <c r="T5" i="16" s="1"/>
  <c r="T9" i="16" a="1"/>
  <c r="T9" i="16" s="1"/>
  <c r="T4" i="16" a="1"/>
  <c r="T4" i="16" s="1"/>
  <c r="T10" i="16" a="1"/>
  <c r="T10" i="16" s="1"/>
  <c r="T3" i="16" a="1"/>
  <c r="T3" i="16" s="1"/>
  <c r="T7" i="16" a="1"/>
  <c r="T7" i="16" s="1"/>
  <c r="T8" i="16" a="1"/>
  <c r="T8" i="16" s="1"/>
  <c r="T6" i="16" a="1"/>
  <c r="T6" i="16" s="1"/>
  <c r="S8" i="16" a="1"/>
  <c r="S8" i="16" s="1"/>
  <c r="S10" i="16" a="1"/>
  <c r="S10" i="16" s="1"/>
  <c r="S7" i="16" a="1"/>
  <c r="S7" i="16" s="1"/>
  <c r="S5" i="16" a="1"/>
  <c r="S5" i="16" s="1"/>
  <c r="AJ23" i="23"/>
  <c r="AH23" i="23" s="1"/>
  <c r="G9" i="16" a="1"/>
  <c r="G9" i="16" s="1"/>
  <c r="G7" i="16" a="1"/>
  <c r="G7" i="16" s="1"/>
  <c r="G3" i="16" a="1"/>
  <c r="G3" i="16" s="1"/>
  <c r="G4" i="16" a="1"/>
  <c r="G4" i="16" s="1"/>
  <c r="G10" i="16" a="1"/>
  <c r="G10" i="16" s="1"/>
  <c r="G5" i="16" a="1"/>
  <c r="G5" i="16" s="1"/>
  <c r="G6" i="16" a="1"/>
  <c r="G6" i="16" s="1"/>
  <c r="G8" i="16" a="1"/>
  <c r="G8" i="16" s="1"/>
  <c r="S6" i="16" a="1"/>
  <c r="S6" i="16" s="1"/>
  <c r="S3" i="16" a="1"/>
  <c r="S3" i="16" s="1"/>
  <c r="T11" i="16" a="1"/>
  <c r="T11" i="16" s="1"/>
  <c r="U3" i="16" a="1"/>
  <c r="U3" i="16" s="1"/>
  <c r="S9" i="16" a="1"/>
  <c r="S9" i="16" s="1"/>
  <c r="U12" i="16" a="1"/>
  <c r="U12" i="16" s="1"/>
  <c r="T12" i="16" a="1"/>
  <c r="T12" i="16" s="1"/>
  <c r="G12" i="16" a="1"/>
  <c r="G12" i="16" s="1"/>
  <c r="S12" i="16" a="1"/>
  <c r="S12" i="16" s="1"/>
  <c r="Q12" i="16" a="1"/>
  <c r="Q12" i="16" s="1"/>
  <c r="F4" i="16" a="1"/>
  <c r="F4" i="16" s="1"/>
  <c r="F8" i="16" a="1"/>
  <c r="F8" i="16" s="1"/>
  <c r="F10" i="16" a="1"/>
  <c r="F10" i="16" s="1"/>
  <c r="F3" i="16" a="1"/>
  <c r="F3" i="16" s="1"/>
  <c r="F6" i="16" a="1"/>
  <c r="F6" i="16" s="1"/>
  <c r="F11" i="16" a="1"/>
  <c r="F11" i="16" s="1"/>
  <c r="F12" i="16" a="1"/>
  <c r="F12" i="16" s="1"/>
  <c r="F7" i="16" a="1"/>
  <c r="F7" i="16" s="1"/>
  <c r="F9" i="16" a="1"/>
  <c r="F9" i="16" s="1"/>
  <c r="F5" i="16" a="1"/>
  <c r="F5" i="16" s="1"/>
  <c r="E52" i="17"/>
  <c r="Z23" i="18"/>
  <c r="E34" i="17"/>
  <c r="Z17" i="18"/>
  <c r="L16" i="18"/>
  <c r="AE16" i="18" s="1"/>
  <c r="AF27" i="19"/>
  <c r="AG27" i="19" s="1"/>
  <c r="AF28" i="19"/>
  <c r="AG28" i="19" s="1"/>
  <c r="AF9" i="19"/>
  <c r="AF29" i="19"/>
  <c r="AG29" i="19" s="1"/>
  <c r="AF24" i="19"/>
  <c r="AG24" i="19" s="1"/>
  <c r="AF30" i="19"/>
  <c r="AG30" i="19" s="1"/>
  <c r="AF21" i="19"/>
  <c r="AG21" i="19" s="1"/>
  <c r="AF18" i="19"/>
  <c r="AG18" i="19" s="1"/>
  <c r="AF26" i="19"/>
  <c r="AG26" i="19" s="1"/>
  <c r="AF23" i="19"/>
  <c r="AG23" i="19" s="1"/>
  <c r="AF8" i="19"/>
  <c r="AF17" i="19"/>
  <c r="AG17" i="19" s="1"/>
  <c r="AF19" i="19"/>
  <c r="AG19" i="19" s="1"/>
  <c r="AF22" i="19"/>
  <c r="AG22" i="19" s="1"/>
  <c r="AF7" i="19"/>
  <c r="AF16" i="19"/>
  <c r="AG16" i="19" s="1"/>
  <c r="AF25" i="19"/>
  <c r="AG25" i="19" s="1"/>
  <c r="AF9" i="23"/>
  <c r="AD9" i="23" s="1"/>
  <c r="AJ9" i="23"/>
  <c r="AH9" i="23" s="1"/>
  <c r="Y15" i="18"/>
  <c r="AB8" i="18"/>
  <c r="AF20" i="19"/>
  <c r="AG20" i="19" s="1"/>
  <c r="AF6" i="19"/>
  <c r="AG6" i="19" s="1"/>
  <c r="AF5" i="19"/>
  <c r="AG5" i="19" s="1"/>
  <c r="AF13" i="19"/>
  <c r="AG13" i="19" s="1"/>
  <c r="AF15" i="19"/>
  <c r="AG15" i="19" s="1"/>
  <c r="AF4" i="19"/>
  <c r="AG4" i="19" s="1"/>
  <c r="AF14" i="19"/>
  <c r="AG14" i="19" s="1"/>
  <c r="AE8" i="18"/>
  <c r="AD8" i="18" s="1"/>
  <c r="E17" i="17" s="1"/>
  <c r="AH24" i="23"/>
  <c r="AF5" i="23"/>
  <c r="AN20" i="23"/>
  <c r="AF10" i="23"/>
  <c r="AD10" i="23" s="1"/>
  <c r="AB10" i="23"/>
  <c r="AB23" i="18"/>
  <c r="K293" i="7"/>
  <c r="AE23" i="18"/>
  <c r="E60" i="17" s="1"/>
  <c r="Y22" i="18"/>
  <c r="Z22" i="18" s="1"/>
  <c r="F60" i="17"/>
  <c r="AD24" i="18"/>
  <c r="F54" i="17" s="1"/>
  <c r="Y24" i="18"/>
  <c r="L6" i="18"/>
  <c r="AE6" i="18" s="1"/>
  <c r="Y14" i="18"/>
  <c r="Z14" i="18" s="1"/>
  <c r="Y19" i="18"/>
  <c r="Z19" i="18" s="1"/>
  <c r="Y18" i="18"/>
  <c r="Z18" i="18" s="1"/>
  <c r="Y13" i="18"/>
  <c r="Z13" i="18" s="1"/>
  <c r="AB17" i="18"/>
  <c r="K249" i="7"/>
  <c r="L5" i="18"/>
  <c r="AE17" i="18"/>
  <c r="AD17" i="18" s="1"/>
  <c r="E36" i="17" s="1"/>
  <c r="Y4" i="18"/>
  <c r="Z4" i="18" s="1"/>
  <c r="AE4" i="18"/>
  <c r="F23" i="17"/>
  <c r="AD9" i="18"/>
  <c r="F17" i="17" s="1"/>
  <c r="AC9" i="18"/>
  <c r="F18" i="17" s="1"/>
  <c r="AD22" i="18"/>
  <c r="D54" i="17" s="1"/>
  <c r="D60" i="17"/>
  <c r="V40" i="23" s="1"/>
  <c r="AC22" i="18"/>
  <c r="D55" i="17" s="1"/>
  <c r="F15" i="17"/>
  <c r="K184" i="7"/>
  <c r="D51" i="17"/>
  <c r="V39" i="23" s="1"/>
  <c r="AD19" i="18"/>
  <c r="D45" i="17" s="1"/>
  <c r="D46" i="17"/>
  <c r="D15" i="17"/>
  <c r="K182" i="7"/>
  <c r="AD18" i="18"/>
  <c r="F36" i="17" s="1"/>
  <c r="F42" i="17"/>
  <c r="AC18" i="18"/>
  <c r="F37" i="17" s="1"/>
  <c r="AD14" i="18"/>
  <c r="E27" i="17" s="1"/>
  <c r="AC14" i="18"/>
  <c r="E28" i="17" s="1"/>
  <c r="AD13" i="18"/>
  <c r="D27" i="17" s="1"/>
  <c r="AC13" i="18"/>
  <c r="D28" i="17" s="1"/>
  <c r="E15" i="17"/>
  <c r="K183" i="7"/>
  <c r="AD15" i="18"/>
  <c r="F27" i="17" s="1"/>
  <c r="AC15" i="18"/>
  <c r="F28" i="17" s="1"/>
  <c r="F43" i="17"/>
  <c r="AB21" i="18"/>
  <c r="U13" i="16" l="1" a="1"/>
  <c r="U13" i="16" s="1"/>
  <c r="O12" i="16" a="1"/>
  <c r="O12" i="16" s="1"/>
  <c r="S13" i="16" a="1"/>
  <c r="S13" i="16" s="1"/>
  <c r="E5" i="16" a="1"/>
  <c r="E5" i="16" s="1"/>
  <c r="D3" i="16" a="1"/>
  <c r="D3" i="16" s="1"/>
  <c r="E13" i="16" a="1"/>
  <c r="E13" i="16" s="1"/>
  <c r="E7" i="16" a="1"/>
  <c r="E7" i="16" s="1"/>
  <c r="X35" i="23"/>
  <c r="T35" i="23"/>
  <c r="T43" i="23"/>
  <c r="X43" i="23"/>
  <c r="S43" i="23"/>
  <c r="W43" i="23"/>
  <c r="T42" i="23"/>
  <c r="X42" i="23"/>
  <c r="T40" i="23"/>
  <c r="X40" i="23"/>
  <c r="S40" i="23"/>
  <c r="W40" i="23"/>
  <c r="R40" i="23"/>
  <c r="R39" i="23"/>
  <c r="T38" i="23"/>
  <c r="X38" i="23"/>
  <c r="Z10" i="23"/>
  <c r="L20" i="18"/>
  <c r="Y20" i="18" s="1"/>
  <c r="Z20" i="18" s="1"/>
  <c r="N174" i="16"/>
  <c r="N13" i="16" s="1" a="1"/>
  <c r="N13" i="16" s="1"/>
  <c r="D13" i="16" a="1"/>
  <c r="D13" i="16" s="1"/>
  <c r="E9" i="16" a="1"/>
  <c r="E9" i="16" s="1"/>
  <c r="AD21" i="18"/>
  <c r="F45" i="17" s="1"/>
  <c r="AC21" i="18"/>
  <c r="F46" i="17" s="1"/>
  <c r="Q14" i="16" a="1"/>
  <c r="Q14" i="16" s="1"/>
  <c r="G14" i="16" a="1"/>
  <c r="G14" i="16" s="1"/>
  <c r="F14" i="16" a="1"/>
  <c r="F14" i="16" s="1"/>
  <c r="L11" i="16" a="1"/>
  <c r="L11" i="16" s="1"/>
  <c r="AD7" i="18"/>
  <c r="D17" i="17" s="1"/>
  <c r="D23" i="17"/>
  <c r="W14" i="16" a="1"/>
  <c r="W14" i="16" s="1"/>
  <c r="V14" i="16" a="1"/>
  <c r="V14" i="16" s="1"/>
  <c r="E14" i="16" a="1"/>
  <c r="E14" i="16" s="1"/>
  <c r="D14" i="16" a="1"/>
  <c r="D14" i="16" s="1"/>
  <c r="P14" i="16" a="1"/>
  <c r="P14" i="16" s="1"/>
  <c r="W13" i="16" a="1"/>
  <c r="W13" i="16" s="1"/>
  <c r="V13" i="16" a="1"/>
  <c r="V13" i="16" s="1"/>
  <c r="F70" i="17"/>
  <c r="Z30" i="18"/>
  <c r="A15" i="16"/>
  <c r="U14" i="16" a="1"/>
  <c r="U14" i="16" s="1"/>
  <c r="T14" i="16" a="1"/>
  <c r="T14" i="16" s="1"/>
  <c r="S14" i="16" a="1"/>
  <c r="S14" i="16" s="1"/>
  <c r="R14" i="16" a="1"/>
  <c r="R14" i="16" s="1"/>
  <c r="F51" i="17"/>
  <c r="M14" i="16" a="1"/>
  <c r="M14" i="16" s="1"/>
  <c r="M13" i="16" a="1"/>
  <c r="M13" i="16" s="1"/>
  <c r="L13" i="16" a="1"/>
  <c r="L13" i="16" s="1"/>
  <c r="L14" i="16" a="1"/>
  <c r="L14" i="16" s="1"/>
  <c r="L10" i="16" a="1"/>
  <c r="L10" i="16" s="1"/>
  <c r="O14" i="16" a="1"/>
  <c r="O14" i="16" s="1"/>
  <c r="O15" i="16" a="1"/>
  <c r="O15" i="16" s="1"/>
  <c r="O13" i="16" a="1"/>
  <c r="O13" i="16" s="1"/>
  <c r="L7" i="16" a="1"/>
  <c r="L7" i="16" s="1"/>
  <c r="L8" i="16" a="1"/>
  <c r="L8" i="16" s="1"/>
  <c r="L4" i="16" a="1"/>
  <c r="L4" i="16" s="1"/>
  <c r="L6" i="16" a="1"/>
  <c r="L6" i="16" s="1"/>
  <c r="L5" i="16" a="1"/>
  <c r="L5" i="16" s="1"/>
  <c r="L3" i="16" a="1"/>
  <c r="L3" i="16" s="1"/>
  <c r="L9" i="16" a="1"/>
  <c r="L9" i="16" s="1"/>
  <c r="E10" i="16" a="1"/>
  <c r="E10" i="16" s="1"/>
  <c r="E12" i="16" a="1"/>
  <c r="E12" i="16" s="1"/>
  <c r="E3" i="16" a="1"/>
  <c r="E3" i="16" s="1"/>
  <c r="E8" i="16" a="1"/>
  <c r="E8" i="16" s="1"/>
  <c r="E4" i="16" a="1"/>
  <c r="E4" i="16" s="1"/>
  <c r="E6" i="16" a="1"/>
  <c r="E6" i="16" s="1"/>
  <c r="O9" i="16" a="1"/>
  <c r="O9" i="16" s="1"/>
  <c r="O8" i="16" a="1"/>
  <c r="O8" i="16" s="1"/>
  <c r="O3" i="16" a="1"/>
  <c r="O3" i="16" s="1"/>
  <c r="O5" i="16" a="1"/>
  <c r="O5" i="16" s="1"/>
  <c r="O4" i="16" a="1"/>
  <c r="O4" i="16" s="1"/>
  <c r="O7" i="16" a="1"/>
  <c r="O7" i="16" s="1"/>
  <c r="O10" i="16" a="1"/>
  <c r="O10" i="16" s="1"/>
  <c r="M6" i="16" a="1"/>
  <c r="M6" i="16" s="1"/>
  <c r="M8" i="16" a="1"/>
  <c r="M8" i="16" s="1"/>
  <c r="M3" i="16" a="1"/>
  <c r="M3" i="16" s="1"/>
  <c r="M7" i="16" a="1"/>
  <c r="M7" i="16" s="1"/>
  <c r="M4" i="16" a="1"/>
  <c r="M4" i="16" s="1"/>
  <c r="M5" i="16" a="1"/>
  <c r="M5" i="16" s="1"/>
  <c r="M9" i="16" a="1"/>
  <c r="M9" i="16" s="1"/>
  <c r="M10" i="16" a="1"/>
  <c r="M10" i="16" s="1"/>
  <c r="M11" i="16" a="1"/>
  <c r="M11" i="16" s="1"/>
  <c r="O6" i="16" a="1"/>
  <c r="O6" i="16" s="1"/>
  <c r="O11" i="16" a="1"/>
  <c r="O11" i="16" s="1"/>
  <c r="E11" i="16" a="1"/>
  <c r="E11" i="16" s="1"/>
  <c r="D6" i="16" a="1"/>
  <c r="D6" i="16" s="1"/>
  <c r="D12" i="16" a="1"/>
  <c r="D12" i="16" s="1"/>
  <c r="D10" i="16" a="1"/>
  <c r="D10" i="16" s="1"/>
  <c r="D9" i="16" a="1"/>
  <c r="D9" i="16" s="1"/>
  <c r="D8" i="16" a="1"/>
  <c r="D8" i="16" s="1"/>
  <c r="D7" i="16" a="1"/>
  <c r="D7" i="16" s="1"/>
  <c r="D11" i="16" a="1"/>
  <c r="D11" i="16" s="1"/>
  <c r="D5" i="16" a="1"/>
  <c r="D5" i="16" s="1"/>
  <c r="D4" i="16" a="1"/>
  <c r="D4" i="16" s="1"/>
  <c r="F52" i="17"/>
  <c r="Z24" i="18"/>
  <c r="F25" i="17"/>
  <c r="Z15" i="18"/>
  <c r="Y16" i="18"/>
  <c r="AL21" i="19"/>
  <c r="AM21" i="19" s="1"/>
  <c r="AL30" i="19"/>
  <c r="AM30" i="19" s="1"/>
  <c r="AJ29" i="19"/>
  <c r="AK29" i="19" s="1"/>
  <c r="AJ8" i="19"/>
  <c r="AK8" i="19" s="1"/>
  <c r="AH16" i="19"/>
  <c r="AI16" i="19" s="1"/>
  <c r="AJ17" i="19"/>
  <c r="AK17" i="19" s="1"/>
  <c r="AL9" i="19"/>
  <c r="AM9" i="19" s="1"/>
  <c r="AH28" i="19"/>
  <c r="AI28" i="19" s="1"/>
  <c r="AL18" i="19"/>
  <c r="AM18" i="19" s="1"/>
  <c r="AL24" i="19"/>
  <c r="AM24" i="19" s="1"/>
  <c r="AJ26" i="19"/>
  <c r="AK26" i="19" s="1"/>
  <c r="AJ20" i="19"/>
  <c r="AK20" i="19" s="1"/>
  <c r="AJ23" i="19"/>
  <c r="AK23" i="19" s="1"/>
  <c r="AH22" i="19"/>
  <c r="AI22" i="19" s="1"/>
  <c r="AH25" i="19"/>
  <c r="AI25" i="19" s="1"/>
  <c r="AH19" i="19"/>
  <c r="AI19" i="19" s="1"/>
  <c r="AH13" i="19"/>
  <c r="AI13" i="19" s="1"/>
  <c r="K228" i="7"/>
  <c r="AB15" i="18"/>
  <c r="D52" i="17"/>
  <c r="AJ14" i="19"/>
  <c r="AK14" i="19" s="1"/>
  <c r="AH7" i="19"/>
  <c r="AI7" i="19" s="1"/>
  <c r="AL15" i="19"/>
  <c r="AM15" i="19" s="1"/>
  <c r="AH4" i="19"/>
  <c r="AI4" i="19" s="1"/>
  <c r="AL27" i="19"/>
  <c r="AM27" i="19" s="1"/>
  <c r="AJ5" i="19"/>
  <c r="AK5" i="19" s="1"/>
  <c r="AL6" i="19"/>
  <c r="AM6" i="19" s="1"/>
  <c r="AO13" i="19"/>
  <c r="F223" i="7" s="1"/>
  <c r="AC8" i="18"/>
  <c r="E18" i="17" s="1"/>
  <c r="E23" i="17"/>
  <c r="AD23" i="18"/>
  <c r="E54" i="17" s="1"/>
  <c r="AC23" i="18"/>
  <c r="E55" i="17" s="1"/>
  <c r="AB22" i="18"/>
  <c r="K292" i="7"/>
  <c r="K294" i="7"/>
  <c r="AB24" i="18"/>
  <c r="Y6" i="18"/>
  <c r="AB13" i="18"/>
  <c r="D25" i="17"/>
  <c r="AB14" i="18"/>
  <c r="E25" i="17"/>
  <c r="K227" i="7"/>
  <c r="AB19" i="18"/>
  <c r="F34" i="17"/>
  <c r="K270" i="7"/>
  <c r="D43" i="17"/>
  <c r="K250" i="7"/>
  <c r="AB18" i="18"/>
  <c r="K226" i="7"/>
  <c r="E42" i="17"/>
  <c r="AC17" i="18"/>
  <c r="E37" i="17" s="1"/>
  <c r="Y5" i="18"/>
  <c r="Z5" i="18" s="1"/>
  <c r="AE5" i="18"/>
  <c r="D42" i="17"/>
  <c r="V38" i="23" s="1"/>
  <c r="AD16" i="18"/>
  <c r="D36" i="17" s="1"/>
  <c r="AC16" i="18"/>
  <c r="D37" i="17" s="1"/>
  <c r="AB4" i="18"/>
  <c r="D5" i="17"/>
  <c r="AF4" i="18"/>
  <c r="K160" i="7"/>
  <c r="D13" i="17"/>
  <c r="AD4" i="18"/>
  <c r="D7" i="17" s="1"/>
  <c r="AC4" i="18"/>
  <c r="D8" i="17" s="1"/>
  <c r="F13" i="17"/>
  <c r="X34" i="23" s="1"/>
  <c r="AD6" i="18"/>
  <c r="F7" i="17" s="1"/>
  <c r="AC6" i="18"/>
  <c r="F8" i="17" s="1"/>
  <c r="N3" i="16" l="1" a="1"/>
  <c r="N3" i="16" s="1"/>
  <c r="N4" i="16" a="1"/>
  <c r="N4" i="16" s="1"/>
  <c r="N10" i="16" a="1"/>
  <c r="N10" i="16" s="1"/>
  <c r="N7" i="16" a="1"/>
  <c r="N7" i="16" s="1"/>
  <c r="N6" i="16" a="1"/>
  <c r="N6" i="16" s="1"/>
  <c r="N11" i="16" a="1"/>
  <c r="N11" i="16" s="1"/>
  <c r="N12" i="16" a="1"/>
  <c r="N12" i="16" s="1"/>
  <c r="N9" i="16" a="1"/>
  <c r="N9" i="16" s="1"/>
  <c r="N8" i="16" a="1"/>
  <c r="N8" i="16" s="1"/>
  <c r="N5" i="16" a="1"/>
  <c r="N5" i="16" s="1"/>
  <c r="N14" i="16" a="1"/>
  <c r="N14" i="16" s="1"/>
  <c r="N15" i="16" a="1"/>
  <c r="N15" i="16" s="1"/>
  <c r="V35" i="23"/>
  <c r="D20" i="17" s="1"/>
  <c r="R35" i="23"/>
  <c r="S35" i="23"/>
  <c r="W35" i="23"/>
  <c r="E20" i="17" s="1"/>
  <c r="V34" i="23"/>
  <c r="D10" i="17" s="1"/>
  <c r="T39" i="23"/>
  <c r="F47" i="17" s="1"/>
  <c r="X39" i="23"/>
  <c r="F48" i="17" s="1"/>
  <c r="S38" i="23"/>
  <c r="E38" i="17" s="1"/>
  <c r="W38" i="23"/>
  <c r="E39" i="17" s="1"/>
  <c r="R38" i="23"/>
  <c r="D38" i="17" s="1"/>
  <c r="F39" i="17"/>
  <c r="F38" i="17"/>
  <c r="D39" i="17"/>
  <c r="AB20" i="18"/>
  <c r="AE20" i="18"/>
  <c r="AD20" i="18" s="1"/>
  <c r="E45" i="17" s="1"/>
  <c r="E43" i="17"/>
  <c r="K271" i="7"/>
  <c r="F20" i="17"/>
  <c r="F84" i="17"/>
  <c r="D57" i="17"/>
  <c r="E57" i="17"/>
  <c r="F57" i="17"/>
  <c r="D19" i="17"/>
  <c r="F19" i="17"/>
  <c r="D56" i="17"/>
  <c r="E56" i="17"/>
  <c r="F56" i="17"/>
  <c r="D47" i="17"/>
  <c r="E83" i="17"/>
  <c r="L15" i="16" a="1"/>
  <c r="L15" i="16" s="1"/>
  <c r="M15" i="16" a="1"/>
  <c r="M15" i="16" s="1"/>
  <c r="W15" i="16" a="1"/>
  <c r="W15" i="16" s="1"/>
  <c r="V15" i="16" a="1"/>
  <c r="V15" i="16" s="1"/>
  <c r="Q5" i="23"/>
  <c r="T20" i="23" s="1"/>
  <c r="W20" i="23" s="1"/>
  <c r="AI20" i="23" s="1"/>
  <c r="AH20" i="23" s="1"/>
  <c r="D84" i="17"/>
  <c r="A16" i="16"/>
  <c r="U15" i="16" a="1"/>
  <c r="U15" i="16" s="1"/>
  <c r="R15" i="16" a="1"/>
  <c r="R15" i="16" s="1"/>
  <c r="S15" i="16" a="1"/>
  <c r="S15" i="16" s="1"/>
  <c r="T15" i="16" a="1"/>
  <c r="T15" i="16" s="1"/>
  <c r="Q15" i="16" a="1"/>
  <c r="Q15" i="16" s="1"/>
  <c r="P15" i="16" a="1"/>
  <c r="P15" i="16" s="1"/>
  <c r="E15" i="16" a="1"/>
  <c r="E15" i="16" s="1"/>
  <c r="D15" i="16" a="1"/>
  <c r="D15" i="16" s="1"/>
  <c r="F15" i="16" a="1"/>
  <c r="F15" i="16" s="1"/>
  <c r="G15" i="16" a="1"/>
  <c r="G15" i="16" s="1"/>
  <c r="F5" i="17"/>
  <c r="Z6" i="18"/>
  <c r="K248" i="7"/>
  <c r="Z16" i="18"/>
  <c r="AB16" i="18"/>
  <c r="D34" i="17"/>
  <c r="AO22" i="19"/>
  <c r="F289" i="7" s="1"/>
  <c r="AO16" i="19"/>
  <c r="F245" i="7" s="1"/>
  <c r="AQ30" i="19"/>
  <c r="AO19" i="19"/>
  <c r="F267" i="7" s="1"/>
  <c r="AP23" i="19"/>
  <c r="F290" i="7" s="1"/>
  <c r="AP20" i="19"/>
  <c r="F268" i="7" s="1"/>
  <c r="AO25" i="19"/>
  <c r="AO28" i="19"/>
  <c r="AP29" i="19"/>
  <c r="AQ6" i="19"/>
  <c r="AO4" i="19"/>
  <c r="AP17" i="19"/>
  <c r="F246" i="7" s="1"/>
  <c r="AO7" i="19"/>
  <c r="AQ9" i="19"/>
  <c r="F181" i="7" s="1"/>
  <c r="AP5" i="19"/>
  <c r="AP26" i="19"/>
  <c r="AP8" i="19"/>
  <c r="F180" i="7" s="1"/>
  <c r="AQ21" i="19"/>
  <c r="F269" i="7" s="1"/>
  <c r="AQ27" i="19"/>
  <c r="AQ15" i="19"/>
  <c r="F225" i="7" s="1"/>
  <c r="AQ24" i="19"/>
  <c r="F291" i="7" s="1"/>
  <c r="AQ18" i="19"/>
  <c r="F247" i="7" s="1"/>
  <c r="AP14" i="19"/>
  <c r="F224" i="7" s="1"/>
  <c r="E19" i="17"/>
  <c r="O5" i="23"/>
  <c r="R5" i="23" s="1"/>
  <c r="K162" i="7"/>
  <c r="AB6" i="18"/>
  <c r="D48" i="17"/>
  <c r="AD5" i="18"/>
  <c r="E7" i="17" s="1"/>
  <c r="E13" i="17"/>
  <c r="W34" i="23" s="1"/>
  <c r="AC5" i="18"/>
  <c r="E8" i="17" s="1"/>
  <c r="AB5" i="18"/>
  <c r="E5" i="17"/>
  <c r="K161" i="7"/>
  <c r="E51" i="17" l="1"/>
  <c r="AC20" i="18"/>
  <c r="E46" i="17" s="1"/>
  <c r="U5" i="23"/>
  <c r="E84" i="17"/>
  <c r="W16" i="16" a="1"/>
  <c r="W16" i="16" s="1"/>
  <c r="V16" i="16" a="1"/>
  <c r="V16" i="16" s="1"/>
  <c r="T5" i="23"/>
  <c r="W5" i="23" s="1"/>
  <c r="T34" i="23" s="1"/>
  <c r="F159" i="7"/>
  <c r="X41" i="19"/>
  <c r="L4" i="17" s="1"/>
  <c r="W41" i="19"/>
  <c r="L5" i="17" s="1"/>
  <c r="V41" i="19"/>
  <c r="L3" i="17" s="1"/>
  <c r="F157" i="7"/>
  <c r="X39" i="19"/>
  <c r="J4" i="17" s="1"/>
  <c r="W39" i="19"/>
  <c r="J5" i="17" s="1"/>
  <c r="V39" i="19"/>
  <c r="J3" i="17" s="1"/>
  <c r="X40" i="19"/>
  <c r="K4" i="17" s="1"/>
  <c r="W40" i="19"/>
  <c r="K5" i="17" s="1"/>
  <c r="V40" i="19"/>
  <c r="K3" i="17" s="1"/>
  <c r="F83" i="17"/>
  <c r="D83" i="17"/>
  <c r="P5" i="23"/>
  <c r="S5" i="23" s="1"/>
  <c r="V5" i="23" s="1"/>
  <c r="S34" i="23" s="1"/>
  <c r="A17" i="16"/>
  <c r="S16" i="16" a="1"/>
  <c r="S16" i="16" s="1"/>
  <c r="R16" i="16" a="1"/>
  <c r="R16" i="16" s="1"/>
  <c r="U16" i="16" a="1"/>
  <c r="U16" i="16" s="1"/>
  <c r="T16" i="16" a="1"/>
  <c r="T16" i="16" s="1"/>
  <c r="G16" i="16" a="1"/>
  <c r="G16" i="16" s="1"/>
  <c r="P16" i="16" a="1"/>
  <c r="P16" i="16" s="1"/>
  <c r="Q16" i="16" a="1"/>
  <c r="Q16" i="16" s="1"/>
  <c r="E16" i="16" a="1"/>
  <c r="E16" i="16" s="1"/>
  <c r="F16" i="16" a="1"/>
  <c r="F16" i="16" s="1"/>
  <c r="D16" i="16" a="1"/>
  <c r="D16" i="16" s="1"/>
  <c r="O16" i="16" a="1"/>
  <c r="O16" i="16" s="1"/>
  <c r="N16" i="16" a="1"/>
  <c r="N16" i="16" s="1"/>
  <c r="M16" i="16" a="1"/>
  <c r="M16" i="16" s="1"/>
  <c r="L16" i="16" a="1"/>
  <c r="L16" i="16" s="1"/>
  <c r="F179" i="7"/>
  <c r="F158" i="7"/>
  <c r="R20" i="23"/>
  <c r="U20" i="23" s="1"/>
  <c r="AA20" i="23" s="1"/>
  <c r="Z20" i="23" s="1"/>
  <c r="AA5" i="23" l="1"/>
  <c r="Z5" i="23" s="1"/>
  <c r="E10" i="17" s="1"/>
  <c r="R34" i="23"/>
  <c r="D9" i="17" s="1"/>
  <c r="S39" i="23"/>
  <c r="E47" i="17" s="1"/>
  <c r="W39" i="23"/>
  <c r="E48" i="17" s="1"/>
  <c r="F10" i="17"/>
  <c r="AI5" i="23"/>
  <c r="AH5" i="23" s="1"/>
  <c r="AE5" i="23"/>
  <c r="AD5" i="23" s="1"/>
  <c r="W17" i="16" a="1"/>
  <c r="W17" i="16" s="1"/>
  <c r="V17" i="16" a="1"/>
  <c r="V17" i="16" s="1"/>
  <c r="S20" i="23"/>
  <c r="V20" i="23" s="1"/>
  <c r="AE20" i="23" s="1"/>
  <c r="AD20" i="23" s="1"/>
  <c r="S17" i="16" a="1"/>
  <c r="S17" i="16" s="1"/>
  <c r="U17" i="16" a="1"/>
  <c r="U17" i="16" s="1"/>
  <c r="T17" i="16" a="1"/>
  <c r="T17" i="16" s="1"/>
  <c r="R17" i="16" a="1"/>
  <c r="R17" i="16" s="1"/>
  <c r="P17" i="16" a="1"/>
  <c r="P17" i="16" s="1"/>
  <c r="G17" i="16" a="1"/>
  <c r="G17" i="16" s="1"/>
  <c r="Q17" i="16" a="1"/>
  <c r="Q17" i="16" s="1"/>
  <c r="E17" i="16" a="1"/>
  <c r="E17" i="16" s="1"/>
  <c r="F17" i="16" a="1"/>
  <c r="F17" i="16" s="1"/>
  <c r="D17" i="16" a="1"/>
  <c r="D17" i="16" s="1"/>
  <c r="N17" i="16" a="1"/>
  <c r="N17" i="16" s="1"/>
  <c r="L17" i="16" a="1"/>
  <c r="L17" i="16" s="1"/>
  <c r="M17" i="16" a="1"/>
  <c r="M17" i="16" s="1"/>
  <c r="O17" i="16" a="1"/>
  <c r="O17" i="16" s="1"/>
  <c r="F9" i="17" l="1"/>
  <c r="E9" i="17"/>
  <c r="D25" i="18" l="1"/>
  <c r="D26" i="18"/>
  <c r="D27" i="18"/>
  <c r="L27" i="18" l="1"/>
  <c r="AE27" i="18" s="1"/>
  <c r="AC27" i="18" s="1"/>
  <c r="L26" i="18"/>
  <c r="AE26" i="18" s="1"/>
  <c r="AC26" i="18" s="1"/>
  <c r="L25" i="18"/>
  <c r="AE25" i="18" s="1"/>
  <c r="AC25" i="18" s="1"/>
  <c r="R3" i="16" l="1" a="1"/>
  <c r="R3" i="16" s="1"/>
  <c r="R4" i="16" a="1"/>
  <c r="R4" i="16" s="1"/>
  <c r="R12" i="16" a="1"/>
  <c r="R12" i="16" s="1"/>
  <c r="R5" i="16" a="1"/>
  <c r="R5" i="16" s="1"/>
  <c r="R6" i="16" a="1"/>
  <c r="R6" i="16" s="1"/>
  <c r="R7" i="16" a="1"/>
  <c r="R7" i="16" s="1"/>
  <c r="R8" i="16" a="1"/>
  <c r="R8" i="16" s="1"/>
  <c r="R9" i="16" a="1"/>
  <c r="R9" i="16" s="1"/>
  <c r="R10" i="16" a="1"/>
  <c r="R10" i="16" s="1"/>
  <c r="R11" i="16" a="1"/>
  <c r="R11" i="16" s="1"/>
  <c r="Y26" i="18"/>
  <c r="Y27" i="18"/>
  <c r="Y25" i="18"/>
  <c r="F64" i="17"/>
  <c r="F69" i="17"/>
  <c r="E64" i="17"/>
  <c r="E69" i="17"/>
  <c r="D64" i="17"/>
  <c r="D69" i="17"/>
  <c r="V41" i="23" s="1"/>
  <c r="AD25" i="18"/>
  <c r="D63" i="17" s="1"/>
  <c r="AD26" i="18"/>
  <c r="E63" i="17" s="1"/>
  <c r="AD27" i="18"/>
  <c r="F63" i="17" s="1"/>
  <c r="T41" i="23" l="1"/>
  <c r="F65" i="17" s="1"/>
  <c r="X41" i="23"/>
  <c r="F66" i="17" s="1"/>
  <c r="S41" i="23"/>
  <c r="E65" i="17" s="1"/>
  <c r="W41" i="23"/>
  <c r="E66" i="17" s="1"/>
  <c r="R41" i="23"/>
  <c r="D65" i="17" s="1"/>
  <c r="D66" i="17"/>
  <c r="D61" i="17"/>
  <c r="Z25" i="18"/>
  <c r="F61" i="17"/>
  <c r="Z27" i="18"/>
  <c r="E61" i="17"/>
  <c r="Z26" i="18"/>
  <c r="E74" i="17"/>
  <c r="E75" i="17"/>
  <c r="D74" i="17"/>
  <c r="D75" i="17"/>
  <c r="F74" i="17"/>
  <c r="F75" i="17"/>
  <c r="AB27" i="18"/>
  <c r="AB26" i="18"/>
  <c r="AB25" i="18"/>
</calcChain>
</file>

<file path=xl/sharedStrings.xml><?xml version="1.0" encoding="utf-8"?>
<sst xmlns="http://schemas.openxmlformats.org/spreadsheetml/2006/main" count="11791" uniqueCount="4114">
  <si>
    <t>AIG Facility Kriterien</t>
  </si>
  <si>
    <t>Antworten</t>
  </si>
  <si>
    <t>Werden Anteile der Versicherungsnehmerin oder Tochtergesellschaften an der Börse gehandelt?</t>
  </si>
  <si>
    <t>nein</t>
  </si>
  <si>
    <t>--&gt; Kriterien für AIG Facility erfüllt</t>
  </si>
  <si>
    <t>Ist die Versicherungsnehmerin ein Kreditinstitut oder ein Finanzdienstleistungsinstitut im Sinne von § 1 Abs. 1 und 1a KWG?</t>
  </si>
  <si>
    <t>Ist die Versicherungsnehmerin eine Gewerkschaft oder ein Spitzenverband?</t>
  </si>
  <si>
    <t>Wird eine Deckungssumme von mehr als EUR 10,0 Mio. gewünscht?</t>
  </si>
  <si>
    <r>
      <rPr>
        <sz val="11"/>
        <color rgb="FF000000"/>
        <rFont val="Calibri"/>
        <family val="2"/>
      </rPr>
      <t>Liegt der letzte konsolidierte Umsatz der Versicherungsnehmerin über EUR 150 Mio.?</t>
    </r>
    <r>
      <rPr>
        <b/>
        <sz val="11"/>
        <color rgb="FFFF0000"/>
        <rFont val="Calibri"/>
        <family val="2"/>
      </rPr>
      <t xml:space="preserve"> Abfrage aus Frage 36 (Außenumsatz)!</t>
    </r>
  </si>
  <si>
    <t>AXA Facility Kriterien</t>
  </si>
  <si>
    <t>Umsatz ab 150. Mio</t>
  </si>
  <si>
    <t>ja</t>
  </si>
  <si>
    <t>--&gt; Kriterien für AXA Facility erfüllt</t>
  </si>
  <si>
    <t>kein FI</t>
  </si>
  <si>
    <t>Kürzel</t>
  </si>
  <si>
    <t>Produkt</t>
  </si>
  <si>
    <t xml:space="preserve">Deckungsform </t>
  </si>
  <si>
    <t>Dunkelverarbeitung</t>
  </si>
  <si>
    <t>Angebotsanfrage</t>
  </si>
  <si>
    <t>HPDO</t>
  </si>
  <si>
    <t xml:space="preserve">D&amp;O Director &amp; Offices  </t>
  </si>
  <si>
    <t>Unternehmen</t>
  </si>
  <si>
    <t>Prio 1</t>
  </si>
  <si>
    <t>HPPDO</t>
  </si>
  <si>
    <t xml:space="preserve">Private D&amp;O Director &amp; Offices </t>
  </si>
  <si>
    <t>Privat</t>
  </si>
  <si>
    <t>HPCY</t>
  </si>
  <si>
    <t>Cyber</t>
  </si>
  <si>
    <t>HPVRDR</t>
  </si>
  <si>
    <t xml:space="preserve">Vermögensschaden &amp; D&amp;O-Vertragsrechtschutz </t>
  </si>
  <si>
    <t>VSV</t>
  </si>
  <si>
    <t>Vertauensschaden</t>
  </si>
  <si>
    <t>HPST</t>
  </si>
  <si>
    <t>Strafrechtschutz</t>
  </si>
  <si>
    <t>HPPST</t>
  </si>
  <si>
    <t>HPTTT</t>
  </si>
  <si>
    <t>TTT Aufsichtsratsdeckung</t>
  </si>
  <si>
    <t>Prio 2</t>
  </si>
  <si>
    <t>HPEO</t>
  </si>
  <si>
    <t xml:space="preserve">E&amp;O Errors and Omissions </t>
  </si>
  <si>
    <t>HPAR</t>
  </si>
  <si>
    <t>Anstellungsvertragrechtschutz</t>
  </si>
  <si>
    <t>HPPOSI</t>
  </si>
  <si>
    <t>Prospekthaftung</t>
  </si>
  <si>
    <t>HPEX</t>
  </si>
  <si>
    <t>Exzedenten Directors &amp; Officers</t>
  </si>
  <si>
    <t>HPDP</t>
  </si>
  <si>
    <t>Directors &amp; Officers und Vermögenschadenhaftpflichtversicherung für Dienstleistungs- und Beratungsunternehmen</t>
  </si>
  <si>
    <t>HPSB</t>
  </si>
  <si>
    <t>Selbstbehaltsversicherung</t>
  </si>
  <si>
    <t>HPDE</t>
  </si>
  <si>
    <t>Directors &amp; Officers und Errors &amp; Omissions-Versicherung (Directors &amp; Officers Liability Insurance (D&amp;O) und Vermögensschadenhaftpflichtversicherung (E&amp;O) für Finanzdienstleistungsunternehmen)</t>
  </si>
  <si>
    <t>HPAGG</t>
  </si>
  <si>
    <t>AGG-Versicherung Haftpflichtversicherung für Ansprüche aus Diskriminierungstatbeständen</t>
  </si>
  <si>
    <t>HPVH</t>
  </si>
  <si>
    <t>Vermögensschadenhaftpflicht Versicherung</t>
  </si>
  <si>
    <t>Produktauswahl</t>
  </si>
  <si>
    <t xml:space="preserve"> </t>
  </si>
  <si>
    <t>Verein</t>
  </si>
  <si>
    <t>0 = Kriterium erfüllt</t>
  </si>
  <si>
    <t>Vorgeschlagene Deckungssumme
10% v Bilanzsumme / Vereinsvermögen</t>
  </si>
  <si>
    <t>1 = Kriterium nicht erfüllt</t>
  </si>
  <si>
    <t>Ist "Verein"</t>
  </si>
  <si>
    <t>Bilanzsumme / Vereinsvermögen &gt; 50m</t>
  </si>
  <si>
    <t>Kein Profisport</t>
  </si>
  <si>
    <t>Deckungssumme &lt; 3m</t>
  </si>
  <si>
    <t xml:space="preserve">Fragen:
- Gesellschaftsform
- Alter der Gesellschaft
</t>
  </si>
  <si>
    <t>HPDO
- ohne Verein
- ohne Start Up</t>
  </si>
  <si>
    <t>USA / CAN</t>
  </si>
  <si>
    <t>Existieren Tochtergesellschaften in den USA oder Kanada?</t>
  </si>
  <si>
    <t>Start Up</t>
  </si>
  <si>
    <t>Ist die Gesellschaft länger als 3 Jahre ohne Unterbrechung tätig?</t>
  </si>
  <si>
    <t>Liegt der letzte konsolidierte Umsatz der Versicherungsnehmerin über EUR 150 Mio.?</t>
  </si>
  <si>
    <t>Radio Buttons / Ja/Nein</t>
  </si>
  <si>
    <t>Branchen / SIC Codes</t>
  </si>
  <si>
    <t>Rechtsformen</t>
  </si>
  <si>
    <t>Länder</t>
  </si>
  <si>
    <t>Art des Mandats</t>
  </si>
  <si>
    <t>Zahlweise</t>
  </si>
  <si>
    <t>DPOS</t>
  </si>
  <si>
    <t>Excel</t>
  </si>
  <si>
    <t>YES</t>
  </si>
  <si>
    <t>JA</t>
  </si>
  <si>
    <t>01</t>
  </si>
  <si>
    <t>01 - 09 Land- und Forstwirtschaft</t>
  </si>
  <si>
    <t>0</t>
  </si>
  <si>
    <t>andere</t>
  </si>
  <si>
    <t>STARTUP</t>
  </si>
  <si>
    <t>Kürzer als 2 Jahre</t>
  </si>
  <si>
    <t>DE</t>
  </si>
  <si>
    <t>Deutschland</t>
  </si>
  <si>
    <t>TODO</t>
  </si>
  <si>
    <t>zahlweise-jaehrlich</t>
  </si>
  <si>
    <t>Jährlich</t>
  </si>
  <si>
    <t>NO</t>
  </si>
  <si>
    <t>NEIN</t>
  </si>
  <si>
    <t>0100</t>
  </si>
  <si>
    <t>0100 --- Landwirtschaft Anbau ---</t>
  </si>
  <si>
    <t>1</t>
  </si>
  <si>
    <t>LLC</t>
  </si>
  <si>
    <t>NOSTARTUP</t>
  </si>
  <si>
    <t>Länger als 2 Jahre</t>
  </si>
  <si>
    <t>zahlweise-halbjaehrlich</t>
  </si>
  <si>
    <t>Halbjährlich</t>
  </si>
  <si>
    <t>0111</t>
  </si>
  <si>
    <t>0111 Weizen</t>
  </si>
  <si>
    <t>2</t>
  </si>
  <si>
    <t>Corp.</t>
  </si>
  <si>
    <t>zahlweise-vierteljaehrlich</t>
  </si>
  <si>
    <t>Vierteljährlich</t>
  </si>
  <si>
    <t>0112</t>
  </si>
  <si>
    <t>0112 Reis</t>
  </si>
  <si>
    <t>3</t>
  </si>
  <si>
    <t>Inc.</t>
  </si>
  <si>
    <t>zahlweise-monatlich</t>
  </si>
  <si>
    <t>Monatlich</t>
  </si>
  <si>
    <t>0115</t>
  </si>
  <si>
    <t>0115 Mais</t>
  </si>
  <si>
    <t>4</t>
  </si>
  <si>
    <t>LLP</t>
  </si>
  <si>
    <t>0116</t>
  </si>
  <si>
    <t>0116 Soyabohnen</t>
  </si>
  <si>
    <t>5</t>
  </si>
  <si>
    <t>Plc</t>
  </si>
  <si>
    <t>0119</t>
  </si>
  <si>
    <t>0119 Sonstige Getreide</t>
  </si>
  <si>
    <t>6</t>
  </si>
  <si>
    <t>S.A.R.L.</t>
  </si>
  <si>
    <t>0131</t>
  </si>
  <si>
    <t>0131 Baumwolle</t>
  </si>
  <si>
    <t>7</t>
  </si>
  <si>
    <t>SA</t>
  </si>
  <si>
    <t>0132</t>
  </si>
  <si>
    <t>0132 Tabak</t>
  </si>
  <si>
    <t>8</t>
  </si>
  <si>
    <t>PartGmbB</t>
  </si>
  <si>
    <t>0133</t>
  </si>
  <si>
    <t>0133 Zuckerpflanzen (-rohr, -rüben)</t>
  </si>
  <si>
    <t>9</t>
  </si>
  <si>
    <t>PartG</t>
  </si>
  <si>
    <t>0134</t>
  </si>
  <si>
    <t>0134 Kartoffeln</t>
  </si>
  <si>
    <t>10</t>
  </si>
  <si>
    <t>AG</t>
  </si>
  <si>
    <t>0139</t>
  </si>
  <si>
    <t>0139 Sonstige Feldfrüchte, außer Getreide</t>
  </si>
  <si>
    <t>11</t>
  </si>
  <si>
    <t>SE</t>
  </si>
  <si>
    <t>0161</t>
  </si>
  <si>
    <t>0161 Gemüse u. Melonen</t>
  </si>
  <si>
    <t>12</t>
  </si>
  <si>
    <t>Behörde</t>
  </si>
  <si>
    <t>0171</t>
  </si>
  <si>
    <t>0171 Beerenfrüchte</t>
  </si>
  <si>
    <t>13</t>
  </si>
  <si>
    <t>e.G.</t>
  </si>
  <si>
    <t>0172</t>
  </si>
  <si>
    <t>0172 Weintrauben</t>
  </si>
  <si>
    <t>14</t>
  </si>
  <si>
    <t>e.K.</t>
  </si>
  <si>
    <t>0173</t>
  </si>
  <si>
    <t>0173 Nüsse</t>
  </si>
  <si>
    <t>15</t>
  </si>
  <si>
    <t>e.V.</t>
  </si>
  <si>
    <t>0174</t>
  </si>
  <si>
    <t>0174 Zitrusfrüchte</t>
  </si>
  <si>
    <t>16</t>
  </si>
  <si>
    <t>GbR</t>
  </si>
  <si>
    <t>0175</t>
  </si>
  <si>
    <t>0175 Jährliche Baumfrüchte</t>
  </si>
  <si>
    <t>33</t>
  </si>
  <si>
    <t>GmbH</t>
  </si>
  <si>
    <t>0179</t>
  </si>
  <si>
    <t>0179 Sonstiges Obst und Nüsse</t>
  </si>
  <si>
    <t>17</t>
  </si>
  <si>
    <t>gGmbH</t>
  </si>
  <si>
    <t>0181</t>
  </si>
  <si>
    <t>0181 Gartengestaltung und Baumschulenerzeugnisse</t>
  </si>
  <si>
    <t>18</t>
  </si>
  <si>
    <t>GmbH &amp; Co.KG</t>
  </si>
  <si>
    <t>0182</t>
  </si>
  <si>
    <t>0182 Feldfrüchte aus Treibhaus und Mistbeet</t>
  </si>
  <si>
    <t>19</t>
  </si>
  <si>
    <t>Kammer</t>
  </si>
  <si>
    <t>0191</t>
  </si>
  <si>
    <t>0191 Allgem. Landwirtschaft, Anbau</t>
  </si>
  <si>
    <t>20</t>
  </si>
  <si>
    <t>KG</t>
  </si>
  <si>
    <t>0192</t>
  </si>
  <si>
    <t>0192 Gartenbauspezialitäten</t>
  </si>
  <si>
    <t>21</t>
  </si>
  <si>
    <t>KGaa</t>
  </si>
  <si>
    <t>0200</t>
  </si>
  <si>
    <t>0200 --- Landwirtschaft Viehzucht ---</t>
  </si>
  <si>
    <t>22</t>
  </si>
  <si>
    <t>Ltd.</t>
  </si>
  <si>
    <t>0211</t>
  </si>
  <si>
    <t>0211 Rindvieh und Weidewirtschaft</t>
  </si>
  <si>
    <t>23</t>
  </si>
  <si>
    <t>OHG</t>
  </si>
  <si>
    <t>0212</t>
  </si>
  <si>
    <t>0212 Rindvieh, ohne Weiden</t>
  </si>
  <si>
    <t>24</t>
  </si>
  <si>
    <t>Praxisgemeinschaft</t>
  </si>
  <si>
    <t>0213</t>
  </si>
  <si>
    <t>0213 Schweinezucht</t>
  </si>
  <si>
    <t>25</t>
  </si>
  <si>
    <t>Gemeinschaftspraxis</t>
  </si>
  <si>
    <t>0214</t>
  </si>
  <si>
    <t>0214 Schaf- und Ziegenzucht</t>
  </si>
  <si>
    <t>26</t>
  </si>
  <si>
    <t>UG</t>
  </si>
  <si>
    <t>0219</t>
  </si>
  <si>
    <t>0219 Viehzucht allgemein, außer Geflügel, Milchwirtschaft</t>
  </si>
  <si>
    <t>27</t>
  </si>
  <si>
    <t>Verband</t>
  </si>
  <si>
    <t>0241</t>
  </si>
  <si>
    <t>0241 Milchwirtschaft</t>
  </si>
  <si>
    <t>28</t>
  </si>
  <si>
    <t>WEG</t>
  </si>
  <si>
    <t>0251</t>
  </si>
  <si>
    <t>0251 Brat-, Grill- und Masthähnchen</t>
  </si>
  <si>
    <t>29</t>
  </si>
  <si>
    <t>Anstalt döR</t>
  </si>
  <si>
    <t>0252</t>
  </si>
  <si>
    <t>0252 Hühnereier</t>
  </si>
  <si>
    <t>30</t>
  </si>
  <si>
    <t>Körpersch döR</t>
  </si>
  <si>
    <t>0253</t>
  </si>
  <si>
    <t>0253 Puten und Puteneier</t>
  </si>
  <si>
    <t>31</t>
  </si>
  <si>
    <t>Stiftung döR</t>
  </si>
  <si>
    <t>0254</t>
  </si>
  <si>
    <t>0254 Geflügelzucht und Brüterei</t>
  </si>
  <si>
    <t>32</t>
  </si>
  <si>
    <t>Partnergesellschaft</t>
  </si>
  <si>
    <t>0259</t>
  </si>
  <si>
    <t>0259 Sonstige Geflügel und Eier</t>
  </si>
  <si>
    <t>34</t>
  </si>
  <si>
    <t>Versicherungsverein aG</t>
  </si>
  <si>
    <t>0271</t>
  </si>
  <si>
    <t>0271 Pelztiere und Kaninchen</t>
  </si>
  <si>
    <t>35</t>
  </si>
  <si>
    <t>Stiftung dbR</t>
  </si>
  <si>
    <t>0272</t>
  </si>
  <si>
    <t>0272 Pferde u. verwandte Tiere</t>
  </si>
  <si>
    <t>36</t>
  </si>
  <si>
    <t>r.V.</t>
  </si>
  <si>
    <t>0273</t>
  </si>
  <si>
    <t>0273 Wassertierzucht</t>
  </si>
  <si>
    <t>37</t>
  </si>
  <si>
    <t>Stiftung des Privatrechts</t>
  </si>
  <si>
    <t>0279</t>
  </si>
  <si>
    <t>0279 Tierzüchtereien für besondere Tierarten</t>
  </si>
  <si>
    <t>38</t>
  </si>
  <si>
    <t>gAG</t>
  </si>
  <si>
    <t>0291</t>
  </si>
  <si>
    <t>0291 Allgemeine Landwirtschaft, hauptsächl. Viehzucht</t>
  </si>
  <si>
    <t>0700</t>
  </si>
  <si>
    <t>0700 --- Landwirtschaftl. Dienstleistungen ---</t>
  </si>
  <si>
    <t>0711</t>
  </si>
  <si>
    <t>0711 Bodenvorbereitungsdienste</t>
  </si>
  <si>
    <t>0721</t>
  </si>
  <si>
    <t>0721 Anbau, Kultur u. Pflanzenschutz</t>
  </si>
  <si>
    <t>0722</t>
  </si>
  <si>
    <t>0722 Ernte, hauptsächl. maschinell</t>
  </si>
  <si>
    <t>0723</t>
  </si>
  <si>
    <t>0723 Feldfruchtpräparation z. Verkauf, außer Baumwollentkörnung</t>
  </si>
  <si>
    <t>0724</t>
  </si>
  <si>
    <t>0724 Baumwollentkörnung</t>
  </si>
  <si>
    <t>0741</t>
  </si>
  <si>
    <t>0741 Veterinärdienst f. lebend. Vieh, einschl. Tierpraxen u. -krankenhäuser</t>
  </si>
  <si>
    <t>0742</t>
  </si>
  <si>
    <t>0742 Veterinärdienst f. Spezial- u. Haustiere</t>
  </si>
  <si>
    <t>0751</t>
  </si>
  <si>
    <t>0751 Viehzucht, Medizin, Betreuung, Qualitätsprüfung</t>
  </si>
  <si>
    <t>0761</t>
  </si>
  <si>
    <t>0761 Arbeitstrupps u. Mannschaftsführer für die Landwirtschaft</t>
  </si>
  <si>
    <t>0762</t>
  </si>
  <si>
    <t>0762 Verwaltung, Landwirtschaftl. Betrieb, Landwirtschaftl. Organisationsdienst</t>
  </si>
  <si>
    <t>0781</t>
  </si>
  <si>
    <t>0781 Landschaftsarchitektur, -beratung u. -planung</t>
  </si>
  <si>
    <t>0782</t>
  </si>
  <si>
    <t>0782 Rasen- u. Gartenpflege</t>
  </si>
  <si>
    <t>0783</t>
  </si>
  <si>
    <t>0783 Zierbäume u. Sträucher</t>
  </si>
  <si>
    <t>0800</t>
  </si>
  <si>
    <t>0800 --- Forstwirtschaft ---</t>
  </si>
  <si>
    <t>0811</t>
  </si>
  <si>
    <t>0811 Nutzholzanbau</t>
  </si>
  <si>
    <t>0831</t>
  </si>
  <si>
    <t>0831 Baumschulen und Forstprodukte</t>
  </si>
  <si>
    <t>0851</t>
  </si>
  <si>
    <t>0851 Forstwirtschaftl. Dienste</t>
  </si>
  <si>
    <t>0900</t>
  </si>
  <si>
    <t>0900 --- Fischerei, Jagd u. Fallenstellen ---</t>
  </si>
  <si>
    <t>0912</t>
  </si>
  <si>
    <t>0912 Fische (Fischfang)</t>
  </si>
  <si>
    <t>0913</t>
  </si>
  <si>
    <t>0913 Schalentiere (Krabben, Hummer, Shrimps, Austern)</t>
  </si>
  <si>
    <t>0919</t>
  </si>
  <si>
    <t>0919 Versch. Meeresprodukte (Perlen, Schildkröten, Wale)</t>
  </si>
  <si>
    <t>0921</t>
  </si>
  <si>
    <t>0921 Fischzucht u. -Konserven</t>
  </si>
  <si>
    <t>0971</t>
  </si>
  <si>
    <t>0971 Jagd u. Fallenstellerei, Wildschutz</t>
  </si>
  <si>
    <t>10 - 14 Bergbau und Energiegewinnung</t>
  </si>
  <si>
    <t>1000</t>
  </si>
  <si>
    <t>1000 --- Metallbergbau ---</t>
  </si>
  <si>
    <t>1011</t>
  </si>
  <si>
    <t>1011 Eisenerze</t>
  </si>
  <si>
    <t>1021</t>
  </si>
  <si>
    <t>1021 Kupfererze</t>
  </si>
  <si>
    <t>1031</t>
  </si>
  <si>
    <t>1031 Blei u. Zinkerze</t>
  </si>
  <si>
    <t>1041</t>
  </si>
  <si>
    <t>1041 Gold aus Erzadern</t>
  </si>
  <si>
    <t>1044</t>
  </si>
  <si>
    <t>1044 Silbererze</t>
  </si>
  <si>
    <t>1061</t>
  </si>
  <si>
    <t>1061 Erze für Ferrolegierungen, außer Vanadium</t>
  </si>
  <si>
    <t>1081</t>
  </si>
  <si>
    <t>1081 Nebendienste f. Erzbergbau, Bergbau f. fremde Rechnung</t>
  </si>
  <si>
    <t>1094</t>
  </si>
  <si>
    <t>1094 Uran-, Radium-, Vanadiumerze</t>
  </si>
  <si>
    <t>1099</t>
  </si>
  <si>
    <t>1099 Andere Metallerze</t>
  </si>
  <si>
    <t>1200</t>
  </si>
  <si>
    <t>1200 --- Kohlebergbau ---</t>
  </si>
  <si>
    <t>1221</t>
  </si>
  <si>
    <t>1221 Stein- und Braunkohle-Tagebau</t>
  </si>
  <si>
    <t>1222</t>
  </si>
  <si>
    <t>1222 Steinkohle-Untertagebau</t>
  </si>
  <si>
    <t>1231</t>
  </si>
  <si>
    <t>1231 Anthrazitbergbau</t>
  </si>
  <si>
    <t>1241</t>
  </si>
  <si>
    <t>1241 Kohlebergbaudienste</t>
  </si>
  <si>
    <t>1300</t>
  </si>
  <si>
    <t>1300 --- Öl- u. Gasgewinnung ---</t>
  </si>
  <si>
    <t>1311</t>
  </si>
  <si>
    <t>1311 Rohöl u. Erdgas</t>
  </si>
  <si>
    <t>1321</t>
  </si>
  <si>
    <t>1321 Flüssiges Erdgas</t>
  </si>
  <si>
    <t>1381</t>
  </si>
  <si>
    <t>1381 Öl-u. Gasbohrarbeiten</t>
  </si>
  <si>
    <t>1382</t>
  </si>
  <si>
    <t>1382 Exploration von Öl-u. Gasvorkommen</t>
  </si>
  <si>
    <t>1389</t>
  </si>
  <si>
    <t>1389 Sonstige Öl-u. Erdgasfeld-Arbeiten</t>
  </si>
  <si>
    <t>1400</t>
  </si>
  <si>
    <t>1400 --- Gewinnung von Steinen und Erden, außer Brennstoffen ---</t>
  </si>
  <si>
    <t>1411</t>
  </si>
  <si>
    <t>1411 Steingewinnung</t>
  </si>
  <si>
    <t>1422</t>
  </si>
  <si>
    <t>1422 Zerkleinerter u. gebrochener Kalkstein</t>
  </si>
  <si>
    <t>1423</t>
  </si>
  <si>
    <t>1423 Zerkleinerter u. gebrochener Granit</t>
  </si>
  <si>
    <t>1429</t>
  </si>
  <si>
    <t>1429 Sonstiges zerkleinertes u. gebrochenes Gestein</t>
  </si>
  <si>
    <t>1442</t>
  </si>
  <si>
    <t>1442 Bausand u. Kies</t>
  </si>
  <si>
    <t>1446</t>
  </si>
  <si>
    <t>1446 Industriesand</t>
  </si>
  <si>
    <t>1455</t>
  </si>
  <si>
    <t>1455 Kaolin u. Bindeton</t>
  </si>
  <si>
    <t>1459</t>
  </si>
  <si>
    <t>1459 Sonstige Tonerde, Keramik u. feuerfeste Mineralien</t>
  </si>
  <si>
    <t>1474</t>
  </si>
  <si>
    <t>1474 Pottasche, Borate, Soda</t>
  </si>
  <si>
    <t>1475</t>
  </si>
  <si>
    <t>1475 Phosphatgestein</t>
  </si>
  <si>
    <t>1479</t>
  </si>
  <si>
    <t>1479 Abbau v. sonstigen Mineralien für die Chemie und für Düngemittel</t>
  </si>
  <si>
    <t>1481</t>
  </si>
  <si>
    <t>1481 Nichtmetallbergbaudienste (außer Brennstoffe)</t>
  </si>
  <si>
    <t>1499</t>
  </si>
  <si>
    <t>1499 verschied. Steine u. Erden (außer Brennstoffe)</t>
  </si>
  <si>
    <t>15 - 17 Baugewerbe</t>
  </si>
  <si>
    <t>1500</t>
  </si>
  <si>
    <t>1500 --- Bauunternehmen ---</t>
  </si>
  <si>
    <t>1521</t>
  </si>
  <si>
    <t>1521 Allgem. Bauunternehmen - Einfamilienhäuser</t>
  </si>
  <si>
    <t>1522</t>
  </si>
  <si>
    <t>1522 Allgem. Bauunternehmen - Wohnbauten, außer Einfamilienhäuser</t>
  </si>
  <si>
    <t>1531</t>
  </si>
  <si>
    <t>1531 Bauträgergesellschaft f. eigene Rechnung zum späteren Verkauf von Objekten</t>
  </si>
  <si>
    <t>1541</t>
  </si>
  <si>
    <t>1541 Allgem. Bauunternehmen - Industrie- u. Lagergebäude</t>
  </si>
  <si>
    <t>1542</t>
  </si>
  <si>
    <t>1542 Allgem. Bauunternehmen - keine Wohnhäuser, Industrie- u. Lagergebäude</t>
  </si>
  <si>
    <t>1600</t>
  </si>
  <si>
    <t>1600 --- Hoch- und Tiefbau (außer Wohnungsbau) ---</t>
  </si>
  <si>
    <t>1611</t>
  </si>
  <si>
    <t>1611 Autobahn- u. Straßenbau, außer Straßenhochbauten</t>
  </si>
  <si>
    <t>1622</t>
  </si>
  <si>
    <t>1622 Brücken-, Tunnel- u. Straßenhochbau</t>
  </si>
  <si>
    <t>1623</t>
  </si>
  <si>
    <t>1623 Wasserbau, Abwasseranlagen, Leitungsbau, Fernmelde- u. Überlandleitungen</t>
  </si>
  <si>
    <t>1629</t>
  </si>
  <si>
    <t>1629 Sonstige Schwerkonstruktionen</t>
  </si>
  <si>
    <t>1700</t>
  </si>
  <si>
    <t>1700 --- Dienstleistungen der Bauwirtschaft ---</t>
  </si>
  <si>
    <t>1711</t>
  </si>
  <si>
    <t>1711 Installation u. Heizungsbau, Klimaanlagen</t>
  </si>
  <si>
    <t>1721</t>
  </si>
  <si>
    <t>1721 Maler-, Tapezier- u. Dekorationsarbeiten</t>
  </si>
  <si>
    <t>1731</t>
  </si>
  <si>
    <t>1731 Elektroarbeiten</t>
  </si>
  <si>
    <t>1741</t>
  </si>
  <si>
    <t>1741 Maurer- u. Steinmetzarbeiten</t>
  </si>
  <si>
    <t>1742</t>
  </si>
  <si>
    <t>1742 Stuckarbeiten, akustische u. andere Isolierarbeiten</t>
  </si>
  <si>
    <t>1743</t>
  </si>
  <si>
    <t>1743 Terrazzo, Fliesenlegerei, Marmor- u. Mosaikarbeiten</t>
  </si>
  <si>
    <t>1751</t>
  </si>
  <si>
    <t>1751 Zimmereibetriebe</t>
  </si>
  <si>
    <t>1752</t>
  </si>
  <si>
    <t>1752 Fußbodenverlegung u. andere Fußbodenarbeiten</t>
  </si>
  <si>
    <t>1761</t>
  </si>
  <si>
    <t>1761 Dachdeckereien u. Blecharbeiten</t>
  </si>
  <si>
    <t>1771</t>
  </si>
  <si>
    <t>1771 Betonarbeiten</t>
  </si>
  <si>
    <t>1781</t>
  </si>
  <si>
    <t>1781 Wasserbohrungen</t>
  </si>
  <si>
    <t>1791</t>
  </si>
  <si>
    <t>1791 Stahlkonstruktionen</t>
  </si>
  <si>
    <t>1793</t>
  </si>
  <si>
    <t>1793 Glas- u. Verglasungsarbeiten</t>
  </si>
  <si>
    <t>1794</t>
  </si>
  <si>
    <t>1794 Ausschachtungsarbeiten</t>
  </si>
  <si>
    <t>1795</t>
  </si>
  <si>
    <t>1795 Abwrack- u. Abbrucharbeiten</t>
  </si>
  <si>
    <t>1796</t>
  </si>
  <si>
    <t>1796 Installation oder Aufbau von Baugeräten</t>
  </si>
  <si>
    <t>1799</t>
  </si>
  <si>
    <t>1799 Sonstige baugewerbliche Spezialarbeiten</t>
  </si>
  <si>
    <t>20 - 29 Hersteller von Konsumgütern</t>
  </si>
  <si>
    <t>2000</t>
  </si>
  <si>
    <t>2000 --- Lebensmittel- und verwandte Produkte ---</t>
  </si>
  <si>
    <t>2011</t>
  </si>
  <si>
    <t>2011 Fleischverpackungsanlagen</t>
  </si>
  <si>
    <t>2013</t>
  </si>
  <si>
    <t>2013 Wurst u. andere Fleischprodukte</t>
  </si>
  <si>
    <t>2015</t>
  </si>
  <si>
    <t>2015 Geflügelverarbeitung</t>
  </si>
  <si>
    <t>2021</t>
  </si>
  <si>
    <t>2021 Molkereibutter</t>
  </si>
  <si>
    <t>2022</t>
  </si>
  <si>
    <t>2022 Käse, naturbelassen u. bearbeitet</t>
  </si>
  <si>
    <t>2023</t>
  </si>
  <si>
    <t>2023 Evaporierte u. Kondensmilch</t>
  </si>
  <si>
    <t>2024</t>
  </si>
  <si>
    <t>2024 Eiscreme u. Eisdesserts</t>
  </si>
  <si>
    <t>2026</t>
  </si>
  <si>
    <t>2026 Milch (außer Trockenmilch)</t>
  </si>
  <si>
    <t>2032</t>
  </si>
  <si>
    <t>2032 Konservenspezialitäten</t>
  </si>
  <si>
    <t>2033</t>
  </si>
  <si>
    <t>2033 Obst- u. Gemüsekonserven, Marmeladen, Gelees</t>
  </si>
  <si>
    <t>2034</t>
  </si>
  <si>
    <t>2034 Trockengemüse u. -früchte, Trockensuppen</t>
  </si>
  <si>
    <t>2035</t>
  </si>
  <si>
    <t>2035 Essigfrüchte u. -gemüse, Gemüsesaucen, Gewürze, Salatsaucen</t>
  </si>
  <si>
    <t>2037</t>
  </si>
  <si>
    <t>2037 Tiefgefrorenes Obst u. Gemüse, Fruchtsäfte</t>
  </si>
  <si>
    <t>2038</t>
  </si>
  <si>
    <t>2038 Sonstige Tiefkühlspezialitäten</t>
  </si>
  <si>
    <t>2041</t>
  </si>
  <si>
    <t>2041 Mehl- u. andere Mühlenprodukte</t>
  </si>
  <si>
    <t>2043</t>
  </si>
  <si>
    <t>2043 Getreideflocken</t>
  </si>
  <si>
    <t>2044</t>
  </si>
  <si>
    <t>2044 Reisprodukte</t>
  </si>
  <si>
    <t>2045</t>
  </si>
  <si>
    <t>2045 Backmischungen und Teige</t>
  </si>
  <si>
    <t>2046</t>
  </si>
  <si>
    <t>2046 Naßgetreidemühlen</t>
  </si>
  <si>
    <t>2047</t>
  </si>
  <si>
    <t>2047 Hunde- und Katzenfutter</t>
  </si>
  <si>
    <t>2048</t>
  </si>
  <si>
    <t>2048 Futterpräparate u. Ingredienzen für Vieh u. Geflügel</t>
  </si>
  <si>
    <t>2051</t>
  </si>
  <si>
    <t>2051 Brot- u. andere Backwaren, außer Keksen u. Crackers</t>
  </si>
  <si>
    <t>2052</t>
  </si>
  <si>
    <t>2052 Kekse und Crackers</t>
  </si>
  <si>
    <t>2053</t>
  </si>
  <si>
    <t>2053 Tiefkühlbackwaren (außer Brot)</t>
  </si>
  <si>
    <t>2061</t>
  </si>
  <si>
    <t>2061 Rohrzucker, außer Raffinerie</t>
  </si>
  <si>
    <t>2062</t>
  </si>
  <si>
    <t>2062 Rohrzuckerraffinerie</t>
  </si>
  <si>
    <t>2063</t>
  </si>
  <si>
    <t>2063 Rübenzucker</t>
  </si>
  <si>
    <t>2064</t>
  </si>
  <si>
    <t>2064 Bonbons u. andere Süßwaren, Konditorwaren</t>
  </si>
  <si>
    <t>2066</t>
  </si>
  <si>
    <t>2066 Schokolade u. Kakaoprodukte</t>
  </si>
  <si>
    <t>2067</t>
  </si>
  <si>
    <t>2067 Kaugummi</t>
  </si>
  <si>
    <t>2068</t>
  </si>
  <si>
    <t>2068 Gesalzene und geröstete Nüsse</t>
  </si>
  <si>
    <t>2074</t>
  </si>
  <si>
    <t>2074 Baumwollsamenöl-Mühlen</t>
  </si>
  <si>
    <t>2075</t>
  </si>
  <si>
    <t>2075 Soyaölmühlen</t>
  </si>
  <si>
    <t>2076</t>
  </si>
  <si>
    <t>2076 Pflanzenölmühlen, außer Baumwollsamen-, Soya- u. Maisöl</t>
  </si>
  <si>
    <t>2077</t>
  </si>
  <si>
    <t>2077 Tierische Fette, Fischöle</t>
  </si>
  <si>
    <t>2079</t>
  </si>
  <si>
    <t>2079 Sonstige Speisefette, Tafelöle, Margarine u. andere eßbare Fette u. Öle</t>
  </si>
  <si>
    <t>2082</t>
  </si>
  <si>
    <t>2082 Malzgetränke, Brauerei</t>
  </si>
  <si>
    <t>2083</t>
  </si>
  <si>
    <t>2083 Malz</t>
  </si>
  <si>
    <t>2084</t>
  </si>
  <si>
    <t>2084 Wein, Weinbrand u. Spirituosen</t>
  </si>
  <si>
    <t>2085</t>
  </si>
  <si>
    <t>2085 Destillierter, verschnittener Alkohol, Likör, Whisky, Gin</t>
  </si>
  <si>
    <t>2086</t>
  </si>
  <si>
    <t>2086 Abgefüllte Limonaden u. Sprudel in Flaschen u. Dosen</t>
  </si>
  <si>
    <t>2087</t>
  </si>
  <si>
    <t>2087 Sonstige Aroma-Extrakte, Sirup</t>
  </si>
  <si>
    <t>2091</t>
  </si>
  <si>
    <t>2091 Fisch- u. Meeresfruchtkonserven, Räucherfisch</t>
  </si>
  <si>
    <t>2092</t>
  </si>
  <si>
    <t>2092 Abgepackter Frisch- oder Gefrierfisch u. Meeresfrüchte</t>
  </si>
  <si>
    <t>2095</t>
  </si>
  <si>
    <t>2095 Röstkaffee</t>
  </si>
  <si>
    <t>2096</t>
  </si>
  <si>
    <t>2096 Kartoffelchips, Snacks</t>
  </si>
  <si>
    <t>2097</t>
  </si>
  <si>
    <t>2097 Speiseeis</t>
  </si>
  <si>
    <t>2098</t>
  </si>
  <si>
    <t>2098 Makkaroni, Spaghetti, Nudeln, Suppeneinlagen</t>
  </si>
  <si>
    <t>2099</t>
  </si>
  <si>
    <t>2099 Sonstige Lebensmittelprodukte</t>
  </si>
  <si>
    <t>2100</t>
  </si>
  <si>
    <t>2100 --- Tabakprodukte ---</t>
  </si>
  <si>
    <t>2111</t>
  </si>
  <si>
    <t>2111 Zigaretten</t>
  </si>
  <si>
    <t>2121</t>
  </si>
  <si>
    <t>2121 Zigarren</t>
  </si>
  <si>
    <t>2131</t>
  </si>
  <si>
    <t>2131 Tabak (Rauch- u. Kautabak), Schnupftabak</t>
  </si>
  <si>
    <t>2141</t>
  </si>
  <si>
    <t>2141 Tabaktrocknung u. Entstielung</t>
  </si>
  <si>
    <t>2200</t>
  </si>
  <si>
    <t>2200 --- Textilprodukte ---</t>
  </si>
  <si>
    <t>2211</t>
  </si>
  <si>
    <t>2211 Breitgewebe, Baumwolle</t>
  </si>
  <si>
    <t>2221</t>
  </si>
  <si>
    <t>2221 Breitgewebe aus Kunstfasern u. Seide</t>
  </si>
  <si>
    <t>2231</t>
  </si>
  <si>
    <t>2231 Breitgewebefabriken, Wolle (einschl. Färberei u. Finishing)</t>
  </si>
  <si>
    <t>2241</t>
  </si>
  <si>
    <t>2241 Schmalwebereien u. andere Kleintextilienhersteller</t>
  </si>
  <si>
    <t>2251</t>
  </si>
  <si>
    <t>2251 Damenstrümpfe (lang) u. Kniestrümpfe</t>
  </si>
  <si>
    <t>2252</t>
  </si>
  <si>
    <t>2252 Sonstige Strumpfwaren, außer Damenstrümpfen (lang u. Kniestrümpfe)</t>
  </si>
  <si>
    <t>2253</t>
  </si>
  <si>
    <t>2253 Strick-Oberbekleidung</t>
  </si>
  <si>
    <t>2254</t>
  </si>
  <si>
    <t>2254 Strick-Unterbekleidung</t>
  </si>
  <si>
    <t>2257</t>
  </si>
  <si>
    <t>2257 Rundstrickfabriken, Jersey cloth</t>
  </si>
  <si>
    <t>2258</t>
  </si>
  <si>
    <t>2258 Kettengewirke</t>
  </si>
  <si>
    <t>2259</t>
  </si>
  <si>
    <t>2259 Sonstige Strickereien</t>
  </si>
  <si>
    <t>2261</t>
  </si>
  <si>
    <t>2261 Endbearbeitung u. Ausrüstung von Breitgeweben aus Baumwolle</t>
  </si>
  <si>
    <t>2262</t>
  </si>
  <si>
    <t>2262 Endbearbeitung u. Ausrüstung von Breitgeweben aus Kunstfasern u. Seide</t>
  </si>
  <si>
    <t>2269</t>
  </si>
  <si>
    <t>2269 Sonstige Textilendbearbeitung u. Ausrüstung</t>
  </si>
  <si>
    <t>2273</t>
  </si>
  <si>
    <t>2273 Teppiche u. Läufer</t>
  </si>
  <si>
    <t>2281</t>
  </si>
  <si>
    <t>2281 Garnspinnereien</t>
  </si>
  <si>
    <t>2282</t>
  </si>
  <si>
    <t>2282 Garntexturierung, Zwirnereien u. Veredlung</t>
  </si>
  <si>
    <t>2284</t>
  </si>
  <si>
    <t>2284 Nähgarnfabriken, Nähseide</t>
  </si>
  <si>
    <t>2295</t>
  </si>
  <si>
    <t>2295 Beschichtete Gewebe, nicht gummiert</t>
  </si>
  <si>
    <t>2296</t>
  </si>
  <si>
    <t>2296 Reifencord u. -Gewebe</t>
  </si>
  <si>
    <t>2297</t>
  </si>
  <si>
    <t>2297 Faservliesstoffe</t>
  </si>
  <si>
    <t>2298</t>
  </si>
  <si>
    <t>2298 Seilerei</t>
  </si>
  <si>
    <t>2299</t>
  </si>
  <si>
    <t>2299 Sonstige Textilwaren</t>
  </si>
  <si>
    <t>2300</t>
  </si>
  <si>
    <t>2300 --- Oberbekleidung und andere Fertigprodukte aus Stoff und ähnlichem Material ---</t>
  </si>
  <si>
    <t>2311</t>
  </si>
  <si>
    <t>2311 Herren- u. Knabenanzüge, Jacken u. Mäntel, Uniformen</t>
  </si>
  <si>
    <t>2321</t>
  </si>
  <si>
    <t>2321 Herren-, Twen- u. Knabenhemden (außer Arbeitshemden)</t>
  </si>
  <si>
    <t>2322</t>
  </si>
  <si>
    <t>2322 Herren- u. Knabenunterwäsche, Nachtwäsche</t>
  </si>
  <si>
    <t>2323</t>
  </si>
  <si>
    <t>2323 Herren- u. Knabenschals, Halstücher, Krawatten</t>
  </si>
  <si>
    <t>2325</t>
  </si>
  <si>
    <t>2325 Herren-, Twen- u. Knabenhosen</t>
  </si>
  <si>
    <t>2326</t>
  </si>
  <si>
    <t>2326 Herren- u. Knabenarbeitskleidung</t>
  </si>
  <si>
    <t>2329</t>
  </si>
  <si>
    <t>2329 Sonstige Herren-, Twen- u. Knabenbekleidung</t>
  </si>
  <si>
    <t>2331</t>
  </si>
  <si>
    <t>2331 Damen- u. Mädchenblusen u. Hemden</t>
  </si>
  <si>
    <t>2335</t>
  </si>
  <si>
    <t>2335 Damen- u. Mädchenkleider</t>
  </si>
  <si>
    <t>2337</t>
  </si>
  <si>
    <t>2337 Damen- u. Mädchenmäntel, -Röcke u. -Anzüge, -Kostüme, Uniformen</t>
  </si>
  <si>
    <t>2339</t>
  </si>
  <si>
    <t>2339 Sonstige Damen- u. Mädchenoberbekleidung</t>
  </si>
  <si>
    <t>2341</t>
  </si>
  <si>
    <t>2341 Unterwäsche für Damen, Mädchen u. Babies, Nachtwäsche</t>
  </si>
  <si>
    <t>2342</t>
  </si>
  <si>
    <t>2342 Miederwaren</t>
  </si>
  <si>
    <t>2353</t>
  </si>
  <si>
    <t>2353 Hüte, Kappen und Kopfbedeckungen</t>
  </si>
  <si>
    <t>2361</t>
  </si>
  <si>
    <t>2361 Mädchen- u. Kinderkleider, -blusen u. -hemden, Babykleider</t>
  </si>
  <si>
    <t>2369</t>
  </si>
  <si>
    <t>2369 Sonstige Mädchen- u. Kinderoberbekleidung, Babyoberbekleidung</t>
  </si>
  <si>
    <t>2371</t>
  </si>
  <si>
    <t>2371 Pelzwaren</t>
  </si>
  <si>
    <t>2381</t>
  </si>
  <si>
    <t>2381 Handschuhe, außer gestrickte u. Lederhandschuhen</t>
  </si>
  <si>
    <t>2384</t>
  </si>
  <si>
    <t>2384 Morgenröcke u. Hauskleidung, Bademäntel</t>
  </si>
  <si>
    <t>2385</t>
  </si>
  <si>
    <t>2385 Regenmäntel u. andere wasserdichte Oberbekleidung</t>
  </si>
  <si>
    <t>2386</t>
  </si>
  <si>
    <t>2386 Leder- u. lammfellgefütterte Oberbekleidung</t>
  </si>
  <si>
    <t>2387</t>
  </si>
  <si>
    <t>2387 Gürtel</t>
  </si>
  <si>
    <t>2389</t>
  </si>
  <si>
    <t>2389 Sonstiges Bekleidungszubehör (Knöpfe, Schnallen etc.)</t>
  </si>
  <si>
    <t>2391</t>
  </si>
  <si>
    <t>2391 Gardinen, Vorhänge</t>
  </si>
  <si>
    <t>2392</t>
  </si>
  <si>
    <t>2392 Heimtextilien, außer Vorhängen u. Gardinen</t>
  </si>
  <si>
    <t>2393</t>
  </si>
  <si>
    <t>2393 Stoff-Tragetaschen</t>
  </si>
  <si>
    <t>2394</t>
  </si>
  <si>
    <t>2394 Segeltuch u. verwandte Stoffe, Zelte, Planen</t>
  </si>
  <si>
    <t>2395</t>
  </si>
  <si>
    <t>2395 Plissieren, Zierstepperei, Musterpresserei</t>
  </si>
  <si>
    <t>2396</t>
  </si>
  <si>
    <t>2396 Einfassungen, maschinelle Bortennäherei, Zubehör für Oberbekleidung etc.</t>
  </si>
  <si>
    <t>2397</t>
  </si>
  <si>
    <t>2397 Schiffli-Maschinenstickerei</t>
  </si>
  <si>
    <t>2399</t>
  </si>
  <si>
    <t>2399 Sonstige Textil-Fertigprodukte</t>
  </si>
  <si>
    <t>2400</t>
  </si>
  <si>
    <t>2400 --- Holzwaren, außer Möbeln ---</t>
  </si>
  <si>
    <t>2411</t>
  </si>
  <si>
    <t>2411 Holzfällerei</t>
  </si>
  <si>
    <t>2421</t>
  </si>
  <si>
    <t>2421 Säge- u. Hobelwerke</t>
  </si>
  <si>
    <t>2426</t>
  </si>
  <si>
    <t>2426 Hartholzschneiderei u. Parkettfabriken</t>
  </si>
  <si>
    <t>2429</t>
  </si>
  <si>
    <t>2429 Sägemühlen für Spezialprodukte</t>
  </si>
  <si>
    <t>2431</t>
  </si>
  <si>
    <t>2431 Bauschreinereiprodukte, Holzverkleidung, Fensterrahmen</t>
  </si>
  <si>
    <t>2434</t>
  </si>
  <si>
    <t>2434 Küchenmöbel aus Holz</t>
  </si>
  <si>
    <t>2435</t>
  </si>
  <si>
    <t>2435 Hartholzfurnier u. Sperrholz</t>
  </si>
  <si>
    <t>2436</t>
  </si>
  <si>
    <t>2436 Weichholzfurnier u. Sperrholz</t>
  </si>
  <si>
    <t>2439</t>
  </si>
  <si>
    <t>2439 Sonstige Holzprodukte f. Bauzwecke (Fachwerk, Dachstühle, Balken)</t>
  </si>
  <si>
    <t>2441</t>
  </si>
  <si>
    <t>2441 Genagelte u. genietete Holzkästen u. Fächer u. Faßdauben</t>
  </si>
  <si>
    <t>2448</t>
  </si>
  <si>
    <t>2448 Holzpritschen u. Rutschen, Paletten</t>
  </si>
  <si>
    <t>2449</t>
  </si>
  <si>
    <t>2449 Sonstige Holzcontainer, Kisten</t>
  </si>
  <si>
    <t>2451</t>
  </si>
  <si>
    <t>2451 Wohnmobile, Schulzimmer (fahrbar)</t>
  </si>
  <si>
    <t>2452</t>
  </si>
  <si>
    <t>2452 Holzfertighäuser u. Fertigteile, Saunas, Holztrennwände</t>
  </si>
  <si>
    <t>2491</t>
  </si>
  <si>
    <t>2491 Holzimprägnierung</t>
  </si>
  <si>
    <t>2493</t>
  </si>
  <si>
    <t>2493 Spanplatten</t>
  </si>
  <si>
    <t>2499</t>
  </si>
  <si>
    <t>2499 Sonstige Holzprodukte</t>
  </si>
  <si>
    <t>2500</t>
  </si>
  <si>
    <t>2500 --- Möbel und Einrichtungsgegenstände ---</t>
  </si>
  <si>
    <t>2511</t>
  </si>
  <si>
    <t>2511 Hausmöbel aus Holz, außer Polstermöbeln</t>
  </si>
  <si>
    <t>2512</t>
  </si>
  <si>
    <t>2512 Hausmöbel aus Holz, gepolstert</t>
  </si>
  <si>
    <t>2514</t>
  </si>
  <si>
    <t>2514 Metall-Haushaltsmöbel, Einbauküchen</t>
  </si>
  <si>
    <t>2515</t>
  </si>
  <si>
    <t>2515 Matratzen u. Sprungfedern f. Betten</t>
  </si>
  <si>
    <t>2517</t>
  </si>
  <si>
    <t>2517 Holzgehäuse für Fernseh- u. Radiogeräte, Plattenspieler, Nähmaschinen</t>
  </si>
  <si>
    <t>2519</t>
  </si>
  <si>
    <t>2519 Sonstige Hausmöbel</t>
  </si>
  <si>
    <t>2521</t>
  </si>
  <si>
    <t>2521 Holz-Büromöbel</t>
  </si>
  <si>
    <t>2522</t>
  </si>
  <si>
    <t>2522 Büromöbel (außer Holz-)</t>
  </si>
  <si>
    <t>2531</t>
  </si>
  <si>
    <t>2531 Möbel für öffentliche Einrichtungen, Parkbänke usw.</t>
  </si>
  <si>
    <t>2541</t>
  </si>
  <si>
    <t>2541 Holztrennwände, Regale, Büro- u. Lagereinrichtungen</t>
  </si>
  <si>
    <t>2542</t>
  </si>
  <si>
    <t>2542 Trennwände, Regale, Büro- u. Lagereinrichtungen (außer Holz)</t>
  </si>
  <si>
    <t>2591</t>
  </si>
  <si>
    <t>2591 Metallwaren für Innenausstattung</t>
  </si>
  <si>
    <t>2599</t>
  </si>
  <si>
    <t>2599 Sonstige Möbel- u. Einrichtungsgegenstände</t>
  </si>
  <si>
    <t>2600</t>
  </si>
  <si>
    <t>2600 --- Papier und verwandte Produkte ---</t>
  </si>
  <si>
    <t>2611</t>
  </si>
  <si>
    <t>2611 Papiermassehersteller, Altpapieraufbereitung</t>
  </si>
  <si>
    <t>2621</t>
  </si>
  <si>
    <t>2621 Papierfabriken</t>
  </si>
  <si>
    <t>2631</t>
  </si>
  <si>
    <t>2631 Kartonagenfabriken</t>
  </si>
  <si>
    <t>2652</t>
  </si>
  <si>
    <t>2652 Zusammensetzbare Kartons</t>
  </si>
  <si>
    <t>2653</t>
  </si>
  <si>
    <t>2653 Hartfaserplattenschachteln u. Wellpappkartons</t>
  </si>
  <si>
    <t>2655</t>
  </si>
  <si>
    <t>2655 Faserstoffbecher, Dosen, Trommeln etc.</t>
  </si>
  <si>
    <t>2656</t>
  </si>
  <si>
    <t>2656 Hygienische Lebensmittelbehälter (außer faltbare)</t>
  </si>
  <si>
    <t>2657</t>
  </si>
  <si>
    <t>2657 Faltkartons (auch für Lebensmittel)</t>
  </si>
  <si>
    <t>2671</t>
  </si>
  <si>
    <t>2671 Packpapier u. Plastikfolie, beschichtet</t>
  </si>
  <si>
    <t>2672</t>
  </si>
  <si>
    <t>2672 Sonstige beschichtete Papiere</t>
  </si>
  <si>
    <t>2673</t>
  </si>
  <si>
    <t>2673 Plastikbeschichtete Tüten, Säcke und Beutel</t>
  </si>
  <si>
    <t>2674</t>
  </si>
  <si>
    <t>2674 Unbeschichtete u. mehrwandige Papiertüten, Tüten, Beutel, Säcke</t>
  </si>
  <si>
    <t>2675</t>
  </si>
  <si>
    <t>2675 Stanzpapier und Pappe</t>
  </si>
  <si>
    <t>2676</t>
  </si>
  <si>
    <t>2676 Hygienepapierprodukte</t>
  </si>
  <si>
    <t>2677</t>
  </si>
  <si>
    <t>2677 Briefumschläge</t>
  </si>
  <si>
    <t>2678</t>
  </si>
  <si>
    <t>2678 Schreibwaren, Schreibblöcke, verwandte Produkte</t>
  </si>
  <si>
    <t>2679</t>
  </si>
  <si>
    <t>2679 Sonstige Produkte aus verarbeitetem Papier</t>
  </si>
  <si>
    <t>2700</t>
  </si>
  <si>
    <t>2700 --- Druckereien, Verlage und verwandte Betriebe ---</t>
  </si>
  <si>
    <t>2711</t>
  </si>
  <si>
    <t>2711 Zeitungen: Verlag oder Verlag u. Druckerei</t>
  </si>
  <si>
    <t>2721</t>
  </si>
  <si>
    <t>2721 Zeitschriften: Verlag, Druckerei u. Verlag</t>
  </si>
  <si>
    <t>2731</t>
  </si>
  <si>
    <t>2731 Bücher: Verlag, Druckerei u. Verlag</t>
  </si>
  <si>
    <t>2732</t>
  </si>
  <si>
    <t>2732 Buchdruckerei</t>
  </si>
  <si>
    <t>2741</t>
  </si>
  <si>
    <t>2741 Versch. Publikationen, Drucksachen f. gewerbl. Zwecke</t>
  </si>
  <si>
    <t>2752</t>
  </si>
  <si>
    <t>2752 Druckerzeugnisse f. gewerbl. Zwecke, Lithografie, Offsetdruck</t>
  </si>
  <si>
    <t>2754</t>
  </si>
  <si>
    <t>2754 Druckerzeugnisse f. gewerbl. Zwecke, Tiefdruck</t>
  </si>
  <si>
    <t>2759</t>
  </si>
  <si>
    <t>2759 Sonstige Druckerzeugnisse f. gewerbl. Zwecke</t>
  </si>
  <si>
    <t>2761</t>
  </si>
  <si>
    <t>2761 Versch. Geschäftsformulare</t>
  </si>
  <si>
    <t>2771</t>
  </si>
  <si>
    <t>2771 Grußkartenverlag</t>
  </si>
  <si>
    <t>2782</t>
  </si>
  <si>
    <t>2782 Hefte, Loseblattordner etc.</t>
  </si>
  <si>
    <t>2789</t>
  </si>
  <si>
    <t>2789 Buchbinder- u. verwandte Arbeiten</t>
  </si>
  <si>
    <t>2791</t>
  </si>
  <si>
    <t>2791 Setzerei</t>
  </si>
  <si>
    <t>2796</t>
  </si>
  <si>
    <t>2796 Druckplattenherstellung u. verwandte Dienstleistungen</t>
  </si>
  <si>
    <t>2800</t>
  </si>
  <si>
    <t>2800 --- Chemikalien und verwandte Produkte ---</t>
  </si>
  <si>
    <t>2812</t>
  </si>
  <si>
    <t>2812 Alkali u. Chlor, Ätzmittel, Alkaliverbindungen</t>
  </si>
  <si>
    <t>2813</t>
  </si>
  <si>
    <t>2813 Industriegase</t>
  </si>
  <si>
    <t>2816</t>
  </si>
  <si>
    <t>2816 Anorganische Pigmente</t>
  </si>
  <si>
    <t>2819</t>
  </si>
  <si>
    <t>2819 Sonstige anorganische Industriechemikalien</t>
  </si>
  <si>
    <t>2821</t>
  </si>
  <si>
    <t>2821 Plastikmaterial, Kunstharz, nicht vulkanisierbare Elastomere</t>
  </si>
  <si>
    <t>2822</t>
  </si>
  <si>
    <t>2822 Synthetischer Gummi (vulkanisierbare Elastomere)</t>
  </si>
  <si>
    <t>2823</t>
  </si>
  <si>
    <t>2823 Zellulosehaltige Kunstfasern</t>
  </si>
  <si>
    <t>2824</t>
  </si>
  <si>
    <t>2824 Synthetische organische Fasern, außer Zellulose</t>
  </si>
  <si>
    <t>2833</t>
  </si>
  <si>
    <t>2833 Medizinische Chemikalien u. Pflanzenprodukte, Arzneimittel</t>
  </si>
  <si>
    <t>2834</t>
  </si>
  <si>
    <t>2834 Pharmazeutische Präparate</t>
  </si>
  <si>
    <t>2835</t>
  </si>
  <si>
    <t>2835 Diagnosepräparate</t>
  </si>
  <si>
    <t>2836</t>
  </si>
  <si>
    <t>2836 Biologische Produkte (außer Diagnosepräparate)</t>
  </si>
  <si>
    <t>2841</t>
  </si>
  <si>
    <t>2841 Seife u. andere Reinigungsmittel, außer Spezialreinigern</t>
  </si>
  <si>
    <t>2842</t>
  </si>
  <si>
    <t>2842 Spezialreiniger, Poliermittel u. hygienische Präparate</t>
  </si>
  <si>
    <t>2843</t>
  </si>
  <si>
    <t>2843 Oberflächenaktive Chemikalien, Hilfsstoffe, sulfurierte Öle</t>
  </si>
  <si>
    <t>2844</t>
  </si>
  <si>
    <t>2844 Kosmetikprodukte, Parfums u. andere Toilettenartikel</t>
  </si>
  <si>
    <t>2851</t>
  </si>
  <si>
    <t>2851 Farben, Lacke, Firnis, Emaille usw.</t>
  </si>
  <si>
    <t>2861</t>
  </si>
  <si>
    <t>2861 Gummi- u. Holzchemikalien</t>
  </si>
  <si>
    <t>2865</t>
  </si>
  <si>
    <t>2865 Farben, organische Pigmente, Toner, Rohstoffe</t>
  </si>
  <si>
    <t>2869</t>
  </si>
  <si>
    <t>2869 Sonstige organische Industriechemikalien</t>
  </si>
  <si>
    <t>2873</t>
  </si>
  <si>
    <t>2873 Stickstoffdünger</t>
  </si>
  <si>
    <t>2874</t>
  </si>
  <si>
    <t>2874 Phosphatdünger</t>
  </si>
  <si>
    <t>2875</t>
  </si>
  <si>
    <t>2875 Ausschl. Düngermischungen</t>
  </si>
  <si>
    <t>2879</t>
  </si>
  <si>
    <t>2879 Sonstige landwirtsch. Chemikalien, Schädlingsbekämpfungsmittel</t>
  </si>
  <si>
    <t>2891</t>
  </si>
  <si>
    <t>2891 Klebstoffe u. Versiegelungsmaterial, Dichtungs- u. Isoliermassen</t>
  </si>
  <si>
    <t>2892</t>
  </si>
  <si>
    <t>2892 Sprengstoffe</t>
  </si>
  <si>
    <t>2893</t>
  </si>
  <si>
    <t>2893 Druckfarben</t>
  </si>
  <si>
    <t>2895</t>
  </si>
  <si>
    <t>2895 Ruß</t>
  </si>
  <si>
    <t>2899</t>
  </si>
  <si>
    <t>2899 Sonstige Chemikalien u. chemische Präparate, Salz, Essenzen, Feuerwerk</t>
  </si>
  <si>
    <t>2900</t>
  </si>
  <si>
    <t>2900 --- Erdölraffinerie und verwandte Produkte ---</t>
  </si>
  <si>
    <t>2911</t>
  </si>
  <si>
    <t>2911 Erdölraffinerien</t>
  </si>
  <si>
    <t>2951</t>
  </si>
  <si>
    <t>2951 Asphaltmischungen und -Blöcke</t>
  </si>
  <si>
    <t>2952</t>
  </si>
  <si>
    <t>2952 Asphaltfilz u. Asphaltbeschichtungen</t>
  </si>
  <si>
    <t>2992</t>
  </si>
  <si>
    <t>2992 Schmieröle u. -Fette</t>
  </si>
  <si>
    <t>2999</t>
  </si>
  <si>
    <t>2999 Mineralöl- u. Kohleprodukte etc.</t>
  </si>
  <si>
    <t>30 - 39 Hersteller von Investitionsgütern</t>
  </si>
  <si>
    <t>3000</t>
  </si>
  <si>
    <t>3000 --- Gummi und verschiedene Plastikprodukte ---</t>
  </si>
  <si>
    <t>3011</t>
  </si>
  <si>
    <t>3011 Reifen u. Schläuche</t>
  </si>
  <si>
    <t>3021</t>
  </si>
  <si>
    <t>3021 Gummi- u. Plastikfußbekleidung</t>
  </si>
  <si>
    <t>3052</t>
  </si>
  <si>
    <t>3052 Gummi- u. Plastikschläuche u. -Riemen</t>
  </si>
  <si>
    <t>3053</t>
  </si>
  <si>
    <t>3053 Dichtungsringe, Dichtungs- u. Versiegelungsmaterial</t>
  </si>
  <si>
    <t>3061</t>
  </si>
  <si>
    <t>3061 Mechanische Gummiprodukte</t>
  </si>
  <si>
    <t>3069</t>
  </si>
  <si>
    <t>3069 Sonstige Gummiprodukte etc.</t>
  </si>
  <si>
    <t>3081</t>
  </si>
  <si>
    <t>3081 Unverstärkte Kunststoffolien und -platten</t>
  </si>
  <si>
    <t>3082</t>
  </si>
  <si>
    <t>3082 Unverstärkte Kunststoffprofile</t>
  </si>
  <si>
    <t>3083</t>
  </si>
  <si>
    <t>3083 Laminierte Kunststoffolien und -platten</t>
  </si>
  <si>
    <t>3084</t>
  </si>
  <si>
    <t>3084 Plastikröhren</t>
  </si>
  <si>
    <t>3085</t>
  </si>
  <si>
    <t>3085 Plastikflaschen</t>
  </si>
  <si>
    <t>3086</t>
  </si>
  <si>
    <t>3086 Schaumstoffprodukte</t>
  </si>
  <si>
    <t>3087</t>
  </si>
  <si>
    <t>3087 Verarbeitung von Kunstharzmischungen</t>
  </si>
  <si>
    <t>3088</t>
  </si>
  <si>
    <t>3088 Kunststoff-Installationsmaterial</t>
  </si>
  <si>
    <t>3089</t>
  </si>
  <si>
    <t>3089 Sonstige Plastikprodukte</t>
  </si>
  <si>
    <t>3100</t>
  </si>
  <si>
    <t>3100 --- Leder und Ledererzeugnisse ---</t>
  </si>
  <si>
    <t>3111</t>
  </si>
  <si>
    <t>3111 Ledergerberei u. -Bearbeitung, Fensterleder (Chamois)</t>
  </si>
  <si>
    <t>3131</t>
  </si>
  <si>
    <t>3131 Schuh- u. Stiefelleder (zugeschnitten), Bedarf für die Schuhindustrie</t>
  </si>
  <si>
    <t>3142</t>
  </si>
  <si>
    <t>3142 Hausschuhe</t>
  </si>
  <si>
    <t>3143</t>
  </si>
  <si>
    <t>3143 Herrenschuhe (außer Sportschuhen)</t>
  </si>
  <si>
    <t>3144</t>
  </si>
  <si>
    <t>3144 Damenschuhe, außer Sportschuhen</t>
  </si>
  <si>
    <t>3149</t>
  </si>
  <si>
    <t>3149 Sonstige Fußbekleidung, außer Gummischuhen</t>
  </si>
  <si>
    <t>3151</t>
  </si>
  <si>
    <t>3151 Lederfinger- u. -fausthandschuhe</t>
  </si>
  <si>
    <t>3161</t>
  </si>
  <si>
    <t>3161 Lederkoffer u. Reisetaschen</t>
  </si>
  <si>
    <t>3171</t>
  </si>
  <si>
    <t>3171 Damenhandtaschen u. Börsen</t>
  </si>
  <si>
    <t>3172</t>
  </si>
  <si>
    <t>3172 Leder-Gebrauchsartikel, außer Damenhandtaschen u. Börsen</t>
  </si>
  <si>
    <t>3199</t>
  </si>
  <si>
    <t>3199 Sonstige Lederwaren etc., Pferdefuttertaschen</t>
  </si>
  <si>
    <t>3200</t>
  </si>
  <si>
    <t>3200 --- Stein-, Ton-, Glas- und Betonprodukte ---</t>
  </si>
  <si>
    <t>3211</t>
  </si>
  <si>
    <t>3211 Flachglas, Fensterglas, Bau- u. Spezialglas</t>
  </si>
  <si>
    <t>3221</t>
  </si>
  <si>
    <t>3221 Glasbehälter</t>
  </si>
  <si>
    <t>3229</t>
  </si>
  <si>
    <t>3229 Sonstiges Preßglas, geblasenes Glas, Glaswaren</t>
  </si>
  <si>
    <t>3231</t>
  </si>
  <si>
    <t>3231 Produkte aus gekauftem Glas, wissensch. Instrumente, Spiegel, Glastüren</t>
  </si>
  <si>
    <t>3241</t>
  </si>
  <si>
    <t>3241 Hydraulischer Zement, Portlandzement</t>
  </si>
  <si>
    <t>3251</t>
  </si>
  <si>
    <t>3251 Bausteine u. Bauteile aus Ton, Ziegeleierzeugnisse</t>
  </si>
  <si>
    <t>3253</t>
  </si>
  <si>
    <t>3253 Keramikwand- u. Bodenkacheln</t>
  </si>
  <si>
    <t>3255</t>
  </si>
  <si>
    <t>3255 Feuerfeste Teile aus Ton, Ziegeleierzeugnisse</t>
  </si>
  <si>
    <t>3259</t>
  </si>
  <si>
    <t>3259 Sonstige Bauteile aus Ton, Dachziegel, Schornsteine</t>
  </si>
  <si>
    <t>3261</t>
  </si>
  <si>
    <t>3261 Glasporzellan, Armaturen u. -Teile f. Badezimmereinrichtungen</t>
  </si>
  <si>
    <t>3262</t>
  </si>
  <si>
    <t>3262 Glasporzellangeschirr</t>
  </si>
  <si>
    <t>3263</t>
  </si>
  <si>
    <t>3263 Feinkeramisches Geschirr u. Küchengeräte</t>
  </si>
  <si>
    <t>3264</t>
  </si>
  <si>
    <t>3264 Elektrobedarf aus Porzellan</t>
  </si>
  <si>
    <t>3269</t>
  </si>
  <si>
    <t>3269 Sonstige Töpfereiprodukte</t>
  </si>
  <si>
    <t>3271</t>
  </si>
  <si>
    <t>3271 Betonblöcke u. Bausteine</t>
  </si>
  <si>
    <t>3272</t>
  </si>
  <si>
    <t>3272 Betonprodukte, außer Blöcken u. Steinen</t>
  </si>
  <si>
    <t>3273</t>
  </si>
  <si>
    <t>3273 Fertigbeton</t>
  </si>
  <si>
    <t>3274</t>
  </si>
  <si>
    <t>3274 Kalk</t>
  </si>
  <si>
    <t>3275</t>
  </si>
  <si>
    <t>3275 Gipsprodukte</t>
  </si>
  <si>
    <t>3281</t>
  </si>
  <si>
    <t>3281 Zugeschnittene Steine u. Steinprodukte, Kalkstein, Marmor</t>
  </si>
  <si>
    <t>3291</t>
  </si>
  <si>
    <t>3291 Schleifmittel, Bimsstein</t>
  </si>
  <si>
    <t>3292</t>
  </si>
  <si>
    <t>3292 Asbestprodukte allgem.</t>
  </si>
  <si>
    <t>3295</t>
  </si>
  <si>
    <t>3295 Mineralien u. Erden, gemahlen oder anderweitig bearbeitet, Kaolin</t>
  </si>
  <si>
    <t>3296</t>
  </si>
  <si>
    <t>3296 Schlackenwolle, akustische Täfelung</t>
  </si>
  <si>
    <t>3297</t>
  </si>
  <si>
    <t>3297 Feuerfeste Materialien (außer Ton)</t>
  </si>
  <si>
    <t>3299</t>
  </si>
  <si>
    <t>3299 Sonstige nichtmetallische Mineralprodukte</t>
  </si>
  <si>
    <t>3300</t>
  </si>
  <si>
    <t>3300 --- Metallbearbeitung ---</t>
  </si>
  <si>
    <t>3312</t>
  </si>
  <si>
    <t>3312 Hochöfen (einschl. Kokereien), Stahl- u. Walzwerke</t>
  </si>
  <si>
    <t>3313</t>
  </si>
  <si>
    <t>3313 Elektrometallurgische Produkte, Eisenlegierungen (außer Stahl)</t>
  </si>
  <si>
    <t>3315</t>
  </si>
  <si>
    <t>3315 Stahldrahtzieherei, Nägel u. Spikes</t>
  </si>
  <si>
    <t>3316</t>
  </si>
  <si>
    <t>3316 Kaltgewalzte Stahlbleche, Bandstahl u. Barren</t>
  </si>
  <si>
    <t>3317</t>
  </si>
  <si>
    <t>3317 Stahlrohre</t>
  </si>
  <si>
    <t>3321</t>
  </si>
  <si>
    <t>3321 Graugießereien</t>
  </si>
  <si>
    <t>3322</t>
  </si>
  <si>
    <t>3322 Gießereien für Temperguß</t>
  </si>
  <si>
    <t>3324</t>
  </si>
  <si>
    <t>3324 Investmentgießereien, Stahl-Präzisionsformguß</t>
  </si>
  <si>
    <t>3325</t>
  </si>
  <si>
    <t>3325 Sonstige Stahlgießereien</t>
  </si>
  <si>
    <t>3331</t>
  </si>
  <si>
    <t>3331 Schmelzen u. Läutern von Kupfer</t>
  </si>
  <si>
    <t>3334</t>
  </si>
  <si>
    <t>3334 Aluminium-Erstbearbeitung</t>
  </si>
  <si>
    <t>3339</t>
  </si>
  <si>
    <t>3339 Schmelzen u. Läutern von Nichteisenmetallen, außer Kupfer u. Aluminium</t>
  </si>
  <si>
    <t>3341</t>
  </si>
  <si>
    <t>3341 Zweitschmelzen u. Läutern von Nichteisenmetallen</t>
  </si>
  <si>
    <t>3351</t>
  </si>
  <si>
    <t>3351 Walzen, Ziehen u. Strangpressen von Kupfer</t>
  </si>
  <si>
    <t>3353</t>
  </si>
  <si>
    <t>3353 Aluminiumbleche, -platten, -folien</t>
  </si>
  <si>
    <t>3354</t>
  </si>
  <si>
    <t>3354 Stranggepreßte Aluminiumprodukte</t>
  </si>
  <si>
    <t>3355</t>
  </si>
  <si>
    <t>3355 Sonstige Aluminiumwalz- u. Ziehwerke</t>
  </si>
  <si>
    <t>3356</t>
  </si>
  <si>
    <t>3356 Walzen, Ziehen u. Strangpressen von Nichteisenmetallen</t>
  </si>
  <si>
    <t>3357</t>
  </si>
  <si>
    <t>3357 Ziehen u. Isolieren von Nichteisendrähten, magnet. Draht, Kabel aller Art</t>
  </si>
  <si>
    <t>3363</t>
  </si>
  <si>
    <t>3363 Aluminiumgießerei (Druckgussverfahren)</t>
  </si>
  <si>
    <t>3365</t>
  </si>
  <si>
    <t>3365 Aluminiumgießerei (sonstige Herstellungsverfahren, z. B. Kokillenguss)</t>
  </si>
  <si>
    <t>3366</t>
  </si>
  <si>
    <t>3366 Messing-, Bronze-, Kupferarbeiten</t>
  </si>
  <si>
    <t>3369</t>
  </si>
  <si>
    <t>3369 Nichteisenmetall-Gießereien, (außer Aluminium u. Kupfer)</t>
  </si>
  <si>
    <t>3398</t>
  </si>
  <si>
    <t>3398 Wärmebehandlung von Metall</t>
  </si>
  <si>
    <t>3399</t>
  </si>
  <si>
    <t>3399 Sonstige Rohmetallprodukte</t>
  </si>
  <si>
    <t>3400</t>
  </si>
  <si>
    <t>3400 --- Metallwaren, außer Maschinen und Transporteinrichtungen ---</t>
  </si>
  <si>
    <t>3411</t>
  </si>
  <si>
    <t>3411 Büchsen u. Dosen</t>
  </si>
  <si>
    <t>3412</t>
  </si>
  <si>
    <t>3412 Metallfässer, -Trommeln, -Tonnen u. -Eimer, Rohre, Container</t>
  </si>
  <si>
    <t>3421</t>
  </si>
  <si>
    <t>3421 Messerwaren, Naßrasierapparate, Nagelfeilen, Rasierklingen</t>
  </si>
  <si>
    <t>3423</t>
  </si>
  <si>
    <t>3423 Hand- u. Schneidwerkzeuge, außer Werkzeugmaschinen u. Handsägen</t>
  </si>
  <si>
    <t>3425</t>
  </si>
  <si>
    <t>3425 Handsägen u. Sägeblätter</t>
  </si>
  <si>
    <t>3429</t>
  </si>
  <si>
    <t>3429 Sonstige Eisenwaren, Scharniere, Schlösser, Schlüssel usw.</t>
  </si>
  <si>
    <t>3431</t>
  </si>
  <si>
    <t>3431 Emaillierte Sanitärartikel aus Eisen u. Metall</t>
  </si>
  <si>
    <t>3432</t>
  </si>
  <si>
    <t>3432 Armaturen, Sprinkleranlagen (f. Rasen)</t>
  </si>
  <si>
    <t>3433</t>
  </si>
  <si>
    <t>3433 Heizgeräte (außer Elektro- u. Warmluftöfen), Gasbrenner, Ölöfen</t>
  </si>
  <si>
    <t>3441</t>
  </si>
  <si>
    <t>3441 Metallstrukturteile, Brückenteile, Radio- u. Fernsehtürme</t>
  </si>
  <si>
    <t>3442</t>
  </si>
  <si>
    <t>3442 Metalltüren, Schiebefenster, Rahmen, Zubehör</t>
  </si>
  <si>
    <t>3443</t>
  </si>
  <si>
    <t>3443 Blecharbeiten (Kesselbau), Tanklager, Kernkraftwerke, Akkumulatoren</t>
  </si>
  <si>
    <t>3444</t>
  </si>
  <si>
    <t>3444 Blechverarbeitung</t>
  </si>
  <si>
    <t>3446</t>
  </si>
  <si>
    <t>3446 Metallverzierungen, Architekturornamente, Bauzubehörteile aus Metall</t>
  </si>
  <si>
    <t>3448</t>
  </si>
  <si>
    <t>3448 Metallfertigbauten u. Bauteile, Fertighausbau</t>
  </si>
  <si>
    <t>3449</t>
  </si>
  <si>
    <t>3449 Versch. Metallbauteile</t>
  </si>
  <si>
    <t>3451</t>
  </si>
  <si>
    <t>3451 Drehteile</t>
  </si>
  <si>
    <t>3452</t>
  </si>
  <si>
    <t>3452 Bolzen, Nieten, Schrauben, Muttern, Federringe</t>
  </si>
  <si>
    <t>3462</t>
  </si>
  <si>
    <t>3462 Schmiedestücke aus Eisen und Stahl</t>
  </si>
  <si>
    <t>3463</t>
  </si>
  <si>
    <t>3463 Schmiedestücke aus Nichteisenmetallen</t>
  </si>
  <si>
    <t>3465</t>
  </si>
  <si>
    <t>3465 Stanzteile für Kfz</t>
  </si>
  <si>
    <t>3466</t>
  </si>
  <si>
    <t>3466 Kappen u. Verschlüsse</t>
  </si>
  <si>
    <t>3469</t>
  </si>
  <si>
    <t>3469 Sonstige Metallstanzartikel, porzellanüberzogene Artikel</t>
  </si>
  <si>
    <t>3471</t>
  </si>
  <si>
    <t>3471 Galvanisieren, Verchromen, Polieren, Eloxieren, Kolorieren von Metall</t>
  </si>
  <si>
    <t>3479</t>
  </si>
  <si>
    <t>3479 Oberflächenbearbeitung, Gravuren u. verwandte Arbeiten</t>
  </si>
  <si>
    <t>3482</t>
  </si>
  <si>
    <t>3482 Munition, für Handfeuerwaffen</t>
  </si>
  <si>
    <t>3483</t>
  </si>
  <si>
    <t>3483 Munition, außer für Handfeuerwaffen</t>
  </si>
  <si>
    <t>3484</t>
  </si>
  <si>
    <t>3484 Handfeuerwaffen</t>
  </si>
  <si>
    <t>3489</t>
  </si>
  <si>
    <t>3489 Sonstige Waffen u. Zubehör</t>
  </si>
  <si>
    <t>3491</t>
  </si>
  <si>
    <t>3491 Industrie-Ventile</t>
  </si>
  <si>
    <t>3492</t>
  </si>
  <si>
    <t>3492 Hydraulische Ventile, Schlauchfittings</t>
  </si>
  <si>
    <t>3493</t>
  </si>
  <si>
    <t>3493 Stahlsprungfedern, außer Draht, Spiralfedern</t>
  </si>
  <si>
    <t>3494</t>
  </si>
  <si>
    <t>3494 Sonstige Ventile u. Rohranschlußstücke</t>
  </si>
  <si>
    <t>3495</t>
  </si>
  <si>
    <t>3495 Drahtsprungfedern</t>
  </si>
  <si>
    <t>3496</t>
  </si>
  <si>
    <t>3496 Sonstige Drahtprodukte, Heftgeräte u. Heftklammern, Dosenöffner</t>
  </si>
  <si>
    <t>3497</t>
  </si>
  <si>
    <t>3497 Metallfolien</t>
  </si>
  <si>
    <t>3498</t>
  </si>
  <si>
    <t>3498 Fertigrohre u. Fittings</t>
  </si>
  <si>
    <t>3499</t>
  </si>
  <si>
    <t>3499 Sonstige Metallwaren, Sicherheitsschlösser</t>
  </si>
  <si>
    <t>3500</t>
  </si>
  <si>
    <t>3500 --- Maschinenbau und Computer ---</t>
  </si>
  <si>
    <t>3511</t>
  </si>
  <si>
    <t>3511 Turbinen- und Turbinengeneratorgruppen</t>
  </si>
  <si>
    <t>3519</t>
  </si>
  <si>
    <t>3519 Sonstige Verbrennungsmotoren</t>
  </si>
  <si>
    <t>3523</t>
  </si>
  <si>
    <t>3523 Landmaschinen u. -Ausrüstung</t>
  </si>
  <si>
    <t>3524</t>
  </si>
  <si>
    <t>3524 Gartentraktoren, Rasen- u. Gartengeräte</t>
  </si>
  <si>
    <t>3531</t>
  </si>
  <si>
    <t>3531 Baumaschinen u. Ausrüstung, Planierraupen, Kräne, Mischmaschinen, Walzen, Traktoren usw.</t>
  </si>
  <si>
    <t>3532</t>
  </si>
  <si>
    <t>3532 Bergbaumaschinen u. Ausrüstung, außer Öl- u. Gasbohrmaschinen</t>
  </si>
  <si>
    <t>3533</t>
  </si>
  <si>
    <t>3533 Öl- u. Gasbohrmaschinen u. Ausrüstung</t>
  </si>
  <si>
    <t>3534</t>
  </si>
  <si>
    <t>3534 Aufzüge, Roll- und Fahrtreppen</t>
  </si>
  <si>
    <t>3535</t>
  </si>
  <si>
    <t>3535 Fördergeräte u. Zubehör, Förderbänder</t>
  </si>
  <si>
    <t>3536</t>
  </si>
  <si>
    <t>3536 Hebezeuge, Industriekräne u. Einschienensysteme, Flaschenzüge</t>
  </si>
  <si>
    <t>3537</t>
  </si>
  <si>
    <t>3537 Industrielastkraftwagen, Traktoren, Anhänger u. Stapler</t>
  </si>
  <si>
    <t>3541</t>
  </si>
  <si>
    <t>3541 Werkzeugmaschinen für die spanabhebende Metallbearbeitung</t>
  </si>
  <si>
    <t>3542</t>
  </si>
  <si>
    <t>3542 Werkzeugmaschinen zur Metallformung</t>
  </si>
  <si>
    <t>3543</t>
  </si>
  <si>
    <t>3543 Industriemuster</t>
  </si>
  <si>
    <t>3544</t>
  </si>
  <si>
    <t>3544 Spezialprägestempel u. Stanzstempel, Werkzeuge</t>
  </si>
  <si>
    <t>3545</t>
  </si>
  <si>
    <t>3545 Werkzeugmaschinenzubehör u. Messeinrichtungen, Diamantschneidegeräte</t>
  </si>
  <si>
    <t>3546</t>
  </si>
  <si>
    <t>3546 Handwerkzeuge mit Hilfsantrieb, Presslufthämmer, Schleifmaschinen</t>
  </si>
  <si>
    <t>3547</t>
  </si>
  <si>
    <t>3547 Walzwerksmaschinen</t>
  </si>
  <si>
    <t>3548</t>
  </si>
  <si>
    <t>3548 Elektro- u. Gasschweiß- u. Lötgeräte</t>
  </si>
  <si>
    <t>3549</t>
  </si>
  <si>
    <t>3549 Sonstige Metallbearbeitungsmaschinen, Brennschneidemaschinen</t>
  </si>
  <si>
    <t>3552</t>
  </si>
  <si>
    <t>3552 Textilmaschinen</t>
  </si>
  <si>
    <t>3553</t>
  </si>
  <si>
    <t>3553 Holzbearbeitungsmaschinen</t>
  </si>
  <si>
    <t>3554</t>
  </si>
  <si>
    <t>3554 Maschinen für die Papierindustrie</t>
  </si>
  <si>
    <t>3555</t>
  </si>
  <si>
    <t>3555 Druckereimaschinen u. Zubehör</t>
  </si>
  <si>
    <t>3556</t>
  </si>
  <si>
    <t>3556 Maschinen für die Lebensmittelindustrie</t>
  </si>
  <si>
    <t>3559</t>
  </si>
  <si>
    <t>3559 Sonstige Industrie-Spezialmaschinen</t>
  </si>
  <si>
    <t>3561</t>
  </si>
  <si>
    <t>3561 Pumpen u. Zubehör</t>
  </si>
  <si>
    <t>3562</t>
  </si>
  <si>
    <t>3562 Kugel- u. Rollenlager</t>
  </si>
  <si>
    <t>3563</t>
  </si>
  <si>
    <t>3563 Luft- u. Gaskompressoren, Farbspritzanlagen u. -pistolen</t>
  </si>
  <si>
    <t>3564</t>
  </si>
  <si>
    <t>3564 Gebläse, Ventilatoren, Luftreiniger</t>
  </si>
  <si>
    <t>3565</t>
  </si>
  <si>
    <t>3565 Verpackungsmaschinen</t>
  </si>
  <si>
    <t>3566</t>
  </si>
  <si>
    <t>3566 Gangschaltungen, Getriebe, industrielle Hochleistungsgetriebe</t>
  </si>
  <si>
    <t>3567</t>
  </si>
  <si>
    <t>3567 Industrieöfen</t>
  </si>
  <si>
    <t>3568</t>
  </si>
  <si>
    <t>3568 Mechanische Kraftübertragungsgeräte, Kupplungen</t>
  </si>
  <si>
    <t>3569</t>
  </si>
  <si>
    <t>3569 Sonstige Industriemaschinen u. Ausrüstung etc., Schmieranlagen</t>
  </si>
  <si>
    <t>3571</t>
  </si>
  <si>
    <t>3571 Computer</t>
  </si>
  <si>
    <t>3572</t>
  </si>
  <si>
    <t>3572 Datenspeichergeräte</t>
  </si>
  <si>
    <t>3575</t>
  </si>
  <si>
    <t>3575 Computer Terminals</t>
  </si>
  <si>
    <t>3577</t>
  </si>
  <si>
    <t>3577 Computer-Zubehör</t>
  </si>
  <si>
    <t>3578</t>
  </si>
  <si>
    <t>3578 Rechenmaschinen, nicht elektronisch</t>
  </si>
  <si>
    <t>3579</t>
  </si>
  <si>
    <t>3579 Sonstige Büromaschinen, Frankiermaschinen etc.</t>
  </si>
  <si>
    <t>3581</t>
  </si>
  <si>
    <t>3581 Verkaufsautomaten</t>
  </si>
  <si>
    <t>3582</t>
  </si>
  <si>
    <t>3582 Großwaschmaschinen, Reinigungs- u. Bügelmaschinen</t>
  </si>
  <si>
    <t>3585</t>
  </si>
  <si>
    <t>3585 Klimaanlagen, Warmwasserheizungen, industrielle Kühleinrichtungen</t>
  </si>
  <si>
    <t>3586</t>
  </si>
  <si>
    <t>3586 Ansaug- u. Zapfeinrichtungen</t>
  </si>
  <si>
    <t>3589</t>
  </si>
  <si>
    <t>3589 Sonstige Maschinen f. Dienstleistungsbetriebe, Autowaschanlagen</t>
  </si>
  <si>
    <t>3592</t>
  </si>
  <si>
    <t>3592 Vergaser, Kolben, Kolbenringe u. Ventile</t>
  </si>
  <si>
    <t>3593</t>
  </si>
  <si>
    <t>3593 Zylinder, Stellantriebe</t>
  </si>
  <si>
    <t>3594</t>
  </si>
  <si>
    <t>3594 Hydraulische Pumpen u. Motoren</t>
  </si>
  <si>
    <t>3596</t>
  </si>
  <si>
    <t>3596 Waagen, außer Laborwaagen</t>
  </si>
  <si>
    <t>3599</t>
  </si>
  <si>
    <t>3599 Sonstige Maschinen</t>
  </si>
  <si>
    <t>3600</t>
  </si>
  <si>
    <t>3600 --- Elektrische und elektronische Maschinen u. Apparate u. Zubehör ---</t>
  </si>
  <si>
    <t>3612</t>
  </si>
  <si>
    <t>3612 Stromtransformatoren, Verteiler, Spezialumformer, elektr. Apparate</t>
  </si>
  <si>
    <t>3613</t>
  </si>
  <si>
    <t>3613 Schaltgeräte u. Schalttafeln</t>
  </si>
  <si>
    <t>3621</t>
  </si>
  <si>
    <t>3621 Motoren u. Generatoren</t>
  </si>
  <si>
    <t>3624</t>
  </si>
  <si>
    <t>3624 Kohle- u. Graphitprodukte</t>
  </si>
  <si>
    <t>3625</t>
  </si>
  <si>
    <t>3625 Relais, Regler</t>
  </si>
  <si>
    <t>3629</t>
  </si>
  <si>
    <t>3629 Sonstige Elektr. Apparate f. d. Industrie</t>
  </si>
  <si>
    <t>3631</t>
  </si>
  <si>
    <t>3631 Haushaltsherde u. Kochgeräte</t>
  </si>
  <si>
    <t>3632</t>
  </si>
  <si>
    <t>3632 Haushaltskühlschränke u. Gefriereinrichtungen für Haushalt u. Landw.</t>
  </si>
  <si>
    <t>3633</t>
  </si>
  <si>
    <t>3633 Haushaltswaschmaschinen, Trockenschleudern</t>
  </si>
  <si>
    <t>3634</t>
  </si>
  <si>
    <t>3634 Elektr. Haushaltsgeräte u. Ventilatoren</t>
  </si>
  <si>
    <t>3635</t>
  </si>
  <si>
    <t>3635 Haushalts-Staubsauger</t>
  </si>
  <si>
    <t>3639</t>
  </si>
  <si>
    <t>3639 Sonstige Haushaltsgeräte</t>
  </si>
  <si>
    <t>3641</t>
  </si>
  <si>
    <t>3641 Glühbirnen u. Leuchtröhren</t>
  </si>
  <si>
    <t>3643</t>
  </si>
  <si>
    <t>3643 Elektr. Leitungen, elektr. Kontakte, Leitungszubehör</t>
  </si>
  <si>
    <t>3644</t>
  </si>
  <si>
    <t>3644 Stromlose Leitungen u. Zubehör</t>
  </si>
  <si>
    <t>3645</t>
  </si>
  <si>
    <t>3645 Elektr. Anlagen für Wohnhäuser, Lampen</t>
  </si>
  <si>
    <t>3646</t>
  </si>
  <si>
    <t>3646 Gewerbliche und sonstige Beleuchtungsanlagen</t>
  </si>
  <si>
    <t>3647</t>
  </si>
  <si>
    <t>3647 Elektr. Anlagen für Fahrzeuge</t>
  </si>
  <si>
    <t>3648</t>
  </si>
  <si>
    <t>3648 Sonstige Beleuchtungseinrichtungen</t>
  </si>
  <si>
    <t>3651</t>
  </si>
  <si>
    <t>3651 Haushalts-, Audio- u. Videogeräte</t>
  </si>
  <si>
    <t>3652</t>
  </si>
  <si>
    <t>3652 Schallplatten, bespielte Tonbänder u. Kassetten</t>
  </si>
  <si>
    <t>3661</t>
  </si>
  <si>
    <t>3661 Telefon- u. Telegrafenapparate, Fernschreiber</t>
  </si>
  <si>
    <t>3663</t>
  </si>
  <si>
    <t>3663 Radio- u. Fernseh-Sende- und -Empfangsgeräte</t>
  </si>
  <si>
    <t>3669</t>
  </si>
  <si>
    <t>3669 Sonstige Kommunikations-, Warn- u. Signalanlagen</t>
  </si>
  <si>
    <t>3671</t>
  </si>
  <si>
    <t>3671 Elektronenröhren</t>
  </si>
  <si>
    <t>3672</t>
  </si>
  <si>
    <t>3672 Gedruckte Schaltkreise</t>
  </si>
  <si>
    <t>3674</t>
  </si>
  <si>
    <t>3674 Halbleiter u. verwandte Artikel</t>
  </si>
  <si>
    <t>3675</t>
  </si>
  <si>
    <t>3675 Elektronische Kondensatoren</t>
  </si>
  <si>
    <t>3676</t>
  </si>
  <si>
    <t>3676 Elektr. Widerstände</t>
  </si>
  <si>
    <t>3677</t>
  </si>
  <si>
    <t>3677 Elektronische Wicklungen, Transformatoren u. andere Induktionsspulen</t>
  </si>
  <si>
    <t>3678</t>
  </si>
  <si>
    <t>3678 Elektr. Anschlußteile</t>
  </si>
  <si>
    <t>3679</t>
  </si>
  <si>
    <t>3679 Sonstige elektron. Bauteile</t>
  </si>
  <si>
    <t>3691</t>
  </si>
  <si>
    <t>3691 Speicherbatterien</t>
  </si>
  <si>
    <t>3692</t>
  </si>
  <si>
    <t>3692 Batterien, Primärbatterien, naß u. trocken</t>
  </si>
  <si>
    <t>3694</t>
  </si>
  <si>
    <t>3694 Elektrische Ausrüstung für Verbrennungsmotoren</t>
  </si>
  <si>
    <t>3695</t>
  </si>
  <si>
    <t>3695 Magnetische u. optische Speichermedien</t>
  </si>
  <si>
    <t>3699</t>
  </si>
  <si>
    <t>3699 Sonstige Elektromaschinen, elektrische Einrichtungen u. Anlagen</t>
  </si>
  <si>
    <t>3700</t>
  </si>
  <si>
    <t>3700 --- Transporteinrichtungen ---</t>
  </si>
  <si>
    <t>3711</t>
  </si>
  <si>
    <t>3711 Kfz, Kfz-Karosserien</t>
  </si>
  <si>
    <t>3713</t>
  </si>
  <si>
    <t>3713 Omnibus- u. Lkw-Karosserien</t>
  </si>
  <si>
    <t>3714</t>
  </si>
  <si>
    <t>3714 Kfz.-Zubehör u. Ersatzteile, Einzelteile</t>
  </si>
  <si>
    <t>3715</t>
  </si>
  <si>
    <t>3715 Lkw-Anhänger</t>
  </si>
  <si>
    <t>3716</t>
  </si>
  <si>
    <t>3716 Wohnmobile</t>
  </si>
  <si>
    <t>3721</t>
  </si>
  <si>
    <t>3721 Flugzeuge</t>
  </si>
  <si>
    <t>3724</t>
  </si>
  <si>
    <t>3724 Flugzeugmotoren u. Motorenteile</t>
  </si>
  <si>
    <t>3728</t>
  </si>
  <si>
    <t>3728 Sonstige Flugzeugteile u. Hilfseinrichtungen</t>
  </si>
  <si>
    <t>3731</t>
  </si>
  <si>
    <t>3731 Schiffsbau u. Reparatur</t>
  </si>
  <si>
    <t>3732</t>
  </si>
  <si>
    <t>3732 Bootsbau u. -reparatur</t>
  </si>
  <si>
    <t>3743</t>
  </si>
  <si>
    <t>3743 Eisenbahnausrüstung</t>
  </si>
  <si>
    <t>3751</t>
  </si>
  <si>
    <t>3751 Motorräder, Fahrräder u. Motorrad- u. Fahrradteile</t>
  </si>
  <si>
    <t>3761</t>
  </si>
  <si>
    <t>3761 Raketen, Raumfahrzeuge, Lenkraketen</t>
  </si>
  <si>
    <t>3764</t>
  </si>
  <si>
    <t>3764 Raketen u. Raumfahrtantriebseinheiten u. -teile</t>
  </si>
  <si>
    <t>3769</t>
  </si>
  <si>
    <t>3769 Sonstige Raketen, Raumfahrzeugteile u. Hilfseinrichtungen</t>
  </si>
  <si>
    <t>3792</t>
  </si>
  <si>
    <t>3792 Wohnwagen u. -anhänger, Caravans usw.</t>
  </si>
  <si>
    <t>3795</t>
  </si>
  <si>
    <t>3795 Panzerfahrzeuge u. -Fahrzeugteile</t>
  </si>
  <si>
    <t>3799</t>
  </si>
  <si>
    <t>3799 Sonstige Transporteinrichtungen</t>
  </si>
  <si>
    <t>3800</t>
  </si>
  <si>
    <t>3800 --- Mess-, Prüf- und Kontrollinstrumente ---</t>
  </si>
  <si>
    <t>3812</t>
  </si>
  <si>
    <t>3812 Navigations- u. Suchgeräte</t>
  </si>
  <si>
    <t>3821</t>
  </si>
  <si>
    <t>3821 Laborgeräte u. -Einrichtungen</t>
  </si>
  <si>
    <t>3822</t>
  </si>
  <si>
    <t>3822 Automatische Mess- u. Regelgeräte</t>
  </si>
  <si>
    <t>3823</t>
  </si>
  <si>
    <t>3823 Messinstrumente für industrielle Zwecke, Manometer, Thermometer</t>
  </si>
  <si>
    <t>3824</t>
  </si>
  <si>
    <t>3824 Flüssigkeitszähler u. Zählwerke</t>
  </si>
  <si>
    <t>3825</t>
  </si>
  <si>
    <t>3825 Mess- u. Prüfgeräte für Elektrotechnik</t>
  </si>
  <si>
    <t>3826</t>
  </si>
  <si>
    <t>3826 Labor-Analysegeräte</t>
  </si>
  <si>
    <t>3827</t>
  </si>
  <si>
    <t>3827 Optische Instrumente u. Linsen</t>
  </si>
  <si>
    <t>3829</t>
  </si>
  <si>
    <t>3829 Sonstige Mess- u. Regelgeräte</t>
  </si>
  <si>
    <t>3841</t>
  </si>
  <si>
    <t>3841 Chirurgische u. medizinische Instrumente u. Apparate</t>
  </si>
  <si>
    <t>3842</t>
  </si>
  <si>
    <t>3842 Orthopädische u. medizinische Hilfsmittel u. Instrumente</t>
  </si>
  <si>
    <t>3843</t>
  </si>
  <si>
    <t>3843 Zahntechnische Geräte u. Materialien</t>
  </si>
  <si>
    <t>3844</t>
  </si>
  <si>
    <t>3844 Röntgenapparate u. -röhren</t>
  </si>
  <si>
    <t>3845</t>
  </si>
  <si>
    <t>3845 Elektrische Diagnose- u. Therapiegeräte</t>
  </si>
  <si>
    <t>3851</t>
  </si>
  <si>
    <t>3851 Augenoptische Artikel, Brillen</t>
  </si>
  <si>
    <t>3861</t>
  </si>
  <si>
    <t>3861 Fotografische Ausrüstung, Microfilm, Fotokopiermaschinen</t>
  </si>
  <si>
    <t>3873</t>
  </si>
  <si>
    <t>3873 Uhren, Zähler (Apparate mit Uhrwerk) usw.</t>
  </si>
  <si>
    <t>3900</t>
  </si>
  <si>
    <t>3900 --- Verschiedene Hersteller-Industrien ---</t>
  </si>
  <si>
    <t>3911</t>
  </si>
  <si>
    <t>3911 Schmuck, Verzierungen aus Edelmetallen u. Edelsteinen</t>
  </si>
  <si>
    <t>3914</t>
  </si>
  <si>
    <t>3914 Silberwaren, versilberte Artikel, Artikel aus rostfreiem Stahl, Bestecke</t>
  </si>
  <si>
    <t>3915</t>
  </si>
  <si>
    <t>3915 Juwelierbedarf u. -Material, Edelsteinbearbeitung</t>
  </si>
  <si>
    <t>3931</t>
  </si>
  <si>
    <t>3931 Musikinstrumente</t>
  </si>
  <si>
    <t>3942</t>
  </si>
  <si>
    <t>3942 Puppen, Plüschtiere</t>
  </si>
  <si>
    <t>3944</t>
  </si>
  <si>
    <t>3944 Spiele, Spielwaren, Kinderfahrzeuge, Eisenbahnen</t>
  </si>
  <si>
    <t>3949</t>
  </si>
  <si>
    <t>3949 Sonstige Sportartikel, Sporthandschuhe, Kegelbahnen, Schießanlagen</t>
  </si>
  <si>
    <t>3951</t>
  </si>
  <si>
    <t>3951 Federhalter, Drehbleistifte u. -Teile</t>
  </si>
  <si>
    <t>3952</t>
  </si>
  <si>
    <t>3952 Blei- u. Farbstifte, Künstlerbedarf</t>
  </si>
  <si>
    <t>3953</t>
  </si>
  <si>
    <t>3953 Markierungseinrichtungen</t>
  </si>
  <si>
    <t>3955</t>
  </si>
  <si>
    <t>3955 Kohlepapier u. Farbbänder</t>
  </si>
  <si>
    <t>3961</t>
  </si>
  <si>
    <t>3961 Modeschmuck</t>
  </si>
  <si>
    <t>3965</t>
  </si>
  <si>
    <t>3965 Kurzwaren</t>
  </si>
  <si>
    <t>3991</t>
  </si>
  <si>
    <t>3991 Besen u. Bürsten, Zahnbürsten</t>
  </si>
  <si>
    <t>3993</t>
  </si>
  <si>
    <t>3993 Schilder u. Werbematerialien, Dekorationen, Leuchtschirme</t>
  </si>
  <si>
    <t>3995</t>
  </si>
  <si>
    <t>3995 Särge</t>
  </si>
  <si>
    <t>3996</t>
  </si>
  <si>
    <t>3996 Linoleum u. andere Hartbodenbeläge</t>
  </si>
  <si>
    <t>3999</t>
  </si>
  <si>
    <t>3999 Sonstige Hersteller: Gartenschirme, Feuerzeuge, Kerzen, Perücken, Bandmaße</t>
  </si>
  <si>
    <t>40</t>
  </si>
  <si>
    <t>40 - 49 Transport und Logistik</t>
  </si>
  <si>
    <t>4000</t>
  </si>
  <si>
    <t>4000 --- Bahntransporte ---</t>
  </si>
  <si>
    <t>4011</t>
  </si>
  <si>
    <t>4011 Eisenbahnlinien, Güterverkehr</t>
  </si>
  <si>
    <t>4013</t>
  </si>
  <si>
    <t>4013 Betrieb von Umschlag-, Endfrachtstationen u. Rangierbahnhöfen</t>
  </si>
  <si>
    <t>4100</t>
  </si>
  <si>
    <t>4100 --- Orts- und Vorortverkehr, Straßen-Passagiertransporte ---</t>
  </si>
  <si>
    <t>4111</t>
  </si>
  <si>
    <t>4111 Öffentl. Nahverkehr, Straßen, U- u. S-Bahnen, Busse</t>
  </si>
  <si>
    <t>4119</t>
  </si>
  <si>
    <t>4119 Sonstiger öffentl. Nahverkehr</t>
  </si>
  <si>
    <t>4121</t>
  </si>
  <si>
    <t>4121 Taxibetriebe</t>
  </si>
  <si>
    <t>4131</t>
  </si>
  <si>
    <t>4131 Intercity-Buslinien, Überlandverkehrsbetriebe</t>
  </si>
  <si>
    <t>4141</t>
  </si>
  <si>
    <t>4141 Organisation von Busreisen bzw. Vermietung von Bussen für Kurzreisen</t>
  </si>
  <si>
    <t>4142</t>
  </si>
  <si>
    <t>4142 Organisation von Busreisen bzw. Vermietung von Bussen für Langstrecken</t>
  </si>
  <si>
    <t>4151</t>
  </si>
  <si>
    <t>4151 Schulbusse</t>
  </si>
  <si>
    <t>4173</t>
  </si>
  <si>
    <t>4173 Terminalbetriebe für Busverkehr</t>
  </si>
  <si>
    <t>4200</t>
  </si>
  <si>
    <t>4200 --- Straßentransporte und Lagerung ---</t>
  </si>
  <si>
    <t>4212</t>
  </si>
  <si>
    <t>4212 Straßengüternahverkehr ohne Lagerung</t>
  </si>
  <si>
    <t>4213</t>
  </si>
  <si>
    <t>4213 Straßengüterfernverkehr</t>
  </si>
  <si>
    <t>4214</t>
  </si>
  <si>
    <t>4214 Straßengüternahverkehr mit Lagerung</t>
  </si>
  <si>
    <t>4215</t>
  </si>
  <si>
    <t>4215 Kurierdienste (außer Luft-)</t>
  </si>
  <si>
    <t>4221</t>
  </si>
  <si>
    <t>4221 Lagerung u. Speicherung von landw. Produkten</t>
  </si>
  <si>
    <t>4222</t>
  </si>
  <si>
    <t>4222 Kühlhäuser</t>
  </si>
  <si>
    <t>4225</t>
  </si>
  <si>
    <t>4225 Allgemeine Lagerung u. Speicherung</t>
  </si>
  <si>
    <t>4226</t>
  </si>
  <si>
    <t>4226 Speziallager</t>
  </si>
  <si>
    <t>4231</t>
  </si>
  <si>
    <t>4231 Terminalbetriebe mit Wartung f. Speditionsfahrzeuge</t>
  </si>
  <si>
    <t>4300</t>
  </si>
  <si>
    <t>4300 --- Postdienst ---</t>
  </si>
  <si>
    <t>4311</t>
  </si>
  <si>
    <t>4311 Postdienst</t>
  </si>
  <si>
    <t>4400</t>
  </si>
  <si>
    <t>4400 --- Schiffahrt, Wassertransporte ---</t>
  </si>
  <si>
    <t>4412</t>
  </si>
  <si>
    <t>4412 Hochsee-Frachtschiffahrt</t>
  </si>
  <si>
    <t>4424</t>
  </si>
  <si>
    <t>4424 Hochseefrachtschiffahrt Inland</t>
  </si>
  <si>
    <t>4432</t>
  </si>
  <si>
    <t>4432 Great Lakes St.Lawrence-Seeschiffahrt</t>
  </si>
  <si>
    <t>4449</t>
  </si>
  <si>
    <t>4449 Sonstige Frachschiffahrt</t>
  </si>
  <si>
    <t>4481</t>
  </si>
  <si>
    <t>4481 Hochsee-Passagierschiffahrt</t>
  </si>
  <si>
    <t>4482</t>
  </si>
  <si>
    <t>4482 Fähren</t>
  </si>
  <si>
    <t>4489</t>
  </si>
  <si>
    <t>4489 Sonstige Passagierschiffahrt</t>
  </si>
  <si>
    <t>4491</t>
  </si>
  <si>
    <t>4491 Seefrachtumschlag</t>
  </si>
  <si>
    <t>4492</t>
  </si>
  <si>
    <t>4492 Lotsen- u. Schleppdienste</t>
  </si>
  <si>
    <t>4493</t>
  </si>
  <si>
    <t>4493 Bootsvermietung u. -reparatur, Hafenlotsen usw.</t>
  </si>
  <si>
    <t>4499</t>
  </si>
  <si>
    <t>4499 Sonstige Schiffahrtdienste</t>
  </si>
  <si>
    <t>4500</t>
  </si>
  <si>
    <t>4500 --- Lufttransporte ---</t>
  </si>
  <si>
    <t>4512</t>
  </si>
  <si>
    <t>4512 Linienluftverkehr</t>
  </si>
  <si>
    <t>4513</t>
  </si>
  <si>
    <t>4513 Luftkurierdienste</t>
  </si>
  <si>
    <t>4522</t>
  </si>
  <si>
    <t>4522 außerplanmäßiger Luftverkehr</t>
  </si>
  <si>
    <t>4581</t>
  </si>
  <si>
    <t>4581 Flughäfen u. -plätze</t>
  </si>
  <si>
    <t>4583</t>
  </si>
  <si>
    <t>4583 Flughafen-Terminaldienst</t>
  </si>
  <si>
    <t>4600</t>
  </si>
  <si>
    <t>4600 --- Pipelines, außer Erdgas ---</t>
  </si>
  <si>
    <t>4612</t>
  </si>
  <si>
    <t>4612 Rohöl-Pipelines</t>
  </si>
  <si>
    <t>4613</t>
  </si>
  <si>
    <t>4613 Raffinerieöl-Pipelines</t>
  </si>
  <si>
    <t>4619</t>
  </si>
  <si>
    <t>4619 Sonstige Pipelines</t>
  </si>
  <si>
    <t>4700</t>
  </si>
  <si>
    <t>4700 --- Transportdienste ---</t>
  </si>
  <si>
    <t>4724</t>
  </si>
  <si>
    <t>4724 Reisebüros</t>
  </si>
  <si>
    <t>4725</t>
  </si>
  <si>
    <t>4725 Reiseveranstalter</t>
  </si>
  <si>
    <t>4729</t>
  </si>
  <si>
    <t>4729 Sonstige Passagiertransportorganisationen</t>
  </si>
  <si>
    <t>4731</t>
  </si>
  <si>
    <t>4731 Fracht- u. Cargo-Transportorganisation</t>
  </si>
  <si>
    <t>4741</t>
  </si>
  <si>
    <t>4741 Vermietung von Eisenbahnwaggons</t>
  </si>
  <si>
    <t>4783</t>
  </si>
  <si>
    <t>4783 Verpackungsdienste</t>
  </si>
  <si>
    <t>4785</t>
  </si>
  <si>
    <t>4785 Maut-, Straßen, -tunnel, -brücken und Inspektions- u. Wiegedienste</t>
  </si>
  <si>
    <t>4789</t>
  </si>
  <si>
    <t>4789 Sonstige Transportdienste</t>
  </si>
  <si>
    <t>4800</t>
  </si>
  <si>
    <t>4800 --- Fernmeldeeinrichtungen ---</t>
  </si>
  <si>
    <t>4812</t>
  </si>
  <si>
    <t>4812 drahtlose Telekommunikation</t>
  </si>
  <si>
    <t>4813</t>
  </si>
  <si>
    <t>4813 Telekommunikation (außer drahtlos)</t>
  </si>
  <si>
    <t>4822</t>
  </si>
  <si>
    <t>4822 Telegrafenverbindungen (drahtlos oder durch Draht)</t>
  </si>
  <si>
    <t>4832</t>
  </si>
  <si>
    <t>4832 Radiosendestationen</t>
  </si>
  <si>
    <t>4833</t>
  </si>
  <si>
    <t>4833 Fernsehsendestationen</t>
  </si>
  <si>
    <t>4841</t>
  </si>
  <si>
    <t>4841 Kabel- und Pay-TV</t>
  </si>
  <si>
    <t>4899</t>
  </si>
  <si>
    <t>4899 Sonstige Fernmeldedienste</t>
  </si>
  <si>
    <t>4900</t>
  </si>
  <si>
    <t>4900 --- Dienste auf dem Gebiet der Elektrizitäts-, Gas- u. sanitären Versorgung ---</t>
  </si>
  <si>
    <t>4911</t>
  </si>
  <si>
    <t>4911 Elektrizitätsgesellschaften u. -Systeme</t>
  </si>
  <si>
    <t>4922</t>
  </si>
  <si>
    <t>4922 Erdgasleitungen</t>
  </si>
  <si>
    <t>4923</t>
  </si>
  <si>
    <t>4923 Erdgasleitung u. -Verteilernetz</t>
  </si>
  <si>
    <t>4924</t>
  </si>
  <si>
    <t>4924 Erdgasverteilung</t>
  </si>
  <si>
    <t>4925</t>
  </si>
  <si>
    <t>4925 Erzeugung u. Verteilung von Misch-, Stadt- u. Flüssiggas</t>
  </si>
  <si>
    <t>4931</t>
  </si>
  <si>
    <t>4931 Elektrizitäts- u. andere öffentliche Versorgungsbetriebe</t>
  </si>
  <si>
    <t>4932</t>
  </si>
  <si>
    <t>4932 Gas- u. andere öffentliche Versorgungsbetriebe</t>
  </si>
  <si>
    <t>4939</t>
  </si>
  <si>
    <t>4939 Sonstige öffentliche Versorgungsdienste</t>
  </si>
  <si>
    <t>4941</t>
  </si>
  <si>
    <t>4941 Wasserversorgung</t>
  </si>
  <si>
    <t>4952</t>
  </si>
  <si>
    <t>4952 Abwassersysteme</t>
  </si>
  <si>
    <t>4953</t>
  </si>
  <si>
    <t>4953 Abfallbeseitigung</t>
  </si>
  <si>
    <t>4959</t>
  </si>
  <si>
    <t>4959 Sonstige öffentliche Sanitärdienste</t>
  </si>
  <si>
    <t>4961</t>
  </si>
  <si>
    <t>4961 Dampf- u. Klimaanlagen</t>
  </si>
  <si>
    <t>4971</t>
  </si>
  <si>
    <t>4971 Bewässerungssysteme, Wasserspeicher (Staubecken)</t>
  </si>
  <si>
    <t>50</t>
  </si>
  <si>
    <t>50 - 51 Großhandel</t>
  </si>
  <si>
    <t>5000</t>
  </si>
  <si>
    <t>5000 --- Großhandel; dauerhafte Güter, sowie Import- u. Exportgeschäfte ---</t>
  </si>
  <si>
    <t>5012</t>
  </si>
  <si>
    <t>5012 Kfz-Import und Export</t>
  </si>
  <si>
    <t>5013</t>
  </si>
  <si>
    <t>5013 Kfz-Ersatz- u. Zubehörteile</t>
  </si>
  <si>
    <t>5014</t>
  </si>
  <si>
    <t>5014 Reifen u. Schläuche</t>
  </si>
  <si>
    <t>5015</t>
  </si>
  <si>
    <t>5015 gebrauchte Kfz.-Teile</t>
  </si>
  <si>
    <t>5021</t>
  </si>
  <si>
    <t>5021 Möbel</t>
  </si>
  <si>
    <t>5023</t>
  </si>
  <si>
    <t>5023 Wohnungsausstattungen, Glaswaren, Teppiche, Bodenbeläge, Gardinen</t>
  </si>
  <si>
    <t>5031</t>
  </si>
  <si>
    <t>5031 Bau- u. Sperrholz, Spanplatten u. Bauschreinereiprodukte</t>
  </si>
  <si>
    <t>5032</t>
  </si>
  <si>
    <t>5032 Steine u. ähnliche Baumaterialien</t>
  </si>
  <si>
    <t>5033</t>
  </si>
  <si>
    <t>5033 Dachabdeckungen, Fassaden- u. Isolationsmaterial</t>
  </si>
  <si>
    <t>5039</t>
  </si>
  <si>
    <t>5039 Sonstiges Baumaterial, Flachglas, Steine</t>
  </si>
  <si>
    <t>5043</t>
  </si>
  <si>
    <t>5043 Fotoapparate und Zubehör</t>
  </si>
  <si>
    <t>5044</t>
  </si>
  <si>
    <t>5044 Büromaschinen</t>
  </si>
  <si>
    <t>5045</t>
  </si>
  <si>
    <t>5045 Computer, Computerzubehör u. Software</t>
  </si>
  <si>
    <t>5046</t>
  </si>
  <si>
    <t>5046 Sonstige Geschäftsausstattung</t>
  </si>
  <si>
    <t>5047</t>
  </si>
  <si>
    <t>5047 Ärztliche, Zahnärztliche u. Klinikgeräte und Bedarf</t>
  </si>
  <si>
    <t>5048</t>
  </si>
  <si>
    <t>5048 Augenoptikerbedarf</t>
  </si>
  <si>
    <t>5049</t>
  </si>
  <si>
    <t>5049 Sonstiger Berufsbedarf u. -ausrüstungen</t>
  </si>
  <si>
    <t>5051</t>
  </si>
  <si>
    <t>5051 Metallwaren, Röhren u. Stahlbehälter, Kugellager, Wälzlager</t>
  </si>
  <si>
    <t>5052</t>
  </si>
  <si>
    <t>5052 Eisenerz, Kohlen, Mineralien</t>
  </si>
  <si>
    <t>5063</t>
  </si>
  <si>
    <t>5063 Elektrische Apparate, Leitungen u. Elektrobauartikel, Motoren</t>
  </si>
  <si>
    <t>5064</t>
  </si>
  <si>
    <t>5064 Elektrische Apparate, Fernseh- u. Radiogeräte, Herde, Stereoanlagen</t>
  </si>
  <si>
    <t>5065</t>
  </si>
  <si>
    <t>5065 Sonstige elektronische Elemente u. Ausrüstung, Radioteile u. -Zubehör</t>
  </si>
  <si>
    <t>5072</t>
  </si>
  <si>
    <t>5072 Eisenwaren (allgemein), (Schrauben, Werkzeuge, Schneidwaren, Nägel usw.)</t>
  </si>
  <si>
    <t>5074</t>
  </si>
  <si>
    <t>5074 Klempnereibedarf, Heizungszubehör, Boiler</t>
  </si>
  <si>
    <t>5075</t>
  </si>
  <si>
    <t>5075 Warmluftheizungen u. Klimaanlagen</t>
  </si>
  <si>
    <t>5078</t>
  </si>
  <si>
    <t>5078 Kühlanlagen u. Zubehör</t>
  </si>
  <si>
    <t>5082</t>
  </si>
  <si>
    <t>5082 Bau- u. Bergbaumaschinen u. Ausrüstung</t>
  </si>
  <si>
    <t>5083</t>
  </si>
  <si>
    <t>5083 Landwirtschaftliche u. Gartenbaumaschinen u. Geräte</t>
  </si>
  <si>
    <t>5084</t>
  </si>
  <si>
    <t>5084 Industriemaschinen u. Ausrüstung, Pumpen, Gabelstapler, Farbspritzanlagen</t>
  </si>
  <si>
    <t>5085</t>
  </si>
  <si>
    <t>5085 Industriebedarf, Verpackungsmaterial, Druckfarben</t>
  </si>
  <si>
    <t>5087</t>
  </si>
  <si>
    <t>5087 Einrichtung u. Ausrüstung von Dienstleistungsunternehmen</t>
  </si>
  <si>
    <t>5088</t>
  </si>
  <si>
    <t>5088 Transportgeräte (allgemein), Schiffsausrüstungen, Flugzeuge u. -teile</t>
  </si>
  <si>
    <t>5091</t>
  </si>
  <si>
    <t>5091 Sport- u. Freizeitartikel</t>
  </si>
  <si>
    <t>5092</t>
  </si>
  <si>
    <t>5092 Spielwaren u. Hobbyartikel</t>
  </si>
  <si>
    <t>5093</t>
  </si>
  <si>
    <t>5093 Schrott u. Abfallmaterial</t>
  </si>
  <si>
    <t>5094</t>
  </si>
  <si>
    <t>5094 Schmuck, Uhren, Brillanten u. andere Edelsteine</t>
  </si>
  <si>
    <t>5099</t>
  </si>
  <si>
    <t>5099 Sonstige Gebrauchsgüter</t>
  </si>
  <si>
    <t>5100</t>
  </si>
  <si>
    <t>5100 --- Großhandel; Verbrauchsgüter, sowie Import- u. Exportgeschäfte ---</t>
  </si>
  <si>
    <t>5111</t>
  </si>
  <si>
    <t>5111 Druck- u. Schreibpapier</t>
  </si>
  <si>
    <t>5112</t>
  </si>
  <si>
    <t>5112 Schreibwaren u. Bürobedarf</t>
  </si>
  <si>
    <t>5113</t>
  </si>
  <si>
    <t>5113 Industrie- u. Haushaltspapier, Einweggeschirr, Pappe</t>
  </si>
  <si>
    <t>5122</t>
  </si>
  <si>
    <t>5122 Apothekerware, Pharmazeutika, Drogen, Drogeriewaren, Kosmetikartikel</t>
  </si>
  <si>
    <t>5131</t>
  </si>
  <si>
    <t>5131 Stoffe u. Kurzwaren</t>
  </si>
  <si>
    <t>5136</t>
  </si>
  <si>
    <t>5136 Herren- u. Knabenbekleidung u. Ausstattung</t>
  </si>
  <si>
    <t>5137</t>
  </si>
  <si>
    <t>5137 Damen-, Kinder- u. Babyausstattung</t>
  </si>
  <si>
    <t>5139</t>
  </si>
  <si>
    <t>5139 Fußbekleidung</t>
  </si>
  <si>
    <t>5141</t>
  </si>
  <si>
    <t>5141 Kolonialwaren, Lebensmittel, Gemischtwaren</t>
  </si>
  <si>
    <t>5142</t>
  </si>
  <si>
    <t>5142 Tiefkühlkost (abgepackt)</t>
  </si>
  <si>
    <t>5143</t>
  </si>
  <si>
    <t>5143 Molkereiprodukte (außer trocken u. Dosen)</t>
  </si>
  <si>
    <t>5144</t>
  </si>
  <si>
    <t>5144 Geflügel- u. Geflügelprodukte</t>
  </si>
  <si>
    <t>5145</t>
  </si>
  <si>
    <t>5145 Süßwaren, Nüsse, Kartoffelchips, Kaugummi</t>
  </si>
  <si>
    <t>5146</t>
  </si>
  <si>
    <t>5146 Fisch u. Schalentiere</t>
  </si>
  <si>
    <t>5147</t>
  </si>
  <si>
    <t>5147 Fleisch u. Fleischprodukte</t>
  </si>
  <si>
    <t>5148</t>
  </si>
  <si>
    <t>5148 Frischobst u. Gemüse</t>
  </si>
  <si>
    <t>5149</t>
  </si>
  <si>
    <t>5149 Sonstige Kolonialwaren u. verw. Artikel</t>
  </si>
  <si>
    <t>5153</t>
  </si>
  <si>
    <t>5153 Getreide u. Bohnen</t>
  </si>
  <si>
    <t>5154</t>
  </si>
  <si>
    <t>5154 Vieh</t>
  </si>
  <si>
    <t>5159</t>
  </si>
  <si>
    <t>5159 Sonstige landwirtschaftl. Produkte, Pelze u. Felle</t>
  </si>
  <si>
    <t>5162</t>
  </si>
  <si>
    <t>5162 Kunststoffgrundstoffe und -rohformen</t>
  </si>
  <si>
    <t>5169</t>
  </si>
  <si>
    <t>5169 Sonstige Chemikalien u. verw. Produkte</t>
  </si>
  <si>
    <t>5171</t>
  </si>
  <si>
    <t>5171 Erdölgroßvertriebsstellen u. Terminals</t>
  </si>
  <si>
    <t>5172</t>
  </si>
  <si>
    <t>5172 Erdöl u. Erdölprodukte, Heizöl, Rohöl, Petroleum, Benzin</t>
  </si>
  <si>
    <t>5181</t>
  </si>
  <si>
    <t>5181 Bier</t>
  </si>
  <si>
    <t>5182</t>
  </si>
  <si>
    <t>5182 Weine u. Spirituosen</t>
  </si>
  <si>
    <t>5191</t>
  </si>
  <si>
    <t>5191 Landwirtschaftliche Geräte, Kunstdünger, Samen usw.</t>
  </si>
  <si>
    <t>5192</t>
  </si>
  <si>
    <t>5192 Bücher, Zeitschriften, Zeitungen</t>
  </si>
  <si>
    <t>5193</t>
  </si>
  <si>
    <t>5193 Blumen, Floristenbedarf</t>
  </si>
  <si>
    <t>5194</t>
  </si>
  <si>
    <t>5194 Tabak u. Tabakprodukte</t>
  </si>
  <si>
    <t>5198</t>
  </si>
  <si>
    <t>5198 Farben, Lacke, Tapeten</t>
  </si>
  <si>
    <t>5199</t>
  </si>
  <si>
    <t>5199 Sonstige Verbrauchsgüter</t>
  </si>
  <si>
    <t>52</t>
  </si>
  <si>
    <t>52 - 59 Einzelhandel</t>
  </si>
  <si>
    <t>5200</t>
  </si>
  <si>
    <t>5200 --- Baumaterial-, Eisenwaren-, Gartengeräte-, Wohnmobile-Händler ---</t>
  </si>
  <si>
    <t>5211</t>
  </si>
  <si>
    <t>5211 Bauholz- u. Baumaterialhändler</t>
  </si>
  <si>
    <t>5231</t>
  </si>
  <si>
    <t>5231 Farben, Glas- u. Tapetengeschäfte</t>
  </si>
  <si>
    <t>5251</t>
  </si>
  <si>
    <t>5251 Eisenwaren</t>
  </si>
  <si>
    <t>5261</t>
  </si>
  <si>
    <t>5261 Gartengeräte, Gartenbedarf, Saaten, Baumschulen, Christbäume</t>
  </si>
  <si>
    <t>5271</t>
  </si>
  <si>
    <t>5271 Wohnmobile-Händler</t>
  </si>
  <si>
    <t>5300</t>
  </si>
  <si>
    <t>5300 --- Waren aller Art ---</t>
  </si>
  <si>
    <t>5311</t>
  </si>
  <si>
    <t>5311 Waren- und Kaufhäuser</t>
  </si>
  <si>
    <t>5331</t>
  </si>
  <si>
    <t>5331 Gemischtwarenhandel</t>
  </si>
  <si>
    <t>5399</t>
  </si>
  <si>
    <t>5399 Verschiedene Waren</t>
  </si>
  <si>
    <t>5400</t>
  </si>
  <si>
    <t>5400 --- Lebensmittelgeschäfte ---</t>
  </si>
  <si>
    <t>5411</t>
  </si>
  <si>
    <t>5411 Kolonialwaren, Lebensmittel, Delikatessen, Tiefkühlkost</t>
  </si>
  <si>
    <t>5421</t>
  </si>
  <si>
    <t>5421 Fleisch- u. Fischmärkte, einschl. Tiefkühlkost</t>
  </si>
  <si>
    <t>5431</t>
  </si>
  <si>
    <t>5431 Obst- u. Gemüsemarkt</t>
  </si>
  <si>
    <t>5441</t>
  </si>
  <si>
    <t>5441 Süßwarengeschäfte</t>
  </si>
  <si>
    <t>5451</t>
  </si>
  <si>
    <t>5451 Molkereiprodukte</t>
  </si>
  <si>
    <t>5461</t>
  </si>
  <si>
    <t>5461 Bäckereien mit Verkauf</t>
  </si>
  <si>
    <t>5499</t>
  </si>
  <si>
    <t>5499 Verschiedene Lebensmittelgeschäfte</t>
  </si>
  <si>
    <t>5500</t>
  </si>
  <si>
    <t>5500 --- Autohändler und Tankstellen ---</t>
  </si>
  <si>
    <t>5511</t>
  </si>
  <si>
    <t>5511 Autohändler (Neu- und Gebrauchtwagen)</t>
  </si>
  <si>
    <t>5521</t>
  </si>
  <si>
    <t>5521 Autohändler (Gebrauchtwagen)</t>
  </si>
  <si>
    <t>5531</t>
  </si>
  <si>
    <t>5531 Kfz-Zubehör, Autoradios etc.</t>
  </si>
  <si>
    <t>5541</t>
  </si>
  <si>
    <t>5541 Tankstellen</t>
  </si>
  <si>
    <t>5551</t>
  </si>
  <si>
    <t>5551 Bootshändler, Außenbordmotoren, Schiffsausrüstung</t>
  </si>
  <si>
    <t>5561</t>
  </si>
  <si>
    <t>5561 Händler für Wohnwagen u. andere Anhänger</t>
  </si>
  <si>
    <t>5571</t>
  </si>
  <si>
    <t>5571 Motorradhändler</t>
  </si>
  <si>
    <t>5599</t>
  </si>
  <si>
    <t>5599 Sonstige Fahrzeughändler, Schnee- u. Spielmobile</t>
  </si>
  <si>
    <t>5600</t>
  </si>
  <si>
    <t>5600 --- Bekleidung, Acessoires, Kurzwaren ---</t>
  </si>
  <si>
    <t>5611</t>
  </si>
  <si>
    <t>5611 Herren- u. Knabenausstattungsgeschäfte</t>
  </si>
  <si>
    <t>5621</t>
  </si>
  <si>
    <t>5621 Damen-Fertigkleidung</t>
  </si>
  <si>
    <t>5632</t>
  </si>
  <si>
    <t>5632 Damenkleidungs-Zubehör u. Spezialgeschäfte</t>
  </si>
  <si>
    <t>5641</t>
  </si>
  <si>
    <t>5641 Kinder- u. Babykleidung</t>
  </si>
  <si>
    <t>5651</t>
  </si>
  <si>
    <t>5651 Allgemeine Bekleidungsgeschäfte</t>
  </si>
  <si>
    <t>5661</t>
  </si>
  <si>
    <t>5661 Schuhgeschäfte</t>
  </si>
  <si>
    <t>5699</t>
  </si>
  <si>
    <t>5699 Verschiedene Bekleidungs- u. Kurzwarengeschäfte</t>
  </si>
  <si>
    <t>5700</t>
  </si>
  <si>
    <t>5700 --- Möbel, Wohnungseinrichtungen und -Ausstattungen ---</t>
  </si>
  <si>
    <t>5712</t>
  </si>
  <si>
    <t>5712 Möbelgeschäfte</t>
  </si>
  <si>
    <t>5713</t>
  </si>
  <si>
    <t>5713 Fußbodenbeläge, Teppiche</t>
  </si>
  <si>
    <t>5714</t>
  </si>
  <si>
    <t>5714 Gardinen, Vorhänge, Polstermöbel</t>
  </si>
  <si>
    <t>5719</t>
  </si>
  <si>
    <t>5719 Verschiedene Einrichtungsgegenstände, Geschirr</t>
  </si>
  <si>
    <t>5722</t>
  </si>
  <si>
    <t>5722 Haushaltsgeschäfte, Elektrogeräte, Nähmaschinen, Einbauküchen</t>
  </si>
  <si>
    <t>5731</t>
  </si>
  <si>
    <t>5731 Radio-, Fernseh-, Video-Geschäfte</t>
  </si>
  <si>
    <t>5734</t>
  </si>
  <si>
    <t>5734 Computer und Software-Handlungen</t>
  </si>
  <si>
    <t>5735</t>
  </si>
  <si>
    <t>5735 Schallplatten-, Cassetten-, CD- und Videokassetten-Läden</t>
  </si>
  <si>
    <t>5736</t>
  </si>
  <si>
    <t>5736 Musikinstrumentengeschäfte</t>
  </si>
  <si>
    <t>5800</t>
  </si>
  <si>
    <t>5800 --- Gaststätten und Lokale ---</t>
  </si>
  <si>
    <t>5812</t>
  </si>
  <si>
    <t>5812 Restaurants, Schnellimbiß usw.</t>
  </si>
  <si>
    <t>5813</t>
  </si>
  <si>
    <t>5813 Lokale, Bierhallen, Nachtclubs, Discotheken</t>
  </si>
  <si>
    <t>5900</t>
  </si>
  <si>
    <t>5900 --- Verschiedene Warengattungen ---</t>
  </si>
  <si>
    <t>5912</t>
  </si>
  <si>
    <t>5912 Drogerien, Apotheken</t>
  </si>
  <si>
    <t>5921</t>
  </si>
  <si>
    <t>5921 Spirituosenhandlungen</t>
  </si>
  <si>
    <t>5932</t>
  </si>
  <si>
    <t>5932 Gebrauchtwarengeschäfte, Antiquitäten, Second-Hand-Läden</t>
  </si>
  <si>
    <t>5941</t>
  </si>
  <si>
    <t>5941 Sport- u. Fahrradgeschäfte</t>
  </si>
  <si>
    <t>5942</t>
  </si>
  <si>
    <t>5942 Buchhandlungen</t>
  </si>
  <si>
    <t>5943</t>
  </si>
  <si>
    <t>5943 Schreibwarengeschäfte</t>
  </si>
  <si>
    <t>5944</t>
  </si>
  <si>
    <t>5944 Juwelierläden</t>
  </si>
  <si>
    <t>5945</t>
  </si>
  <si>
    <t>5945 Hobby- u. Spielwarengeschäfte</t>
  </si>
  <si>
    <t>5946</t>
  </si>
  <si>
    <t>5946 Fotogeschäfte</t>
  </si>
  <si>
    <t>5947</t>
  </si>
  <si>
    <t>5947 Geschenkartikel u. Souveniers</t>
  </si>
  <si>
    <t>5948</t>
  </si>
  <si>
    <t>5948 Taschen, Koffer, Lederwaren</t>
  </si>
  <si>
    <t>5949</t>
  </si>
  <si>
    <t>5949 Handarbeitsgeschäfte, Meterware (Stoffe)</t>
  </si>
  <si>
    <t>5961</t>
  </si>
  <si>
    <t>5961 Postversandhäuser</t>
  </si>
  <si>
    <t>5962</t>
  </si>
  <si>
    <t>5962 Verkaufsautomaten</t>
  </si>
  <si>
    <t>5963</t>
  </si>
  <si>
    <t>5963 Direktverkaufsgeschäfte</t>
  </si>
  <si>
    <t>5983</t>
  </si>
  <si>
    <t>5983 Heizölhändler</t>
  </si>
  <si>
    <t>5984</t>
  </si>
  <si>
    <t>5984 Flüssiggas (Flaschengas)</t>
  </si>
  <si>
    <t>5989</t>
  </si>
  <si>
    <t>5989 Sonstige Brennstoffhändler</t>
  </si>
  <si>
    <t>5992</t>
  </si>
  <si>
    <t>5992 Blumengeschäfte</t>
  </si>
  <si>
    <t>5993</t>
  </si>
  <si>
    <t>5993 Zigarrengeschäfte u. -Stände</t>
  </si>
  <si>
    <t>5994</t>
  </si>
  <si>
    <t>5994 Zeitungsgeschäfte u. -Stände</t>
  </si>
  <si>
    <t>5995</t>
  </si>
  <si>
    <t>5995 Optikergeschäfte</t>
  </si>
  <si>
    <t>5999</t>
  </si>
  <si>
    <t>5999 Verschiedene Warengattungen</t>
  </si>
  <si>
    <t>60</t>
  </si>
  <si>
    <t>60 - 67 Banken, Finanzinstitute und Versicherungen</t>
  </si>
  <si>
    <t>6000</t>
  </si>
  <si>
    <t>6000 --- Banken und Kreditinstitute ---</t>
  </si>
  <si>
    <t>6011</t>
  </si>
  <si>
    <t>6011 Zentral- u. Notenbanken</t>
  </si>
  <si>
    <t>6019</t>
  </si>
  <si>
    <t>6019 Sonstige Zentral-Kreditinstitute</t>
  </si>
  <si>
    <t>6021</t>
  </si>
  <si>
    <t>6021 Bundesbanken</t>
  </si>
  <si>
    <t>6022</t>
  </si>
  <si>
    <t>6022 Landesbanken</t>
  </si>
  <si>
    <t>6029</t>
  </si>
  <si>
    <t>6029 Sonstige Geschäftsbanken</t>
  </si>
  <si>
    <t>6035</t>
  </si>
  <si>
    <t>6035 Sparkassen mit Bundeslizenz</t>
  </si>
  <si>
    <t>6036</t>
  </si>
  <si>
    <t>6036 Sparkassen ohne Bundeslizenz</t>
  </si>
  <si>
    <t>6061</t>
  </si>
  <si>
    <t>6061 Kreditvereinigungen mit Bundeslizenz</t>
  </si>
  <si>
    <t>6062</t>
  </si>
  <si>
    <t>6062 Kreditvereinigungen ohne Bundeslizenz</t>
  </si>
  <si>
    <t>6081</t>
  </si>
  <si>
    <t>6081 Zweigstellen u. Vertretungen ausländischer Banken</t>
  </si>
  <si>
    <t>6082</t>
  </si>
  <si>
    <t>6082 Außenhandelsbanken</t>
  </si>
  <si>
    <t>6091</t>
  </si>
  <si>
    <t>6091 Trusts</t>
  </si>
  <si>
    <t>6099</t>
  </si>
  <si>
    <t>6099 Sonstige Anlagendienste</t>
  </si>
  <si>
    <t>6100</t>
  </si>
  <si>
    <t>6100 --- Kreditinstitute (andere als Banken) ---</t>
  </si>
  <si>
    <t>6111</t>
  </si>
  <si>
    <t>6111 Staatlich u. staatlich unterstützte Kreditinstitute</t>
  </si>
  <si>
    <t>6141</t>
  </si>
  <si>
    <t>6141 Verbraucherkreditagenturen</t>
  </si>
  <si>
    <t>6153</t>
  </si>
  <si>
    <t>6153 Institute für kurzfristige Geschäftskredite</t>
  </si>
  <si>
    <t>6159</t>
  </si>
  <si>
    <t>6159 Verschiedene Geschäfts-Kreditinstitute</t>
  </si>
  <si>
    <t>6162</t>
  </si>
  <si>
    <t>6162 Hypothekenbanken</t>
  </si>
  <si>
    <t>6163</t>
  </si>
  <si>
    <t>6163 Anleihe-Vermittler</t>
  </si>
  <si>
    <t>6200</t>
  </si>
  <si>
    <t>6200 --- Wertpapier- und Warenmakler, Händler, Börsen etc. ---</t>
  </si>
  <si>
    <t>6211</t>
  </si>
  <si>
    <t>6211 Wertpapiermakler, -händler u. Wertpapieremissionen</t>
  </si>
  <si>
    <t>6221</t>
  </si>
  <si>
    <t>6221 Warenmakler</t>
  </si>
  <si>
    <t>6231</t>
  </si>
  <si>
    <t>6231 Wertpapier- u. Warenbörsen</t>
  </si>
  <si>
    <t>6280</t>
  </si>
  <si>
    <t>6280 Dienstleistungen auf dem Gebiet des Wertpapier- u. Warenaustausches</t>
  </si>
  <si>
    <t>6282</t>
  </si>
  <si>
    <t>6282 Anlagenberatung</t>
  </si>
  <si>
    <t>6289</t>
  </si>
  <si>
    <t>6289 Sonstige Börsendienste</t>
  </si>
  <si>
    <t>6300</t>
  </si>
  <si>
    <t>6300 --- Versicherungsträger ---</t>
  </si>
  <si>
    <t>6311</t>
  </si>
  <si>
    <t>6311 Lebensversicherungen</t>
  </si>
  <si>
    <t>6321</t>
  </si>
  <si>
    <t>6321 Unfall- u. Krankenversicherungen</t>
  </si>
  <si>
    <t>6324</t>
  </si>
  <si>
    <t>6324 Krankenhaus-Zusatzversicherungen etc.</t>
  </si>
  <si>
    <t>6331</t>
  </si>
  <si>
    <t>6331 Feuer-, Seefahrts-, Sach- u. Arbeitsunfallversicherungen</t>
  </si>
  <si>
    <t>6351</t>
  </si>
  <si>
    <t>6351 Garantieträgerversicherungen, Kreditversicherungen</t>
  </si>
  <si>
    <t>6361</t>
  </si>
  <si>
    <t>6361 Titelversicherungen</t>
  </si>
  <si>
    <t>6371</t>
  </si>
  <si>
    <t>6371 Pensions-, Kranken- u. Wohlfahrtskassen</t>
  </si>
  <si>
    <t>6399</t>
  </si>
  <si>
    <t>6399 Sonstige Versicherungsträger</t>
  </si>
  <si>
    <t>6400</t>
  </si>
  <si>
    <t>6400 --- Versicherungsagenturen, Makler und Dienstleistungen ---</t>
  </si>
  <si>
    <t>6411</t>
  </si>
  <si>
    <t>6411 Versicherungsagenturen, Makler u. Dienstleistungen</t>
  </si>
  <si>
    <t>6500</t>
  </si>
  <si>
    <t>6500 --- Immobilien ---</t>
  </si>
  <si>
    <t>6512</t>
  </si>
  <si>
    <t>6512 Verwaltungen für Gebäude (keine W ohnhäuser)</t>
  </si>
  <si>
    <t>6513</t>
  </si>
  <si>
    <t>6513 Mietshausverwaltungen</t>
  </si>
  <si>
    <t>6514</t>
  </si>
  <si>
    <t>6514 Verwaltungen für Wohnungen außer Mietshäusern</t>
  </si>
  <si>
    <t>6515</t>
  </si>
  <si>
    <t>6515 Verwaltungen von Wohnwagenplätzen u. Campingplätzen</t>
  </si>
  <si>
    <t>6517</t>
  </si>
  <si>
    <t>6517 Verpachtung von Eisenbahngrundstücken</t>
  </si>
  <si>
    <t>6519</t>
  </si>
  <si>
    <t>6519 Sonstige Verpachter von Grundstücken</t>
  </si>
  <si>
    <t>6531</t>
  </si>
  <si>
    <t>6531 Immobilien-Agenten, Makler u. Verwalter</t>
  </si>
  <si>
    <t>6541</t>
  </si>
  <si>
    <t>6541 Grundbuchgesellschaften</t>
  </si>
  <si>
    <t>6552</t>
  </si>
  <si>
    <t>6552 Parzellierung u. Urbarmachung (außer Friedhöfen)</t>
  </si>
  <si>
    <t>6553</t>
  </si>
  <si>
    <t>6553 Friedhofsparzellierung</t>
  </si>
  <si>
    <t>6700</t>
  </si>
  <si>
    <t>6700 --- Holdings und andere Investmentgesellschaften ---</t>
  </si>
  <si>
    <t>6712</t>
  </si>
  <si>
    <t>6712 Bank-Holding-Gesellschaften</t>
  </si>
  <si>
    <t>6719</t>
  </si>
  <si>
    <t>6719 Sonstige Holding-Gesellschaften</t>
  </si>
  <si>
    <t>6722</t>
  </si>
  <si>
    <t>6722 Kapitalanlagegesellschaften (Investitionsgesellschaften) (open-end)</t>
  </si>
  <si>
    <t>6726</t>
  </si>
  <si>
    <t>6726 Sonstige Investmentgesellschaften</t>
  </si>
  <si>
    <t>6732</t>
  </si>
  <si>
    <t>6732 Kulturelle, religiöse u. Wohltätigkeitsstiftungen</t>
  </si>
  <si>
    <t>6733</t>
  </si>
  <si>
    <t>6733 Stiftungen außer kulturellen, religiösen u. wohltätigen</t>
  </si>
  <si>
    <t>6792</t>
  </si>
  <si>
    <t>6792 Ölbohr-Lizenzgesellschaften, Verwertung von entsprechenden Lizenzen</t>
  </si>
  <si>
    <t>6794</t>
  </si>
  <si>
    <t>6794 Patentinhaber und Lizenzgeber</t>
  </si>
  <si>
    <t>6798</t>
  </si>
  <si>
    <t>6798 Immobilien-Investment Trusts</t>
  </si>
  <si>
    <t>6799</t>
  </si>
  <si>
    <t>6799 Sonstige Investoren</t>
  </si>
  <si>
    <t>70</t>
  </si>
  <si>
    <t>70 - 79 Dienstleistung</t>
  </si>
  <si>
    <t>7000</t>
  </si>
  <si>
    <t>7000 --- Hotels, Pensionen, Campingplätze und andere Beherbergungsbetriebe ---</t>
  </si>
  <si>
    <t>7011</t>
  </si>
  <si>
    <t>7011 Hotels, Motels</t>
  </si>
  <si>
    <t>7021</t>
  </si>
  <si>
    <t>7021 Pensionen u. Fremdenheime</t>
  </si>
  <si>
    <t>7032</t>
  </si>
  <si>
    <t>7032 Sport- u. Erholungszentren</t>
  </si>
  <si>
    <t>7033</t>
  </si>
  <si>
    <t>7033 Campingplätze</t>
  </si>
  <si>
    <t>7041</t>
  </si>
  <si>
    <t>7041 Hotels, Beherbergungsbetriebe u. Wohnheime von Organisationen</t>
  </si>
  <si>
    <t>7200</t>
  </si>
  <si>
    <t>7200 --- Persönliche Dienstleistungen ---</t>
  </si>
  <si>
    <t>7211</t>
  </si>
  <si>
    <t>7211 Wäschereien (allgemein)</t>
  </si>
  <si>
    <t>7212</t>
  </si>
  <si>
    <t>7212 Büglereien und Agenten für Wäschereien und Reinigungen</t>
  </si>
  <si>
    <t>7213</t>
  </si>
  <si>
    <t>7213 Verleih von Leinen u. Wäsche</t>
  </si>
  <si>
    <t>7215</t>
  </si>
  <si>
    <t>7215 Automatenwäschereien, Münzwäschereien u. chem. Reinigungen</t>
  </si>
  <si>
    <t>7216</t>
  </si>
  <si>
    <t>7216 Chem. Reinigungsanlagen, außer Teppichreinigung</t>
  </si>
  <si>
    <t>7217</t>
  </si>
  <si>
    <t>7217 Teppich- u. Polsterreinigung</t>
  </si>
  <si>
    <t>7218</t>
  </si>
  <si>
    <t>7218 Industriewäschereien</t>
  </si>
  <si>
    <t>7219</t>
  </si>
  <si>
    <t>7219 Sonstige Wäscherei- u. Kleiderdienste</t>
  </si>
  <si>
    <t>7221</t>
  </si>
  <si>
    <t>7221 Fotostudios, Portraitaufnahmen</t>
  </si>
  <si>
    <t>7231</t>
  </si>
  <si>
    <t>7231 Coiffeure, Kosmetiksalons</t>
  </si>
  <si>
    <t>7241</t>
  </si>
  <si>
    <t>7241 Herrenfriseurgeschäfte</t>
  </si>
  <si>
    <t>7251</t>
  </si>
  <si>
    <t>7251 Schuhmachereien, Schuhputzbetrieb, Hutreinigungsanstalten</t>
  </si>
  <si>
    <t>7261</t>
  </si>
  <si>
    <t>7261 Beerdigungsinstitute u. Krematorien</t>
  </si>
  <si>
    <t>7291</t>
  </si>
  <si>
    <t>7291 Steuerberater</t>
  </si>
  <si>
    <t>7299</t>
  </si>
  <si>
    <t>7299 Verschiedene persönliche Dienstleistungen</t>
  </si>
  <si>
    <t>7300</t>
  </si>
  <si>
    <t>7300 --- Kommerzielle Dienstleistungen ---</t>
  </si>
  <si>
    <t>7311</t>
  </si>
  <si>
    <t>7311 Werbeagenturen</t>
  </si>
  <si>
    <t>7312</t>
  </si>
  <si>
    <t>7312 Außenwerbung, Straßenwerbung</t>
  </si>
  <si>
    <t>7313</t>
  </si>
  <si>
    <t>7313 Anzeigenakquisition, Vermittlung v. Rundfunk- u. Fernsehwerbung</t>
  </si>
  <si>
    <t>7319</t>
  </si>
  <si>
    <t>7319 Sonstige Werbung</t>
  </si>
  <si>
    <t>7322</t>
  </si>
  <si>
    <t>7322 Inkassodienste</t>
  </si>
  <si>
    <t>7323</t>
  </si>
  <si>
    <t>7323 Handels- u. Kreditauskunfteien</t>
  </si>
  <si>
    <t>7331</t>
  </si>
  <si>
    <t>7331 Direktmail- und Postwerbungsagenturen</t>
  </si>
  <si>
    <t>7334</t>
  </si>
  <si>
    <t>7334 Lichtpaus- u. Fotokopieranstalten</t>
  </si>
  <si>
    <t>7335</t>
  </si>
  <si>
    <t>7335 Industriefotografen</t>
  </si>
  <si>
    <t>7336</t>
  </si>
  <si>
    <t>7336 Werbegraphik</t>
  </si>
  <si>
    <t>7338</t>
  </si>
  <si>
    <t>7338 Sekretariats- u. Stenographendienste</t>
  </si>
  <si>
    <t>7342</t>
  </si>
  <si>
    <t>7342 Desinfektoren und Kammerjäger</t>
  </si>
  <si>
    <t>7349</t>
  </si>
  <si>
    <t>7349 Sonstige Hausreinigungs- u. Instandhaltungsdienste, Gebäudereinigung</t>
  </si>
  <si>
    <t>7352</t>
  </si>
  <si>
    <t>7352 Verleih und Leasing von medizinischen Geräten</t>
  </si>
  <si>
    <t>7353</t>
  </si>
  <si>
    <t>7353 Baumaschinen-Verleih und -Leasing</t>
  </si>
  <si>
    <t>7359</t>
  </si>
  <si>
    <t>7359 Sonstiger Verleih u. Leasing</t>
  </si>
  <si>
    <t>7361</t>
  </si>
  <si>
    <t>7361 Arbeitsämter, Arbeitsbeschaffungsstellen</t>
  </si>
  <si>
    <t>7363</t>
  </si>
  <si>
    <t>7363 Vermittlungsbüros für Aushilfskräfte</t>
  </si>
  <si>
    <t>7371</t>
  </si>
  <si>
    <t>7371 Programmierungsdienste für Computer etc.</t>
  </si>
  <si>
    <t>7372</t>
  </si>
  <si>
    <t>7372 Fertige Software</t>
  </si>
  <si>
    <t>7373</t>
  </si>
  <si>
    <t>7373 Systemanalyse und -entwicklung</t>
  </si>
  <si>
    <t>7374</t>
  </si>
  <si>
    <t>7374 Datenverarbeitungsdienste</t>
  </si>
  <si>
    <t>7375</t>
  </si>
  <si>
    <t>7375 Informationsbeschaffung</t>
  </si>
  <si>
    <t>7376</t>
  </si>
  <si>
    <t>7376 Management von Computerausrüstung</t>
  </si>
  <si>
    <t>7377</t>
  </si>
  <si>
    <t>7377 Vermietung und Leasing von Computern</t>
  </si>
  <si>
    <t>7378</t>
  </si>
  <si>
    <t>7378 Computerwartung und -reparatur</t>
  </si>
  <si>
    <t>7379</t>
  </si>
  <si>
    <t>7379 Sonstige Dienstleistungen auf dem Computersektor</t>
  </si>
  <si>
    <t>7381</t>
  </si>
  <si>
    <t>7381 Detektivbüros, Wach- u. Schutzdienste, gepanzerte Wagen</t>
  </si>
  <si>
    <t>7382</t>
  </si>
  <si>
    <t>7382 Alarmanlagen</t>
  </si>
  <si>
    <t>7383</t>
  </si>
  <si>
    <t>7383 Nachrichtendienste</t>
  </si>
  <si>
    <t>7384</t>
  </si>
  <si>
    <t>7384 Fotolabors</t>
  </si>
  <si>
    <t>7389</t>
  </si>
  <si>
    <t>7389 Sonstige gewerbliche Dienstleistungen</t>
  </si>
  <si>
    <t>7500</t>
  </si>
  <si>
    <t>7500 --- KFZ-Reparaturen, Wartung, Garagen ---</t>
  </si>
  <si>
    <t>7513</t>
  </si>
  <si>
    <t>7513 LKW-Vermietung ohne Fahrer</t>
  </si>
  <si>
    <t>7514</t>
  </si>
  <si>
    <t>7514 PKW-Vermietung</t>
  </si>
  <si>
    <t>7515</t>
  </si>
  <si>
    <t>7515 PKW-Leasing</t>
  </si>
  <si>
    <t>7519</t>
  </si>
  <si>
    <t>7519 Vermietung von Wohnwagen u. Anhängern</t>
  </si>
  <si>
    <t>7521</t>
  </si>
  <si>
    <t>7521 Parkplätze und Parkhäuser</t>
  </si>
  <si>
    <t>7532</t>
  </si>
  <si>
    <t>7532 Karosserie-Reparaturwerkstätten u. Autolackierereien</t>
  </si>
  <si>
    <t>7533</t>
  </si>
  <si>
    <t>7533 Auspuffreparaturwerkstätten</t>
  </si>
  <si>
    <t>7534</t>
  </si>
  <si>
    <t>7534 Reparatur und Runderneuerung von Autoreifen</t>
  </si>
  <si>
    <t>7536</t>
  </si>
  <si>
    <t>7536 Autoscheibendienste</t>
  </si>
  <si>
    <t>7537</t>
  </si>
  <si>
    <t>7537 Getriebewerkstätten</t>
  </si>
  <si>
    <t>7538</t>
  </si>
  <si>
    <t>7538 Allgemeine KFZ-Reparaturwerkstätten</t>
  </si>
  <si>
    <t>7539</t>
  </si>
  <si>
    <t>7539 Sonstige KFZ-Reparaturwerkstätten</t>
  </si>
  <si>
    <t>7542</t>
  </si>
  <si>
    <t>7542 Autowaschanlagen</t>
  </si>
  <si>
    <t>7549</t>
  </si>
  <si>
    <t>7549 Sonstige KFZ-Dienstleistungen außer Reparatur u. Wagenwaschen</t>
  </si>
  <si>
    <t>7600</t>
  </si>
  <si>
    <t>7600 --- Verschiedene Reparaturdienste ---</t>
  </si>
  <si>
    <t>7622</t>
  </si>
  <si>
    <t>7622 Reparatur von Radio- u. Fernsehgeräten</t>
  </si>
  <si>
    <t>7623</t>
  </si>
  <si>
    <t>7623 Reparatur u. Wartung von Kühl- u. Klimaanlagen</t>
  </si>
  <si>
    <t>7629</t>
  </si>
  <si>
    <t>7629 Reparatur von elektr. u. elektron. Anlagen</t>
  </si>
  <si>
    <t>7631</t>
  </si>
  <si>
    <t>7631 Reparatur von Uhren u. Schmuck</t>
  </si>
  <si>
    <t>7641</t>
  </si>
  <si>
    <t>7641 Reparatur von Möbeln u. Polstermöbeln</t>
  </si>
  <si>
    <t>7692</t>
  </si>
  <si>
    <t>7692 Schweißreparaturen, Schweißwerkstätten</t>
  </si>
  <si>
    <t>7694</t>
  </si>
  <si>
    <t>7694 Reparatur u. Ausbohrung von Elektroarmaturen</t>
  </si>
  <si>
    <t>7699</t>
  </si>
  <si>
    <t>7699 Sonstige Reparaturwerkstätten u. verwandte Anlagen</t>
  </si>
  <si>
    <t>7800</t>
  </si>
  <si>
    <t>7800 --- Filmproduktion ---</t>
  </si>
  <si>
    <t>7812</t>
  </si>
  <si>
    <t>7812 Film- und Video-Produktion</t>
  </si>
  <si>
    <t>7819</t>
  </si>
  <si>
    <t>7819 Dienstleistungen auf dem Gebiet der Spielfilmproduktion</t>
  </si>
  <si>
    <t>7822</t>
  </si>
  <si>
    <t>7822 Vertrieb von Filmen u. Videos</t>
  </si>
  <si>
    <t>7829</t>
  </si>
  <si>
    <t>7829 Dienstleistungen auf dem Gebiet des Spielfilmvertriebs</t>
  </si>
  <si>
    <t>7832</t>
  </si>
  <si>
    <t>7832 Filmtheater, außer Drive-In-Kinos</t>
  </si>
  <si>
    <t>7833</t>
  </si>
  <si>
    <t>7833 Drive-In (Autokinos)</t>
  </si>
  <si>
    <t>7841</t>
  </si>
  <si>
    <t>7841 Video-Verleih</t>
  </si>
  <si>
    <t>7900</t>
  </si>
  <si>
    <t>7900 --- Vergnügungs- und Erholungsstätten ---</t>
  </si>
  <si>
    <t>7911</t>
  </si>
  <si>
    <t>7911 Tanzsäle, Tanzschulen</t>
  </si>
  <si>
    <t>7922</t>
  </si>
  <si>
    <t>7922 Theaterproduzenten (außer Film) u. verschiedene Theaterdienste</t>
  </si>
  <si>
    <t>7929</t>
  </si>
  <si>
    <t>7929 Kapellen, Orchester, Schauspieler u. andere Unterhalter</t>
  </si>
  <si>
    <t>7932</t>
  </si>
  <si>
    <t>7932 Billardsäle</t>
  </si>
  <si>
    <t>7933</t>
  </si>
  <si>
    <t>7933 Bowlinganlagen, Kegelbahnen</t>
  </si>
  <si>
    <t>7941</t>
  </si>
  <si>
    <t>7941 Berufssportclubs u. Promoter</t>
  </si>
  <si>
    <t>7948</t>
  </si>
  <si>
    <t>7948 Rennbahnen einschl. Instandhaltung</t>
  </si>
  <si>
    <t>7991</t>
  </si>
  <si>
    <t>7991 Fitnessstudios</t>
  </si>
  <si>
    <t>7992</t>
  </si>
  <si>
    <t>7992 Öffentliche Golfplätze</t>
  </si>
  <si>
    <t>7993</t>
  </si>
  <si>
    <t>7993 Spielsalons m. Münzautomaten</t>
  </si>
  <si>
    <t>7996</t>
  </si>
  <si>
    <t>7996 Vergnügungsparks</t>
  </si>
  <si>
    <t>7997</t>
  </si>
  <si>
    <t>7997 Sport- u. Spielvereine</t>
  </si>
  <si>
    <t>7999</t>
  </si>
  <si>
    <t>7999 Sonstige Vergnügungs- u. Erholungsanlagen</t>
  </si>
  <si>
    <t>80</t>
  </si>
  <si>
    <t>80 - 99 Ämter, Behörden und Verbände</t>
  </si>
  <si>
    <t>8000</t>
  </si>
  <si>
    <t>8000 --- Gesundheitsdienste ---</t>
  </si>
  <si>
    <t>8011</t>
  </si>
  <si>
    <t>8011 Arztpraxen (ohne Kliniken)</t>
  </si>
  <si>
    <t>8021</t>
  </si>
  <si>
    <t>8021 Zahnärzte</t>
  </si>
  <si>
    <t>8031</t>
  </si>
  <si>
    <t>8031 Osteopathische Fachärzte</t>
  </si>
  <si>
    <t>8041</t>
  </si>
  <si>
    <t>8041 Chiropraktiker</t>
  </si>
  <si>
    <t>8042</t>
  </si>
  <si>
    <t>8042 Augenärzte</t>
  </si>
  <si>
    <t>8043</t>
  </si>
  <si>
    <t>8043 Fußärzte</t>
  </si>
  <si>
    <t>8049</t>
  </si>
  <si>
    <t>8049 Sonstige Heilpraktiker</t>
  </si>
  <si>
    <t>8051</t>
  </si>
  <si>
    <t>8051 Pflegeeinrichtungen</t>
  </si>
  <si>
    <t>8052</t>
  </si>
  <si>
    <t>8052 Übergangspflegeeinrichtungen</t>
  </si>
  <si>
    <t>8059</t>
  </si>
  <si>
    <t>8059 Sonstige Pflegeheime</t>
  </si>
  <si>
    <t>8062</t>
  </si>
  <si>
    <t>8062 Allgemeine Krankenhäuser</t>
  </si>
  <si>
    <t>8063</t>
  </si>
  <si>
    <t>8063 Psychiatrische Kliniken</t>
  </si>
  <si>
    <t>8069</t>
  </si>
  <si>
    <t>8069 Spezial- und Kinderkliniken (außer Psychiatrie)</t>
  </si>
  <si>
    <t>8071</t>
  </si>
  <si>
    <t>8071 Medizinische Laboratorien</t>
  </si>
  <si>
    <t>8072</t>
  </si>
  <si>
    <t>8072 Zahntechnische Labors</t>
  </si>
  <si>
    <t>8082</t>
  </si>
  <si>
    <t>8082 Heimpflegedienste</t>
  </si>
  <si>
    <t>8092</t>
  </si>
  <si>
    <t>8092 Dialysezentren</t>
  </si>
  <si>
    <t>8093</t>
  </si>
  <si>
    <t>8093 Sonstige ambulante ärztliche Versorgung</t>
  </si>
  <si>
    <t>8099</t>
  </si>
  <si>
    <t>8099 Sonstige Gesundheits- u. verw. Dienstleistungen</t>
  </si>
  <si>
    <t>8100</t>
  </si>
  <si>
    <t>8100 --- Juristische Dienstleistungen ---</t>
  </si>
  <si>
    <t>8111</t>
  </si>
  <si>
    <t>8111 Juristische Dienstleistungen</t>
  </si>
  <si>
    <t>8200</t>
  </si>
  <si>
    <t>8200 --- Bildungswesen ---</t>
  </si>
  <si>
    <t>8211</t>
  </si>
  <si>
    <t>8211 Internate, Kindergärten, Grund- u. Hauptschulen, höhere Schulen</t>
  </si>
  <si>
    <t>8221</t>
  </si>
  <si>
    <t>8221 Universitäten u. Hochschulen</t>
  </si>
  <si>
    <t>8222</t>
  </si>
  <si>
    <t>8222 Progymnasien u. techn. Fachschulen, Fachhochschulen</t>
  </si>
  <si>
    <t>8231</t>
  </si>
  <si>
    <t>8231 Bibliotheken u. Informationszentren</t>
  </si>
  <si>
    <t>8243</t>
  </si>
  <si>
    <t>8243 Schulen für Datenverarbeitung</t>
  </si>
  <si>
    <t>8244</t>
  </si>
  <si>
    <t>8244 Wirtschaftsfach- u. Sekretärinnenschulen, Handelsschulen</t>
  </si>
  <si>
    <t>8249</t>
  </si>
  <si>
    <t>8249 Berufsschulen außer Fachoberschulen</t>
  </si>
  <si>
    <t>8299</t>
  </si>
  <si>
    <t>8299 Sonstige Schulen u. Ausbildungsstätten</t>
  </si>
  <si>
    <t>8300</t>
  </si>
  <si>
    <t>8300 --- Soziale Einrichtungen ---</t>
  </si>
  <si>
    <t>8322</t>
  </si>
  <si>
    <t>8322 Soziale Einrichtungen f. Alleinstehende u. Familien</t>
  </si>
  <si>
    <t>8331</t>
  </si>
  <si>
    <t>8331 Berufstraining u. berufliche Wiedereingliederung</t>
  </si>
  <si>
    <t>8351</t>
  </si>
  <si>
    <t>8351 Kindertagesstätten</t>
  </si>
  <si>
    <t>8361</t>
  </si>
  <si>
    <t>8361 Alters-, Pflege- u. Kinderheime, Kinderdörfer</t>
  </si>
  <si>
    <t>8399</t>
  </si>
  <si>
    <t>8399 Sonstige soziale Einrichtungen</t>
  </si>
  <si>
    <t>8400</t>
  </si>
  <si>
    <t>8400 --- Museen, Galerien, botanische und zoologische Gärten ---</t>
  </si>
  <si>
    <t>8412</t>
  </si>
  <si>
    <t>8412 Museen u. Galerien</t>
  </si>
  <si>
    <t>8422</t>
  </si>
  <si>
    <t>8422 Botanische und Zoologische Gärten</t>
  </si>
  <si>
    <t>8600</t>
  </si>
  <si>
    <t>8600 --- Vereine, Verbände, gemeinnützige Organisationen ---</t>
  </si>
  <si>
    <t>8611</t>
  </si>
  <si>
    <t>8611 Fachverbände</t>
  </si>
  <si>
    <t>8621</t>
  </si>
  <si>
    <t>8621 Berufsverbände</t>
  </si>
  <si>
    <t>8631</t>
  </si>
  <si>
    <t>8631 Gewerkschaften u. Arbeiterverbände</t>
  </si>
  <si>
    <t>8641</t>
  </si>
  <si>
    <t>8641 Vereine</t>
  </si>
  <si>
    <t>8651</t>
  </si>
  <si>
    <t>8651 Politische Organisationen</t>
  </si>
  <si>
    <t>8661</t>
  </si>
  <si>
    <t>8661 Religionsgemeinschaften</t>
  </si>
  <si>
    <t>8699</t>
  </si>
  <si>
    <t>8699 Sonstige Vereine u. Verbände</t>
  </si>
  <si>
    <t>8700</t>
  </si>
  <si>
    <t>8700 --- Technische u. Management-Dienste ---</t>
  </si>
  <si>
    <t>8711</t>
  </si>
  <si>
    <t>8711 Technische Dienste</t>
  </si>
  <si>
    <t>8712</t>
  </si>
  <si>
    <t>8712 Architektendienste</t>
  </si>
  <si>
    <t>8713</t>
  </si>
  <si>
    <t>8713 Überwachungsdienste</t>
  </si>
  <si>
    <t>8721</t>
  </si>
  <si>
    <t>8721 Buchhaltungs-, Wirtschafts- u. Steuerprüfungsbüros</t>
  </si>
  <si>
    <t>8731</t>
  </si>
  <si>
    <t>8731 Gewerbliche physikalische u. biologische Forschungseinrichtungen</t>
  </si>
  <si>
    <t>8732</t>
  </si>
  <si>
    <t>8732 Gewerbliche ökonomische, soziologische und pädagogische Forschungseinr.</t>
  </si>
  <si>
    <t>8733</t>
  </si>
  <si>
    <t>8733 Nichtkommerzielle Forschungseinrichtungen</t>
  </si>
  <si>
    <t>8734</t>
  </si>
  <si>
    <t>8734 Prüflabors</t>
  </si>
  <si>
    <t>8741</t>
  </si>
  <si>
    <t>8741 Management-Dienste</t>
  </si>
  <si>
    <t>8742</t>
  </si>
  <si>
    <t>8742 Unternehmensberatung</t>
  </si>
  <si>
    <t>8743</t>
  </si>
  <si>
    <t>8743 Public relations Dienste</t>
  </si>
  <si>
    <t>8744</t>
  </si>
  <si>
    <t>8744 Management-Hilfsdienste</t>
  </si>
  <si>
    <t>8748</t>
  </si>
  <si>
    <t>8748 Sonstige Beratungsdienste</t>
  </si>
  <si>
    <t>8800</t>
  </si>
  <si>
    <t>8800 --- Privathaushalte ---</t>
  </si>
  <si>
    <t>8811</t>
  </si>
  <si>
    <t>8811 Privathaushalte</t>
  </si>
  <si>
    <t>8900</t>
  </si>
  <si>
    <t>8900 --- Sonstige Dienstleistungen ---</t>
  </si>
  <si>
    <t>8999</t>
  </si>
  <si>
    <t>8999 Sonstige Dienstleistungen</t>
  </si>
  <si>
    <t>9100</t>
  </si>
  <si>
    <t>9100 --- Öffentliche Ämter und Dienste ---</t>
  </si>
  <si>
    <t>9111</t>
  </si>
  <si>
    <t>9111 Regierungsstellen (lokal, Land, Staat)</t>
  </si>
  <si>
    <t>9121</t>
  </si>
  <si>
    <t>9121 Gesetzgeber</t>
  </si>
  <si>
    <t>9131</t>
  </si>
  <si>
    <t>9131 Körperschaften u. Ämter (Legislative, Exekutive)</t>
  </si>
  <si>
    <t>9199</t>
  </si>
  <si>
    <t>9199 Sonstige Regierungsstellen</t>
  </si>
  <si>
    <t>9200</t>
  </si>
  <si>
    <t>9200 --- Justiz, öffentliche Sicherheit u. Ordnung ---</t>
  </si>
  <si>
    <t>9211</t>
  </si>
  <si>
    <t>9211 Gerichte (Amts- und Arbeitsgerichte)</t>
  </si>
  <si>
    <t>9221</t>
  </si>
  <si>
    <t>9221 Polizeiwesen</t>
  </si>
  <si>
    <t>9222</t>
  </si>
  <si>
    <t>9222 Rechtsberatung u. Strafverfolgung</t>
  </si>
  <si>
    <t>9223</t>
  </si>
  <si>
    <t>9223 Gefängnisse, Justizvollzugseinrichtungen</t>
  </si>
  <si>
    <t>9224</t>
  </si>
  <si>
    <t>9224 Feuerwehren</t>
  </si>
  <si>
    <t>9229</t>
  </si>
  <si>
    <t>9229 Sonstige Behörden für öffentl. Ordnung u. Sicherheit</t>
  </si>
  <si>
    <t>9300</t>
  </si>
  <si>
    <t>9300 --- Öffentliche Finanzen u. Steuern ---</t>
  </si>
  <si>
    <t>9311</t>
  </si>
  <si>
    <t>9311 Steuer- u. Finanzverwaltung, Geld-, Kredit- u. Währungspolitik</t>
  </si>
  <si>
    <t>9400</t>
  </si>
  <si>
    <t>9400 --- Soziales ---</t>
  </si>
  <si>
    <t>9411</t>
  </si>
  <si>
    <t>9411 Verwaltung des Bildungswesens</t>
  </si>
  <si>
    <t>9431</t>
  </si>
  <si>
    <t>9431 Verwaltung des öffentl. Gesundheitswesens</t>
  </si>
  <si>
    <t>9441</t>
  </si>
  <si>
    <t>9441 Sozial- u. Arbeitsämter u. Verwaltungen</t>
  </si>
  <si>
    <t>9500</t>
  </si>
  <si>
    <t>9500 --- Umweltschutz u. Wohnungsbau ---</t>
  </si>
  <si>
    <t>9511</t>
  </si>
  <si>
    <t>9511 Beseitigung u. Entsorgung v. Abfallstoffen (Umweltschutz)</t>
  </si>
  <si>
    <t>9512</t>
  </si>
  <si>
    <t>9512 Landschafts-, Boden- u. Naturschutz</t>
  </si>
  <si>
    <t>9531</t>
  </si>
  <si>
    <t>9531 Wohnungswesen, Wohnungsbauprogramme</t>
  </si>
  <si>
    <t>9532</t>
  </si>
  <si>
    <t>9532 Stadtentwicklung, Städtebau</t>
  </si>
  <si>
    <t>9600</t>
  </si>
  <si>
    <t>9600 --- Wirtschaft ---</t>
  </si>
  <si>
    <t>9611</t>
  </si>
  <si>
    <t>9611 Wirtschaftsförderung</t>
  </si>
  <si>
    <t>9621</t>
  </si>
  <si>
    <t>9621 Verkehrswesen</t>
  </si>
  <si>
    <t>9631</t>
  </si>
  <si>
    <t>9631 Verwaltung u. Beaufsichtigung öffentlicher Versorgungsbetriebe</t>
  </si>
  <si>
    <t>9641</t>
  </si>
  <si>
    <t>9641 Landwirtschaftsverwaltung</t>
  </si>
  <si>
    <t>9651</t>
  </si>
  <si>
    <t>9651 Aufsicht und Förderung einzelner Wirtschaftsbereiche</t>
  </si>
  <si>
    <t>9661</t>
  </si>
  <si>
    <t>9661 Raumfahrt</t>
  </si>
  <si>
    <t>9700</t>
  </si>
  <si>
    <t>9700 --- Nationale Sicherheit u. internationale Belange ---</t>
  </si>
  <si>
    <t>9711</t>
  </si>
  <si>
    <t>9711 Nationale Sicherheit (Bundesgrenzschutz usw.)</t>
  </si>
  <si>
    <t>9721</t>
  </si>
  <si>
    <t>9721 Außenpolitik</t>
  </si>
  <si>
    <t>9900</t>
  </si>
  <si>
    <t>9900 --- Nicht klassifizierbare Einrichtungen ---</t>
  </si>
  <si>
    <t>9999</t>
  </si>
  <si>
    <t>9999 Nicht klassifizierbare Einrichtungen</t>
  </si>
  <si>
    <t>Vorgeschlagene Deckungssummen</t>
  </si>
  <si>
    <t>Input:</t>
  </si>
  <si>
    <t>LegalForm</t>
  </si>
  <si>
    <t>BusinessCode</t>
  </si>
  <si>
    <t>StartupRevenue</t>
  </si>
  <si>
    <t>NonStartupRevenue</t>
  </si>
  <si>
    <t>ClubRevenue</t>
  </si>
  <si>
    <t>Turnover</t>
  </si>
  <si>
    <t>Calculated Limits</t>
  </si>
  <si>
    <t>Limit1</t>
  </si>
  <si>
    <t>Limit2</t>
  </si>
  <si>
    <t>Limit3</t>
  </si>
  <si>
    <t>Possible Limits (in any tariff)</t>
  </si>
  <si>
    <t>Delta L1</t>
  </si>
  <si>
    <t>Delta L2</t>
  </si>
  <si>
    <t>Delta L3</t>
  </si>
  <si>
    <t>Limit</t>
  </si>
  <si>
    <t>AIG Facility</t>
  </si>
  <si>
    <t>Berkley</t>
  </si>
  <si>
    <t>AXA</t>
  </si>
  <si>
    <t>Output:</t>
  </si>
  <si>
    <t>Anzahl Referrals</t>
  </si>
  <si>
    <t>Zu- / Abschläge</t>
  </si>
  <si>
    <t>Philipp Thier</t>
  </si>
  <si>
    <t>Grobindikation</t>
  </si>
  <si>
    <t>Angebotsindikation</t>
  </si>
  <si>
    <t>DUAL</t>
  </si>
  <si>
    <t>Newline</t>
  </si>
  <si>
    <t>WVAG</t>
  </si>
  <si>
    <t>Struktur für Testfälle</t>
  </si>
  <si>
    <t>Nr: Frage</t>
  </si>
  <si>
    <t>Fragebogen / Tasks</t>
  </si>
  <si>
    <t>Frage</t>
  </si>
  <si>
    <t>Folgefrage</t>
  </si>
  <si>
    <t>Hilfsspalte 1 für zusätzliche Berechnungen</t>
  </si>
  <si>
    <t>DigPos- 
 ODER 
Testfall-Daten</t>
  </si>
  <si>
    <t>Mögliche Antwort-Optionen</t>
  </si>
  <si>
    <t>Zellen-Name für DigPos-Input</t>
  </si>
  <si>
    <t>Hilfsspalte 2 für zusätzliche Berechnungen</t>
  </si>
  <si>
    <t>Dunkelverarbeitung / Referral / KO</t>
  </si>
  <si>
    <t>Refferal Triggers</t>
  </si>
  <si>
    <t>KO Triggers</t>
  </si>
  <si>
    <t>Zu- und Abschläge</t>
  </si>
  <si>
    <t>Klauseln</t>
  </si>
  <si>
    <t>Limit für DS</t>
  </si>
  <si>
    <t>Fachliche Beschreibung 
der Referralgründe</t>
  </si>
  <si>
    <t>Referral</t>
  </si>
  <si>
    <t>KO</t>
  </si>
  <si>
    <t xml:space="preserve">Risikofragen
</t>
  </si>
  <si>
    <t>Stamm-Daten1</t>
  </si>
  <si>
    <t>Stamm-Daten</t>
  </si>
  <si>
    <t>Name</t>
  </si>
  <si>
    <t>Text</t>
  </si>
  <si>
    <t>StammDaten2</t>
  </si>
  <si>
    <t>StammDaten</t>
  </si>
  <si>
    <t xml:space="preserve">Rechtsform </t>
  </si>
  <si>
    <t>Siehe Listen-Daten DigPos</t>
  </si>
  <si>
    <t>giLegalForm</t>
  </si>
  <si>
    <t>Trigger</t>
  </si>
  <si>
    <t>Rechtsform</t>
  </si>
  <si>
    <t>StammDaten10</t>
  </si>
  <si>
    <t>Rechtsform - Klarname</t>
  </si>
  <si>
    <t>StammDaten901</t>
  </si>
  <si>
    <t>Gemeinnützigkeit?</t>
  </si>
  <si>
    <t>yes / no</t>
  </si>
  <si>
    <t>RisikoFragen127</t>
  </si>
  <si>
    <t>RisikoFragen</t>
  </si>
  <si>
    <t>Wie hoch war die Bilanzsumme / das Vereinsvermögen (nur für Vereine)?</t>
  </si>
  <si>
    <t>Zahlen</t>
  </si>
  <si>
    <t>giClubRevenue</t>
  </si>
  <si>
    <t>Hohe Bilanzsumme bzw. Vereinsvermöge</t>
  </si>
  <si>
    <t>RisikoFragenVereine103</t>
  </si>
  <si>
    <t>RisikoFragenVereine</t>
  </si>
  <si>
    <t>Betreibt die VN unmittelbar oder mittelbar durch abhängige Unternehmen lizenzabhängigen Profisport in den dazu geschaffenen Sportverbandsystem?</t>
  </si>
  <si>
    <t>Profisport</t>
  </si>
  <si>
    <t>RisikoFragen11</t>
  </si>
  <si>
    <t>Branche</t>
  </si>
  <si>
    <t>giBusinessCode</t>
  </si>
  <si>
    <t>???</t>
  </si>
  <si>
    <t>RisikoFragen2</t>
  </si>
  <si>
    <t>Branche - Klarname</t>
  </si>
  <si>
    <t>RisikoFragen9</t>
  </si>
  <si>
    <t>Ist die Gesellschaft länger als 2 Jahre ohne Unterbrechung tätig?</t>
  </si>
  <si>
    <t>STARTUP / NOSTARTUP</t>
  </si>
  <si>
    <t>Junges Unternehmen / Startup</t>
  </si>
  <si>
    <t>StammDaten3</t>
  </si>
  <si>
    <t>Land</t>
  </si>
  <si>
    <t>Land der Versicherungsnehmerin</t>
  </si>
  <si>
    <t>Stamm-Daten4</t>
  </si>
  <si>
    <t>Strasse</t>
  </si>
  <si>
    <t>Stamm-Daten5</t>
  </si>
  <si>
    <t>PLZ</t>
  </si>
  <si>
    <t>Stamm-Daten6</t>
  </si>
  <si>
    <t>Stadt</t>
  </si>
  <si>
    <t>RisikoFragen7</t>
  </si>
  <si>
    <t>Internet (webadresse)</t>
  </si>
  <si>
    <t>RisikoFragen8</t>
  </si>
  <si>
    <t>Jahresabschluss Online?</t>
  </si>
  <si>
    <t>RisikoFragen0a</t>
  </si>
  <si>
    <t>Gewünschter Policen Beginn</t>
  </si>
  <si>
    <t>Datum</t>
  </si>
  <si>
    <t>Policenbeginn</t>
  </si>
  <si>
    <t>RisikoFragen0b</t>
  </si>
  <si>
    <t>Gewünschtes Policen Ende</t>
  </si>
  <si>
    <t>Policenende bzw. Laufzeit</t>
  </si>
  <si>
    <t>RisikoFragen0c</t>
  </si>
  <si>
    <t>Deckungssumme (1)</t>
  </si>
  <si>
    <t>giLimit1</t>
  </si>
  <si>
    <t>Trigger
--&gt; siehe Sterne Rechner Angebot</t>
  </si>
  <si>
    <t>RisikoFragen0d</t>
  </si>
  <si>
    <t>Deckungssumme (2)</t>
  </si>
  <si>
    <t>giLimit2</t>
  </si>
  <si>
    <t>RisikoFragen0e</t>
  </si>
  <si>
    <t>Deckungssumme (3)</t>
  </si>
  <si>
    <t>giLimit3</t>
  </si>
  <si>
    <t>RisikoFragen18</t>
  </si>
  <si>
    <t>Sind dem Unterzeichner Pflichtverletzungen bekannt, die zu einer Inanspruchnahme der gewünschten Deckung führen können? Wenn ja, bitte Einzelheiten angeben.</t>
  </si>
  <si>
    <t>Dem Unterzeichner sind Pflichtverletzungen bekannt, die zu einer Inanspruchnahme der gewünschten Deckung führen können.</t>
  </si>
  <si>
    <t>RisikoFragen19</t>
  </si>
  <si>
    <t>Sind in der Vergangenheit Ansprüche gestellt worden, die unter die gewünschte Deckung fallen könnten? Wenn ja, bitte Einzelheiten angeben.</t>
  </si>
  <si>
    <t>In der Vergangenheit sind Ansprüche gestellt worden, die unter die gewünschte Deckung fallen könnten.</t>
  </si>
  <si>
    <t>RisikoFragen20</t>
  </si>
  <si>
    <t>Wurden in den vergangenen drei Jahren geschäftsführende Organmitglieder im Streit abberufen? Wenn ja, bitte Einzelheiten angeben.</t>
  </si>
  <si>
    <t>In den vergangenen drei Jahren wurden geschäftsführende Organmitglieder im Streit abberufen.</t>
  </si>
  <si>
    <t>RisikoFragen21a</t>
  </si>
  <si>
    <t>Wurde die VN innerhalb der vergangenen drei Jahre neu beherrscht?
Wenn ja, bitte Einzelheiten und Datum der Neuberrschung angeben.</t>
  </si>
  <si>
    <t>Die Versicherungsnehmerin wurde innerhalb der vergangenen drei Jahre neu beherrscht.</t>
  </si>
  <si>
    <t>RisikoFragen21b</t>
  </si>
  <si>
    <t>Folgefrage:</t>
  </si>
  <si>
    <t>Ab wann wurde die VN neu beherrscht?</t>
  </si>
  <si>
    <t>Neubeherrschung</t>
  </si>
  <si>
    <t>RisikoFragen22</t>
  </si>
  <si>
    <t>Wurde innerhalb der vergangenen drei Jahre die Kapitalstruktur der VN geändert? 
Wenn ja, bitte Einzelheiten angeben.</t>
  </si>
  <si>
    <t>Innerhalb der vergangenen drei Jahre wurde die Kapitalstruktur der Versicherungsnehmerin geändert.</t>
  </si>
  <si>
    <t>RisikoFragen23a</t>
  </si>
  <si>
    <t>Besteht oder bestand für zu versichernde Personen bereits eine D&amp;O Deckung im Sinne dieses Fragebogens?</t>
  </si>
  <si>
    <t>Es besteht oder bestand für zu versichernde Personen bereits eine D&amp;O Deckung im Sinne dieses Fragebogens.</t>
  </si>
  <si>
    <t>RisikoFragen23b</t>
  </si>
  <si>
    <t>Höhe der Versicherungssumme:</t>
  </si>
  <si>
    <t>Höhe der Versicherungssumme der Vorversicherung</t>
  </si>
  <si>
    <t>RisikoFragen23c</t>
  </si>
  <si>
    <t>Vorschäden?</t>
  </si>
  <si>
    <t>Vorschäden</t>
  </si>
  <si>
    <t>RisikoFragen23d</t>
  </si>
  <si>
    <t>Versicherungsscheinnummer:</t>
  </si>
  <si>
    <t>RisikoFragen23e</t>
  </si>
  <si>
    <t>Kontinuitätsdatum:</t>
  </si>
  <si>
    <t>RisikoFragenVorvertragExtendedReportingPeriod</t>
  </si>
  <si>
    <t>Gewährt der Vorversicherer eine unverfallbare Nachmeldefrist von mindestens 24 Monaten?</t>
  </si>
  <si>
    <t>Der Vorversicherer gewährt keine unverfallbare Nachmeldefrist von mindestens 24 Monaten.</t>
  </si>
  <si>
    <t>RisikoFragenVorvertragNoGapsInCoverage</t>
  </si>
  <si>
    <t>Schließt der angefragte Vertrag ohne zeitliche Unterbrechung an den Vorvertrag an?</t>
  </si>
  <si>
    <t>Der angefragte Vertrag schließt nicht ohne zeitliche Unterbrechung an den Vorvertrag an.</t>
  </si>
  <si>
    <t>RisikoFragenVorvertragClaimsForIncreasedLimit</t>
  </si>
  <si>
    <t>Sind dem Unterzeichner Pflichtverletzungen bekannt, die zu einer Inanspruchnahme der gewünschten Deckung im Rahmen der erhöhten Deckungssumme führen können?</t>
  </si>
  <si>
    <t>Dem Unterzeichner sind Pflichtverletzungen bekannt, die zu einer Inanspruchnahme der gewünschten Deckung im Rahmen der erhöhten Deckungssumme führen können.</t>
  </si>
  <si>
    <t>RisikoFragenVorvertragInsurer</t>
  </si>
  <si>
    <t>Vorversicherer</t>
  </si>
  <si>
    <t>RisikoFragen24</t>
  </si>
  <si>
    <t>Gibt es juristische Personen oder Gesellschaften, die direkt oder indirekt mehr als 50 % der Anteile der VN halten oder sie in sonstiger Weise beherrschen? Wenn ja, bitte Einzelheiten angeben.</t>
  </si>
  <si>
    <t>Es gibt juristische Personen oder Gesellschaften, die direkt oder indirekt mehr als 50 % der Anteile der VN halten oder sie in sonstiger Weise beherrschen.</t>
  </si>
  <si>
    <t>RisikoFragen25</t>
  </si>
  <si>
    <t>RisikoFragen26a</t>
  </si>
  <si>
    <t>Gibt es Gesellschaften, die im jüngsten Geschäftsbericht der VN nicht konsolidiert sind, auf deren Organmitglieder sich der Versicherungsschutz aber dennoch erstrecken soll (z.B. Schwestergesellschaften, Joint Ventures, Pensionskassen)? Wenn ja, bitte aktuelle, konsolidierte und vollständige Geschäftsberichte dieser Gesellschaften beifügen.</t>
  </si>
  <si>
    <t>Es gibt Gesellschaften, die im jüngsten Geschäftsbericht der VN nicht konsolidiert sind, auf deren Organmitglieder sich der Versicherungsschutz aber dennoch erstrecken soll (z.B. Schwestergesellschaften, Joint Ventures, Pensionskassen).</t>
  </si>
  <si>
    <t>RisikoFragen26b</t>
  </si>
  <si>
    <t>Existieren bei der VN, Tochtergesellschaften oder Gesellschaften auf denen sich der Versicherungsschutz erstrecken soll  (Frage 26a) Kontrollorgane (z.B. Aufsichtsrat, Beirat, Verwaltungsrat etc.)?</t>
  </si>
  <si>
    <t>Bei der VN, Tochtergesellschaften oder Gesellschaften auf denen sich der Versicherungsschutz erstrecken soll existieren Kontrollorgane (z.B. Aufsichtsrat, Beirat, Verwaltungsrat etc.).</t>
  </si>
  <si>
    <t>RisikoFragen27a</t>
  </si>
  <si>
    <t>Soll sich der Versicherungsschutz auch auf Funktionen erstrecken, die zu versichernde Personen bzw. Arbeitnehmer (auch ausgeschiedenen)  der VN oder einer Tochtergesellschaft als Mitglieder von Geschäftsführungs- oder Aufsichtsorganen bei gewinnorientierten Drittunternehmen  wahrnehmen?</t>
  </si>
  <si>
    <t>Der Versicherungsschutz soll sich auch auf Funktionen erstrecken, die zu versichernde Personen bzw. Arbeitnehmer (auch ausgeschiedenen)  der VN oder einer Tochtergesellschaft als Mitglieder von Geschäftsführungs- oder Aufsichtsorganen bei gewinnorientierten Drittunternehmen  wahrnehmen.</t>
  </si>
  <si>
    <t>RisikoFragen27b</t>
  </si>
  <si>
    <t>RisikoFragen27c</t>
  </si>
  <si>
    <t>Handelt es sich um Fremdmandate von versicherten Personen oder von Arbeitnehmern (auch ausgeschiedenen) der Versicherungsnehmerin oder einer Tochtergesellschaft?</t>
  </si>
  <si>
    <t>Mandate: Fremdmandate</t>
  </si>
  <si>
    <t>RisikoFragen27d</t>
  </si>
  <si>
    <t>Erfolgt die Wahrnehmung im Interesse, auf Veranlassung, Wunsch oder Weisung der Versicherungsnehmerin oder einer Tochtergesellschaft?</t>
  </si>
  <si>
    <t>Mandate: Die Wahrnehmung erfolgt im Interesse, auf Veranlassung, Wunsch oder Weisung der Versicherungsnehmerin oder einer Tochtergesellschaft.</t>
  </si>
  <si>
    <t>RisikoFragen27e</t>
  </si>
  <si>
    <t>Handelt es sich bei den Gesellschaften um börsennotierten Gesellschaften, Finanzdienstleistungsinsttitute (§1 Absatz 1a KWF), Gesellschaften mit Sitz oder Registrierung in den U.S.A, oder Gesellschaften, deren Wertpapiere an einer Börse in den U.S.A. gehandelt werden, einschließlich ADRs und Private Placement? 
Falls nein Themenkreis abgeschlossen                                          ALT : Handelt es sich bei den sonstigen Gesellschaften oder juristischen Personen um:</t>
  </si>
  <si>
    <t>Mandate: Es handel sich bei den Gesellschaften um börsennotierten Gesellschaften, Finanzdienstleistungsinsttitute (§1 Absatz 1a KWF), Gesellschaften mit Sitz oder Registrierung in den U.S.A, oder Gesellschaften, deren Wertpapiere an einer Börse in den U.S.A. gehandelt werden, einschließlich ADRs und Private Placement.</t>
  </si>
  <si>
    <t>RisikoFragen30</t>
  </si>
  <si>
    <t>Existieren Tochtergesellschaften in den USA oder Kanada?
Wenn ja, bitte Angabe der konsolidierten Bilanzsumme dieser Unternehmen in EURO_____________ und zusätzlich USA/Kanada Fragebogen ausfüllen.</t>
  </si>
  <si>
    <t>Es existieren Tochtergesellschaften in den USA oder Kanada.</t>
  </si>
  <si>
    <t>RisikoFragen32</t>
  </si>
  <si>
    <t>Wie hoch war das Eigenkapital?</t>
  </si>
  <si>
    <t>Eigenkapital</t>
  </si>
  <si>
    <t>RisikoFragen33</t>
  </si>
  <si>
    <t>Wie hoch war das EBIT?
Berechnung EBIT: Jahresüberschuss (Gewinn) + Steueraufwand ./. Steuererträge + außerordentlicher Aufwand ./. außerordentliche Erträge + Finanzaufwand ./. Finanzerträge)</t>
  </si>
  <si>
    <t>RisikoFragen34</t>
  </si>
  <si>
    <t>Wie hoch war das Jahresergebnis?</t>
  </si>
  <si>
    <t>Jahresergebnis</t>
  </si>
  <si>
    <t>RisikoFragen35</t>
  </si>
  <si>
    <t>Wie hoch war die Bilanzsumme?</t>
  </si>
  <si>
    <t>Bilanzsumme</t>
  </si>
  <si>
    <t>RisikoFragen36a</t>
  </si>
  <si>
    <t>Wie hoch war der Außenumsatz (nur für Unternehmen)? --&gt; Non-Start-Up</t>
  </si>
  <si>
    <t>giNonStartupRevenue</t>
  </si>
  <si>
    <t>Außenumsatz</t>
  </si>
  <si>
    <t>RisikoFragen36b</t>
  </si>
  <si>
    <t>Wie hoch war der Außenumsatz (nur für Unternehmen)?--&gt; Start-Up (wird nicht für Berechnungen herangezogen</t>
  </si>
  <si>
    <t>giStartupRevenue</t>
  </si>
  <si>
    <t>RisikoFragen37</t>
  </si>
  <si>
    <t>Wie hoch war der Außenumsatz von Tochtergesellschaften, die in Common Law-Ländern (Großbritannien, Irland, Australien, Neuseeland, Südafrika, Indien, Singapur, Hongkong) ansässig sind?</t>
  </si>
  <si>
    <t>RisikoFragen39</t>
  </si>
  <si>
    <t>War das Umlaufvermögen größer als die kurzfristigen Verbindlichkeiten?</t>
  </si>
  <si>
    <t>Umlaufvermögen und kurzfristige Verbindlichkeiten</t>
  </si>
  <si>
    <t>RisikoFragenAIGFacility40</t>
  </si>
  <si>
    <t>RisikoFragenAIGFacility</t>
  </si>
  <si>
    <t>RisikoFragenAIGFacility41</t>
  </si>
  <si>
    <t>RisikoFragenAIGFacility42</t>
  </si>
  <si>
    <t>Deckungssumme mehr als 10 Mio. EUR</t>
  </si>
  <si>
    <t>RisikoFragenAIGFacility43</t>
  </si>
  <si>
    <t>Ist die Versicherungsnehmerin 	eine Gewerkschaft oder ein Spitzenverband ?</t>
  </si>
  <si>
    <t>Die Versicherungsnehmerin ist eine Gewerkschaft oder ein Spitzenverband.</t>
  </si>
  <si>
    <t>RisikoFragenAIGFacility44</t>
  </si>
  <si>
    <t>Der letzte konsolidierte Umsatz der Versicherungsnehmerin liegt über EUR 150 Mio. EUR.</t>
  </si>
  <si>
    <t>RisikoFragenAIGFacility45</t>
  </si>
  <si>
    <t>Wurde die Versicherungsnehmerin in den vergangenen zwei Jahren gegründet (Wenn ja bitte Businessplan und Finanzierungsplan einreichen)?</t>
  </si>
  <si>
    <t>Die Versicherungsnehmerin wurde in den vergangenen zwei Jahren gegründet.</t>
  </si>
  <si>
    <t>RisikoFragenAIGFacility46</t>
  </si>
  <si>
    <t>Befindet sich die Versicherungsnehmerin und/oder eine Tochtergesellschaft in einem Insolvenzverfahren?</t>
  </si>
  <si>
    <t>Die Versicherungsnehmerin und/oder eine Tochtergesellschaft befindet sich in einem Insolvenzverfahren.</t>
  </si>
  <si>
    <t>RisikoFragenAIGFacility47</t>
  </si>
  <si>
    <t>Wurde der Bestätigungsvermerk im aktuellen Geschäftsbericht nicht oder nur eingeschränkt erteilt?</t>
  </si>
  <si>
    <t>Es wurde der Bestätigungsvermerk im aktuellen Geschäftsbericht nicht oder nur eingeschränkt erteilt.</t>
  </si>
  <si>
    <t>RisikoFragenAIGFacility48</t>
  </si>
  <si>
    <t>Ist das konsolidierte Eigenkapital der Versicherungsnehmerin negativ?</t>
  </si>
  <si>
    <t>Negatives Eigenkapital</t>
  </si>
  <si>
    <t>RisikoFragenAIGFacility49</t>
  </si>
  <si>
    <t>War das letzte konsolidierte Jahresergebnis der Versicherungsnehmerin negativ?</t>
  </si>
  <si>
    <t>Negatives Jahresergebnis</t>
  </si>
  <si>
    <t>RisikoFragenStartUp92</t>
  </si>
  <si>
    <t>RisikoFragenStartUp</t>
  </si>
  <si>
    <t>Sind in den nächsten 2 Jahren Fusionen geplant oder ist eine Fremdbeherrschung der Versicherungsnehmerin
möglich?
Wenn ja, bitte Einzelheiten / Gründe angeben.</t>
  </si>
  <si>
    <t>In den nächsten 2 Jahren sind Fusionen geplant oder es ist eine Fremdbeherrschung der Versicherungsnehmerin möglich.</t>
  </si>
  <si>
    <t>RisikoFragenStartUp93</t>
  </si>
  <si>
    <t>Hat eine Versicherungsgesellschaft einen Antrag auf diese Deckungsform abgelehnt? Wenn ja, bitte Einzelheiten / Gründe angeben.</t>
  </si>
  <si>
    <t>Es hat eine Versicherungsgesellschaft einen Antrag auf diese Deckungsform abgelehnt.</t>
  </si>
  <si>
    <t>RisikoFragenStartUp94</t>
  </si>
  <si>
    <t>Hat eine Versicherungsgesellschaft eine bestehende Police gekündigt oder deren Verlängerung abgelehnt?
Wenn ja, bitte Einzelheiten / Gründe angeben.</t>
  </si>
  <si>
    <t>Es hat eine Versicherungsgesellschaft eine bestehende Police gekündigt oder deren Verlängerung abgelehnt.</t>
  </si>
  <si>
    <t>RisikoFragen95a</t>
  </si>
  <si>
    <t>Anzahl aller mitversicherte Unternehmen und Personen</t>
  </si>
  <si>
    <t>RisikoFragen95b</t>
  </si>
  <si>
    <t>Einschluss-Datum</t>
  </si>
  <si>
    <t>RisikoFragen95c</t>
  </si>
  <si>
    <t>Sublimit der mitversicherten Unternehmen</t>
  </si>
  <si>
    <t>RisikoFragen95d</t>
  </si>
  <si>
    <t>Name des mitversicherten Unternehmens</t>
  </si>
  <si>
    <t>RisikoFragen95e</t>
  </si>
  <si>
    <t>Adresse</t>
  </si>
  <si>
    <t>RisikoFragen96</t>
  </si>
  <si>
    <t>Anzahl aller ausgeschlossenen Unternehmen und Personen</t>
  </si>
  <si>
    <t>RisikoFragen97a</t>
  </si>
  <si>
    <t>Mitversicherte Personen</t>
  </si>
  <si>
    <t>RisikoFragen97b</t>
  </si>
  <si>
    <t>RisikoFragen97c</t>
  </si>
  <si>
    <t>Sublimit der mitversicherten Person</t>
  </si>
  <si>
    <t>RisikoFragen97d</t>
  </si>
  <si>
    <t>Name des mitversicherten Person</t>
  </si>
  <si>
    <t>RisikoFragen97e</t>
  </si>
  <si>
    <t>RisikoFragen98</t>
  </si>
  <si>
    <t>Ausgeschlossene Personen</t>
  </si>
  <si>
    <t>RisikoFragen99</t>
  </si>
  <si>
    <t>Zwei- Fach Maximierung gewünscht</t>
  </si>
  <si>
    <t>RisikoFragenVereine100</t>
  </si>
  <si>
    <t xml:space="preserve">Beträgt die Bilanzsumme der VN weniger als 50 Mio. Euro? </t>
  </si>
  <si>
    <t>RisikoFragenVereine101</t>
  </si>
  <si>
    <t>Ist das Eigenkapital der VN positiv?</t>
  </si>
  <si>
    <t>RisikoFragenVereine102</t>
  </si>
  <si>
    <t>Besteht der satzungsmäßige oder tatsächliche Zweck der VN in der Familienvermögenverwaltung, der Erbringung von rechts-, steuerberatenden oder wirtschaftsprüfenden Dienstleistungen, der Verwaltung von Vermögen oder Kassen zur Altersversorge oder Gewinerzielung?</t>
  </si>
  <si>
    <t>RisikoFragenVereine104</t>
  </si>
  <si>
    <t>Erfolgt die Rechnungslegung der VN nach den für sie geltenden gesetzlichen Bestimmungen?</t>
  </si>
  <si>
    <t>RisikoFragenVereine105</t>
  </si>
  <si>
    <t>Ist die VN seit mehr als drei Jahren mit dem gleichen Zweck tätig?</t>
  </si>
  <si>
    <t>Die VN ist nicht seit mehr als drei Jahren mit dem gleichen Zweck tätig.</t>
  </si>
  <si>
    <t>RisikoFragenUSACAN106</t>
  </si>
  <si>
    <t>RisikoFragenUSACAN</t>
  </si>
  <si>
    <t>Wie groß sind die gesamten Aktiva aller Beteiligungsgesellschaften/
Tochtergesellschaften in Nordamerika?</t>
  </si>
  <si>
    <t>Aktiva aller Beteiligungsgesellschaften/ Tochtergesellschaften in Nordamerika</t>
  </si>
  <si>
    <t>RisikoFragenUSACAN107</t>
  </si>
  <si>
    <t>Wie viele Mitarbeiter sind in Nordamerika beschäftigt?</t>
  </si>
  <si>
    <t>Mitarbeiter in Nordamerika</t>
  </si>
  <si>
    <t>RisikoFragenUSACAN108</t>
  </si>
  <si>
    <t>Bitte nennen Sie die Beteiligungsgesellschaften/Tochtergesellschaften in Nordamerika.</t>
  </si>
  <si>
    <t>Beteiligungsgesellschaften/Tochtergesellschaften in Nordamerika</t>
  </si>
  <si>
    <t>RisikoFragenUSACAN109</t>
  </si>
  <si>
    <t>Bitte nennen Sie den Prozentsatz der Beteiligungen.</t>
  </si>
  <si>
    <t>%-Wert</t>
  </si>
  <si>
    <t>RisikoFragenUSACAN110</t>
  </si>
  <si>
    <t>Bitte nennen Sie die Namen der übrigen Anteilseigner, die mehr als 5 %
halten.</t>
  </si>
  <si>
    <t>RisikoFragenUSACAN111</t>
  </si>
  <si>
    <t>Ist mindestens eines dieser Unternehmen börsennotiert</t>
  </si>
  <si>
    <t>Nordamerika: Börsennotierung: Wann wurde zuletzt angeboten/aufgelegt?</t>
  </si>
  <si>
    <t>RisikoFragenUSACAN112</t>
  </si>
  <si>
    <t>Unterlag das Angebot dem "The United States Security
Act of 1933"/"The Securities Exchange Act of 1934"?</t>
  </si>
  <si>
    <t>Unterlag das Angebot dem "The United States Security Act of 1933"/"The Securities Exchange Act of 1934"</t>
  </si>
  <si>
    <t>RisikoFragenUSACAN113</t>
  </si>
  <si>
    <t>Werden in Nordamerika Anteile der Gesellschaft in
Form von ADRs (American Despository Receipts) gehandelt?
(Falls zutreffend, unterliegt der Handel der ADRs der amerikanischen
Börsenaufsicht (SEC)?)</t>
  </si>
  <si>
    <t>Nordamerika: Anteile der Gesellschaft werden in Form von ADRs (American Despository Receipts) gehandelt</t>
  </si>
  <si>
    <t>RisikoFragenUSACAN114</t>
  </si>
  <si>
    <t>Bitte fügen Sie Kopie der letzten 20 F-Meldung an die
US-Aufsichtsbehörde bei.
(Wenn nicht zutreffend, bitte bestätigen)</t>
  </si>
  <si>
    <t>Nordamerika: letzten 20 F-Meldung an die US-Aufsichtsbehörde</t>
  </si>
  <si>
    <t>RisikoFragenAXAFacility115a</t>
  </si>
  <si>
    <t>RisikoFragenAXAFacility</t>
  </si>
  <si>
    <t>Ist die Versicherungsnehmerin als Bank, Sparkasse, Factorer, Versorgungswerk,
Krankenkasse, Beteiligungsgesellschaft, Fond, Finanzinvestor, Vermögensverwalter oder
Versicherer tätig?</t>
  </si>
  <si>
    <t>Die Versicherungsnehmerin ist als Bank, Sparkasse, Factorer, Versorgungswerk, Krankenkasse, Beteiligungsgesellschaft, Fond, Finanzinvestor, Vermögensverwalter oder Versicherer tätig.</t>
  </si>
  <si>
    <t>RisikoFragenAXAFacility115b</t>
  </si>
  <si>
    <t>Der Gesamt-Umsatz im letzten abgeschlossenen Geschäftsjahr betrug:
Soweit der Jahresumsatz größer als EUR 1 Mrd. ist, wird um Übersendung des Jahresabschlusses gebeten.</t>
  </si>
  <si>
    <t>Der Gesamt-Umsatz im letzten abgeschlossenen Geschäftsjahr betrugmehr als EUR 1 Mrd. EUR.</t>
  </si>
  <si>
    <t>RisikoFragenAXAFacility116a</t>
  </si>
  <si>
    <t>Betrug die Eigenkapitalquote in den letzten beiden Geschäftsjahren mindestens 20 %?
Nein, sondern…</t>
  </si>
  <si>
    <t>Die Eigenkapitalquote betrug in den letzten beiden Geschäftsjahren nicht mindestens 20 %.</t>
  </si>
  <si>
    <t>RisikoFragenAXAFacility116b</t>
  </si>
  <si>
    <t>Eigenkapitalquote</t>
  </si>
  <si>
    <t>RisikoFragenAXAFacility116c</t>
  </si>
  <si>
    <t>Geschäftsjahr</t>
  </si>
  <si>
    <t>RisikoFragenAXAFacility116d</t>
  </si>
  <si>
    <t>RisikoFragenAXAFacility116e</t>
  </si>
  <si>
    <t>RisikoFragenAXAFacility117a</t>
  </si>
  <si>
    <t>War das EBIT (Earning before Interests and Taxes = Ergebnis vor Zinsen und Steuern) in
den letzten beiden Geschäftsjahren positiv?</t>
  </si>
  <si>
    <t>RisikoFragenAXAFacility117b</t>
  </si>
  <si>
    <t>EBIT</t>
  </si>
  <si>
    <t>RisikoFragenAXAFacility117c</t>
  </si>
  <si>
    <t>RisikoFragenAXAFacility117d</t>
  </si>
  <si>
    <t>RisikoFragenAXAFacility117e</t>
  </si>
  <si>
    <t>RisikoFragenAXAFacility118a</t>
  </si>
  <si>
    <t>Wurde in den letzten beiden abgeschlossenen Geschäftsjahren ein positives Jahresergebnis
erzielt?</t>
  </si>
  <si>
    <t>RisikoFragenAXAFacility118b</t>
  </si>
  <si>
    <t>RisikoFragenAXAFacility118c</t>
  </si>
  <si>
    <t>RisikoFragenAXAFacility118d</t>
  </si>
  <si>
    <t>RisikoFragenAXAFacility118e</t>
  </si>
  <si>
    <t>RisikoFragenAXAFacility119a</t>
  </si>
  <si>
    <t>Beträgt der Umsatz in den USA weniger als 10 % des Gesamtumsatzes?</t>
  </si>
  <si>
    <t>Umsatz in den USA nicht weniger als 10 % des Gesamtumsatzes.</t>
  </si>
  <si>
    <t>RisikoFragenAXAFacility119b</t>
  </si>
  <si>
    <t>Nein, sondern:</t>
  </si>
  <si>
    <t>RisikoFragenAXAFacility120</t>
  </si>
  <si>
    <t>Gibt es Tochtergesellschaften in den USA,
1. deren Bilanzsumme größer ist als USD 50 Mio. (nämlich XX USD Mio.) oder
2. deren Bilanzsumme größer ist als 25 % der Konzernbilanzsumme oder
3. die ein ADR-Programm Kategorie II oder III unterhalten?</t>
  </si>
  <si>
    <t>Tochtergesellschaften in den USA</t>
  </si>
  <si>
    <t>RisikoFragenAXAFacility122a</t>
  </si>
  <si>
    <t>War der cashflow aus der gewöhnlichen Geschäftstätigkeit in den letzten beiden Geschäftsjahren positiv?</t>
  </si>
  <si>
    <t>Negativer Cashflow</t>
  </si>
  <si>
    <t>RisikoFragenAXAFacility122b</t>
  </si>
  <si>
    <t>Cashflow</t>
  </si>
  <si>
    <t>RisikoFragenAXAFacility122c</t>
  </si>
  <si>
    <t>RisikoFragenAXAFacility122d</t>
  </si>
  <si>
    <t>RisikoFragenAXAFacility122e</t>
  </si>
  <si>
    <t>RisikoFragenStartUp127</t>
  </si>
  <si>
    <t>Bilanzsumme - ggf. Vorjahr</t>
  </si>
  <si>
    <t>RisikoFragenStartUp128</t>
  </si>
  <si>
    <t>Bilanzsumme - Planung laufendes Jahr</t>
  </si>
  <si>
    <t>RisikoFragenStartUp129</t>
  </si>
  <si>
    <t>Bilanzsumme - Planung nächstes Jahr</t>
  </si>
  <si>
    <t>RisikoFragenStartUp130</t>
  </si>
  <si>
    <t>Umlaufvermögen - ggf. Vorjahr</t>
  </si>
  <si>
    <t>RisikoFragenStartUp131</t>
  </si>
  <si>
    <t>Umlaufvermögen - Planung laufendes Jahr</t>
  </si>
  <si>
    <t>RisikoFragenStartUp132</t>
  </si>
  <si>
    <t>Umlaufvermögen - Planung nächstes Jahr</t>
  </si>
  <si>
    <t>RisikoFragenStartUp133</t>
  </si>
  <si>
    <t>kurzfristige / langfristige Verbindlichkeiten - ggf. Vorjahr</t>
  </si>
  <si>
    <t>RisikoFragenStartUp134</t>
  </si>
  <si>
    <t>kurzfristige / langfristige Verbindlichkeiten - Planung laufendes Jahr</t>
  </si>
  <si>
    <t>RisikoFragenStartUp135</t>
  </si>
  <si>
    <t>kurzfristige / langfristige Verbindlichkeiten - Planung nächstes Jahr</t>
  </si>
  <si>
    <t>RisikoFragenStartUp136</t>
  </si>
  <si>
    <t>Eigenkapital - ggf. Vorjahr</t>
  </si>
  <si>
    <t>RisikoFragenStartUp137</t>
  </si>
  <si>
    <t>Eigenkapital - Planung laufendes Jahr</t>
  </si>
  <si>
    <t>RisikoFragenStartUp138</t>
  </si>
  <si>
    <t>Eigenkapital - Planung nächstes Jahr</t>
  </si>
  <si>
    <t>RisikoFragenStartUp142</t>
  </si>
  <si>
    <t>Umsatz - ggf. Vorjahr</t>
  </si>
  <si>
    <t>RisikoFragenStartUp143</t>
  </si>
  <si>
    <t>Umsatz - Planung laufendes Jahr</t>
  </si>
  <si>
    <t>RisikoFragenStartUp144</t>
  </si>
  <si>
    <t>Umsatz - Planung nächstes Jahr</t>
  </si>
  <si>
    <t>RisikoFragenStartUp145</t>
  </si>
  <si>
    <t>Jahresergebnis - ggf. Vorjahr</t>
  </si>
  <si>
    <t>RisikoFragenStartUp146</t>
  </si>
  <si>
    <t>Jahresergebnis - Planung laufendes Jahr</t>
  </si>
  <si>
    <t>RisikoFragenStartUp147</t>
  </si>
  <si>
    <t>Jahresergebnis - Planung nächstes Jahr</t>
  </si>
  <si>
    <t>RisikoFragenStartUp148</t>
  </si>
  <si>
    <t>Cash-Flow - ggf. Vorjahr</t>
  </si>
  <si>
    <t>RisikoFragenStartUp149</t>
  </si>
  <si>
    <t>Cash-Flow - Planung laufendes Jahr</t>
  </si>
  <si>
    <t>RisikoFragenStartUp150</t>
  </si>
  <si>
    <t>Cash-Flow - Planung nächstes Jahr</t>
  </si>
  <si>
    <t>Risikofragen</t>
  </si>
  <si>
    <t>DaughterCompanies</t>
  </si>
  <si>
    <t>TochterUnternehmen</t>
  </si>
  <si>
    <t>Tochtergesellschaften: Weltweit</t>
  </si>
  <si>
    <t>StammDaten126</t>
  </si>
  <si>
    <t>RisikoFragen902</t>
  </si>
  <si>
    <t>Nettoisierung</t>
  </si>
  <si>
    <t>Berechnungsergebnisse</t>
  </si>
  <si>
    <t>Württembergische</t>
  </si>
  <si>
    <t>Bewertung - Grobindikation</t>
  </si>
  <si>
    <t>Bewertung - Angebot - DS 1</t>
  </si>
  <si>
    <t>Bewertung - Angebot - DS 2</t>
  </si>
  <si>
    <t>Bewertung - Angebot - DS 3</t>
  </si>
  <si>
    <t>Sterne - Grobindikation - DS 1</t>
  </si>
  <si>
    <t>Sterne - Grobindikation - DS 2</t>
  </si>
  <si>
    <t>Sterne - Grobindikation - DS 3</t>
  </si>
  <si>
    <t>Sterne - Angebot - DS 1</t>
  </si>
  <si>
    <t>Sterne - Angebot - DS 2</t>
  </si>
  <si>
    <t>Sterne - Angebot - DS 3</t>
  </si>
  <si>
    <t>Preis - Grobindikation - DS 1</t>
  </si>
  <si>
    <t>Preis - Grobindikation - DS 2</t>
  </si>
  <si>
    <t>Preis - Grobindikation - DS 3</t>
  </si>
  <si>
    <t>Preis - Angebot - DS 1</t>
  </si>
  <si>
    <t>Preis - Angebot - DS 2</t>
  </si>
  <si>
    <t>Preis - Angebot - DS 3</t>
  </si>
  <si>
    <t>Status - Angebot - NEU</t>
  </si>
  <si>
    <t>Fehlende Dokumente</t>
  </si>
  <si>
    <t>BDVen und Klauseln</t>
  </si>
  <si>
    <t>Status - Angebot</t>
  </si>
  <si>
    <t>AXA - Facility</t>
  </si>
  <si>
    <t>AIG</t>
  </si>
  <si>
    <t>AIG - Facility</t>
  </si>
  <si>
    <t>Dual</t>
  </si>
  <si>
    <t>XXX</t>
  </si>
  <si>
    <t>Mitversicherte Unternehmen</t>
  </si>
  <si>
    <t>Laufende Nummer</t>
  </si>
  <si>
    <t>iran</t>
  </si>
  <si>
    <t>olAQISDJlof</t>
  </si>
  <si>
    <t>Tenant-Id</t>
  </si>
  <si>
    <t>Beispiel-Daten:</t>
  </si>
  <si>
    <t>vvm</t>
  </si>
  <si>
    <t>premiumCollectionType</t>
  </si>
  <si>
    <t>---</t>
  </si>
  <si>
    <t>0,15</t>
  </si>
  <si>
    <t>Courtage AIG-Facility</t>
  </si>
  <si>
    <t>0,12</t>
  </si>
  <si>
    <t>Courtage WVAG</t>
  </si>
  <si>
    <t>0,1</t>
  </si>
  <si>
    <t>Courtage alle anderen VR</t>
  </si>
  <si>
    <t>Courtage digitale Abschlußstrecke</t>
  </si>
  <si>
    <t>Radio button</t>
  </si>
  <si>
    <t>Alter der Gesellschaft</t>
  </si>
  <si>
    <t>Status</t>
  </si>
  <si>
    <t>Frage 27b</t>
  </si>
  <si>
    <t>Andorra</t>
  </si>
  <si>
    <t>Mitglieder der geschäftsführenden Organe</t>
  </si>
  <si>
    <t>United Arab Emirates</t>
  </si>
  <si>
    <t>Mitglieder der Aufsichtsorgane</t>
  </si>
  <si>
    <t>Afghanistan</t>
  </si>
  <si>
    <t>Vertreter in Gesellschafterversammlungen</t>
  </si>
  <si>
    <t>Kriterien</t>
  </si>
  <si>
    <t>Antigua and Barbuda</t>
  </si>
  <si>
    <t>Sonstiges (Textfeld und Referral)</t>
  </si>
  <si>
    <t>Kriterien erfüllt</t>
  </si>
  <si>
    <t>Anguilla</t>
  </si>
  <si>
    <t>Stati für Datenabzug</t>
  </si>
  <si>
    <t>Kriterien nicht erfüllt</t>
  </si>
  <si>
    <t>Albania</t>
  </si>
  <si>
    <t>OFFER_READY_FOR_POLICY</t>
  </si>
  <si>
    <t>Frage 27e</t>
  </si>
  <si>
    <t>Armenia</t>
  </si>
  <si>
    <t>OFFER_IN_PROGRESS</t>
  </si>
  <si>
    <t>Finanzdienstleistungsinstitute (§ 1 Absatz 1a KWG)</t>
  </si>
  <si>
    <t>Angola</t>
  </si>
  <si>
    <t>OFFER_DECLINED</t>
  </si>
  <si>
    <t>Gesellschaften, deren Wertpapiere an einer Börse in den U.S.A. gehandelt werden, einschließlich ADRs und Private Placement</t>
  </si>
  <si>
    <t>Antarctica</t>
  </si>
  <si>
    <t>OFFER_REFERRAL</t>
  </si>
  <si>
    <t>börsennotierte Gesellschaften</t>
  </si>
  <si>
    <t>Argentina</t>
  </si>
  <si>
    <t>Gesellschaften mit Sitz oder Registrierung in den U.S.A.</t>
  </si>
  <si>
    <t>American Samoa</t>
  </si>
  <si>
    <t>Austria</t>
  </si>
  <si>
    <t>Australia</t>
  </si>
  <si>
    <t>Aruba</t>
  </si>
  <si>
    <t>Åland Islands</t>
  </si>
  <si>
    <t>Azerbaijan</t>
  </si>
  <si>
    <t>Bosnia and Herzegovina</t>
  </si>
  <si>
    <t>Barbados</t>
  </si>
  <si>
    <t>Bangladesh</t>
  </si>
  <si>
    <t>Belgium</t>
  </si>
  <si>
    <t>Burkina Faso</t>
  </si>
  <si>
    <t>Bulgaria</t>
  </si>
  <si>
    <t>Bahrain</t>
  </si>
  <si>
    <t>Burundi</t>
  </si>
  <si>
    <t>Benin</t>
  </si>
  <si>
    <t>Saint Barthélemy</t>
  </si>
  <si>
    <t>Bermuda</t>
  </si>
  <si>
    <t>Brunei Darussalam</t>
  </si>
  <si>
    <t>Bolivia, Plurinational State of</t>
  </si>
  <si>
    <t>Bonaire, Sint Eustatius and Saba</t>
  </si>
  <si>
    <t>Brazil</t>
  </si>
  <si>
    <t>Bahamas</t>
  </si>
  <si>
    <t>Bhutan</t>
  </si>
  <si>
    <t>Bouvet Island</t>
  </si>
  <si>
    <t>Botswana</t>
  </si>
  <si>
    <t>Belarus</t>
  </si>
  <si>
    <t>Belize</t>
  </si>
  <si>
    <t>Canada</t>
  </si>
  <si>
    <t>Cocos (Keeling) Islands</t>
  </si>
  <si>
    <t>Congo, the Democratic Republic of the</t>
  </si>
  <si>
    <t>Central African Republic</t>
  </si>
  <si>
    <t>Congo</t>
  </si>
  <si>
    <t>Switzerland</t>
  </si>
  <si>
    <t>Côte d'Ivoire</t>
  </si>
  <si>
    <t>Cook Islands</t>
  </si>
  <si>
    <t>Chile</t>
  </si>
  <si>
    <t>Cameroon</t>
  </si>
  <si>
    <t>China</t>
  </si>
  <si>
    <t>Colombia</t>
  </si>
  <si>
    <t>Costa Rica</t>
  </si>
  <si>
    <t>Cuba</t>
  </si>
  <si>
    <t>Cabo Verde</t>
  </si>
  <si>
    <t>Curaçao</t>
  </si>
  <si>
    <t>Christmas Island</t>
  </si>
  <si>
    <t>Cyprus</t>
  </si>
  <si>
    <t>Czechia</t>
  </si>
  <si>
    <t>Germany</t>
  </si>
  <si>
    <t>Djibouti</t>
  </si>
  <si>
    <t>Denmark</t>
  </si>
  <si>
    <t>Dominica</t>
  </si>
  <si>
    <t>Dominican Republic</t>
  </si>
  <si>
    <t>Algeria</t>
  </si>
  <si>
    <t>Ecuador</t>
  </si>
  <si>
    <t>Estonia</t>
  </si>
  <si>
    <t>Egypt</t>
  </si>
  <si>
    <t>Western Sahara</t>
  </si>
  <si>
    <t>Eritrea</t>
  </si>
  <si>
    <t>Spain</t>
  </si>
  <si>
    <t>Ethiopia</t>
  </si>
  <si>
    <t>Finland</t>
  </si>
  <si>
    <t>Fiji</t>
  </si>
  <si>
    <t>Falkland Islands (Malvinas)</t>
  </si>
  <si>
    <t>Micronesia, Federated States of</t>
  </si>
  <si>
    <t>Faroe Islands</t>
  </si>
  <si>
    <t>France</t>
  </si>
  <si>
    <t>Gabon</t>
  </si>
  <si>
    <t>United Kingdom of Great Britain and Northern Ireland</t>
  </si>
  <si>
    <t>Grenada</t>
  </si>
  <si>
    <t>Georgia</t>
  </si>
  <si>
    <t>French Guiana</t>
  </si>
  <si>
    <t>Guernsey</t>
  </si>
  <si>
    <t>Ghana</t>
  </si>
  <si>
    <t>Gibraltar</t>
  </si>
  <si>
    <t>Greenland</t>
  </si>
  <si>
    <t>Gambia</t>
  </si>
  <si>
    <t>Guinea</t>
  </si>
  <si>
    <t>Guadeloupe</t>
  </si>
  <si>
    <t>Equatorial Guinea</t>
  </si>
  <si>
    <t>Greece</t>
  </si>
  <si>
    <t>South Georgia and the South Sandwich Islands</t>
  </si>
  <si>
    <t>Guatemala</t>
  </si>
  <si>
    <t>Guam</t>
  </si>
  <si>
    <t>Guinea-Bissau</t>
  </si>
  <si>
    <t>Guyana</t>
  </si>
  <si>
    <t>Hong Kong</t>
  </si>
  <si>
    <t>Heard Island and McDonald Islands</t>
  </si>
  <si>
    <t>Honduras</t>
  </si>
  <si>
    <t>Croatia</t>
  </si>
  <si>
    <t>Haiti</t>
  </si>
  <si>
    <t>Hungary</t>
  </si>
  <si>
    <t>Indonesia</t>
  </si>
  <si>
    <t>Ireland</t>
  </si>
  <si>
    <t>Israel</t>
  </si>
  <si>
    <t>Isle of Man</t>
  </si>
  <si>
    <t>India</t>
  </si>
  <si>
    <t>British Indian Ocean Territory</t>
  </si>
  <si>
    <t>Iraq</t>
  </si>
  <si>
    <t>Iran, Islamic Republic of</t>
  </si>
  <si>
    <t>Iceland</t>
  </si>
  <si>
    <t>Italy</t>
  </si>
  <si>
    <t>Jersey</t>
  </si>
  <si>
    <t>Jamaica</t>
  </si>
  <si>
    <t>Jordan</t>
  </si>
  <si>
    <t>Japan</t>
  </si>
  <si>
    <t>Kenya</t>
  </si>
  <si>
    <t>Kyrgyzstan</t>
  </si>
  <si>
    <t>Cambodia</t>
  </si>
  <si>
    <t>Kiribati</t>
  </si>
  <si>
    <t>Comoros</t>
  </si>
  <si>
    <t>Saint Kitts and Nevis</t>
  </si>
  <si>
    <t>Korea, Democratic People's Republic of</t>
  </si>
  <si>
    <t>Korea, Republic of</t>
  </si>
  <si>
    <t>Kuwait</t>
  </si>
  <si>
    <t>Cayman Islands</t>
  </si>
  <si>
    <t>Kazakhstan</t>
  </si>
  <si>
    <t>Lao People's Democratic Republic</t>
  </si>
  <si>
    <t>Lebanon</t>
  </si>
  <si>
    <t>Saint Lucia</t>
  </si>
  <si>
    <t>Liechtenstein</t>
  </si>
  <si>
    <t>Sri Lanka</t>
  </si>
  <si>
    <t>Liberia</t>
  </si>
  <si>
    <t>Lesotho</t>
  </si>
  <si>
    <t>Lithuania</t>
  </si>
  <si>
    <t>Luxembourg</t>
  </si>
  <si>
    <t>Latvia</t>
  </si>
  <si>
    <t>Libya</t>
  </si>
  <si>
    <t>Morocco</t>
  </si>
  <si>
    <t>Monaco</t>
  </si>
  <si>
    <t>Moldova, Republic of</t>
  </si>
  <si>
    <t>Montenegro</t>
  </si>
  <si>
    <t>Saint Martin (French part)</t>
  </si>
  <si>
    <t>Madagascar</t>
  </si>
  <si>
    <t>Marshall Islands</t>
  </si>
  <si>
    <t>Macedonia, the former Yugoslav Republic of</t>
  </si>
  <si>
    <t>Mali</t>
  </si>
  <si>
    <t>Myanmar</t>
  </si>
  <si>
    <t>Mongolia</t>
  </si>
  <si>
    <t>Macao</t>
  </si>
  <si>
    <t>Northern Mariana Islands</t>
  </si>
  <si>
    <t>Martinique</t>
  </si>
  <si>
    <t>Mauritania</t>
  </si>
  <si>
    <t>Montserrat</t>
  </si>
  <si>
    <t>Malta</t>
  </si>
  <si>
    <t>Mauritius</t>
  </si>
  <si>
    <t>Maldives</t>
  </si>
  <si>
    <t>Malawi</t>
  </si>
  <si>
    <t>Mexico</t>
  </si>
  <si>
    <t>Malaysia</t>
  </si>
  <si>
    <t>Mozambique</t>
  </si>
  <si>
    <t>Namibia</t>
  </si>
  <si>
    <t>New Caledonia</t>
  </si>
  <si>
    <t>Niger</t>
  </si>
  <si>
    <t>Norfolk Island</t>
  </si>
  <si>
    <t>Nigeria</t>
  </si>
  <si>
    <t>Nicaragua</t>
  </si>
  <si>
    <t>Netherlands</t>
  </si>
  <si>
    <t>Norway</t>
  </si>
  <si>
    <t>Nepal</t>
  </si>
  <si>
    <t>Nauru</t>
  </si>
  <si>
    <t>Niue</t>
  </si>
  <si>
    <t>New Zealand</t>
  </si>
  <si>
    <t>Oman</t>
  </si>
  <si>
    <t>Panama</t>
  </si>
  <si>
    <t>Peru</t>
  </si>
  <si>
    <t>French Polynesia</t>
  </si>
  <si>
    <t>Papua New Guinea</t>
  </si>
  <si>
    <t>Philippines</t>
  </si>
  <si>
    <t>Pakistan</t>
  </si>
  <si>
    <t>Poland</t>
  </si>
  <si>
    <t>Saint Pierre and Miquelon</t>
  </si>
  <si>
    <t>Pitcairn</t>
  </si>
  <si>
    <t>Puerto Rico</t>
  </si>
  <si>
    <t>Palestine, State of</t>
  </si>
  <si>
    <t>Portugal</t>
  </si>
  <si>
    <t>Palau</t>
  </si>
  <si>
    <t>Paraguay</t>
  </si>
  <si>
    <t>Qatar</t>
  </si>
  <si>
    <t>Réunion</t>
  </si>
  <si>
    <t>Romania</t>
  </si>
  <si>
    <t>Serbia</t>
  </si>
  <si>
    <t>Russian Federation</t>
  </si>
  <si>
    <t>Rwanda</t>
  </si>
  <si>
    <t>Saudi Arabia</t>
  </si>
  <si>
    <t>Solomon Islands</t>
  </si>
  <si>
    <t>Seychelles</t>
  </si>
  <si>
    <t>Sudan</t>
  </si>
  <si>
    <t>Sweden</t>
  </si>
  <si>
    <t>Singapore</t>
  </si>
  <si>
    <t>Saint Helena, Ascension and Tristan da Cunha</t>
  </si>
  <si>
    <t>Slovenia</t>
  </si>
  <si>
    <t>Svalbard and Jan Mayen</t>
  </si>
  <si>
    <t>Slovakia</t>
  </si>
  <si>
    <t>Sierra Leone</t>
  </si>
  <si>
    <t>San Marino</t>
  </si>
  <si>
    <t>Senegal</t>
  </si>
  <si>
    <t>Somalia</t>
  </si>
  <si>
    <t>Suriname</t>
  </si>
  <si>
    <t>South Sudan</t>
  </si>
  <si>
    <t>Sao Tome and Principe</t>
  </si>
  <si>
    <t>El Salvador</t>
  </si>
  <si>
    <t>Sint Maarten (Dutch part)</t>
  </si>
  <si>
    <t>Syrian Arab Republic</t>
  </si>
  <si>
    <t>Eswatini</t>
  </si>
  <si>
    <t>Turks and Caicos Islands</t>
  </si>
  <si>
    <t>Chad</t>
  </si>
  <si>
    <t>French Southern Territories</t>
  </si>
  <si>
    <t>Togo</t>
  </si>
  <si>
    <t>Thailand</t>
  </si>
  <si>
    <t>Tajikistan</t>
  </si>
  <si>
    <t>Tokelau</t>
  </si>
  <si>
    <t>Timor-Leste</t>
  </si>
  <si>
    <t>Turkmenistan</t>
  </si>
  <si>
    <t>Tunisia</t>
  </si>
  <si>
    <t>Tonga</t>
  </si>
  <si>
    <t>Turkey</t>
  </si>
  <si>
    <t>Trinidad and Tobago</t>
  </si>
  <si>
    <t>Tuvalu</t>
  </si>
  <si>
    <t>Taiwan, Province of China</t>
  </si>
  <si>
    <t>Tanzania, United Republic of</t>
  </si>
  <si>
    <t>Ukraine</t>
  </si>
  <si>
    <t>Uganda</t>
  </si>
  <si>
    <t>United States Minor Outlying Islands</t>
  </si>
  <si>
    <t>United States of America</t>
  </si>
  <si>
    <t>Uruguay</t>
  </si>
  <si>
    <t>Uzbekistan</t>
  </si>
  <si>
    <t>Holy See</t>
  </si>
  <si>
    <t>Saint Vincent and the Grenadines</t>
  </si>
  <si>
    <t>Venezuela, Bolivarian Republic of</t>
  </si>
  <si>
    <t>Virgin Islands, British</t>
  </si>
  <si>
    <t>Virgin Islands, U.S.</t>
  </si>
  <si>
    <t>Viet Nam</t>
  </si>
  <si>
    <t>Vanuatu</t>
  </si>
  <si>
    <t>Wallis and Futuna</t>
  </si>
  <si>
    <t>Samoa</t>
  </si>
  <si>
    <t>Yemen</t>
  </si>
  <si>
    <t>Mayotte</t>
  </si>
  <si>
    <t>South Africa</t>
  </si>
  <si>
    <t>Zambia</t>
  </si>
  <si>
    <t>Zimbabwe</t>
  </si>
  <si>
    <t>SIC Code</t>
  </si>
  <si>
    <t>Branchenbezeichnungen</t>
  </si>
  <si>
    <t>Zusatzbezeichnungen für Facilities oder Referral Trigger (z.B.: FI Unternehmen)</t>
  </si>
  <si>
    <t>WVAG Deckungssumme</t>
  </si>
  <si>
    <t>Prämienan-passungen</t>
  </si>
  <si>
    <t>Referrals</t>
  </si>
  <si>
    <t>Prämien-anpassungen</t>
  </si>
  <si>
    <t>KO Trigger</t>
  </si>
  <si>
    <t>Atribut</t>
  </si>
  <si>
    <t>Wert vom DPOS</t>
  </si>
  <si>
    <t>Sanktionierte Länder?</t>
  </si>
  <si>
    <t>Textergebnis</t>
  </si>
  <si>
    <t>Tochterunternehmen</t>
  </si>
  <si>
    <t>Summe</t>
  </si>
  <si>
    <t>AGCS</t>
  </si>
  <si>
    <t>AXA Facility</t>
  </si>
  <si>
    <t>(3) Referrals (Deckungssummen) - DS 1</t>
  </si>
  <si>
    <t>(3) Referrals (Deckungssummen) - DS 2</t>
  </si>
  <si>
    <t>(3) Referrals (Deckungssummen) - DS 3</t>
  </si>
  <si>
    <t>(4) Limit größer als Umsatz / Vereinsvermögen - DS 1</t>
  </si>
  <si>
    <t>(4) Limit größer als Umsatz / Vereinsvermögen - DS 2</t>
  </si>
  <si>
    <t>(4) Limit größer als Umsatz / Vereinsvermögen - DS 3</t>
  </si>
  <si>
    <t>(6) Prämien berechenbar - DS 1</t>
  </si>
  <si>
    <t>(6) Prämien berechenbar - DS 2</t>
  </si>
  <si>
    <t>(6) Prämien berechenbar - DS 3</t>
  </si>
  <si>
    <t>Grobindikation Light DS</t>
  </si>
  <si>
    <t>Angebot</t>
  </si>
  <si>
    <t>Sterne</t>
  </si>
  <si>
    <t>DS 1</t>
  </si>
  <si>
    <t>DS 2</t>
  </si>
  <si>
    <t>DS 3</t>
  </si>
  <si>
    <t>Versicherer</t>
  </si>
  <si>
    <t>Angefragte Deckungssumme</t>
  </si>
  <si>
    <t>Preis</t>
  </si>
  <si>
    <t>Angebotene Deckungssumme</t>
  </si>
  <si>
    <t>Bewertungsfaktor</t>
  </si>
  <si>
    <t>Nettoisierte Jahresnettoprämie</t>
  </si>
  <si>
    <t>Provision Howden</t>
  </si>
  <si>
    <t>Provision Coop-Makler</t>
  </si>
  <si>
    <t>Axa Facility (wahr) / Axa MMC (falsch)</t>
  </si>
  <si>
    <t>Facility ja / nein</t>
  </si>
  <si>
    <t>Back Stops und Stati</t>
  </si>
  <si>
    <t>Prämien</t>
  </si>
  <si>
    <t>Deckungssumme</t>
  </si>
  <si>
    <t>Aufbereitung für Datenabzug</t>
  </si>
  <si>
    <t>(1)
Facilities
Kriterien erfüllt?</t>
  </si>
  <si>
    <t xml:space="preserve">(2)
Referrals
(Allgemein)
</t>
  </si>
  <si>
    <t xml:space="preserve">(3)
Referrals
(Deckungssummen)
</t>
  </si>
  <si>
    <t>(4)
Limit größer als Umsatz / Vereinsvermögen</t>
  </si>
  <si>
    <t>(5)
Töchter oder MVU in sanktionierten Ländern?</t>
  </si>
  <si>
    <t xml:space="preserve">(6)
Prämien berechenbar
</t>
  </si>
  <si>
    <t>(7)
- Mitvers. U und P
- Ausgeschl. U und P</t>
  </si>
  <si>
    <t>(8)
Manueller Backstop
(Versicherer Sign Off)</t>
  </si>
  <si>
    <t xml:space="preserve">(9)
Gesamtstatus
</t>
  </si>
  <si>
    <t>Tarifprämie inkl Zu- und Abschläge</t>
  </si>
  <si>
    <t>Manuelle Bewertung</t>
  </si>
  <si>
    <t xml:space="preserve">Sterne
- Perzentile - </t>
  </si>
  <si>
    <t>Angefragte DS</t>
  </si>
  <si>
    <t>Maximal angebotene DS (abhängig von Referrals)</t>
  </si>
  <si>
    <t>Angebotene DS</t>
  </si>
  <si>
    <t>fehlt!</t>
  </si>
  <si>
    <t>Berechnung der Perzentile</t>
  </si>
  <si>
    <t>3 Sterne (XXX)</t>
  </si>
  <si>
    <t>2 Sterne (XX)</t>
  </si>
  <si>
    <t>1 Stern (X)</t>
  </si>
  <si>
    <t>0 Sterne</t>
  </si>
  <si>
    <t>Facilities Kriterien</t>
  </si>
  <si>
    <t>Deckungssumme größer als Umsatz bzw. Vereinsvermögen</t>
  </si>
  <si>
    <t>Sanktionsprüfung der Töchter und mitversicherten Unternehmen</t>
  </si>
  <si>
    <t>Außerhalb des Tarifs</t>
  </si>
  <si>
    <t>Mitversicherte und ausgeschlossene Unternehmen oder Personen</t>
  </si>
  <si>
    <t>Manueller Backstop</t>
  </si>
  <si>
    <t>GI</t>
  </si>
  <si>
    <t>Thresholds</t>
  </si>
  <si>
    <t>Inhaltliche Bewertung</t>
  </si>
  <si>
    <t>Prämie</t>
  </si>
  <si>
    <t>Gesamt-Ranking</t>
  </si>
  <si>
    <t>Tarif-prämie</t>
  </si>
  <si>
    <t>Bewertung = JA
Preis = NEIN</t>
  </si>
  <si>
    <t>Umsatz / V-Vermögen</t>
  </si>
  <si>
    <t>VR Name</t>
  </si>
  <si>
    <t>VR Name
für Anzeige im DPOS</t>
  </si>
  <si>
    <t>GI rechnen ab / bis folgendem Threshold</t>
  </si>
  <si>
    <t>Formel</t>
  </si>
  <si>
    <t>Tarif: Maximaler Umsatz</t>
  </si>
  <si>
    <t>Wert</t>
  </si>
  <si>
    <t>Ranking</t>
  </si>
  <si>
    <t>Gewichtung</t>
  </si>
  <si>
    <t>DS 1
Delta DS</t>
  </si>
  <si>
    <t>DS 2
Delta DS</t>
  </si>
  <si>
    <t>DS 3
Delta DS</t>
  </si>
  <si>
    <t>Max DS (von Referrals)</t>
  </si>
  <si>
    <t>Angebotene Prämie</t>
  </si>
  <si>
    <t>Summe
Angebote ohne Preis exkludiert</t>
  </si>
  <si>
    <t>Ranking
Angebote ohne Preis exkludiert</t>
  </si>
  <si>
    <t>Niedrigster Wert DS 1</t>
  </si>
  <si>
    <t>Ranking DS 1</t>
  </si>
  <si>
    <t>Niedrigster Wert DS 2</t>
  </si>
  <si>
    <t>Ranking DS 2</t>
  </si>
  <si>
    <t>Niedrigster Wert DS 3</t>
  </si>
  <si>
    <t>Ranking DS 3</t>
  </si>
  <si>
    <t>bis 150.000.000</t>
  </si>
  <si>
    <t>Fehlende Werte!!!</t>
  </si>
  <si>
    <t>Top 3 Ergebnisse</t>
  </si>
  <si>
    <t>AGCS nur als Platzhalter drin!!!</t>
  </si>
  <si>
    <t>Verformelt!!!</t>
  </si>
  <si>
    <t>Rechtsform Grobindikation:</t>
  </si>
  <si>
    <t>Rechtsform Angebot:</t>
  </si>
  <si>
    <t>W.R. Berkley</t>
  </si>
  <si>
    <t>AIG-Fac.</t>
  </si>
  <si>
    <t>AXA-Fac.</t>
  </si>
  <si>
    <t>Bedingungswerk</t>
  </si>
  <si>
    <t>HPDO 2018</t>
  </si>
  <si>
    <t>Bewertung</t>
  </si>
  <si>
    <t>Stand:</t>
  </si>
  <si>
    <t>Stand 07/18</t>
  </si>
  <si>
    <t>Stand 07/17</t>
  </si>
  <si>
    <t>Stand 10/17</t>
  </si>
  <si>
    <t>Stand 09/17</t>
  </si>
  <si>
    <t>Stand 10/18</t>
  </si>
  <si>
    <t>Stand 11/17</t>
  </si>
  <si>
    <t>Empfehlung</t>
  </si>
  <si>
    <t>Bedingte Antworten</t>
  </si>
  <si>
    <t>Inhalt</t>
  </si>
  <si>
    <t>Aktiengesellschaft</t>
  </si>
  <si>
    <t>Personengesellschaft</t>
  </si>
  <si>
    <t>Gesellschaft döR</t>
  </si>
  <si>
    <t>Berufsträger</t>
  </si>
  <si>
    <t>Sonsiges (Sonstige Themen, die beachtet werden müssen)</t>
  </si>
  <si>
    <t>Bewertung der Spalte im Vergleich zu den anderen Versicherern</t>
  </si>
  <si>
    <t>Bwertung Grobindikation</t>
  </si>
  <si>
    <t>Bewertung Angebot</t>
  </si>
  <si>
    <t>Bewertung Grobindikation</t>
  </si>
  <si>
    <t>Min</t>
  </si>
  <si>
    <t>Max</t>
  </si>
  <si>
    <t>Average</t>
  </si>
  <si>
    <t>Median</t>
  </si>
  <si>
    <t>1. Ebene</t>
  </si>
  <si>
    <t>2. Ebene</t>
  </si>
  <si>
    <t>Wichtigkeit (0%-100%)</t>
  </si>
  <si>
    <t>Beschreibung</t>
  </si>
  <si>
    <t>Minimaler Umsatz</t>
  </si>
  <si>
    <t>Maximaler Umsatz</t>
  </si>
  <si>
    <t>kein Limit</t>
  </si>
  <si>
    <t>Gleich bewertet?</t>
  </si>
  <si>
    <t xml:space="preserve">Gegenstand der Versicherung "Ziffer 1.0 HPDO Ziffer 1.0 HPDO
"
</t>
  </si>
  <si>
    <t>Gilt die Geltendmachung eines Zurückbehaltungsrechts durch die VN[1] als Inanspruchnahme im Sinne der Versicherungsfalldefinition?</t>
  </si>
  <si>
    <t xml:space="preserve">Nein
</t>
  </si>
  <si>
    <t xml:space="preserve">Ja
(Ziff. 1.1)
</t>
  </si>
  <si>
    <t>Nein</t>
  </si>
  <si>
    <t>Löst bereits der entsprechende Beschluss des zuständigen Organs über die Inanspruchnahme den Versicherungsfall aus?</t>
  </si>
  <si>
    <t>Ist ein Schiedsgerichtsverfahren unter Vermeidung des ordentlichen Rechtsweges möglich?</t>
  </si>
  <si>
    <t xml:space="preserve">Ja
Schiedsgerichtsverfahren angeboten
(Ziff. 1.1.1)
</t>
  </si>
  <si>
    <t>Relevant  GmbH</t>
  </si>
  <si>
    <t xml:space="preserve">Ja
Schiedsge-richtsverfahren angeboten, sofern der Anspruch nicht &gt; 20% der DS
Zustimmung des VR erfor-derlich, sofern Anspruch &gt; 20% der DS 
(Ziff. 1.1.1)
</t>
  </si>
  <si>
    <t xml:space="preserve">Ja
Schiedsgerichtsverfahren angeboten, sofern der Anspruch EUR 2,0 Mio. nicht übersteigt.
(Ziff. 1.1.1)
</t>
  </si>
  <si>
    <t>Wird eine Eigenschadendeckung gewährt, wenn VP[2] im Innenverhältnis von der Haftung freigestellt wurden?</t>
  </si>
  <si>
    <t xml:space="preserve">Ja
- bei Haftungsausschluss wegen erteilter Entlastung
- bei Freistellung von Organen und anderen VP im Anstellungsvertrag
- bei Freistellungspflicht wegen Doppelstellung Organ / Arbeitnehmer
- bei Haftungsfreistellung nach § 31a BGB 
- bei Arbeitnehmern
SL: 10% der DS
SB: EUR 50.000
(Ziff. 1.1.2)
</t>
  </si>
  <si>
    <t xml:space="preserve">Ja
- bei Haftungs-ausschluss wegen erteil-ter Entlastung
- bei Freistel-lung von Or-ganen und anderen VP im Anstel-lungsvertrag
- bei Freistel-lungspflicht wegen Dop-pelstellung Organ / Ar-beitnehmer
- bei Haftungs-freistellung nach § 31a BGB 
- bei Arbeit-nehmern 
SL : 20% der DS, max. EUR 2,5 Mio.
SB: EUR 50.000
(Ziff. 1.1.2)
</t>
  </si>
  <si>
    <t xml:space="preserve">Ja
- bei Haftungs-ausschluss wegen erteil-ter Entlastung
- bei Freistel-lung von Or-ganen und anderen VP im Anstel-lungsvertrag
- bei Freistel-lungspflicht wegen Dop-pelstellung Organ / Ar-beitnehmer
- bei Haftungs-freistellung nach § 31a BGB 
- bei Arbeit-nehmern (Selbstbehalt, Sublimit)
(Ziff. 1.1.2)
</t>
  </si>
  <si>
    <t xml:space="preserve">Ja
- bei Haftungsausschluss wegen erteilter Entlastung
- bei Freistellung von Organen und anderen VP im Anstellungsvertrag
- bei Freistellungspflicht wegen Doppelstellung Organ / Arbeitnehmer
- bei Haftungsfreistellung nach § 31a BGB 
- bei Arbeitnehmern (Selbstbehalt, Sublimit)
(Ziff. 1.1.2)
</t>
  </si>
  <si>
    <t>Gewährt der VR[3] den versicherten Unternehmen eine Vertrags-Rechtsschutzdeckung[4]?</t>
  </si>
  <si>
    <t xml:space="preserve">Ja, zur Abwehr von vertraglichen Ansprü-chen.
Bereits bei der Möglichkeit der späteren Inanspruchnahme.
SL: 10% der DS.
(Ziff. 1.1.3)
</t>
  </si>
  <si>
    <t xml:space="preserve">Ja, zur Abwehr von vertragli-chen Primär-leistungsan-sprüchen.
Bei Wahrschein-lichkeit der späteren Inan-spruchnahme.
SL: 10% der DS
(Ziff. 1.1.
</t>
  </si>
  <si>
    <t xml:space="preserve">Ja, zur Abwehr von vertraglichen Primärleistungsansprüchen.
Bereits bei Möglichkeit der späteren Inanspruchnahme.
SL: 10% der DS
(Ziff. 1.1.3)
</t>
  </si>
  <si>
    <t xml:space="preserve">Ja, zur Abwehr von vertraglichen Ansprüchen.
Bereits bei Möglichkeit der späteren Inanspruchnahme.
SL: 10% der DS.
(Ziff. 1.1.3)
</t>
  </si>
  <si>
    <t xml:space="preserve">Ja, zur Abwehr von vertragli-chen Ansprü-chen.
Bereits bei Möglichkeit der späteren Inan-spruchnahme.
SL: 10% der DS.
(Ziff. 1.1.3)
</t>
  </si>
  <si>
    <t xml:space="preserve">Ja, zur Abwehr von vertragli-chen Ansprü-chen.
Bereits bei behaupteter Pflichtverlet-zung.
SL: 10% der DS, max. EUR 1,0 Mio.
(Ziff. 1.1.3)
</t>
  </si>
  <si>
    <t xml:space="preserve">Ja, zur Abwehr von vertraglichen Ansprüchen.
Bereits bei Möglichkeit der späteren Inanspruchnahme.
SL: 10% der DS, max. EUR 500.000,00
(Ziff. 1.1.3)
</t>
  </si>
  <si>
    <t xml:space="preserve">Ja, zur Abwehr von vertraglichen Ansprüchen.
Bereits bei Möglichkeit der späteren Inanspruchnahme.
(Ziff. 1.1.3)
</t>
  </si>
  <si>
    <t>Ist der VR im Rahmen der Vertrags-Rechtsschutzdeckung auch zu Zahlungen über die DS hinaus verpflichtet, sofern er in Vergleichsverhandlungen einbezogen ist und der Vergleich aufgrund dessen fehlender Zustimmung scheitert?</t>
  </si>
  <si>
    <t xml:space="preserve">Ja
Bis zu 200% der DS, max. EUR 25 Mio.
(Ziff. 1.1.3)
</t>
  </si>
  <si>
    <t xml:space="preserve">Ja
Bis zu 200% der DS, max. EUR 25 Mio.
(Ziff. 1.1.3)
</t>
  </si>
  <si>
    <t>Werden Rechtsschutzkosten im Falle des Widerrufs eines Zuwendungsbescheids (Subventions-Rechtsschutz) vom VR übernommen?</t>
  </si>
  <si>
    <t>Subventionen</t>
  </si>
  <si>
    <t>bei dieser Frage ist es entscheidend zu wissen , ob Subventionin das Unternehmen fließen ansonsten irrelevant</t>
  </si>
  <si>
    <t xml:space="preserve">Ja
SL: EUR 50.000,00
(Ziff. 1.1.4)
</t>
  </si>
  <si>
    <t>bei dieser Frage ist es entscheidend zu wissen , ob Subventionin das Unternehmen fließen</t>
  </si>
  <si>
    <t xml:space="preserve">Ja
SL: 10% der DS
(Ziff. 1.1.4)
</t>
  </si>
  <si>
    <t xml:space="preserve">Ja
(Ziff. 1.1.4)
</t>
  </si>
  <si>
    <t>Gibt es einen Regressverzicht im Falle der Außenverhältnis-Freistellung[5]?</t>
  </si>
  <si>
    <t xml:space="preserve">Ja
(Ziff. 1.1.4)
</t>
  </si>
  <si>
    <t xml:space="preserve">Ja
(Ziff. 1.1.5)
</t>
  </si>
  <si>
    <t>Existiert eine Unternehmensdeckung für Fehler im Zusammenhang mit dem Handel der Wertpapiere der VN bzw. eines Tochterunternehmens?</t>
  </si>
  <si>
    <t>Wertpapier handelt</t>
  </si>
  <si>
    <t>nur wichtig wenn das Unternehmen mit Wertpapieren handelt</t>
  </si>
  <si>
    <t>Wichtig insbesondere für für börsennotierte AG´s (für andere Rechtsformen jedoch auch nicht ohne Bedeutung, da auch bspw. GmbH´s Anleihen o.ä. begeben können</t>
  </si>
  <si>
    <t xml:space="preserve">Ja,
SB: EUR 50.000,00
(Ziff. 1.1.6)
</t>
  </si>
  <si>
    <t>100 wenn das Unternehmen mit Wertpapieren handelt</t>
  </si>
  <si>
    <t xml:space="preserve">Ja,
SB: EUR 10.000,00
SL: EUR 250.000,00
(Ziff. 1.1.6)
</t>
  </si>
  <si>
    <t xml:space="preserve">Ja,
SB: EUR 10.000,00
SL: 20% der DS, max. EUR 2,5 Mio.
(Ziff. 1.1.5)
</t>
  </si>
  <si>
    <t>Gibt es eine Unternehmensdeckung bei Haftung im Ausland nach den Grundsätzen des sog. faute non separable[6]?</t>
  </si>
  <si>
    <t xml:space="preserve">TU in FRA </t>
  </si>
  <si>
    <t xml:space="preserve">Ja
(Ziff. 1.1.5)
</t>
  </si>
  <si>
    <t>Nur wichtig bei TU in Frankreich</t>
  </si>
  <si>
    <t>Tochtergesellschaften in Frankreich?</t>
  </si>
  <si>
    <t xml:space="preserve">Ja
(Ziff. 1.1.7)
</t>
  </si>
  <si>
    <t xml:space="preserve">Ja
(Ziff. 1.1.6)
</t>
  </si>
  <si>
    <t xml:space="preserve">Ja
(Ziff. 1.1.8)
</t>
  </si>
  <si>
    <t xml:space="preserve">Ja
SB: EUR 100.000,00
SL: EUR 2,5 Mio.
(Ziff. 1.1.6)
</t>
  </si>
  <si>
    <t>Werden die Kosten eines Krisenberaters im Falle der Entführung einer VP übernommen? (Kidnap &amp; Ransom – Ausschnittsdeckung)</t>
  </si>
  <si>
    <t>Auslandsbezug</t>
  </si>
  <si>
    <t xml:space="preserve">Ja
SL: EUR 250.000,00
(Ziff. 1.1.6) 
</t>
  </si>
  <si>
    <t>Wichtig insbesondere für international in Krisengebiete  tätige Unternehmen</t>
  </si>
  <si>
    <t xml:space="preserve">Ja
SL: EUR 250.000,00
(Ziff. 1.1.7) 
</t>
  </si>
  <si>
    <t>Wichtig insbesondere für international tätige Unternehmen</t>
  </si>
  <si>
    <t>Sind Tätigkeiten bei Gründung von Tochterunternehmen versichert, wenn es nicht zur Gründung kommt?</t>
  </si>
  <si>
    <t xml:space="preserve">Ja
(Ziff. 1.2)
</t>
  </si>
  <si>
    <t>Ist die Haftung wegen nicht abgeführter Steuern versichert?</t>
  </si>
  <si>
    <t>Sind Bußgelder und Strafzahlungen – soweit gesetzlich erlaubt – Schadensersatzansprüchen gleichgestellt? (Sublimit)</t>
  </si>
  <si>
    <t>Strittig</t>
  </si>
  <si>
    <t xml:space="preserve">Ja
Außer in Deutschland und Österreich
Sublimit: 10% der Deckungssumme, mind. EUR 2 Mio. 
(Ziffer 1.2)
</t>
  </si>
  <si>
    <t>Sind bestimmte Korruptionsstrafen nach britischem und US-amerikanischem Recht gedeckt?</t>
  </si>
  <si>
    <t>US / UK</t>
  </si>
  <si>
    <t xml:space="preserve">Ja
SL: 20% der DS, mind. EUR 2 Mio.
(Ziff. 1.2)
</t>
  </si>
  <si>
    <t>Wichtig insbesondere für VN´s mit Tochtergesellschaften in UK oder USA bzw. für VN´s, die dort viel Geschäft machen (auch ohne eine Tochtergesellschaft)</t>
  </si>
  <si>
    <t xml:space="preserve">Ja
SL: 10% der DS, mind. EUR 2 Mio.
(Ziff. 1.2)
</t>
  </si>
  <si>
    <t>Bei US und GB Bezug 100%</t>
  </si>
  <si>
    <t xml:space="preserve">Ja
SL: 10% der DS, mind. EUR 1 Mio.
(Ziff. 1.2)
</t>
  </si>
  <si>
    <t xml:space="preserve">Ja
SL: EUR 2 Mio.
(Ziff. 1.2)
</t>
  </si>
  <si>
    <t xml:space="preserve">Ja
SL: 20% der DS, mind. EUR 1 Mio.
(Ziff. 1.2)
</t>
  </si>
  <si>
    <t>Ist klargestellt, dass Regressansprüche aufgrund von Bußgeldern und Strafzahlungen gedeckt sind?</t>
  </si>
  <si>
    <t>Werden für bereicherungsrechtliche Ansprüche und Herausgabeansprüche vorläufige Abwehrkosten gewährt?</t>
  </si>
  <si>
    <t xml:space="preserve">Ist die Haftung für Zahlungen nach Zahlungsunfähigkeit gedeckt? </t>
  </si>
  <si>
    <t xml:space="preserve">Ja,
Ansprüche aus § 64 GmbHG und § 93 Abs. 3 Nr.6 AktG i.V.m. § 92 Abs. 2 AktG, §§ 99, 34 Abs. 3 Nr. 4 GenG, § 188 Absatz 2 Nr. 3 VAG und §§ 130a Abs. 1, Abs. 2 Satz 1 2. Hs., 177a HGB
(Ziff. 1.2)
</t>
  </si>
  <si>
    <t>Wann greift der Kenntnisausschluss bei der Rückwärtsversicherung?</t>
  </si>
  <si>
    <t xml:space="preserve">rechtskräftige Feststellung nach Buch 1 bis 4 ZPO oder Schiedsge-richtsverfahren
Versicherer ist Feststellungs-klage ver-wehrt.
(Ziff. 1.3)
</t>
  </si>
  <si>
    <t xml:space="preserve">rechtskräftige Feststellung nach Buch 1 bis 4 ZPO oder Schiedsge-richtsverfahren
(Ziff. 1.3)
</t>
  </si>
  <si>
    <t xml:space="preserve">rechtskräftige Feststellung nach Buch 1 bis 4 ZPO oder Schiedsgerichtsverfahren
Versicherer ist Feststellungsklage verwehrt.
(Ziff. 1.3)
</t>
  </si>
  <si>
    <t xml:space="preserve">rechtskräftige Feststellung nach Buch 1 bis 4 ZPO oder Schiedsge-richtsverfahren
Versicherer ist Feststellungs-klage verwehrt.
(Ziff. 1.3)
</t>
  </si>
  <si>
    <t xml:space="preserve">rechtskräftige Feststellung nach Buch 1 bis 4 ZPO oder Schiedsge-richtsverfahren
Versicherer ist Feststellungs-klage ver-wehrt.
(Ziff. 1.3)
</t>
  </si>
  <si>
    <t>Gilt die unbegrenzte Rückwärtsversicherung auch für Unternehmen, die im Zeitpunkt des Vertragsbeginns nicht die Kriterien eines Tochterunternehmens erfüllen?</t>
  </si>
  <si>
    <t xml:space="preserve">Ja, soweit VN zustimmt:
• auf VN/TU  verschmolzene Unternehmen
• TU, die vor Vertragsbeginn Rechtspersönlichkeit verloren haben
(Ziff. 1.3)
</t>
  </si>
  <si>
    <t xml:space="preserve">Ja, soweit VN zustimmt:
• auf VN/TU verschmol-zene Unter-nehmen
• TU, die vor Vertragsbe-ginn Rechts-persönlich-keit verloren haben
• vor Vertrags-beginn ver-äußerte TU
(Ziff. 1.3) 
</t>
  </si>
  <si>
    <t xml:space="preserve">Ja, soweit VN zustimmt:
• auf VN/TU verschmol-zene Unter-nehmen
• TU, die vor Vertragsbe-ginn Rechts-persönlich-keit verloren haben
• vor Ver-tragsbeginn veräußerte TU
(Ziff. 1.3) 
</t>
  </si>
  <si>
    <t xml:space="preserve">Ja, soweit VN zustimmt:
• auf VN/TU verschmolzene Unternehmen
• TU, die vor Vertragsbeginn Rechtspersönlichkeit verloren haben
• vor Vertragsbeginn veräußerte TU
(Ziff. 1.3) 
</t>
  </si>
  <si>
    <t>Unter welchen Voraussetzungen wird automatisch eine Vertragskontinuität zur Vorpolice gewährt?</t>
  </si>
  <si>
    <t xml:space="preserve">Vertrag schließt ohne zeitliche Unterbrechung an
(Ziff. 1.3.1)
</t>
  </si>
  <si>
    <t xml:space="preserve">• Vertrag schließt ohne zeitliche Un-terbrechung an
• mind. ein-jährige un-verfallbare Nachmelde-frist der Vor-police
(Ziff. 1.3.1)
</t>
  </si>
  <si>
    <t>Ist klargestellt, dass vor Vertragsbeginn ausgeschiedene Organmitglieder versichert sind?</t>
  </si>
  <si>
    <t xml:space="preserve">Ja
(Ziff. 1.4)
</t>
  </si>
  <si>
    <t>Gehören auch Interimsmanager, die auf Grundlage eines Dienstleistungsvertrags tätig sind, zum versicherten Personenkreis?</t>
  </si>
  <si>
    <t>Welche Personen ohne klassische Leitungs- oder Aufsichtsfunktion sind versichert (Auswahl)?</t>
  </si>
  <si>
    <t xml:space="preserve">- Mitglieder der genossenschaftlichen Vertreterversammlung
- Gesellschafter
- Mitglieder der Gesellschafterversammlung
- sämtliche Betriebsangehörige, sofern sie mit sonstigen VP zusammen in Anspruch genommen werden
- Syndikusanwälte
- Compliance-Beauftragte
- Betriebsratsmitglieder
- Foreign Account Tax Compliance Act-Verantwortliche
- Sicherheits- und Gesundheitsschutzkoordinatoren
- Fuhrparkleiter
- Zoll- und Exportbeauftragte
- Eigenverwalter
- Versammlungsleiter
(Ziff. 1.4)
</t>
  </si>
  <si>
    <t xml:space="preserve">- Mitglieder der genossenschaftlichen Vertreterversammlung
- Gesellschafter
- Mitglieder der Gesellschafterversammlung
- Syndikusanwälte
- Compliance-Beauftragte
- sämtliche Betriebsangehörige, sofern sie mit sonstigen VP zusammen in Anspruch genommen werden
- Versammlungsleiter
- Betriebsratsmitglieder
- Foreign Account Tax Compliance Act-Verantwortliche
- Sicherheits- und Gesundheitsschutzkoordinatoren
- Fuhrparkleiter
- Zoll- und Exportbeauftragte
- Eigenverwalter
(Ziff. 1.4)
</t>
  </si>
  <si>
    <t xml:space="preserve">- Mitglieder der genos-senschaftli-chen Vertre-terversamm-lung
- Gesellschaf-ter
- Mitglieder der Gesell-schafterver-sammlung
- Syndikusan-wälte
- Compliance-Beauftragte
- sämtliche Betriebsan-gehörige, so-fern sie mit sonstigen VP zusammen in Anspruch ge-nommen werden
- Versamm-lungsleiter
- Betriebs-ratsmitglie-der
- Foreign Ac-count Tax Compliance Act-Verantwort-liche
- Sicherheits- und Gesund-heitsschutz-koordinator-en
- Fuhrparklei-ter
- Zoll- und Exportbeauf-tragte
- Eigenverwal-ter
(Ziff. 1.4)
</t>
  </si>
  <si>
    <t>Ist klargestellt, dass operatives Handeln von Organen (Tagesgeschäft) geschützt ist?</t>
  </si>
  <si>
    <t>Wird für Fremdmandate eine Deckung (Sublimit) gewährt?[7]</t>
  </si>
  <si>
    <t xml:space="preserve">Ja
Ausschluss:
- BN
- FDI
- Wertpapierhandel in USA
SL: 20% der DS.
(Ziff. 1.4.1)
</t>
  </si>
  <si>
    <t xml:space="preserve">Ja
Ausschluss:
- FDI
- Wertpapier-handel in USA
SL: 20% der DS
(Ziff. 1.4.1)
</t>
  </si>
  <si>
    <t xml:space="preserve">Ja
Ausschluss:
- BN
- FDI
- Wertpapier-handel in USA
SL: 20% der DS
(Ziff. 1.4.1)
</t>
  </si>
  <si>
    <t xml:space="preserve">Ja
Ausschluss:
- BN
- FDI
- Sitz in USA
- Wertpapier-handel in USA
SL: 20% der DS, max. EUR 5,0 Mio.
(Ziff. 1.4.1)
</t>
  </si>
  <si>
    <t xml:space="preserve">Ja
Ausschluss:
- BN
- FDI
- Sitz in USA
- Wertpapier-handel in USA
SL: 20% der DS
(Ziff. 1.4.1)
</t>
  </si>
  <si>
    <t>Hat eine Zweifachmaximierung der Deckungssumme Auswirkungen auf das Sublimit für Fremdmandate?</t>
  </si>
  <si>
    <t xml:space="preserve">Ja,
Sublimit erhöht sich auf 50% der DS
(Ziff. 1.4.1)
</t>
  </si>
  <si>
    <t xml:space="preserve">Ja,
Sublimit entfällt
(Ziff. 1.4.1)
</t>
  </si>
  <si>
    <t xml:space="preserve">Ja,
Sublimit erhöht sich auf 40% der DS
(Ziff. 1.4.1)
</t>
  </si>
  <si>
    <t>Unter welchen alternativen Voraussetzungen sind Unternehmen als Tochterunternehmen automatisch mitversichert?</t>
  </si>
  <si>
    <t xml:space="preserve">- Mehrheit der Kapitalanteile
- Komplemen-tär-GmbH
- gemeinnützige Stiftungen, die von VN oder TU errichtet wurden
- Zweckgesell-schaften
- tatsächliche Konsolidierung
- assoziierte Unternehmen (§ 311 HGB)
- Konsolidie-rungspflicht nach IAS 27 oder IFRS 10
- Beherrschung (auch Perso-nengesell-schaften, KGaAs und Treuhandver-einbarung)
(Ziff. 1.5)
</t>
  </si>
  <si>
    <t xml:space="preserve">- Mehrheit der Kapitalanteile
- Komplementär-GmbH
- gemeinnützige Stiftungen, die von VN oder TU errichtet wurden (sofern Stiftungsvermögen nicht &gt; EUR 2,5 Mio.)
- Zweckgesellschaften
- tatsächliche Konsolidierung
- Konsolidierungspflicht nach IAS 27 oder IFRS 10
- Beherrschung (auch Personengesellschaften, KGaAs und Treuhandvereinbarung)
(Ziff. 1.5)
</t>
  </si>
  <si>
    <t xml:space="preserve">- Mehrheit der Kapitalanteile
- Komplementär-GmbH
- gemeinnützige Stiftungen, die von VN oder TU errichtet wurden (sofern Stiftungsvermögen nicht &gt; EUR 7,5 Mio.)
- Zweckgesellschaften
- tatsächliche Konsolidierung
- Konsolidierungspflicht nach IAS 27 oder IFRS 10
- Beherrschung (auch Personengesellschaften, KGaAs und Treuhandvereinbarung)
(Ziff. 1.5)
</t>
  </si>
  <si>
    <t xml:space="preserve">- Mehrheit der Kapitalanteile
- Komplementär-GmbH
- gemeinnützige Stiftungen, die von VN oder TU errichtet wurden
- Zweckgesellschaften
- tatsächliche Konsolidierung
- assoziierte Unternehmen (§ 311 HGB)
- Konsolidierungspflicht nach IAS 27
- Beherrschung (auch Personengesellschaften, KGaAs und Treuhandvereinbarung)
(Ziff. 1.5)
</t>
  </si>
  <si>
    <t xml:space="preserve">- Mehrheit der Kapitalanteile
- Komplementär-GmbH
- gemeinnützige Stiftungen, die von VN oder TU errichtet wurden
- Zweckgesellschaften
- tatsächliche Konsolidierung
- assoziierte Unternehmen (§ 311 HGB)
- Konsolidierungspflicht nach IAS 27
- Beherrschung (auch Personengesellschaften, KGaAs und Treuhandvereinbarung)
(Ziff. 1.5)
</t>
  </si>
  <si>
    <t xml:space="preserve">- Mehrheit der Kapitalanteile
- Komplemen-tär-GmbH
- gemeinnützi-ge Stiftungen, die von VN oder TU er-richtet wur-den (sofern Stiftungsver-mögen &lt; EUR 25,0 Mio.)
- Zweckgesell-schaften
- tatsächliche Konsolidie-rung
- Konsolidie-rungspflicht nach IFRS 10
- Beherr-schung (auch Personenge-sellschaften, KGaAs und Treuhand-vereinba-rung)
(Ziff. 1.5)
</t>
  </si>
  <si>
    <t xml:space="preserve">- Mehrheit der Kapitalanteile
- Komplementär-GmbH
- gemeinnützige Stiftungen, die von VN oder TU errichtet wurden
- Zweckgesellschaften
- Beherrschung (auch Personengesellschaften, KGaAs und Treuhandvereinbarung)
(Ziff. 1.5)
</t>
  </si>
  <si>
    <t xml:space="preserve">- Mehrheit der Kapitalanteile
- Komplementär-GmbH
- gemeinnützige Stiftungen, die von VN oder TU errichtet wurden
- Zweckgesellschaften
- tatsächliche Konsolidierung
- assoziierte Unternehmen (§ 311 HGB)
- Konsolidierungspflicht nach IAS 27 oder IFRS
- Beherrschung (auch Personengesellschaften, KGaAs und Treuhandvereinbarung)
(Ziff. 1.5)
</t>
  </si>
  <si>
    <t>Wird für neue Tochterunternehmen eine Rückwärtsversicherung gewährt?</t>
  </si>
  <si>
    <t xml:space="preserve">Ja
keine Kenntnis und
gegen einmalige Zusatzprämie
(Ziff. 1.7)
</t>
  </si>
  <si>
    <t xml:space="preserve">Ja
gegen Zuschlag
12 Monate: 20% Zuschlag, 10% Zuschlag bei Beschränkung auf Ansprüche Dritter
(Ziff. 1.7)
</t>
  </si>
  <si>
    <t xml:space="preserve">Ja
12 Monate prämienneut-ral, sofern VN zustimmt
24 Monate gegen max. 20% Prämienzu-schlag
(Ziff. 1.7)
</t>
  </si>
  <si>
    <t xml:space="preserve">Ja, wenn
- VP keine Kenntnis von Pflichtverletzung bei Beteiligungserwerb und
- VN innerhalb eines Monats ein warranty-statement vorlegt
(Ziff. 1.7)
</t>
  </si>
  <si>
    <t xml:space="preserve">Ja
gegen Zuschlag
(Ziff. 1.7)
</t>
  </si>
  <si>
    <t xml:space="preserve">Ja
12 Monate prämienneutral, sofern VN zustimmt
24 Monate gegen max. 20% Prämienzuschlag
(Ziff. 1.7)
</t>
  </si>
  <si>
    <t xml:space="preserve">Wird für neu gegründete oder erworbene Tochterunternehmen automatisch Versicherungsschutz gewährt und welche Grenzen gibt es? </t>
  </si>
  <si>
    <t xml:space="preserve">Ja.
lediglich Vorsorge: 
- &gt;30% Kon-zernbilanz-summe
- Sitz in USA bei Bilanz-summe &gt; USD 50 Mio. oder &gt; 25% Konzernbilanzsumme
- BN
- ADR
Ausschluss:
- KI
- FDI
(Ziff. 1.7)
</t>
  </si>
  <si>
    <t xml:space="preserve">Ja.
befristet auf 3 Monate, wenn:
- &gt;30% Kon-zernbilanz-summe
- Sitz in USA bei Bilanz-summe &gt; USD 50 Mio. oder &gt; 25% Konzernbi-lanzsumme
- BN
- KI
- FDI
(Ziff. 1.7)
</t>
  </si>
  <si>
    <t xml:space="preserve">Ja.
befristet auf 3 Monate, wenn:
- &gt;30% Konzernbilanzsumme
- Sitz in USA bei Bilanzsumme &gt; USD 50 Mio. 
- BN
- KI
- FDI
(Ziff. 1.7)
</t>
  </si>
  <si>
    <t xml:space="preserve">Ja.
befristet auf 3 Monate, wenn:
- &gt;30% Kon-zernbilanz-summe
- Sitz in USA bei Bilanz-summe &gt; USD 50 Mio. 
- BN
- ADR
- KI
- FDI
(Ziff. 1.7)
</t>
  </si>
  <si>
    <t xml:space="preserve">Ja.
befristet auf 3 Monate, wenn:
- &gt;30% Konzernbilanzsumme
- Sitz in USA bei Bilanzsumme &gt; USD 50 Mio. 
- BN
- ADR
- KI
- FDI
(Ziff. 1.7)
</t>
  </si>
  <si>
    <t xml:space="preserve">Ja.
befristet auf 3 Monate, wenn:
- &gt;30% Konzernbilanzsumme
- KI
- FDI
lediglich Vorsorge: 
- Sitz in USA bei Bilanzsumme &gt; USD 50 Mio.
- ADR
Zustimmung des VR erforderlich:
- Sitz in USA oder Kanada bei Bilanzsumme &gt; USD 50 Mio. 
- BN
(Ziff. 1.7)
</t>
  </si>
  <si>
    <t>Wird für Tochterunternehmen, die vor Vertragsbeginn veräußert wurden, eine Rückwärtsversicherung gewährt?</t>
  </si>
  <si>
    <t xml:space="preserve">Ja
(Ziff. 1.8)
</t>
  </si>
  <si>
    <t>Ist klargestellt, ab wann spätestens eine Beteiligungsveräußerung als rechtswirksam im Sinne der Versicherungsbedingungen gilt?</t>
  </si>
  <si>
    <t xml:space="preserve">Ja,
mit dem letzten Vollzugsakt, insbesondere Aufnahme der Gesellschafter-liste in das Handelsregis-ter.
(Ziff. 1.8)
</t>
  </si>
  <si>
    <t xml:space="preserve">Ja,
mit dem letz-ten Vollzugsakt, insbesondere Aufnahme der Gesellschafter-liste in das Handelsregis-ter.
(Ziff. 1.8)
</t>
  </si>
  <si>
    <t xml:space="preserve">Ja,
mit dem letzten Vollzugsakt, insbesondere Aufnahme der Gesellschafterliste in das Handelsregister.
(Ziff. 1.8)
</t>
  </si>
  <si>
    <t xml:space="preserve">Ja,
mit dem letz-ten Vollzugs-akt, insbeson-dere Aufnah-me der Gesell-schafterliste in das Handelsre-gister.
(Ziff. 1.8)
</t>
  </si>
  <si>
    <t>Kann für Tochterunternehmen eine Nachhaftung erworben werden für Pflichtverletzungen, die nach ihrer Veräußerung begangen werden?</t>
  </si>
  <si>
    <t xml:space="preserve">Ja
Nachhaftungszeitraum 1 Monat
(Ziff. 1.8)
</t>
  </si>
  <si>
    <t xml:space="preserve">Ja
Nachhaftungs-zeitraum 1 Mo-nat
(Ziff. 1.8)
</t>
  </si>
  <si>
    <t xml:space="preserve">Ja
Nachhaftungszeitraum 3 Monate
(Ziff. 1.8)
</t>
  </si>
  <si>
    <t xml:space="preserve">Sind die VP auch nach dem Verlust der Rechtsträgereigenschaft der VN im Rahmen einer Fusion/Verschmelzung geschützt? </t>
  </si>
  <si>
    <t xml:space="preserve">Ja, bis zum Ablauf der Versiche-rungsperiode.
(Ziff. 1.10.1)
</t>
  </si>
  <si>
    <t xml:space="preserve">Ja, bis zum Ablauf der Ver-sicherungsperi-ode.
(Ziff. 1.10.1)
</t>
  </si>
  <si>
    <t>(Zif. 2.1.1)</t>
  </si>
  <si>
    <t xml:space="preserve">Nein
(Ziff. 1.10.2)
</t>
  </si>
  <si>
    <t xml:space="preserve">Umfang der Versicherung Ziffer 2.0 HPDO
</t>
  </si>
  <si>
    <t>Werden Aufwendungen zur Schadenminderung oder -verhinderung erstattet?</t>
  </si>
  <si>
    <t xml:space="preserve">Ja
(Ziff. 2.1)
</t>
  </si>
  <si>
    <t xml:space="preserve">Ja
SL: EUR 100.000,00
(Ziff. 2.1)
</t>
  </si>
  <si>
    <t>Gehört auch die Vergütung von Steuerberatern und Wirtschaftsprüfern zu den Abwehrkosten?</t>
  </si>
  <si>
    <t xml:space="preserve">Ja
(Ziff. 2.1.1)
</t>
  </si>
  <si>
    <t>Verzichtet der VR auf eine Rückforderung der Abwehrkosten, sofern keine bedingungsgemäße ausdrückliche Rückerstattungspflicht besteht?</t>
  </si>
  <si>
    <t xml:space="preserve">Ja
SL: EUR 100.000,00
(Ziff. 2.1.1)
</t>
  </si>
  <si>
    <t xml:space="preserve">Ja
unbegrenzt
(Ziff. 2.1.1)
</t>
  </si>
  <si>
    <t xml:space="preserve">Ja
unbegrenzt
(Ziff. 2.1.1)
</t>
  </si>
  <si>
    <t xml:space="preserve">Ja,
SL: EUR 500.000,00
(Ziff. 2.1.1)
</t>
  </si>
  <si>
    <t>Ab wann greift die Vorleistungspflicht des VR?</t>
  </si>
  <si>
    <t xml:space="preserve">10 Werktage nach Erfüllung der Obliegenheiten gem. Ziff. 7.2.1
(Ziff. 2.1.2)
</t>
  </si>
  <si>
    <t xml:space="preserve">10 Werktage nach Erfüllung der Obliegen-heiten.
Unabhängig von der Erfüllung jeglicher Oblie-genheiten spä-testens vier Wochen nach Meldung des Versicherungs-falls.
(Ziff. 2.1.2)
</t>
  </si>
  <si>
    <t xml:space="preserve">10 Werktage nach Erfüllung der Obliegen-heiten gem. Ziff. 7.2.1
(Ziff. 2.1.2)
</t>
  </si>
  <si>
    <t xml:space="preserve">14 Werktage nach Erfüllung der Obliegen-heiten gem. Ziff. 7.2.1
(Ziff. 2.1.2)
</t>
  </si>
  <si>
    <t xml:space="preserve">14 Werktage nach Erfüllung der Obliegenheiten.
Unabhängig von der Erfüllung jeglicher Obliegenheiten spätestens vier Wochen nach Meldung des Versicherungsfalls.
(Ziff. 2.1.2)
</t>
  </si>
  <si>
    <t xml:space="preserve">10 Werktage nach Erfüllung der Obliegenheiten.
Unabhängig von der Erfüllung jeglicher Obliegenheiten spätestens vier Wochen nach Meldung des Versicherungsfalls.
(Ziff. 2.1.2)
</t>
  </si>
  <si>
    <t>Werden notwendige Kosten für unverzügliche Sofortmaßnahmen[8] gewährt? (Sublimit)</t>
  </si>
  <si>
    <t xml:space="preserve">Ja
SL: EUR 100.000,00
(Ziff. 2.1.3)
</t>
  </si>
  <si>
    <t xml:space="preserve">Ja
SL: EUR 1,0 Mio.
(Ziff. 2.1.3)
</t>
  </si>
  <si>
    <t>Besteht ein Anspruch auf vorsorgliche Rechtsberatung? (Neue Deckungsbausteine in kursiv)</t>
  </si>
  <si>
    <t xml:space="preserve">Ja, bei
- VP wird Pflichtverletzung vorgeworfen
- Unterlassungsanspruch gegen VN (SL)
- Anfechtung eines Rechtsgeschäfts gem. § 133 ff. InsO / §§ 3-6a AnfG
- Beauftragung WP zur Untersuchung der Zahlungsunfähigkeit
- Bei drohender Zahlungsunfähigkeit
- Zahlungsunfähigkeit oder Überschuldung der VN
- Stellung eines Antrags auf Insolvenzeröffnung gegen die VN oder ein TU
- Anfechtung von Hauptversammlungsbeschlüssen
- Einberufung einer Versammlung zur Entscheidung über Erhebung von Ansprüchen
- Beschluss eines Organs über Vorliegen eines haftungsrelevanten Verhaltens
- Bestellung eines besonderen Vertreters (z.B. § 147 AktG)
- Beantragung eines Klagezulassungsverfahrens nach § 148 AktG durch Aktionäre
- Aufforderung der Gesellschafter zur Geltendmachung von Ansprüchen
- bei Aufforderung zu Stellungnahmen in „Interviews“
- behördliche Untersuchung gegen VP
- Nichterteilung der Entlastung
- Aufforderung gegenüber einer VP, auf die Einrede der Verjährung zu verzichten.
- Androhung von Ansprüchen oder Streitverkündung gegenüber VP
- Androhung von Anstellungsvertragsaufhebungen
- Nach Abmahnungen
- Vorzeitige Kündigung
- Nichterbringung/Kürzung von Leistungen aus Anstellungsverträgen
- Sondergutachten gem. § 142 AktG
- Stellung eines gerichtlichen Antrags zur Bestellung eines anderen satzungsmäßigen Vertreters
- Auskunftsverlangen des (vorläufigen) Insolvenzverwalters ggü. VP
- Feststellung von Fehlern in genossenschaftlicher Pflichtprüfung
- Prüfung gem. § 44 KWG
(Ziff. 2.1.4)
</t>
  </si>
  <si>
    <t xml:space="preserve">Ja, bei
- VP wird Pflichtverletzung vorgeworfen
- Einleitung eines zivilrechtlichen Verfahrens auf Widerruf oder Unterlassung
- Unterlassungsanspruch gegen VN (SL)
- Anfechtung eines Rechtsgeschäfts gem. § 130 ff. InsO / §§ 3-6a AnfG
- Beauftragung WP zur Untersuchung der Zahlungsunfähigkeit
- Anfechtung von Hauptversammlungsbeschlüssen
- Einberufung einer Versammlung zur Entscheidung über Erhebung von Ansprüchen
- Beschluss eines Organs über Vorliegen eines haftungsrelevanten Verhaltens
- Bestellung eines besonderen Vertreters (z.B. § 147 AktG)
- Beantragung eines Klagezulassungsverfahrens nach § 148 AktG durch Aktionäre
- Aufforderung der Gesellschafter zur Geltendmachung von Ansprüchen
- bei Aufforderung zu Stellungnahmen in „Interviews“
- behördliche Untersuchung gegen VP
- Nichterteilung der Entlastung
- Aufforderung gegenüber einer VP, auf die Einrede der Verjährung zu verzichten.
- Androhung von Ansprüchen oder Streitverkündung gegenüber VP
- Androhung von Anstellungsvertragsaufhebungen
- Nach Abmahnungen
- Vorzeitige Kündigung
- Nichterbringung/Kürzung von Leistungen aus Anstellungsverträgen
- Sondergutachten gem. § 142 AktG
- Stellung eines gerichtlichen Antrags zur Bestellung eines anderen satzungsmäßigen Vertreters
- Auskunftsverlangen des (vorläufigen) Insolvenzverwalters ggü. VP
- Feststellung von Fehlern in genossenschaftlicher Pflichtprüfung
- Prüfung gem. § 44 KWG
(Ziff. 2.1.4)
</t>
  </si>
  <si>
    <t xml:space="preserve">Ja, bei
- VP wird Pflichtverletzung vorgeworfen
- Einleitung eines zivilrechtlichen Verfahrens auf Widerruf oder Unterlassung
- Unterlassungsanspruch gegen VN (SL)
- Anfechtung eines Rechtsgeschäfts gem. § 130 ff. InsO / §§ 3-6a AnfG
- Beauftragung WP zur Untersuchung der Zahlungsunfähigkeit
- Bei drohender Zahlungsunfähigkeit
- Zahlungsunfähigkeit oder Überschuldung der VN
- Stellung eines Antrags auf Insolvenzeröffnung gegen die VN oder ein TU (gemeinsames SL: EUR 25.000,00)
- Anfechtung von Hauptversammlungsbeschlüssen
- Einberufung einer Versammlung zur Entscheidung über Erhebung von Ansprüchen
- Beschluss eines Organs über Vorliegen eines haftungsrelevanten Verhaltens
- Bestellung eines besonderen Vertreters (z.B. § 147 AktG)
- Beantragung eines Klagezulassungsverfahrens nach § 148 AktG durch Aktionäre
- Aufforderung der Gesellschafter zur Geltendmachung von Ansprüchen
- bei Aufforderung zu Stellungnahmen in „Interviews“
- behördliche Untersuchung gegen VP
- Nichterteilung der Entlastung
- Aufforderung gegenüber einer VP, auf die Einrede der Verjährung zu verzichten.
- Androhung von Ansprüchen oder Streitverkündung gegenüber VP
- Androhung von Anstellungsvertragsaufhebungen
- Nach Abmahnungen
- Vorzeitige Kündigung
- Nichterbringung/Kürzung von Leistungen aus Anstellungsverträgen
- Sondergutachten gem. § 142 AktG
- Stellung eines gerichtlichen Antrags zur Bestellung eines anderen satzungsmäßigen Vertreters
- Auskunftsverlangen des (vorläufigen) Insolvenzverwalters ggü. VP
- Feststellung von Fehlern in genossenschaftlicher Pflichtprüfung
- Prüfung gem. § 44 KWG
(Ziff. 2.1.4)
</t>
  </si>
  <si>
    <t xml:space="preserve">Ja, bei
- VP wird Pflichtverletzung vorgeworfen
- Einleitung eines zivilrechtlichen Verfahrens auf Widerruf oder Unterlassung
- Unterlassungsanspruch gegen VN (SL)
- Anfechtung eines Rechtsgeschäfts gem. § 130 ff. InsO / §§ 3-6a AnfG
- Beauftragung WP zur Untersuchung der Zahlungsunfähigkeit
- Bei drohender Zahlungsunfähigkeit
- Zahlungsunfähigkeit oder Überschuldung der VN
- Stellung eines Antrags auf Insolvenzeröffnung gegen die VN oder ein TU
- Anfechtung von Hauptversammlungsbeschlüssen
- Einberufung einer Versammlung zur Entscheidung über Erhebung von Ansprüchen
- Beschluss eines Organs über Vorliegen eines haftungsrelevanten Verhaltens
- Bestellung eines besonderen Vertreters (z.B. § 147 AktG)
- Beantragung eines Klagezulassungsverfahrens nach § 148 AktG durch Aktionäre
- Aufforderung der Gesellschafter zur Geltendmachung von Ansprüchen
- bei Aufforderung zu Stellungnahmen in „Interviews“
- behördliche Untersuchung gegen VP
- Nichterteilung der Entlastung
- Aufforderung gegenüber einer VP, auf die Einrede der Verjährung zu verzichten.
- Androhung von Ansprüchen oder Streitverkündung gegenüber VP
- Androhung von Anstellungsvertragsaufhebungen
- Nach Abmahnungen
- Vorzeitige Kündigung
- Nichterbringung/Kürzung von Leistungen aus Anstellungsverträgen
- Sondergutachten gem. § 142 AktG
- Stellung eines gerichtlichen Antrags zur Bestellung eines anderen satzungsmäßigen Vertreters
- Auskunftsverlangen des (vorläufigen) Insolvenzverwalters ggü. VP
- Feststellung von Fehlern in genossenschaftlicher Pflichtprüfung
- Prüfung gem. § 44 KWG
(Ziff. 2.1.4)
</t>
  </si>
  <si>
    <t xml:space="preserve">Ja, bei
- VP wird Pflichtverletzung vorgeworfen
- Einleitung eines zivilrechtlichen Verfahrens auf Widerruf oder Unterlassung
- Unterlassungsanspruch gegen VN (SL)
- Anfechtung eines Rechtsgeschäfts gem. § 130 ff. InsO / §§ 3-6a AnfG
- Beauftragung WP zur Untersuchung der Zahlungsunfähigkeit
- Bei drohender Zahlungsunfähigkeit
- Stellung eines Antrags auf Insolvenzeröffnung gegen die VN oder ein TU
- Anfechtung von Hauptversammlungsbeschlüssen
- Einberufung einer Versammlung zur Entscheidung über Erhebung von Ansprüchen
- Beschluss eines Organs über Vorliegen eines haftungsrelevanten Verhaltens
- Bestellung eines besonderen Vertreters (z.B. § 147 AktG)
- Beantragung eines Klagezulassungsverfahrens nach § 148 AktG durch Aktionäre
- Aufforderung der Gesellschafter zur Geltendmachung von Ansprüchen
- bei Aufforderung zu Stellungnahmen in „Interviews“
- behördliche Untersuchung gegen VP
- Nichterteilung der Entlastung
- Aufforderung gegenüber einer VP, auf die Einrede der Verjährung zu verzichten.
- Androhung von Ansprüchen oder Streitverkündung gegenüber VP
- Androhung von Anstellungsvertragsaufhebungen
- Nach Abmahnungen
- Vorzeitige Kündigung
- Nichterbringung/Kürzung von Leistungen aus Anstellungsverträgen
- Sondergutachten gem. § 142 AktG
- Stellung eines gerichtlichen Antrags zur Bestellung eines anderen satzungsmäßigen Vertreters
- Auskunftsverlangen des (vorläufigen) Insolvenzverwalters ggü. VP
- Feststellung von Fehlern in genossenschaftlicher Pflichtprüfung
- Prüfung gem. § 44 KWG
(Ziff. 2.1.4)
</t>
  </si>
  <si>
    <t xml:space="preserve">Ja, bei
- VP wird Pflichtverletzung vorgeworfen
- Einleitung eines zivilrechtlichen Verfahrens auf Widerruf oder Unterlassung
- Unterlassungsanspruch gegen VN (SL)
- Anfechtung eines Rechtsgeschäfts gem. § 130 ff. InsO / §§ 3-6a AnfG
- Beauftragung WP zur Untersuchung der Zahlungsunfähigkeit
- Bei drohender Zahlungsunfähigkeit
- Zahlungsunfähigkeit oder Überschuldung der VN
- Anfechtung von Hauptversammlungsbeschlüssen
- Einberufung einer Versammlung zur Entscheidung über Erhebung von Ansprüchen
- Beschluss eines Organs über Vorliegen eines haftungsrelevanten Verhaltens
- Bestellung eines besonderen Vertreters (z.B. § 147 AktG)
- Beantragung eines Klagezulassungsverfahrens nach § 148 AktG durch Aktionäre
- Aufforderung der Gesellschafter zur Geltendmachung von Ansprüchen
- bei Aufforderung zu Stellungnahmen in „Interviews“
- behördliche Untersuchung gegen VP
- Nichterteilung der Entlastung
- Aufforderung gegenüber einer VP, auf die Einrede der Verjährung zu verzichten.
- Androhung von Ansprüchen oder Streitverkündung gegenüber VP
- Androhung von Anstellungsvertragsaufhebungen
- Nach Abmahnungen
- Vorzeitige Kündigung
- Nichterbringung/Kürzung von Leistungen aus Anstellungsverträgen
- Sondergutachten gem. § 142 AktG
- Stellung eines gerichtlichen Antrags zur Bestellung eines anderen satzungsmäßigen Vertreters
- Auskunftsverlangen des (vorläufigen) Insolvenzverwalters ggü. VP
- Feststellung von Fehlern in genossenschaftlicher Pflichtprüfung
- Prüfung gem. § 44 KWG
(Ziff. 2.1.4)
</t>
  </si>
  <si>
    <t xml:space="preserve">Ja, bei
- VP wird Pflichtverletzung vorgeworfen
- Einleitung eines zivilrechtlichen Verfahrens auf Widerruf oder Unterlassung
- Unterlassungsanspruch gegen VN (SL)
- Anfechtung eines Rechtsgeschäfts gem. § 133 InsO
- Beauftragung WP zur Untersuchung der Zahlungsunfähigkeit
- Bei drohender Zahlungsunfähigkeit
- Zahlungsunfähigkeit oder Überschuldung der VN
- Stellung eines Antrags auf Insolvenzeröffnung gegen die VN oder ein TU
- Anfechtung von Hauptversammlungsbeschlüssen
- Einberufung einer Versammlung zur Entscheidung über Erhebung von Ansprüchen
- Beschluss eines Organs über Vorliegen eines haftungsrelevanten Verhaltens
- Bestellung eines besonderen Vertreters (z.B. § 147 AktG)
- Beantragung eines Klagezulassungsverfahrens nach § 148 AktG durch Aktionäre
- Aufforderung der Gesellschafter zur Geltendmachung von Ansprüchen
- bei Aufforderung zu Stellungnahmen in „Interviews“
- behördliche Untersuchung gegen VP
- Nichterteilung der Entlastung
- Aufforderung gegenüber einer VP, auf die Einrede der Verjährung zu verzichten.
- Androhung von Ansprüchen oder Streitverkündung gegenüber VP
- Androhung von Anstellungsvertragsaufhebungen
- Nach Abmahnungen
- Vorzeitige Kündigung
- Nichterbringung/Kürzung von Leistungen aus Anstellungsverträgen
- Sondergutachten gem. § 142 AktG
- Stellung eines gerichtlichen Antrags zur Bestellung eines anderen satzungsmäßigen Vertreters
- Auskunftsverlangen des (vorläufigen) Insolvenzverwalters ggü. VP
- Feststellung von Fehlern in genossenschaftlicher Pflichtprüfung
- Prüfung gem. § 44 KWG
(Ziff. 2.1.4)
</t>
  </si>
  <si>
    <t>Werden im Rahmen der Abwehrkosten auch bestimmte Kosten erstattet, wenn die VN oder ein TU statt der Erklärung der Aufrechnung ein Zurückbehaltungsrecht geltend macht?</t>
  </si>
  <si>
    <t xml:space="preserve">Ja
(Ziff. 2.1.5)
</t>
  </si>
  <si>
    <t>Erstattet der VR den VP Abfindungszahlungen (Sublimit), wenn die Gesellschaft diese mit dem Schaden aufrechnet oder ein Zurückbehaltungsrecht geltend macht?</t>
  </si>
  <si>
    <t xml:space="preserve">Ja
SL: 20 % der DS
(Ziff. 2.1.6)
</t>
  </si>
  <si>
    <t xml:space="preserve">Ja
SL: 20 % der DS, max. EUR 1,0 Mio.
(Ziff. 2.1.6)
</t>
  </si>
  <si>
    <t>Zahlt der VR den versicherten Personen das Gehalt fort, wenn die Gesellschaft dieses mit dem Schaden aufrechnet oder ein Zurückbehaltungsrecht geltend macht?</t>
  </si>
  <si>
    <t xml:space="preserve">Ja,
zeitlich unbe-grenzt, max. EUR 1,0 Mio.
(Ziff. 2.1.7)
</t>
  </si>
  <si>
    <t xml:space="preserve">Ja,
zeitlich unbe-grenzt, max. EUR 700.000,00/VP
(Ziff. 2.1.7)
</t>
  </si>
  <si>
    <t xml:space="preserve">Ja,
3 Jahre, max. EUR 1,0 Mio./VP
(Ziff. 2.1.7)
</t>
  </si>
  <si>
    <t xml:space="preserve">Ja,
zeitlich unbegrenzt, max. EUR 700.000,00/VP
(Ziff. 2.1.7)
</t>
  </si>
  <si>
    <t xml:space="preserve">Ja,
3 Jahre, max. EUR 1,0 Mio.
(Ziff. 2.1.7)
</t>
  </si>
  <si>
    <t>Erstattet der VR im Falle der Streitverkündung die Beratungskosten für die Frage des Streitbeitritts?</t>
  </si>
  <si>
    <t>Streitverkündung</t>
  </si>
  <si>
    <t xml:space="preserve">Ja
(Ziff. 2.1.9)
</t>
  </si>
  <si>
    <t>Wichtig für AG´s und eG´s da Streitverkündung insbesondere gegen Aufsichtsrat erfolgen kann</t>
  </si>
  <si>
    <t>Kann ein Schlichtungsverfahren durchgeführt werden?</t>
  </si>
  <si>
    <t xml:space="preserve">Ja
(Ziff. 2.1.10)
</t>
  </si>
  <si>
    <t>Werden im Rahmen der Strafrechtsschutzausschnittsdeckung die erforderlichen Kosten für die Stellung einer Kaution übernommen?</t>
  </si>
  <si>
    <t xml:space="preserve">Ja
(Ziff. 2.2)
</t>
  </si>
  <si>
    <t>Gewährt der VR Kosten zur Abwendung einer Rufschädigung?</t>
  </si>
  <si>
    <t xml:space="preserve">Ja,
auch bei künf-tiger Medien-berichterstat-tung
SL: 25% der DS. 
(Ziff. 2.2.2)
</t>
  </si>
  <si>
    <t xml:space="preserve">Ja,
auch bei künfti-ger Medienbe-richterstattung
SL: EUR 1,0 Mio.
(Ziff. 2.2.2)
</t>
  </si>
  <si>
    <t xml:space="preserve">Ja,
auch bei künfti-ger Medienbe-richterstattung
SL: 25% der DS
(Ziff. 2.2.2)
</t>
  </si>
  <si>
    <t xml:space="preserve">Ja,
auch bei künfti-ger Medienbe-richterstattung
SL: EUR 3,0 Mio.
(Ziff. 2.2.2)
</t>
  </si>
  <si>
    <t xml:space="preserve">Ja,
auch bei künftiger Medienberichterstattung
SL: EUR 3,0 Mio.
(Ziff. 2.2.2)
</t>
  </si>
  <si>
    <t xml:space="preserve">Ja,
auch bei künftiger Medienberichterstattung
SL: EUR 1,0 Mio.
(Ziff. 2.2.2)
</t>
  </si>
  <si>
    <t xml:space="preserve">Ja,
auch bei künf-tiger Medien-berichterstat-tung
SL: 20% der DS, max. EUR 500.000,00 
(Ziff. 2.2.2)
</t>
  </si>
  <si>
    <t xml:space="preserve">Ja,
auch bei künf-tiger Medienbe-richterstattung
SL: 25% der DS. 
(Ziff. 2.2.2)
</t>
  </si>
  <si>
    <t>Werden im Fall der Kündigung bzw. Abberufung Kosten einer Karriereberatung übernommen?</t>
  </si>
  <si>
    <t xml:space="preserve">Ja,
diverse Subli-mits 
kein Abstim-mungserforder-nis, wenn Ver-mittlung über Howden Ger-many erfolgt
(Ziff. 2.2.3)
</t>
  </si>
  <si>
    <t xml:space="preserve">Ja
diverse Sublimits 
kein Abstimmungserfordernis, wenn Vermittlung über Howden Germany erfolgt
(Ziff. 2.2.3)
</t>
  </si>
  <si>
    <t>Werden Kosten für wettbewerbsrechtliche Unterlassungsansprüche ersetzt?</t>
  </si>
  <si>
    <t xml:space="preserve">Ja
(Ziff. 2.2.3)
</t>
  </si>
  <si>
    <t xml:space="preserve">Ja
(Ziff. 2.2.4)
</t>
  </si>
  <si>
    <t xml:space="preserve">Ja
SL: 10% der DS, max. EUR 250.000,00 
(Ziff. 2.2.4)
</t>
  </si>
  <si>
    <t>Besteht für die Organe ein aktiver Rechtsschutz?</t>
  </si>
  <si>
    <t xml:space="preserve">Ja,
- für negative Feststellungsklage,
- für die Streitverkündung,
- für die Widerklage und
- für die Durchsetzung von Auskunfts- und Herausgabeansprüchen
(Ziffer 2.2.4)
</t>
  </si>
  <si>
    <t xml:space="preserve">Ja,
- für negative Feststel-lungsklage,
- für die Streit-verkündung,
- für die Wi-derklage und
- für die Durch-setzung von Auskunfts- und Heraus-gabeansprü-chen
(Ziffer 2.2.4)
</t>
  </si>
  <si>
    <t xml:space="preserve">Ja,
- für negative Feststel-lungsklage,
- für die Streit-verkündung,
- für die Wi-derklage und
- für die Durchsetzung von Aus-kunfts- und Herausgabe-ansprüchen
(Ziffer 2.2.5)
</t>
  </si>
  <si>
    <t xml:space="preserve">Ja,
- für negative Feststellungsklage,
- für die Streitverkündung,
- für die Widerklage und
- für die Durchsetzung von Auskunfts- und Herausgabeansprüchen
(Ziffer 2.2.5)
</t>
  </si>
  <si>
    <t>Gibt es einen Rechtsschutz bei Entzug der Gemeinnützigkeit oder der stiftungsrechtlichen Genehmigung?</t>
  </si>
  <si>
    <t>Stiftung</t>
  </si>
  <si>
    <t xml:space="preserve">Ja
(Ziff. 2.2.5)
</t>
  </si>
  <si>
    <t>Wenn Stiftung, Verband oder Verein</t>
  </si>
  <si>
    <t>Wichtig insbesondere für Stiftungen und Vereine</t>
  </si>
  <si>
    <t xml:space="preserve">Ja
(Ziff. 2.2.6)
</t>
  </si>
  <si>
    <t>Kann gegen Zuschlag die Deckungssumme für unbekannte Pflichtverletzungen wieder aufgefüllt oder eine zweite Deckungssumme erworben werden?</t>
  </si>
  <si>
    <t xml:space="preserve">Ja
(Ziffer 2.4)
</t>
  </si>
  <si>
    <t xml:space="preserve">Ja
(Ziff. 2.4)
</t>
  </si>
  <si>
    <t>Werden Zahlungen an die VP privilegiert, falls die Deckungssumme nicht ausreicht?</t>
  </si>
  <si>
    <t xml:space="preserve">Ja,
Leistungen im Rahmen der Unternehmensdeckung und der Eigenschadendeckung sind zurückzuerstatten
(Ziff. 2.4)
</t>
  </si>
  <si>
    <t xml:space="preserve">Ja,
Leistungen im Rahmen der Unternehmensdeckung und der Eigenschadendeckung sind zurückzuerstatten
(Ziff. 2.4.1)
</t>
  </si>
  <si>
    <t>Gewährt der VR bei Verbrauch der Deckungssumme zusätzliche Abwehrkosten für weitere Versicherungsfälle?</t>
  </si>
  <si>
    <t xml:space="preserve">Ja
max. EUR 2,0 Mio.
(Ziff. 2.4.2)
</t>
  </si>
  <si>
    <t xml:space="preserve">Ja.
Verbrauch der DS der Exzeden-tenverträge auch erforder-lich.
SL: EUR 2,5 Mio.
(Ziff. 2.4.2)
</t>
  </si>
  <si>
    <t xml:space="preserve">Ja
SL: 50% der DS, mind. EUR 1 Mio.
(Ziff. 2.4.2)
</t>
  </si>
  <si>
    <t xml:space="preserve">Ja.
SL: 50% der DS, wenn DS nicht &gt; EUR 10,0 Mio.
SL: EUR 2,5 Mio., wenn DS &gt; EUR 10,0 Mio.
(Ziff. 2.4.2)
</t>
  </si>
  <si>
    <t xml:space="preserve">Ja
SL: 50% der DS, max. EUR 2,5 Mio.
(Ziff. 2.4.2)
</t>
  </si>
  <si>
    <t xml:space="preserve">Ja, aber nur, wenn DS nicht &gt; EUR 20,0 Mio.
SL: 20% der DS.
(Ziff. 2.4.2)
</t>
  </si>
  <si>
    <t xml:space="preserve">Ja
SL: 50% der DS, min. EUR 1,0 Mio.
(Ziff. 2.4.2)
</t>
  </si>
  <si>
    <t>Gibt es ein persönliches Zusatzlimit bei Verbrauch der Deckungssumme?</t>
  </si>
  <si>
    <t xml:space="preserve">Ja
- Vorstandsvorsitzender
- Geschäftsführer
- Finanzvorstand
- Aufsichtsratsvorsitzender
SL: EUR 1 Mio., max. 10% der DS
(Ziff. 2.4.3)
</t>
  </si>
  <si>
    <t xml:space="preserve">Ja
alle VP
SL: 10% der DS, max. EUR 1 Mio.
(Ziff. 2.4.3)
</t>
  </si>
  <si>
    <t>Ist eine Zweifach-Maximierung der Deckungssumme gegen Prämienzuschlag erhältlich (ggf. bei Ausschluss der Wiederauffüllung)?</t>
  </si>
  <si>
    <t xml:space="preserve">Ja
(BDV)
</t>
  </si>
  <si>
    <t>Verzichtet der VR auf ein Widerspruchsrecht bei der freien Anwaltswahl, wenn der Anwalt einem bestimmten Netzwerk angehört?</t>
  </si>
  <si>
    <t xml:space="preserve">Ja
Hendricks-Anwalts-Netzwerk (HAN)
(Ziff. 2.5)
</t>
  </si>
  <si>
    <t>Sind günstigere ausländische Standardbedingungen anwendbar?</t>
  </si>
  <si>
    <t xml:space="preserve">Ja 
(Ziff. 2.6)
</t>
  </si>
  <si>
    <t>Wichtig für VN´s mit Tochtergesellschaften im Ausland</t>
  </si>
  <si>
    <t xml:space="preserve">Ja
(Ziff. 2.6)
</t>
  </si>
  <si>
    <t xml:space="preserve">Ausschlüsse Ziffer 3.0 HPDO
</t>
  </si>
  <si>
    <t>Greifen sämtliche Ausschlusstatbestände – und nicht nur der Vorsatzausschluss – erst bei rechtskräftiger Feststellung?</t>
  </si>
  <si>
    <t>Gilt der Vorsatzausschluss in Bezug auf Abwehrkosten erst bei rechtskräftiger Feststellung?</t>
  </si>
  <si>
    <t xml:space="preserve">Ja,
Feststellung muss in Verfahren nach Buch 1 bis 4 der ZPO oder im Schiedsgerichtsverfahren erfolgen.
Versicherer ist Feststellungsklage verwehrt.
(Ziff. 3.1)
</t>
  </si>
  <si>
    <t xml:space="preserve">Ja,
Vorsatz muss rechtskräftig in einem Verfah-ren über die Haftungsfrage festgestellt werden. 
Versicherer ist Feststellungs-klage verwehrt.
(Ziff. 3.1)
</t>
  </si>
  <si>
    <t xml:space="preserve">Ja,
Vorsatz muss rechtskräftig in einem Verfahren über die Haftungsfrage festgestellt werden. 
Versicherer ist Feststellungsklage verwehrt.
(Ziff. 3.1)
</t>
  </si>
  <si>
    <t xml:space="preserve">Ja,
Feststellung muss in Ver-fahren nach Buch 1 bis 4 der ZPO oder im Schiedsge-richtsverfahren erfolgen.
Versicherer ist Feststellungs-klage ver-wehrt.
(Ziff. 3.1)
</t>
  </si>
  <si>
    <t>Findet der Vorsatzausschluss auch Anwendung, wenn die direkt vorsätzliche Pflichtverletzung nur mitursächlich oder alternativ kausal für den geltend gemachten Schaden ist?</t>
  </si>
  <si>
    <t>Ja</t>
  </si>
  <si>
    <t xml:space="preserve">Nein
(Ziff. 3.1)
</t>
  </si>
  <si>
    <t>Werden Abwehrkosten nicht auf die Deckungssumme angerechnet, wenn Rückerstattung nicht erfolgt?</t>
  </si>
  <si>
    <t xml:space="preserve">Ja
Bei Verzicht
(Ziff. 2.4 und 3.1)
</t>
  </si>
  <si>
    <t xml:space="preserve">Ja,
bei Verzicht
(Ziff. 3.1)
</t>
  </si>
  <si>
    <t xml:space="preserve">Ja
Bei Verzicht
(Ziff. 2.4)
</t>
  </si>
  <si>
    <t xml:space="preserve">Ja
bei Verzicht
(Ziff. 2.4 u. 3.1)
</t>
  </si>
  <si>
    <t>Was umfasst der USA-Ausschluss?[9]</t>
  </si>
  <si>
    <t xml:space="preserve">eingeschränkte Innenverhältnis-deckung, aber Abwehrkosten 
ERISA
(Ziff. 3.3)
</t>
  </si>
  <si>
    <t>Wichtig für VN´s mit Tochtergesellschaften in den USA</t>
  </si>
  <si>
    <t xml:space="preserve">eingeschränkte Innenverhält-nisdeckung, aber Abwehr-kosten 
(Ziff. 3.3)
</t>
  </si>
  <si>
    <t xml:space="preserve">eingeschränkte Innenverhält-nisdeckung, aber Abwehr-kosten
ERISA
RICO
Umwelt (Wie-dereinschluss in bestimmten Fällen)
(Ziff. 3.3)
</t>
  </si>
  <si>
    <t xml:space="preserve">eingeschränkte Innenverhältnisdeckung, aber Abwehrkosten 
(Ziff. 3.3)
</t>
  </si>
  <si>
    <t xml:space="preserve">eingeschränkte Innenverhältnisdeckung, aber Abwehrkosten
RICO
EPL
(Ziff. 3.3)
</t>
  </si>
  <si>
    <t>Gilt der Ausschluss auch für Kanada?</t>
  </si>
  <si>
    <t>Wichtig für VN´s mit Tochtergesellschaften in Kanada</t>
  </si>
  <si>
    <t xml:space="preserve">Ja
(Ziff. 3.3)
</t>
  </si>
  <si>
    <t>Für welche Wirtschafts- und Handelssanktionen gilt der Sanktions-/Embargoausschluss?</t>
  </si>
  <si>
    <t xml:space="preserve">• Sanktionen der EU/EEA
(Ziff. 3.5)
</t>
  </si>
  <si>
    <t>Wichtig für VN´s die international aufgestellt und tätig sind</t>
  </si>
  <si>
    <t xml:space="preserve">Sämtliche Wirt-schafts- und Handelssanktio-nen sind erfasst (keine Ein-schränkung)
(Ziff. 3.5)
</t>
  </si>
  <si>
    <t>Wichtig für VN´s die international aufgestellt und tätig sind, jedoch sind die Versicherer nunmehr sehr vorsichtig und haben ein weites Verständnis ihrer Klauseln</t>
  </si>
  <si>
    <t xml:space="preserve">• Sanktionen der UN
• Sanktionen der EU/EEA
(Ziff. 3.5)
</t>
  </si>
  <si>
    <t>Wichtig für VN´s die international aufgestellt und tätig sind/Axa zeichnet jetzt nur noch eine strengere Sanktionsklausel. Das Wording liegt zur Freigabe bei AXA, alle Verträge sollen umgestellt werden.</t>
  </si>
  <si>
    <t xml:space="preserve">• Sanktionen der UN
• Sanktionen der EU/EEA
• Sonstige anwendbare nationale Sanktionen (einschränkend erforderlich ist immer ein Verstoß gegen deutsches bzw. EU-Recht)
(Ziff. 3.5)
</t>
  </si>
  <si>
    <t xml:space="preserve">• Sanktionen der BRD
• Sanktionen der EU
(Ziff. 3.5)
</t>
  </si>
  <si>
    <t xml:space="preserve">Dauer der Versicherung Ziffer 6.0 HPDO
</t>
  </si>
  <si>
    <t>Kann die Versicherungsperiode einseitig von der VN verlängert werden?</t>
  </si>
  <si>
    <t xml:space="preserve">Ja,
3 Monate
(Ziff. 6.1)
</t>
  </si>
  <si>
    <t>Werden Erstprämien wie Folgeprämien behandelt?[10]</t>
  </si>
  <si>
    <t xml:space="preserve">Ja.
(Ziff. 6.1.1)
</t>
  </si>
  <si>
    <t>Ist der Versicherer auch bei Zahlungsverzug der Erstprämie zur Leistung verpflichtet?</t>
  </si>
  <si>
    <t xml:space="preserve">Ja,
wenn die tat-sächliche oder behauptete Pflichtverlet-zung vor Zah-lungsverzug eingetreten ist.
(Ziff. 6.1.1)
</t>
  </si>
  <si>
    <t>Wie lang ist die unverfallbare Nachmeldefrist in Jahren nach Beendigung des Vertrages?</t>
  </si>
  <si>
    <t>AGs</t>
  </si>
  <si>
    <t xml:space="preserve">6 Jahre
prämienneutral
12 Jahre
gegen 50-100% Zuschlag bei Vertragsende
unbegrenzt:
prämienneutral bei Mandatsbeendigung von (Vor-) Ruheständlern oder aus gesundheitlichen Gründen 
(Ziff. 6.3 ff.)
</t>
  </si>
  <si>
    <t>Wichtig AG´s mit Börsennotierung, da 10 Jahre Verjährungsfrist</t>
  </si>
  <si>
    <t xml:space="preserve">7 Jahre
prämienneutral
12 Jahre
gegen 80% Zu-schlag innerhalb der ersten 3 Monate ab Vertragsschluss (Sofortkaufop-tion)
gegen 50-100% Zuschlag bei Vertragsende
unbegrenzt:
prämienneutral bei Mandatsbe-endigung von (Vor-) Ruhe-ständlern oder aus gesundheit-lichen Gründen oder aufgrund von Restruktu-rierungsmaß-nahmen, die zum Wegfall der jeweiligen Position führen
(Ziff. 6.3 f.)
</t>
  </si>
  <si>
    <t xml:space="preserve">12 Jahre
prämienneutral
unbegrenzt:
prämienneutral bei Mandatsbe-endigung von (Vor-) Ruhe-ständlern oder aus gesundheit-lichen Gründen oder aufgrund von Restruktu-rierungsmaß-nahmen
(Ziff. 6.3 f.)
</t>
  </si>
  <si>
    <t xml:space="preserve">7 Jahre
prämienneutral
12 Jahre
gegen 80% Zuschlag innerhalb der ersten 3 Monate ab Vertragsschluss (Sofortkaufoption)
gegen 50-100% Zuschlag bei Vertragsende
unbegrenzt:
prämienneutral bei Mandatsbeendigung von (Vor-) Ruheständlern oder aus gesundheitlichen Gründen oder aufgrund von Restrukturierungsmaßnahmen
(Ziff. 6.3 ff.)
</t>
  </si>
  <si>
    <t xml:space="preserve">7 Jahre
prämienneutral
12 Jahre
gegen 80% Zuschlag innerhalb der ersten 3 Monate ab Vertragsschluss (Sofortkaufoption)
gegen 50-100% Zuschlag bei Vertragsende
unbegrenzt:
prämienneutral bei Mandatsbeendigung von (Vor-) Ruheständlern oder aus gesundheitlichen Gründen oder aufgrund von Restrukturierungsmaßnahmen
(Ziff. 6.3 ff.)
</t>
  </si>
  <si>
    <t xml:space="preserve">7 Jahre
prämienneutral
12 Jahre
gegen 80% Zu-schlag inner-halb der ersten 3 Monate ab Vertragsschluss (Sofortkaufop-tion)
gegen 50-100% Zuschlag bei Vertragsende
unbegrenzt:
prämienneutral bei Mandatsbe-endigung von (Vor-) Ruhe-ständlern oder aus gesundheit-lichen Gründen oder aufgrund von Restruktu-rierungsmaß-nahmen, die zum Wegfall der jeweiligen Position führen
(Ziff. 6.3 ff.)
</t>
  </si>
  <si>
    <t xml:space="preserve">7 Jahre
prämienneutral
12 Jahre
gegen 80% Zuschlag innerhalb der ersten 3 Monate ab Vertragsschluss (Sofortkaufoption)
gegen 50-100% Zuschlag bei Vertragsende
unbegrenzt:
prämienneutral bei ordentlicher Mandatsbeendigung, bei Mandatsbeendigung von (Vor-) Ruheständlern oder aus gesundheitlichen Gründen oder aufgrund von Restrukturierungsmaßnahmen, die zum Wegfall der jeweiligen Position führen
(Ziff. 6.3 ff.)
</t>
  </si>
  <si>
    <t xml:space="preserve">12 Jahre
prämienneutral
(Ziff. 6.3)
</t>
  </si>
  <si>
    <t>Gilt die unbegrenzte Nachmeldefrist auch für nachvertragliche Pflichtverletzungen nach Mandatsbeendigung?</t>
  </si>
  <si>
    <t xml:space="preserve">Ja
bei Mandatsbeendigung von (Vor-) Ruheständlern oder aus gesundheitlichen Gründen
(Ziff. 6.3.2)
</t>
  </si>
  <si>
    <t xml:space="preserve">Ja
bei Mandatsbeendigung von (Vor-) Ruheständlern oder aus gesundheitlichen Gründen oder aufgrund von Restrukturierungsmaßnahmen
(Ziff. 6.3.2)
</t>
  </si>
  <si>
    <t xml:space="preserve">Ja
bei Mandatsbeendigung von (Vor-) Ruheständlern oder aus gesundheitlichen Gründen oder aufgrund von Restrukturierungsmaßnahmen
(Ziff. 6.3.1)
</t>
  </si>
  <si>
    <t xml:space="preserve">Ja
bei Mandatsbe-endigung von (Vor-) Ruhe-ständlern oder aus gesundheit-lichen Gründen oder aufgrund von Restruktu-rierungsmaß-nahmen
(Ziff. 6.3.2)
</t>
  </si>
  <si>
    <t xml:space="preserve">Schutz für nachvertragliche Pflichtverletzungen bei Mandatsbeendigung von (Vor-) Ruheständlern oder aus gesundheitlichen Gründen oder aufgrund von Restrukturierungsmaßnahmen
Nachmeldefrist: 144 Monate
(Ziff. 6.4)
</t>
  </si>
  <si>
    <t>Besteht die Nachmeldefrist trotz Erfüllungsablehnung des Insolvenzverwalters nach § 103 InsO?</t>
  </si>
  <si>
    <t xml:space="preserve">Ja
(Ziff. 6.3.5)
</t>
  </si>
  <si>
    <t xml:space="preserve">Ja
(Ziff. 6.3.4)
</t>
  </si>
  <si>
    <t xml:space="preserve">Ja
(Ziff. 6.3.6)
</t>
  </si>
  <si>
    <t xml:space="preserve">Ja
(Ziff. 6.4.3)
</t>
  </si>
  <si>
    <t>Beginnt die Nachmeldefrist auch dann, wenn der Vertrag wegen Zahlungsverzugs einer Folgeprämie gekündigt wurde?</t>
  </si>
  <si>
    <t xml:space="preserve">Ja
(Ziff. 6.3)
</t>
  </si>
  <si>
    <t xml:space="preserve">Ja
(Ziff. 6.1.1)
</t>
  </si>
  <si>
    <t>Kann die Prämie im Falle der Insolvenz der VN auch durch eine oder mehrere VP bewirkt werden?</t>
  </si>
  <si>
    <t>Können Pflichtverletzungen vorsorglich gemeldet werden?</t>
  </si>
  <si>
    <t xml:space="preserve">Ja
durch VN, TU und VP
während der Vertragslaufzeit
max. 60 Monate nach Vertragsende
Formlose Meldung ist zur Fristwahrung ausreichend. Vollständigkeit der Meldung kann nach 4 Wochen fingiert werden
(Ziff. 6.4)
</t>
  </si>
  <si>
    <t xml:space="preserve">Ja
durch VN, TU und VP
während der Vertragslaufzeit
innerhalb der Nachmeldefrist
erforderliche Angaben können bis 30 Tage nach Fristablauf ergänzt werden
(Ziff. 6.4)
</t>
  </si>
  <si>
    <t xml:space="preserve">Ja
durch VN, TU und VP
während der Vertragslaufzeit
innerhalb der Nachmeldefrist
Formlose Meldung ist zur Fristwahrung ausreichend. Vollständigkeit der Meldung kann nach 4 Wochen fingiert werden
(Ziff. 6.4)
</t>
  </si>
  <si>
    <t xml:space="preserve">Ja
durch VN, TU und VP
während der Vertragslaufzeit
innerhalb der Nachmeldefrist
nach Meldung müssen erforderliche Informationen innerhalb von 6 Monaten bekannt gegeben werden
(Ziff. 6.4)
</t>
  </si>
  <si>
    <t xml:space="preserve">Ja
durch VN, TU und VP
während der Vertragslaufzeit
innerhalb der Nachmeldefrist
nach Meldung müssen erfor-derliche Infor-mationen in-nerhalb von 6 Monaten be-kannt gegeben werden
(Ziff. 6.4)
</t>
  </si>
  <si>
    <t xml:space="preserve">Ja
durch VN, TU und VP
während der Vertragslaufzeit
bis 60 Monate nach Vertragsende
nach Meldung müssen erforderliche Informationen innerhalb von 6 Monaten bekannt gegeben werden
(Ziff. 6.4)
</t>
  </si>
  <si>
    <t xml:space="preserve">Ja
durch VN, TU und VP
während der Vertragslaufzeit
innerhalb der Nachmeldefrist
Formlose Mel-dung ist zur Fristwahrung ausreichend. Vollständigkeit der Meldung kann nach 4 Wochen fingiert werden
(Ziff. 6.5)
</t>
  </si>
  <si>
    <t>Gelten Deckungseinschränkungen und Reduzierung der Deckungssumme nur für künftige Pflichtverletzungen (Kontinuitätsgarantie)?</t>
  </si>
  <si>
    <t xml:space="preserve">Ja
auch für Pflichtverletzungen innerhalb von 6 Monaten nach Änderungsbeginn.
Gilt auch für Zeitraum der Nachmeldefrist.
(Ziff. 6.5)
</t>
  </si>
  <si>
    <t xml:space="preserve">Ja
(Ziff. 6.5)
</t>
  </si>
  <si>
    <t xml:space="preserve">Ja
auch für Pflichtverlet-zungen inner-halb von 6 Mo-naten nach Änderungsbe-ginn.
Gilt auch für Zeitraum der Nachmeldefrist.
(Ziff. 6.5)
</t>
  </si>
  <si>
    <t xml:space="preserve">Ja
auch für Pflichtverlet-zungen inner-halb von 12 Monaten nach Änderungsbe-ginn.
Gilt auch für Zeitraum der Nachmeldefrist.
(Ziff. 6.5)
</t>
  </si>
  <si>
    <t xml:space="preserve">Ja
auch für Pflichtverlet-zungen inner-halb von 12 Monaten nach Änderungsbe-ginn.
Gilt auch für Zeitraum der Nachmeldefrist.
(Ziff. 6.6)
</t>
  </si>
  <si>
    <t>Wird eine Besitzstandsgarantie zu vorherigen Bedingungen gewährt?</t>
  </si>
  <si>
    <t xml:space="preserve">Ja
auf Grundlage HPDO 2012 bis 2016 (Version Facility) und HPDO 2017 (Version AIG Facility)
(Ziff. 6.6)
</t>
  </si>
  <si>
    <t xml:space="preserve">Ja
(Ziff. 6.6)
</t>
  </si>
  <si>
    <t xml:space="preserve">Ja,
sofern dem VR auf Aufforde-rung die ent-sprechenden Bedingungen zur Prüfung übermittelt worden sind.
(Ziff. 6.6)
</t>
  </si>
  <si>
    <t xml:space="preserve">Ja
auf Grundlage HPDO 2014 bis 2017 (Version WVAG)
auf Grundlage sämtlicher AVB+BDV, sofern Vertrag ohne zeitliche Unterbrechung an den entsprechenden Vorvertrag anschließt
(Ziff. 6.7)
</t>
  </si>
  <si>
    <t xml:space="preserve">Anzeigen und Obliegenheiten Ziff. 5.0 / 7.0 HPDO
</t>
  </si>
  <si>
    <t>Besteht Schutz bei Verletzung vorvertraglicher Anzeigeobliegenheiten durch versicherte Personen?</t>
  </si>
  <si>
    <t xml:space="preserve">Ja, für gutgläubige versicherte Personen
(Ziff. 5.2)
</t>
  </si>
  <si>
    <t xml:space="preserve">Ja, für gutgläubige versicherte Personen
(Ziff. 5.1)
</t>
  </si>
  <si>
    <t xml:space="preserve">Ja, für gutgläu-bige versicherte Personen
(Ziff. 5.2)
</t>
  </si>
  <si>
    <t>Sind die Auskunftsobliegenheiten im Schadenfall zugunsten der Versicherten eingeschränkt?</t>
  </si>
  <si>
    <t xml:space="preserve">Ja
Obliegenheit trifft nur die betroffenen Versicherten
nur objektiv erforderliche Informationen
Belege, sofern Beschaffung billigerweise zugemutet werden kann
(Ziff. 7.2.1)
</t>
  </si>
  <si>
    <t xml:space="preserve">Ja
Obliegenheit trifft nur die betroffenen Versicherten
nur objektiv erforderliche Informationen
(Ziff. 7.2.1)
</t>
  </si>
  <si>
    <t>Stimmt der VR einer Verjährungsverzichtserklärung der VP zu?</t>
  </si>
  <si>
    <t xml:space="preserve">Ja
3 Monate
(Ziff. 7.2.1)
</t>
  </si>
  <si>
    <t xml:space="preserve">Ja
6 Monate
(Ziff. 7.2.1)
</t>
  </si>
  <si>
    <t xml:space="preserve">Ja
2 Monate
(Ziff. 7.2.1)
</t>
  </si>
  <si>
    <t>Gilt die Neubeherrschung der VN als eine anzeigepflichtige Gefahrerhöhung?</t>
  </si>
  <si>
    <t xml:space="preserve">Ja
(Ziff. 7.3)
</t>
  </si>
  <si>
    <t xml:space="preserve">Nein
(vgl. Ziff. 7.3)
</t>
  </si>
  <si>
    <t xml:space="preserve">Darf sich der VR im Falle einer versehentlichen Nichterfüllung der Anzeigeobliegenheit auf eine Obliegenheitsverletzung berufen? </t>
  </si>
  <si>
    <t xml:space="preserve">Ja
</t>
  </si>
  <si>
    <t xml:space="preserve">Nein
(Ziff. 7.4)
</t>
  </si>
  <si>
    <t>Ist es ausdrücklich ausgeschlossen, dass der VR die Teilnahme der Howden Germany GmbH an Schadengesprächen ablehnt?</t>
  </si>
  <si>
    <t xml:space="preserve">Ja
(Ziff. 7.5.2)
</t>
  </si>
  <si>
    <t xml:space="preserve">Ja,
aber nur bei Schadenser-satzansprüchen Dritter oder eines Insolvenz-verwalters 
(Ziff. 7.5.2)
</t>
  </si>
  <si>
    <t xml:space="preserve">Rechtsstellung und VVG Ziff. 8.0 / 9.0 HPDO
</t>
  </si>
  <si>
    <t>Können die VN oder Tochterunternehmen unter bestimmten Voraussetzungen ihre Ansprüche direkt gegen den VR geltend machen?</t>
  </si>
  <si>
    <t xml:space="preserve">Ja
(Ziff. 8.2)
</t>
  </si>
  <si>
    <t>Lebt der Deckungsanspruch der VP in Bezug auf die Abwehrkosten wieder auf, wenn der an die VN abgetretene Anspruch rechtskräftig abgewiesen wurde?</t>
  </si>
  <si>
    <t>Abtretungsfall sehr unwahrscheinlich</t>
  </si>
  <si>
    <t>Schlussbestimmungen Ziff. 10.0 HPDO</t>
  </si>
  <si>
    <t>Übernimmt der VR die Steuerallokation für ausländische Tochterunternehmen?</t>
  </si>
  <si>
    <t xml:space="preserve">Ja
nach Aufforderung
(Ziff. 10.1)
</t>
  </si>
  <si>
    <t xml:space="preserve">Ja
nach Aufforde-rung und Vor-gabe der VN
(Ziff. 10.1)
</t>
  </si>
  <si>
    <t>Unter welchen Vorbehalten steht das Angebot?</t>
  </si>
  <si>
    <t>Bis wann ist das Angebot gültig?</t>
  </si>
  <si>
    <t>Kann ein Mehrjahresvertrag abgeschlossen werden?</t>
  </si>
  <si>
    <t>Liste:</t>
  </si>
  <si>
    <t>Rechtsformgruppe</t>
  </si>
  <si>
    <t>gmbH</t>
  </si>
  <si>
    <t>Tarifprämien
- exklusive Zu- / Abschläge (SIC-Liste und Referrals)
- inklusive Courtage an Howden und Ko-Makler (vor Nettoisierung)
- exklusive VST</t>
  </si>
  <si>
    <t>Tarifprämien
- inklusive Zu- / Abschläge (SIC-Liste und Referrals)
- inklusive Courtage an Howden und Ko-Makler (vor Nettoisierung)
- exklusive VST</t>
  </si>
  <si>
    <t>Tarifprämien
- inklusive Zu- / Abschläge (SIC-Liste und Referrals) - Zuschläge für Nettoisierung NICHT berücksichtigt
- inklusive Courtage an Howden und Ko-Makler (vor Nettoisierung)
- exklusive VST</t>
  </si>
  <si>
    <t xml:space="preserve"> DS1% Courtage gesamt</t>
  </si>
  <si>
    <t>DS2
% Courtage gesamt</t>
  </si>
  <si>
    <t>DS3
% Courtage gesamt</t>
  </si>
  <si>
    <t>DS1
%Howden
Voll</t>
  </si>
  <si>
    <t>DS2
%Howden
Voll</t>
  </si>
  <si>
    <t>DS3
%Howden
Voll</t>
  </si>
  <si>
    <t>DS1
% Howden</t>
  </si>
  <si>
    <t>DS2
% Howden</t>
  </si>
  <si>
    <t>DS3
% Howden</t>
  </si>
  <si>
    <t>% Ko-Makler
(fix)</t>
  </si>
  <si>
    <t>% Ko-Makler
Nettoisiert</t>
  </si>
  <si>
    <t>DS 1
VR</t>
  </si>
  <si>
    <t>DS 1
Howden</t>
  </si>
  <si>
    <t>DS 1
Ko-Makler</t>
  </si>
  <si>
    <t>DS 1
Nettoisierte Jahresnetto-prämie</t>
  </si>
  <si>
    <t>DS 2
VR</t>
  </si>
  <si>
    <t>DS 2
Howden</t>
  </si>
  <si>
    <t>DS 2
Ko-Makler</t>
  </si>
  <si>
    <t>DS 2
Nettoisierte Jahresnetto-prämie</t>
  </si>
  <si>
    <t>DS 3
VR</t>
  </si>
  <si>
    <t>DS 3
Howden</t>
  </si>
  <si>
    <t>DS 3
Ko-Makler</t>
  </si>
  <si>
    <t>DS 3
Nettoisierte Jahresnetto-prämie</t>
  </si>
  <si>
    <t>Berechnung von Courtagen und Prämien für digitale Abschlußstrecke</t>
  </si>
  <si>
    <t>Berechnung der tatsächlichen Courtage basierend auf Angebots-Status: OfferReady -&gt; Courtage digitale Abschlußstrecke</t>
  </si>
  <si>
    <t>Courtage Hendricks</t>
  </si>
  <si>
    <t>Courtage Kooperations-Makler</t>
  </si>
  <si>
    <t>Umsatz Range</t>
  </si>
  <si>
    <t>Umsatz ab…</t>
  </si>
  <si>
    <t>0-5</t>
  </si>
  <si>
    <t>5-50</t>
  </si>
  <si>
    <t>50-100</t>
  </si>
  <si>
    <t>100-150</t>
  </si>
  <si>
    <t>150-300</t>
  </si>
  <si>
    <t>300-450</t>
  </si>
  <si>
    <t>450-600</t>
  </si>
  <si>
    <t>600-750</t>
  </si>
  <si>
    <t>750-1000</t>
  </si>
  <si>
    <t>1000-1250</t>
  </si>
  <si>
    <t>1250-1500</t>
  </si>
  <si>
    <t>Niedrigste Deckungssumme:</t>
  </si>
  <si>
    <t>Höchste Deckungssumme:</t>
  </si>
  <si>
    <t>Höchst möglicher Umsatz:</t>
  </si>
  <si>
    <t>Jahresumsatz/Bilanzsumme</t>
  </si>
  <si>
    <t>Deckungssumme (Spalte)</t>
  </si>
  <si>
    <t>Umsatz (Zeile)</t>
  </si>
  <si>
    <t>Deckungssummen</t>
  </si>
  <si>
    <t>Deckungssumme ►</t>
  </si>
  <si>
    <t>Umsatz bis</t>
  </si>
  <si>
    <t>0 - 5.000.000</t>
  </si>
  <si>
    <t>5.000.001 - 10.000.000</t>
  </si>
  <si>
    <t>10.000.001 - 25.000.000</t>
  </si>
  <si>
    <t>25.000.001 - 50.000.000</t>
  </si>
  <si>
    <t>50.000.001 - 75.000.000</t>
  </si>
  <si>
    <t>75.000.001 - 100.000.000</t>
  </si>
  <si>
    <t>100.000.001 - 200.000.000</t>
  </si>
  <si>
    <t>200.000.0001 - 300.000.000</t>
  </si>
  <si>
    <t>300.000.001 - 400.000.000</t>
  </si>
  <si>
    <t>400.000.001 - 500.000.000</t>
  </si>
  <si>
    <t>Jahresumsatz / Bilanzsumme</t>
  </si>
  <si>
    <t>Umsatz / Bilanzsumme (Zeile)</t>
  </si>
  <si>
    <t>Newline Deckungssummen</t>
  </si>
  <si>
    <t>Deckungssumme 1</t>
  </si>
  <si>
    <t>Deckungssumme 2</t>
  </si>
  <si>
    <t>Deckungssumme 3</t>
  </si>
  <si>
    <t>Max DS aus Referrals</t>
  </si>
  <si>
    <t>Umsatz</t>
  </si>
  <si>
    <t>AIG Facility Deckungssummen</t>
  </si>
  <si>
    <t>Deckungssumme in EUR</t>
  </si>
  <si>
    <t>Umsatz von</t>
  </si>
  <si>
    <t>Umsatz Mio. Euro</t>
  </si>
  <si>
    <t>HPDO AIG Facility 2017</t>
  </si>
  <si>
    <t>GI - DS 1</t>
  </si>
  <si>
    <t>GI - DS 2</t>
  </si>
  <si>
    <t>GI - DS 3</t>
  </si>
  <si>
    <t>Angebot - DS 1</t>
  </si>
  <si>
    <t>Angebot - DS 2</t>
  </si>
  <si>
    <t>Angebot - DS 3</t>
  </si>
  <si>
    <t>D&amp;O-Facility-Tarif NJP 
(ohne Versicherungsteuer) in EUR</t>
  </si>
  <si>
    <t>D&amp;O-Facility-Tarif
(inkl. 19% Versicherungsteuer) in EUR</t>
  </si>
  <si>
    <t>&gt; 0 bis 5</t>
  </si>
  <si>
    <t>&gt; 0 bis 50</t>
  </si>
  <si>
    <t>F11 10</t>
  </si>
  <si>
    <t>&gt; 50 bis 100</t>
  </si>
  <si>
    <t>F11 11</t>
  </si>
  <si>
    <t>&gt; 100 bis 150</t>
  </si>
  <si>
    <t>F11 12</t>
  </si>
  <si>
    <t>F11 15</t>
  </si>
  <si>
    <t>F11 16</t>
  </si>
  <si>
    <t>F11 17</t>
  </si>
  <si>
    <t>F11 20</t>
  </si>
  <si>
    <t>F11 21</t>
  </si>
  <si>
    <t>F11 22</t>
  </si>
  <si>
    <t>F11 25</t>
  </si>
  <si>
    <t>F11 26</t>
  </si>
  <si>
    <t>F11 27</t>
  </si>
  <si>
    <t>F11 30</t>
  </si>
  <si>
    <t>F11 31</t>
  </si>
  <si>
    <t>F11 32</t>
  </si>
  <si>
    <t>F11 35</t>
  </si>
  <si>
    <t>F11 36</t>
  </si>
  <si>
    <t>F11 37</t>
  </si>
  <si>
    <t>F11 40</t>
  </si>
  <si>
    <t>F11 41</t>
  </si>
  <si>
    <t>F11 42</t>
  </si>
  <si>
    <t>F11 45</t>
  </si>
  <si>
    <t>F11 46</t>
  </si>
  <si>
    <t>F11 47</t>
  </si>
  <si>
    <t>F11 50</t>
  </si>
  <si>
    <t>F11 51</t>
  </si>
  <si>
    <t>F11 52</t>
  </si>
  <si>
    <t>Berkley Deckungssummen</t>
  </si>
  <si>
    <t>DUAL Deckungssummen</t>
  </si>
  <si>
    <t>Angebotene Deckungssumme - Unternehmen</t>
  </si>
  <si>
    <t>Umsatz (bei Unternehmen)</t>
  </si>
  <si>
    <t>Prämie - FINAL</t>
  </si>
  <si>
    <t>Angebotene Deckungssumme - FINAL</t>
  </si>
  <si>
    <t>WVAG Deckungssummen - Unternehmen</t>
  </si>
  <si>
    <t>Umsatz in Mio. min (&gt;)</t>
  </si>
  <si>
    <t>Umsatz in Mio. max (&lt;=)</t>
  </si>
  <si>
    <t>Klauseln, die immer gefüllt werden</t>
  </si>
  <si>
    <t>Markel</t>
  </si>
  <si>
    <t>referral</t>
  </si>
  <si>
    <t>Dienstleistungsausschluss</t>
  </si>
  <si>
    <t>100.000.001 - 150.000.000</t>
  </si>
  <si>
    <t>150.000.001 - 200.000.000</t>
  </si>
  <si>
    <t>200.000.001 - 250.000.000</t>
  </si>
  <si>
    <t>Markel Deckungssummen</t>
  </si>
  <si>
    <t>5.000.001 - 20.000.000</t>
  </si>
  <si>
    <t>20.000.001 - 50.000.000</t>
  </si>
  <si>
    <t>negatives EBIT</t>
  </si>
  <si>
    <t>Jahresergebnis (Vorjahr) negativ</t>
  </si>
  <si>
    <t>Umsatz (Vorjahr) &gt; 1,000,000</t>
  </si>
  <si>
    <t>Deckungssummen Limit 1</t>
  </si>
  <si>
    <t>Deckungssummen Limit 2</t>
  </si>
  <si>
    <t>Gesamtkapital</t>
  </si>
  <si>
    <t>Eigenkapitalquote (EKQ)</t>
  </si>
  <si>
    <t>Erforderliche EKQ 1</t>
  </si>
  <si>
    <t>Erforderliche EKQ2</t>
  </si>
  <si>
    <t>Haushaltss. in Mio. min (&gt;)</t>
  </si>
  <si>
    <t>Haushaltss. in Mio. max (&lt;=)</t>
  </si>
  <si>
    <t>Liberty</t>
  </si>
  <si>
    <t>50.000.001 - 100.000.000</t>
  </si>
  <si>
    <t>Prämientableau (Vorschlag)</t>
  </si>
  <si>
    <t>Vereinstarif</t>
  </si>
  <si>
    <t>Abschlag</t>
  </si>
  <si>
    <t>VSU</t>
  </si>
  <si>
    <t>Umsatz             0 € bis                5 Mio.€</t>
  </si>
  <si>
    <t>Umsatz              0 € bis               50 Mio.€</t>
  </si>
  <si>
    <t>Umsatz             50 Mio. € bis 100 Mio.€</t>
  </si>
  <si>
    <t>Umsatz             100 Mio.€ bis 150 Mio.€</t>
  </si>
  <si>
    <t>neu: Umsatz          150 Mio. € bis 200 Mio.€</t>
  </si>
  <si>
    <t>neu: Umsatz          200 Mio.€ bis        250 Mio.€</t>
  </si>
  <si>
    <t>Haushaltss.           0 € bis                5 Mio.€</t>
  </si>
  <si>
    <t>Haushaltss.              0 € bis               50 Mio.€</t>
  </si>
  <si>
    <t>Haushaltss.             50 Mio. € bis 100 Mio.€</t>
  </si>
  <si>
    <t>Haushaltss.            100 Mio.€ bis 150 Mio.€</t>
  </si>
  <si>
    <t>Liberty Deckungssummen</t>
  </si>
  <si>
    <t>0 - 50.000.000</t>
  </si>
  <si>
    <t>Globaler Angebotsstatus</t>
  </si>
  <si>
    <t>Stati für Globalen Angebots-Status (Versicherer)</t>
  </si>
  <si>
    <t>green</t>
  </si>
  <si>
    <t>RisikoFragenUmsatzSanktionsland</t>
  </si>
  <si>
    <t>Werden Umsätze mit/in Ländern generiert welche mit UN-, EU-, oder US Wirtschaftssanktionen, Handelssanktionen oder sonstigen Sanktionen belegt sind? Insbesondere Länder wie z. B. Russland, Belarus, Ukraine ( z. B.  Krim, Region Donbas, Sevastopol..)</t>
  </si>
  <si>
    <t>Umsatz in Sanktionsländern</t>
  </si>
  <si>
    <t xml:space="preserve">Anzahl d. Sterne </t>
  </si>
  <si>
    <t>min. benötigte Bewertung</t>
  </si>
  <si>
    <t>5 Sterne (XXXXX)</t>
  </si>
  <si>
    <t>4 Sterne (XXXX)</t>
  </si>
  <si>
    <t>Der satzungsmäßige oder tatsächliche Zweck der VN besteht in der Familienvermögenverwaltung, der Erbringung von rechts-, steuerberatenden oder wirtschaftsprüfenden Dienstleistungen, der Verwaltung von Vermögen oder Kassen zur Altersversorge oder Gewinnerzielung.</t>
  </si>
  <si>
    <t>Die Rechnungslegung der VN erfolgt nicht nach den für sie geltenden gesetzlichen Bestimmungen.</t>
  </si>
  <si>
    <t>(7) - Mitvers. U und P / - Ausgeschl. U und P</t>
  </si>
  <si>
    <t xml:space="preserve">(8) Manueller Backstop (Versicherer Sign Off) </t>
  </si>
  <si>
    <t>(1) Facilities-Kriterien erfüllt?</t>
  </si>
  <si>
    <t>Die gelbmarkierten Felder werden aus den versichererspezifischen Branchen-Excels befüllt!</t>
  </si>
  <si>
    <t>0752 Tierdressuren, Tier-hotels, Hundepflegesalons usw.</t>
  </si>
  <si>
    <t>FI</t>
  </si>
  <si>
    <t>39</t>
  </si>
  <si>
    <t>GmbH &amp; Co.KGaA</t>
  </si>
  <si>
    <t>Ungenutzte Fragen (Fragebogen / Tasks)</t>
  </si>
  <si>
    <t>Antwort / Wert</t>
  </si>
  <si>
    <t>Existieren Tochterunternehmen in den U.S.A. oder Kanada?</t>
  </si>
  <si>
    <t>Haben diese einen konsolidierten Umsatz von mehr als 30% des Gesamtumsatzes oder mehr als 200 Mio. USD Assets?</t>
  </si>
  <si>
    <t>Bilanzsumme vorletztes Jahr</t>
  </si>
  <si>
    <t>Umsatz vorletztes Jahr</t>
  </si>
  <si>
    <t>Werden Anteile und/oder Anleihen der Versicherungsnehmerin, Tochtergesellschaften und/oder sonstiger mitzuversichernder Gesellschaften an einer Börse gehandelt?</t>
  </si>
  <si>
    <t>Anteile und/oder Anleihen der Versicherungsnehmerin, Tochtergesellschaften und/oder sonstiger mitzuversichernder Gesellschaften werden an einer Börse gehandelt.</t>
  </si>
  <si>
    <t xml:space="preserve">Werden Anteile und/oder Anleihen der Versicherungsnehmerin, Tochtergesellschaften und/oder sonstiger mitzuversichernder Gesellschaften an einer Börse gehandelt?
</t>
  </si>
  <si>
    <t xml:space="preserve">Anteile und/oder Anleihen der Versicherungsnehmerin, Tochtergesellschaften und/oder sonstiger mitzuversichernder Gesellschaften werden an einer Börse gehandelt.
</t>
  </si>
  <si>
    <t>Die Versicherungsnehmerin ist ein Kreditinstitut oder ein Finanzdienstleistungsinstitut im Sinne von § 1 Abs. 1 und 1a KWG (Kreditwesengesetz) oder ein Wertpapierinstitute im Sinne von § 2 WpIG (Wertpapierinstitutsgesetz).</t>
  </si>
  <si>
    <t>Ergo</t>
  </si>
  <si>
    <t>ERGO</t>
  </si>
  <si>
    <t>VSU in €</t>
  </si>
  <si>
    <t>Beitrag in €</t>
  </si>
  <si>
    <t>Umsatz in €</t>
  </si>
  <si>
    <t>&lt;= 5 Mio.</t>
  </si>
  <si>
    <t>&lt;= 50 Mio.</t>
  </si>
  <si>
    <t>&lt;= 100 Mio.</t>
  </si>
  <si>
    <t>&lt;= 300 Mio.</t>
  </si>
  <si>
    <t>&lt;= 500 Mio.</t>
  </si>
  <si>
    <t>Umsatz (&lt;=)</t>
  </si>
  <si>
    <t>ERGO Deckungssummen</t>
  </si>
  <si>
    <t>(5) Töchter oder MVU in sanktionierten Ländern?</t>
  </si>
  <si>
    <t>Umsatz ab</t>
  </si>
  <si>
    <t>Gruendungsjahr</t>
  </si>
  <si>
    <t>Gründungsjahr</t>
  </si>
  <si>
    <t>Wann wurde die Firma gegründet?</t>
  </si>
  <si>
    <t>Ist die Versicherungsnehmerin, Tochtergesellschaften und/oder sonstige mitzuversichernde Unternehmen ein Kreditinstitut, eine Versicherung oder ein Finanzdienstleistungsinstitut im Sinne von § 1 Abs. 1 und 1a KWG (Kreditwesengesetz), § 1 VAG (Versicherungsaufsichtsgesetz) oder ein Wertpapierinstitut im Sinne von § 2 WpIG (Wertpapierinstitutsgesetz)?</t>
  </si>
  <si>
    <t>Einzelunternehmen</t>
  </si>
  <si>
    <t>150-200</t>
  </si>
  <si>
    <t>200-250</t>
  </si>
  <si>
    <t>250-350</t>
  </si>
  <si>
    <t>350-500</t>
  </si>
  <si>
    <t>Höchst mögliche Deckungssumme</t>
  </si>
  <si>
    <t>Der letzte konsolidierte Umsatz der Versicherungsnehmerin liegt über der maximalen Höhe des hinterlegten Tarifes.</t>
  </si>
  <si>
    <t>Tarifprämie</t>
  </si>
  <si>
    <t>200.000.001 - 300.000.000</t>
  </si>
  <si>
    <t>EU</t>
  </si>
  <si>
    <t>NR</t>
  </si>
  <si>
    <t>AD</t>
  </si>
  <si>
    <t>AE</t>
  </si>
  <si>
    <t>AF</t>
  </si>
  <si>
    <t>AI</t>
  </si>
  <si>
    <t>AL</t>
  </si>
  <si>
    <t>AM</t>
  </si>
  <si>
    <t>AO</t>
  </si>
  <si>
    <t>AQ</t>
  </si>
  <si>
    <t>AR</t>
  </si>
  <si>
    <t>AS</t>
  </si>
  <si>
    <t>AT</t>
  </si>
  <si>
    <t>AU</t>
  </si>
  <si>
    <t>AW</t>
  </si>
  <si>
    <t>AX</t>
  </si>
  <si>
    <t>AZ</t>
  </si>
  <si>
    <t>BA</t>
  </si>
  <si>
    <t>BB</t>
  </si>
  <si>
    <t>BD</t>
  </si>
  <si>
    <t>BE</t>
  </si>
  <si>
    <t>BF</t>
  </si>
  <si>
    <t>BG</t>
  </si>
  <si>
    <t>BH</t>
  </si>
  <si>
    <t>BI</t>
  </si>
  <si>
    <t>BJ</t>
  </si>
  <si>
    <t>BL</t>
  </si>
  <si>
    <t>BM</t>
  </si>
  <si>
    <t>BN</t>
  </si>
  <si>
    <t>BO</t>
  </si>
  <si>
    <t>BQ</t>
  </si>
  <si>
    <t>BR</t>
  </si>
  <si>
    <t>BS</t>
  </si>
  <si>
    <t>BT</t>
  </si>
  <si>
    <t>BV</t>
  </si>
  <si>
    <t>BW</t>
  </si>
  <si>
    <t>BY</t>
  </si>
  <si>
    <t>BZ</t>
  </si>
  <si>
    <t>CA</t>
  </si>
  <si>
    <t>CC</t>
  </si>
  <si>
    <t>CD</t>
  </si>
  <si>
    <t>CF</t>
  </si>
  <si>
    <t>CG</t>
  </si>
  <si>
    <t>CH</t>
  </si>
  <si>
    <t>CI</t>
  </si>
  <si>
    <t>CK</t>
  </si>
  <si>
    <t>CL</t>
  </si>
  <si>
    <t>CM</t>
  </si>
  <si>
    <t>CN</t>
  </si>
  <si>
    <t>CO</t>
  </si>
  <si>
    <t>CR</t>
  </si>
  <si>
    <t>CU</t>
  </si>
  <si>
    <t>CV</t>
  </si>
  <si>
    <t>CW</t>
  </si>
  <si>
    <t>CX</t>
  </si>
  <si>
    <t>CY</t>
  </si>
  <si>
    <t>CZ</t>
  </si>
  <si>
    <t>DJ</t>
  </si>
  <si>
    <t>DK</t>
  </si>
  <si>
    <t>DM</t>
  </si>
  <si>
    <t>DO</t>
  </si>
  <si>
    <t>DZ</t>
  </si>
  <si>
    <t>EC</t>
  </si>
  <si>
    <t>EE</t>
  </si>
  <si>
    <t>EG</t>
  </si>
  <si>
    <t>EH</t>
  </si>
  <si>
    <t>ER</t>
  </si>
  <si>
    <t>ES</t>
  </si>
  <si>
    <t>ET</t>
  </si>
  <si>
    <t>FJ</t>
  </si>
  <si>
    <t>FK</t>
  </si>
  <si>
    <t>FM</t>
  </si>
  <si>
    <t>FO</t>
  </si>
  <si>
    <t>FR</t>
  </si>
  <si>
    <t>GA</t>
  </si>
  <si>
    <t>GB</t>
  </si>
  <si>
    <t>GD</t>
  </si>
  <si>
    <t>GE</t>
  </si>
  <si>
    <t>GF</t>
  </si>
  <si>
    <t>GG</t>
  </si>
  <si>
    <t>GH</t>
  </si>
  <si>
    <t>GL</t>
  </si>
  <si>
    <t>GM</t>
  </si>
  <si>
    <t>GN</t>
  </si>
  <si>
    <t>GP</t>
  </si>
  <si>
    <t>GQ</t>
  </si>
  <si>
    <t>GR</t>
  </si>
  <si>
    <t>GS</t>
  </si>
  <si>
    <t>GT</t>
  </si>
  <si>
    <t>GU</t>
  </si>
  <si>
    <t>GW</t>
  </si>
  <si>
    <t>GY</t>
  </si>
  <si>
    <t>HK</t>
  </si>
  <si>
    <t>HM</t>
  </si>
  <si>
    <t>HN</t>
  </si>
  <si>
    <t>HR</t>
  </si>
  <si>
    <t>HT</t>
  </si>
  <si>
    <t>HU</t>
  </si>
  <si>
    <t>ID</t>
  </si>
  <si>
    <t>IE</t>
  </si>
  <si>
    <t>IL</t>
  </si>
  <si>
    <t>IM</t>
  </si>
  <si>
    <t>IN</t>
  </si>
  <si>
    <t>IO</t>
  </si>
  <si>
    <t>IQ</t>
  </si>
  <si>
    <t>IR</t>
  </si>
  <si>
    <t>IS</t>
  </si>
  <si>
    <t>IT</t>
  </si>
  <si>
    <t>JE</t>
  </si>
  <si>
    <t>JM</t>
  </si>
  <si>
    <t>JO</t>
  </si>
  <si>
    <t>JP</t>
  </si>
  <si>
    <t>KE</t>
  </si>
  <si>
    <t>KH</t>
  </si>
  <si>
    <t>KI</t>
  </si>
  <si>
    <t>KM</t>
  </si>
  <si>
    <t>KN</t>
  </si>
  <si>
    <t>KP</t>
  </si>
  <si>
    <t>KR</t>
  </si>
  <si>
    <t>KW</t>
  </si>
  <si>
    <t>KY</t>
  </si>
  <si>
    <t>KZ</t>
  </si>
  <si>
    <t>LA</t>
  </si>
  <si>
    <t>LB</t>
  </si>
  <si>
    <t>LC</t>
  </si>
  <si>
    <t>LI</t>
  </si>
  <si>
    <t>LK</t>
  </si>
  <si>
    <t>LR</t>
  </si>
  <si>
    <t>LS</t>
  </si>
  <si>
    <t>LT</t>
  </si>
  <si>
    <t>LU</t>
  </si>
  <si>
    <t>LV</t>
  </si>
  <si>
    <t>LY</t>
  </si>
  <si>
    <t>MA</t>
  </si>
  <si>
    <t>MC</t>
  </si>
  <si>
    <t>MD</t>
  </si>
  <si>
    <t>ME</t>
  </si>
  <si>
    <t>MF</t>
  </si>
  <si>
    <t>MG</t>
  </si>
  <si>
    <t>MH</t>
  </si>
  <si>
    <t>MK</t>
  </si>
  <si>
    <t>ML</t>
  </si>
  <si>
    <t>MM</t>
  </si>
  <si>
    <t>MN</t>
  </si>
  <si>
    <t>MO</t>
  </si>
  <si>
    <t>MP</t>
  </si>
  <si>
    <t>MQ</t>
  </si>
  <si>
    <t>MR</t>
  </si>
  <si>
    <t>MS</t>
  </si>
  <si>
    <t>MT</t>
  </si>
  <si>
    <t>MU</t>
  </si>
  <si>
    <t>MV</t>
  </si>
  <si>
    <t>MW</t>
  </si>
  <si>
    <t>MX</t>
  </si>
  <si>
    <t>MY</t>
  </si>
  <si>
    <t>MZ</t>
  </si>
  <si>
    <t>NA</t>
  </si>
  <si>
    <t>NC</t>
  </si>
  <si>
    <t>NE</t>
  </si>
  <si>
    <t>NF</t>
  </si>
  <si>
    <t>NG</t>
  </si>
  <si>
    <t>NI</t>
  </si>
  <si>
    <t>NL</t>
  </si>
  <si>
    <t>NP</t>
  </si>
  <si>
    <t>NU</t>
  </si>
  <si>
    <t>NZ</t>
  </si>
  <si>
    <t>OM</t>
  </si>
  <si>
    <t>PA</t>
  </si>
  <si>
    <t>PE</t>
  </si>
  <si>
    <t>PF</t>
  </si>
  <si>
    <t>PG</t>
  </si>
  <si>
    <t>PH</t>
  </si>
  <si>
    <t>PK</t>
  </si>
  <si>
    <t>PL</t>
  </si>
  <si>
    <t>PM</t>
  </si>
  <si>
    <t>PN</t>
  </si>
  <si>
    <t>PR</t>
  </si>
  <si>
    <t>PS</t>
  </si>
  <si>
    <t>PT</t>
  </si>
  <si>
    <t>PW</t>
  </si>
  <si>
    <t>PY</t>
  </si>
  <si>
    <t>QA</t>
  </si>
  <si>
    <t>RE</t>
  </si>
  <si>
    <t>RO</t>
  </si>
  <si>
    <t>RS</t>
  </si>
  <si>
    <t>RU</t>
  </si>
  <si>
    <t>RW</t>
  </si>
  <si>
    <t>SB</t>
  </si>
  <si>
    <t>SC</t>
  </si>
  <si>
    <t>SD</t>
  </si>
  <si>
    <t>SG</t>
  </si>
  <si>
    <t>SH</t>
  </si>
  <si>
    <t>SI</t>
  </si>
  <si>
    <t>SJ</t>
  </si>
  <si>
    <t>SK</t>
  </si>
  <si>
    <t>SL</t>
  </si>
  <si>
    <t>SM</t>
  </si>
  <si>
    <t>SN</t>
  </si>
  <si>
    <t>SO</t>
  </si>
  <si>
    <t>SR</t>
  </si>
  <si>
    <t>SS</t>
  </si>
  <si>
    <t>ST</t>
  </si>
  <si>
    <t>SV</t>
  </si>
  <si>
    <t>SX</t>
  </si>
  <si>
    <t>SY</t>
  </si>
  <si>
    <t>SZ</t>
  </si>
  <si>
    <t>TC</t>
  </si>
  <si>
    <t>TD</t>
  </si>
  <si>
    <t>TF</t>
  </si>
  <si>
    <t>TG</t>
  </si>
  <si>
    <t>TH</t>
  </si>
  <si>
    <t>TJ</t>
  </si>
  <si>
    <t>TK</t>
  </si>
  <si>
    <t>TL</t>
  </si>
  <si>
    <t>TM</t>
  </si>
  <si>
    <t>TN</t>
  </si>
  <si>
    <t>TO</t>
  </si>
  <si>
    <t>TR</t>
  </si>
  <si>
    <t>TT</t>
  </si>
  <si>
    <t>TV</t>
  </si>
  <si>
    <t>TW</t>
  </si>
  <si>
    <t>TZ</t>
  </si>
  <si>
    <t>UA</t>
  </si>
  <si>
    <t>UM</t>
  </si>
  <si>
    <t>US</t>
  </si>
  <si>
    <t>UY</t>
  </si>
  <si>
    <t>UZ</t>
  </si>
  <si>
    <t>VA</t>
  </si>
  <si>
    <t>VC</t>
  </si>
  <si>
    <t>VE</t>
  </si>
  <si>
    <t>VG</t>
  </si>
  <si>
    <t>VI</t>
  </si>
  <si>
    <t>VN</t>
  </si>
  <si>
    <t>VU</t>
  </si>
  <si>
    <t>WF</t>
  </si>
  <si>
    <t>WS</t>
  </si>
  <si>
    <t>YE</t>
  </si>
  <si>
    <t>YT</t>
  </si>
  <si>
    <t>ZA</t>
  </si>
  <si>
    <t>ZM</t>
  </si>
  <si>
    <t>ZW</t>
  </si>
  <si>
    <t>Liste der Default Klauseln</t>
  </si>
  <si>
    <t>Default Klauseln</t>
  </si>
  <si>
    <t>Deckungsoptionen Defaults:</t>
  </si>
  <si>
    <t>Zweifachmaximierung</t>
  </si>
  <si>
    <t>Option gewählt</t>
  </si>
  <si>
    <t>Prämienneutral</t>
  </si>
  <si>
    <t>Prozentsatz</t>
  </si>
  <si>
    <t>ARIAS Included</t>
  </si>
  <si>
    <t>WpHG</t>
  </si>
  <si>
    <t>Format zeigt, dass Versicherer</t>
  </si>
  <si>
    <t>die Option nicht anbietet</t>
  </si>
  <si>
    <t>Zusätzliche gewählte Deckungsoptionen</t>
  </si>
  <si>
    <t>Diese Werte sind Default-Werte. Hier keine Berechnungen mit anderen Felder ausführen!</t>
  </si>
  <si>
    <t>AXA XL - MMC</t>
  </si>
  <si>
    <t>AXA XL - Facility</t>
  </si>
  <si>
    <t>x</t>
  </si>
  <si>
    <t>Kontinuitätsdatum (Beginn Vorvertrag)</t>
  </si>
  <si>
    <t>Vorschäden? (Sind für den Vorvertrag Umstandsmeldungen oder Schäden gemeldet worden?)</t>
  </si>
  <si>
    <t>Kontinuität von mehr als 5 Jahre angefragt</t>
  </si>
  <si>
    <t>Info: Dunkelverarbeitung : &lt; 5,0 Mio</t>
  </si>
  <si>
    <t>Manche neue Bedingungswerke haben die Schiedsgerichtklausel immer mit drin (Liberty,Axa MMC ab 2024, Ergo ab 2024, Newline ab 2024). Option muss immer Prämienneutral angewählt sein</t>
  </si>
  <si>
    <t>Schiedsgericht (ARIAS)</t>
  </si>
  <si>
    <t>Eigenkapitalquote/negatives Eigenkapital</t>
  </si>
  <si>
    <t>(negatives) Jahresergebnis</t>
  </si>
  <si>
    <t>Minimum Premium</t>
  </si>
  <si>
    <t>Info: Wird in 'Sterne-Rechner-Angebot AC19-21 verwendet', hier nur Info. Muss dort geändert werden</t>
  </si>
  <si>
    <t>Zu/Abschlag in Abhängigkeit zur Deckungssumme</t>
  </si>
  <si>
    <t>Origin</t>
  </si>
  <si>
    <t>Prämien-Anpassung</t>
  </si>
  <si>
    <t>Min EK-Quote (&gt;=)</t>
  </si>
  <si>
    <t>Preis ohne Zuschläge</t>
  </si>
  <si>
    <t>Preis inkl Zu/Abschläge</t>
  </si>
  <si>
    <t>Bilanzsumme/Vereinsvermögen</t>
  </si>
  <si>
    <t>Länder in KO-Liste</t>
  </si>
  <si>
    <t>CountryExclusion</t>
  </si>
  <si>
    <t>MVU in KO-Länderliste</t>
  </si>
  <si>
    <t>Newline-KO</t>
  </si>
  <si>
    <t>Text: KO_Newline, Green</t>
  </si>
  <si>
    <t>Info: Table provided by Württ</t>
  </si>
  <si>
    <t>Umsatz             0 € bis                5 Mio.€</t>
  </si>
  <si>
    <t>Umsatz              0 € bis               50 Mio.€</t>
  </si>
  <si>
    <t>Umsatz             50 Mio. € bis 100 Mio.€</t>
  </si>
  <si>
    <t>Umsatz             100 Mio.€ bis 150 Mio.€</t>
  </si>
  <si>
    <t>neu: Umsatz          150 Mio. € bis 200 Mio.€</t>
  </si>
  <si>
    <t>neu: Umsatz          200 Mio.€ bis        250 Mio.€</t>
  </si>
  <si>
    <t>Haushaltss.             0 € bis                5 Mio.€</t>
  </si>
  <si>
    <t>Haushaltss.              0 € bis               50 Mio.€</t>
  </si>
  <si>
    <t>Haushaltss.             50 Mio. € bis 100 Mio.€</t>
  </si>
  <si>
    <t>Haushaltss.             100 Mio.€ bis 150 Mio.€</t>
  </si>
  <si>
    <t>Geändert: 04.11.2025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</si>
</sst>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8" formatCode="#,##0.00\ &quot;€&quot;;[Red]\-#,##0.00\ &quot;€&quot;"/>
    <numFmt numFmtId="44" formatCode="_-* #,##0.00\ &quot;€&quot;_-;\-* #,##0.00\ &quot;€&quot;_-;_-* &quot;-&quot;??\ &quot;€&quot;_-;_-@_-"/>
    <numFmt numFmtId="43" formatCode="_-* #,##0.00_-;\-* #,##0.00_-;_-* &quot;-&quot;??_-;_-@_-"/>
    <numFmt numFmtId="164" formatCode="_-* #,##0.00\ _€_-;\-* #,##0.00\ _€_-;_-* &quot;-&quot;??\ _€_-;_-@"/>
    <numFmt numFmtId="165" formatCode="_-* #,##0\ _€_-;\-* #,##0\ _€_-;_-* &quot;-&quot;??\ _€_-;_-@"/>
    <numFmt numFmtId="166" formatCode="_-* #,##0.0\ _€_-;\-* #,##0.0\ _€_-;_-* &quot;-&quot;??\ _€_-;_-@"/>
    <numFmt numFmtId="167" formatCode="#,##0\ &quot;€&quot;"/>
    <numFmt numFmtId="168" formatCode="0.0%"/>
    <numFmt numFmtId="169" formatCode="#,##0.00\ _€"/>
    <numFmt numFmtId="170" formatCode="_-* #,##0_-;\-* #,##0_-;_-* &quot;-&quot;??_-;_-@_-"/>
    <numFmt numFmtId="171" formatCode="[$€-2]\ #,##0;[Red]\-[$€-2]\ #,##0"/>
    <numFmt numFmtId="172" formatCode="#,##0.00\ [$€-407];[Red]\-#,##0.00\ [$€-407]"/>
    <numFmt numFmtId="173" formatCode="#,##0\ [$€-407];[Red]\-#,##0\ [$€-407]"/>
    <numFmt numFmtId="174" formatCode="#,##0.00_ ;[Red]\-#,##0.00\ "/>
    <numFmt numFmtId="175" formatCode="_-* #,##0.0\ &quot;€&quot;_-;\-* #,##0.0\ &quot;€&quot;_-;_-* &quot;-&quot;??\ &quot;€&quot;_-;_-@_-"/>
    <numFmt numFmtId="176" formatCode="_-* #,##0\ &quot;€&quot;_-;\-* #,##0\ &quot;€&quot;_-;_-* &quot;-&quot;??\ &quot;€&quot;_-;_-@_-"/>
    <numFmt numFmtId="177" formatCode="_-* #,##0.00\ _€_-;\-* #,##0.00\ _€_-;_-* &quot;-&quot;??\ _€_-;_-@_-"/>
  </numFmts>
  <fonts count="71">
    <font>
      <sz val="11"/>
      <color rgb="FF000000"/>
      <name val="Calibri"/>
    </font>
    <font>
      <sz val="11"/>
      <color theme="1"/>
      <name val="Calibri"/>
      <family val="2"/>
      <scheme val="minor"/>
    </font>
    <font>
      <sz val="11"/>
      <color theme="1"/>
      <name val="Calibri"/>
      <family val="2"/>
      <scheme val="minor"/>
    </font>
    <font>
      <b/>
      <sz val="11"/>
      <color rgb="FFFFFFFF"/>
      <name val="Calibri"/>
      <family val="2"/>
    </font>
    <font>
      <sz val="11"/>
      <name val="Calibri"/>
      <family val="2"/>
    </font>
    <font>
      <b/>
      <sz val="12"/>
      <color rgb="FFFFFFFF"/>
      <name val="Calibri"/>
      <family val="2"/>
    </font>
    <font>
      <sz val="12"/>
      <color rgb="FF000000"/>
      <name val="Calibri"/>
      <family val="2"/>
    </font>
    <font>
      <sz val="11"/>
      <color theme="1"/>
      <name val="Calibri"/>
      <family val="2"/>
    </font>
    <font>
      <sz val="11"/>
      <color rgb="FFFFFFFF"/>
      <name val="Calibri"/>
      <family val="2"/>
    </font>
    <font>
      <sz val="10"/>
      <color rgb="FF000000"/>
      <name val="Calibri"/>
      <family val="2"/>
    </font>
    <font>
      <sz val="13"/>
      <color rgb="FF000000"/>
      <name val="Calibri"/>
      <family val="2"/>
    </font>
    <font>
      <b/>
      <sz val="16"/>
      <color rgb="FF000000"/>
      <name val="Calibri"/>
      <family val="2"/>
    </font>
    <font>
      <b/>
      <sz val="10"/>
      <color rgb="FF000000"/>
      <name val="Arial"/>
      <family val="2"/>
    </font>
    <font>
      <sz val="10"/>
      <color rgb="FF000000"/>
      <name val="Arial"/>
      <family val="2"/>
    </font>
    <font>
      <sz val="10"/>
      <color theme="1"/>
      <name val="Arial"/>
      <family val="2"/>
    </font>
    <font>
      <b/>
      <sz val="10"/>
      <color theme="1"/>
      <name val="Arial"/>
      <family val="2"/>
    </font>
    <font>
      <b/>
      <sz val="10"/>
      <color rgb="FFFFFFFF"/>
      <name val="Calibri"/>
      <family val="2"/>
    </font>
    <font>
      <b/>
      <sz val="10"/>
      <color rgb="FFFF0000"/>
      <name val="Calibri"/>
      <family val="2"/>
    </font>
    <font>
      <b/>
      <sz val="10"/>
      <color rgb="FFC00000"/>
      <name val="Calibri"/>
      <family val="2"/>
    </font>
    <font>
      <b/>
      <sz val="10"/>
      <color rgb="FF000000"/>
      <name val="Calibri"/>
      <family val="2"/>
    </font>
    <font>
      <b/>
      <sz val="11"/>
      <color rgb="FF000000"/>
      <name val="Inconsolata"/>
    </font>
    <font>
      <sz val="11"/>
      <color rgb="FF000000"/>
      <name val="Inconsolata"/>
    </font>
    <font>
      <sz val="11"/>
      <color rgb="FF000000"/>
      <name val="Arial"/>
      <family val="2"/>
    </font>
    <font>
      <sz val="11"/>
      <color rgb="FF4285F4"/>
      <name val="Calibri"/>
      <family val="2"/>
    </font>
    <font>
      <sz val="11"/>
      <color rgb="FF000000"/>
      <name val="Calibri"/>
      <family val="2"/>
    </font>
    <font>
      <b/>
      <i/>
      <sz val="10"/>
      <color rgb="FF000000"/>
      <name val="Calibri"/>
      <family val="2"/>
    </font>
    <font>
      <b/>
      <sz val="11"/>
      <color rgb="FF000000"/>
      <name val="Calibri"/>
      <family val="2"/>
    </font>
    <font>
      <sz val="8"/>
      <color rgb="FF000000"/>
      <name val="Calibri"/>
      <family val="2"/>
    </font>
    <font>
      <b/>
      <sz val="18"/>
      <color rgb="FF000000"/>
      <name val="Calibri"/>
      <family val="2"/>
    </font>
    <font>
      <b/>
      <sz val="11"/>
      <color rgb="FFC00000"/>
      <name val="Calibri"/>
      <family val="2"/>
    </font>
    <font>
      <sz val="11"/>
      <color rgb="FFFF0000"/>
      <name val="Calibri"/>
      <family val="2"/>
    </font>
    <font>
      <sz val="11"/>
      <color theme="1"/>
      <name val="Calibri"/>
      <family val="2"/>
    </font>
    <font>
      <b/>
      <sz val="22"/>
      <color rgb="FF000000"/>
      <name val="Calibri"/>
      <family val="2"/>
    </font>
    <font>
      <b/>
      <sz val="14"/>
      <color rgb="FF000000"/>
      <name val="Calibri"/>
      <family val="2"/>
    </font>
    <font>
      <b/>
      <sz val="20"/>
      <color rgb="FF000000"/>
      <name val="Calibri"/>
      <family val="2"/>
    </font>
    <font>
      <b/>
      <sz val="14"/>
      <color rgb="FFFFFFFF"/>
      <name val="Calibri"/>
      <family val="2"/>
    </font>
    <font>
      <b/>
      <sz val="18"/>
      <color rgb="FFFFFFFF"/>
      <name val="Calibri"/>
      <family val="2"/>
    </font>
    <font>
      <b/>
      <sz val="20"/>
      <color rgb="FF00B050"/>
      <name val="Calibri"/>
      <family val="2"/>
    </font>
    <font>
      <sz val="11"/>
      <color rgb="FF7F7F7F"/>
      <name val="Calibri"/>
      <family val="2"/>
    </font>
    <font>
      <b/>
      <sz val="12"/>
      <color rgb="FF000000"/>
      <name val="Calibri"/>
      <family val="2"/>
    </font>
    <font>
      <b/>
      <sz val="18"/>
      <color rgb="FF00B0F0"/>
      <name val="Calibri"/>
      <family val="2"/>
    </font>
    <font>
      <sz val="9"/>
      <color rgb="FF000000"/>
      <name val="Arial"/>
      <family val="2"/>
    </font>
    <font>
      <sz val="11"/>
      <color rgb="FF9C6500"/>
      <name val="Calibri"/>
      <family val="2"/>
    </font>
    <font>
      <sz val="11"/>
      <color rgb="FF000000"/>
      <name val="Times New Roman"/>
      <family val="1"/>
    </font>
    <font>
      <sz val="11"/>
      <color rgb="FF9C0006"/>
      <name val="Calibri"/>
      <family val="2"/>
    </font>
    <font>
      <b/>
      <sz val="11"/>
      <color rgb="FF3F3F3F"/>
      <name val="Calibri"/>
      <family val="2"/>
    </font>
    <font>
      <b/>
      <sz val="12"/>
      <color theme="1"/>
      <name val="Calibri"/>
      <family val="2"/>
    </font>
    <font>
      <b/>
      <sz val="11"/>
      <color theme="1"/>
      <name val="Calibri"/>
      <family val="2"/>
    </font>
    <font>
      <b/>
      <sz val="11"/>
      <color rgb="FFFF0000"/>
      <name val="Calibri"/>
      <family val="2"/>
    </font>
    <font>
      <sz val="11"/>
      <name val="Calibri"/>
      <family val="2"/>
      <scheme val="minor"/>
    </font>
    <font>
      <sz val="12"/>
      <color rgb="FF000000"/>
      <name val="Calibri"/>
      <family val="2"/>
    </font>
    <font>
      <sz val="10"/>
      <color rgb="FF000000"/>
      <name val="Calibri"/>
      <family val="2"/>
    </font>
    <font>
      <sz val="11"/>
      <color rgb="FFF7981D"/>
      <name val="Calibri"/>
      <family val="2"/>
    </font>
    <font>
      <b/>
      <sz val="10"/>
      <color rgb="FF000000"/>
      <name val="Calibri"/>
      <family val="2"/>
    </font>
    <font>
      <b/>
      <i/>
      <sz val="10"/>
      <color rgb="FF000000"/>
      <name val="Calibri"/>
      <family val="2"/>
    </font>
    <font>
      <b/>
      <sz val="14"/>
      <color theme="1"/>
      <name val="Arial"/>
      <family val="2"/>
    </font>
    <font>
      <b/>
      <sz val="10"/>
      <color theme="1"/>
      <name val="Arial"/>
      <family val="2"/>
    </font>
    <font>
      <sz val="11"/>
      <color rgb="FF000000"/>
      <name val="Calibri"/>
      <family val="2"/>
    </font>
    <font>
      <sz val="10"/>
      <color rgb="FF000000"/>
      <name val="Arial"/>
      <family val="2"/>
    </font>
    <font>
      <b/>
      <sz val="11"/>
      <color rgb="FFC00000"/>
      <name val="Calibri"/>
      <family val="2"/>
    </font>
    <font>
      <sz val="11"/>
      <name val="Calibri"/>
      <family val="2"/>
    </font>
    <font>
      <sz val="11"/>
      <color rgb="FF000000"/>
      <name val="Calibri"/>
      <family val="2"/>
    </font>
    <font>
      <sz val="10"/>
      <name val="Calibri"/>
      <family val="2"/>
    </font>
    <font>
      <sz val="11"/>
      <color rgb="FF000000"/>
      <name val="Calibri"/>
      <family val="2"/>
    </font>
    <font>
      <b/>
      <sz val="11"/>
      <color theme="1"/>
      <name val="Calibri"/>
      <family val="2"/>
      <scheme val="minor"/>
    </font>
    <font>
      <sz val="10"/>
      <color rgb="FF000000"/>
      <name val="Calibri"/>
      <family val="2"/>
      <scheme val="minor"/>
    </font>
    <font>
      <sz val="11"/>
      <color rgb="FF000000"/>
      <name val="Calibri"/>
      <family val="2"/>
      <scheme val="minor"/>
    </font>
    <font>
      <sz val="11"/>
      <color rgb="FF11A9CC"/>
      <name val="Calibri"/>
      <family val="2"/>
      <scheme val="minor"/>
    </font>
    <font>
      <b/>
      <sz val="12"/>
      <color theme="1"/>
      <name val="Calibri"/>
      <family val="2"/>
      <scheme val="minor"/>
    </font>
    <font>
      <sz val="12"/>
      <color rgb="FFFF0000"/>
      <name val="Calibri"/>
      <family val="2"/>
      <scheme val="minor"/>
    </font>
    <font>
      <sz val="11"/>
      <color rgb="FF000000"/>
      <name val="Calibri"/>
    </font>
  </fonts>
  <fills count="82">
    <fill>
      <patternFill patternType="none"/>
    </fill>
    <fill>
      <patternFill patternType="gray125"/>
    </fill>
    <fill>
      <patternFill patternType="solid">
        <fgColor rgb="FF5B9BD5"/>
        <bgColor rgb="FF5B9BD5"/>
      </patternFill>
    </fill>
    <fill>
      <patternFill patternType="solid">
        <fgColor rgb="FFED7D31"/>
        <bgColor rgb="FFED7D31"/>
      </patternFill>
    </fill>
    <fill>
      <patternFill patternType="solid">
        <fgColor rgb="FFDEEAF6"/>
        <bgColor rgb="FFDEEAF6"/>
      </patternFill>
    </fill>
    <fill>
      <patternFill patternType="solid">
        <fgColor rgb="FFFBE4D5"/>
        <bgColor rgb="FFFBE4D5"/>
      </patternFill>
    </fill>
    <fill>
      <patternFill patternType="solid">
        <fgColor rgb="FFE2EFD9"/>
        <bgColor rgb="FFE2EFD9"/>
      </patternFill>
    </fill>
    <fill>
      <patternFill patternType="solid">
        <fgColor rgb="FF70AD47"/>
        <bgColor rgb="FF70AD47"/>
      </patternFill>
    </fill>
    <fill>
      <patternFill patternType="solid">
        <fgColor rgb="FFC5E0B3"/>
        <bgColor rgb="FFC5E0B3"/>
      </patternFill>
    </fill>
    <fill>
      <patternFill patternType="solid">
        <fgColor rgb="FFB4C6E7"/>
        <bgColor rgb="FFB4C6E7"/>
      </patternFill>
    </fill>
    <fill>
      <patternFill patternType="solid">
        <fgColor rgb="FF757070"/>
        <bgColor rgb="FF757070"/>
      </patternFill>
    </fill>
    <fill>
      <patternFill patternType="solid">
        <fgColor rgb="FFD0CECE"/>
        <bgColor rgb="FFD0CECE"/>
      </patternFill>
    </fill>
    <fill>
      <patternFill patternType="solid">
        <fgColor rgb="FFD8D8D8"/>
        <bgColor rgb="FFD8D8D8"/>
      </patternFill>
    </fill>
    <fill>
      <patternFill patternType="solid">
        <fgColor rgb="FF92D050"/>
        <bgColor rgb="FF92D050"/>
      </patternFill>
    </fill>
    <fill>
      <patternFill patternType="solid">
        <fgColor rgb="FFBDD6EE"/>
        <bgColor rgb="FFBDD6EE"/>
      </patternFill>
    </fill>
    <fill>
      <patternFill patternType="solid">
        <fgColor rgb="FFFFC000"/>
        <bgColor rgb="FFFFC000"/>
      </patternFill>
    </fill>
    <fill>
      <patternFill patternType="solid">
        <fgColor rgb="FFF7CAAC"/>
        <bgColor rgb="FFF7CAAC"/>
      </patternFill>
    </fill>
    <fill>
      <patternFill patternType="solid">
        <fgColor rgb="FFF4CCCC"/>
        <bgColor rgb="FFF4CCCC"/>
      </patternFill>
    </fill>
    <fill>
      <patternFill patternType="solid">
        <fgColor rgb="FFA5A5A5"/>
        <bgColor rgb="FFA5A5A5"/>
      </patternFill>
    </fill>
    <fill>
      <patternFill patternType="solid">
        <fgColor rgb="FFF1F7ED"/>
        <bgColor rgb="FFF1F7ED"/>
      </patternFill>
    </fill>
    <fill>
      <patternFill patternType="solid">
        <fgColor rgb="FFFFFFFF"/>
        <bgColor rgb="FFFFFFFF"/>
      </patternFill>
    </fill>
    <fill>
      <patternFill patternType="solid">
        <fgColor rgb="FFFFF2CC"/>
        <bgColor rgb="FFFFF2CC"/>
      </patternFill>
    </fill>
    <fill>
      <patternFill patternType="solid">
        <fgColor rgb="FFFF00FF"/>
        <bgColor rgb="FFFF00FF"/>
      </patternFill>
    </fill>
    <fill>
      <patternFill patternType="solid">
        <fgColor rgb="FFFFFF00"/>
        <bgColor rgb="FFFFFF00"/>
      </patternFill>
    </fill>
    <fill>
      <patternFill patternType="solid">
        <fgColor rgb="FF00B0F0"/>
        <bgColor rgb="FF00B0F0"/>
      </patternFill>
    </fill>
    <fill>
      <patternFill patternType="solid">
        <fgColor rgb="FFFF0000"/>
        <bgColor rgb="FFFF0000"/>
      </patternFill>
    </fill>
    <fill>
      <patternFill patternType="solid">
        <fgColor theme="0"/>
        <bgColor theme="0"/>
      </patternFill>
    </fill>
    <fill>
      <patternFill patternType="solid">
        <fgColor rgb="FFD9EAD3"/>
        <bgColor rgb="FFD9EAD3"/>
      </patternFill>
    </fill>
    <fill>
      <patternFill patternType="solid">
        <fgColor rgb="FFBFBFBF"/>
        <bgColor rgb="FFBFBFBF"/>
      </patternFill>
    </fill>
    <fill>
      <patternFill patternType="solid">
        <fgColor rgb="FFF9CB9C"/>
        <bgColor rgb="FFF9CB9C"/>
      </patternFill>
    </fill>
    <fill>
      <patternFill patternType="solid">
        <fgColor rgb="FFFCE5CD"/>
        <bgColor rgb="FFFCE5CD"/>
      </patternFill>
    </fill>
    <fill>
      <patternFill patternType="solid">
        <fgColor rgb="FFFEF2CB"/>
        <bgColor rgb="FFFEF2CB"/>
      </patternFill>
    </fill>
    <fill>
      <patternFill patternType="solid">
        <fgColor rgb="FFFFE598"/>
        <bgColor rgb="FFFFE598"/>
      </patternFill>
    </fill>
    <fill>
      <patternFill patternType="solid">
        <fgColor theme="7"/>
        <bgColor theme="7"/>
      </patternFill>
    </fill>
    <fill>
      <patternFill patternType="solid">
        <fgColor rgb="FFA8D08D"/>
        <bgColor rgb="FFA8D08D"/>
      </patternFill>
    </fill>
    <fill>
      <patternFill patternType="solid">
        <fgColor rgb="FF7030A0"/>
        <bgColor rgb="FF7030A0"/>
      </patternFill>
    </fill>
    <fill>
      <patternFill patternType="solid">
        <fgColor rgb="FFE7E6E6"/>
        <bgColor rgb="FFE7E6E6"/>
      </patternFill>
    </fill>
    <fill>
      <patternFill patternType="solid">
        <fgColor rgb="FF9CC2E5"/>
        <bgColor rgb="FF9CC2E5"/>
      </patternFill>
    </fill>
    <fill>
      <patternFill patternType="solid">
        <fgColor rgb="FFFFE599"/>
        <bgColor rgb="FFFFE599"/>
      </patternFill>
    </fill>
    <fill>
      <patternFill patternType="solid">
        <fgColor rgb="FF9FC5E8"/>
        <bgColor rgb="FF9FC5E8"/>
      </patternFill>
    </fill>
    <fill>
      <patternFill patternType="solid">
        <fgColor rgb="FFFFEB9C"/>
        <bgColor rgb="FFFFEB9C"/>
      </patternFill>
    </fill>
    <fill>
      <patternFill patternType="solid">
        <fgColor rgb="FFFFC7CE"/>
        <bgColor rgb="FFFFC7CE"/>
      </patternFill>
    </fill>
    <fill>
      <patternFill patternType="solid">
        <fgColor rgb="FFF2F2F2"/>
        <bgColor rgb="FFF2F2F2"/>
      </patternFill>
    </fill>
    <fill>
      <patternFill patternType="solid">
        <fgColor rgb="FFA4C2F4"/>
        <bgColor rgb="FFA4C2F4"/>
      </patternFill>
    </fill>
    <fill>
      <patternFill patternType="solid">
        <fgColor theme="0"/>
        <bgColor indexed="64"/>
      </patternFill>
    </fill>
    <fill>
      <patternFill patternType="solid">
        <fgColor theme="0"/>
        <bgColor rgb="FFFFFFFF"/>
      </patternFill>
    </fill>
    <fill>
      <patternFill patternType="solid">
        <fgColor rgb="FFE2EFD9"/>
        <bgColor indexed="64"/>
      </patternFill>
    </fill>
    <fill>
      <patternFill patternType="solid">
        <fgColor theme="9" tint="0.59999389629810485"/>
        <bgColor indexed="64"/>
      </patternFill>
    </fill>
    <fill>
      <patternFill patternType="solid">
        <fgColor theme="9"/>
        <bgColor indexed="64"/>
      </patternFill>
    </fill>
    <fill>
      <patternFill patternType="solid">
        <fgColor rgb="FFFF0000"/>
        <bgColor indexed="64"/>
      </patternFill>
    </fill>
    <fill>
      <patternFill patternType="solid">
        <fgColor rgb="FF00B0F0"/>
        <bgColor rgb="FFFBE4D5"/>
      </patternFill>
    </fill>
    <fill>
      <patternFill patternType="solid">
        <fgColor theme="2"/>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rgb="FF92D050"/>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249977111117893"/>
        <bgColor rgb="FFFF0000"/>
      </patternFill>
    </fill>
    <fill>
      <patternFill patternType="solid">
        <fgColor rgb="FFED7D31"/>
        <bgColor indexed="64"/>
      </patternFill>
    </fill>
    <fill>
      <patternFill patternType="solid">
        <fgColor rgb="FFFBE4D5"/>
        <bgColor indexed="64"/>
      </patternFill>
    </fill>
    <fill>
      <patternFill patternType="solid">
        <fgColor theme="7" tint="0.59999389629810485"/>
        <bgColor indexed="64"/>
      </patternFill>
    </fill>
    <fill>
      <patternFill patternType="solid">
        <fgColor theme="9"/>
        <bgColor rgb="FF5B9BD5"/>
      </patternFill>
    </fill>
    <fill>
      <patternFill patternType="solid">
        <fgColor theme="9" tint="0.59999389629810485"/>
        <bgColor rgb="FFBDD6EE"/>
      </patternFill>
    </fill>
    <fill>
      <patternFill patternType="solid">
        <fgColor theme="9" tint="0.79998168889431442"/>
        <bgColor rgb="FFDEEAF6"/>
      </patternFill>
    </fill>
    <fill>
      <patternFill patternType="solid">
        <fgColor theme="5" tint="0.79998168889431442"/>
        <bgColor indexed="64"/>
      </patternFill>
    </fill>
    <fill>
      <patternFill patternType="solid">
        <fgColor theme="0"/>
        <bgColor rgb="FFED7D31"/>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5"/>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2" tint="-0.14999847407452621"/>
        <bgColor indexed="64"/>
      </patternFill>
    </fill>
    <fill>
      <patternFill patternType="solid">
        <fgColor theme="2" tint="-0.249977111117893"/>
        <bgColor indexed="64"/>
      </patternFill>
    </fill>
    <fill>
      <patternFill patternType="solid">
        <fgColor theme="7"/>
        <bgColor indexed="64"/>
      </patternFill>
    </fill>
    <fill>
      <patternFill patternType="solid">
        <fgColor rgb="FF00B050"/>
        <bgColor rgb="FFFF0000"/>
      </patternFill>
    </fill>
    <fill>
      <patternFill patternType="solid">
        <fgColor rgb="FF92D050"/>
        <bgColor rgb="FFFF0000"/>
      </patternFill>
    </fill>
    <fill>
      <patternFill patternType="solid">
        <fgColor theme="7" tint="0.79998168889431442"/>
        <bgColor indexed="64"/>
      </patternFill>
    </fill>
    <fill>
      <patternFill patternType="solid">
        <fgColor rgb="FFE2EFDA"/>
        <bgColor indexed="64"/>
      </patternFill>
    </fill>
    <fill>
      <patternFill patternType="solid">
        <fgColor rgb="FFF8CBAD"/>
        <bgColor indexed="64"/>
      </patternFill>
    </fill>
    <fill>
      <patternFill patternType="solid">
        <fgColor rgb="FFF4B084"/>
        <bgColor indexed="64"/>
      </patternFill>
    </fill>
    <fill>
      <patternFill patternType="solid">
        <fgColor rgb="FFC65911"/>
        <bgColor indexed="64"/>
      </patternFill>
    </fill>
  </fills>
  <borders count="223">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ck">
        <color rgb="FF000000"/>
      </left>
      <right/>
      <top/>
      <bottom/>
      <diagonal/>
    </border>
    <border>
      <left style="thick">
        <color rgb="FF000000"/>
      </left>
      <right/>
      <top/>
      <bottom/>
      <diagonal/>
    </border>
    <border>
      <left/>
      <right/>
      <top/>
      <bottom/>
      <diagonal/>
    </border>
    <border>
      <left/>
      <right style="thick">
        <color rgb="FF000000"/>
      </right>
      <top/>
      <bottom/>
      <diagonal/>
    </border>
    <border>
      <left style="thick">
        <color rgb="FF000000"/>
      </left>
      <right/>
      <top/>
      <bottom/>
      <diagonal/>
    </border>
    <border>
      <left/>
      <right style="thick">
        <color rgb="FF000000"/>
      </right>
      <top/>
      <bottom/>
      <diagonal/>
    </border>
    <border>
      <left style="thin">
        <color rgb="FF000000"/>
      </left>
      <right/>
      <top/>
      <bottom/>
      <diagonal/>
    </border>
    <border>
      <left style="thin">
        <color rgb="FF000000"/>
      </left>
      <right/>
      <top/>
      <bottom/>
      <diagonal/>
    </border>
    <border>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medium">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
      <left/>
      <right/>
      <top/>
      <bottom style="medium">
        <color rgb="FF000000"/>
      </bottom>
      <diagonal/>
    </border>
    <border>
      <left style="thin">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style="medium">
        <color rgb="FFBFBFBF"/>
      </right>
      <top style="medium">
        <color rgb="FF000000"/>
      </top>
      <bottom/>
      <diagonal/>
    </border>
    <border>
      <left style="medium">
        <color rgb="FFBFBFBF"/>
      </left>
      <right/>
      <top style="medium">
        <color rgb="FF000000"/>
      </top>
      <bottom/>
      <diagonal/>
    </border>
    <border>
      <left/>
      <right style="medium">
        <color rgb="FFBFBFBF"/>
      </right>
      <top style="medium">
        <color rgb="FF000000"/>
      </top>
      <bottom/>
      <diagonal/>
    </border>
    <border>
      <left/>
      <right style="thin">
        <color rgb="FFBFBFBF"/>
      </right>
      <top/>
      <bottom/>
      <diagonal/>
    </border>
    <border>
      <left style="thin">
        <color rgb="FFBFBFBF"/>
      </left>
      <right/>
      <top/>
      <bottom/>
      <diagonal/>
    </border>
    <border>
      <left style="medium">
        <color rgb="FF000000"/>
      </left>
      <right style="medium">
        <color rgb="FFBFBFBF"/>
      </right>
      <top/>
      <bottom/>
      <diagonal/>
    </border>
    <border>
      <left style="medium">
        <color rgb="FFBFBFBF"/>
      </left>
      <right style="thin">
        <color rgb="FFD8D8D8"/>
      </right>
      <top/>
      <bottom/>
      <diagonal/>
    </border>
    <border>
      <left style="thin">
        <color rgb="FFD8D8D8"/>
      </left>
      <right style="medium">
        <color rgb="FFBFBFBF"/>
      </right>
      <top/>
      <bottom/>
      <diagonal/>
    </border>
    <border>
      <left style="thin">
        <color rgb="FFBFBFBF"/>
      </left>
      <right style="thin">
        <color rgb="FFBFBFBF"/>
      </right>
      <top/>
      <bottom/>
      <diagonal/>
    </border>
    <border>
      <left style="thin">
        <color rgb="FFBFBFBF"/>
      </left>
      <right style="medium">
        <color rgb="FF000000"/>
      </right>
      <top/>
      <bottom/>
      <diagonal/>
    </border>
    <border>
      <left style="medium">
        <color rgb="FFBFBFBF"/>
      </left>
      <right style="thin">
        <color rgb="FFBFBFBF"/>
      </right>
      <top/>
      <bottom/>
      <diagonal/>
    </border>
    <border>
      <left style="thin">
        <color rgb="FFBFBFBF"/>
      </left>
      <right style="medium">
        <color rgb="FFBFBFBF"/>
      </right>
      <top/>
      <bottom/>
      <diagonal/>
    </border>
    <border>
      <left style="medium">
        <color rgb="FFBFBFBF"/>
      </left>
      <right/>
      <top/>
      <bottom/>
      <diagonal/>
    </border>
    <border>
      <left/>
      <right style="medium">
        <color rgb="FFBFBFBF"/>
      </right>
      <top/>
      <bottom/>
      <diagonal/>
    </border>
    <border>
      <left/>
      <right/>
      <top/>
      <bottom style="thin">
        <color rgb="FFD8D8D8"/>
      </bottom>
      <diagonal/>
    </border>
    <border>
      <left style="medium">
        <color rgb="FF000000"/>
      </left>
      <right/>
      <top/>
      <bottom style="thin">
        <color rgb="FFF2F2F2"/>
      </bottom>
      <diagonal/>
    </border>
    <border>
      <left style="medium">
        <color rgb="FFBFBFBF"/>
      </left>
      <right/>
      <top/>
      <bottom style="thin">
        <color rgb="FFF2F2F2"/>
      </bottom>
      <diagonal/>
    </border>
    <border>
      <left/>
      <right style="medium">
        <color rgb="FFBFBFBF"/>
      </right>
      <top/>
      <bottom style="thin">
        <color rgb="FFF2F2F2"/>
      </bottom>
      <diagonal/>
    </border>
    <border>
      <left/>
      <right/>
      <top/>
      <bottom style="thin">
        <color rgb="FFF2F2F2"/>
      </bottom>
      <diagonal/>
    </border>
    <border>
      <left style="thin">
        <color rgb="FFBFBFBF"/>
      </left>
      <right style="medium">
        <color rgb="FF000000"/>
      </right>
      <top/>
      <bottom style="thin">
        <color rgb="FFF2F2F2"/>
      </bottom>
      <diagonal/>
    </border>
    <border>
      <left style="medium">
        <color rgb="FF000000"/>
      </left>
      <right/>
      <top/>
      <bottom style="thin">
        <color rgb="FFF2F2F2"/>
      </bottom>
      <diagonal/>
    </border>
    <border>
      <left style="medium">
        <color rgb="FFBFBFBF"/>
      </left>
      <right/>
      <top/>
      <bottom style="thin">
        <color rgb="FFF2F2F2"/>
      </bottom>
      <diagonal/>
    </border>
    <border>
      <left/>
      <right style="medium">
        <color rgb="FFBFBFBF"/>
      </right>
      <top/>
      <bottom style="thin">
        <color rgb="FFF2F2F2"/>
      </bottom>
      <diagonal/>
    </border>
    <border>
      <left/>
      <right/>
      <top style="thin">
        <color rgb="FFD8D8D8"/>
      </top>
      <bottom style="thin">
        <color rgb="FFD8D8D8"/>
      </bottom>
      <diagonal/>
    </border>
    <border>
      <left style="medium">
        <color rgb="FF000000"/>
      </left>
      <right/>
      <top style="thin">
        <color rgb="FFF2F2F2"/>
      </top>
      <bottom style="thin">
        <color rgb="FFF2F2F2"/>
      </bottom>
      <diagonal/>
    </border>
    <border>
      <left style="medium">
        <color rgb="FFBFBFBF"/>
      </left>
      <right/>
      <top style="thin">
        <color rgb="FFF2F2F2"/>
      </top>
      <bottom style="thin">
        <color rgb="FFF2F2F2"/>
      </bottom>
      <diagonal/>
    </border>
    <border>
      <left/>
      <right style="medium">
        <color rgb="FFBFBFBF"/>
      </right>
      <top style="thin">
        <color rgb="FFF2F2F2"/>
      </top>
      <bottom style="thin">
        <color rgb="FFF2F2F2"/>
      </bottom>
      <diagonal/>
    </border>
    <border>
      <left/>
      <right/>
      <top style="thin">
        <color rgb="FFF2F2F2"/>
      </top>
      <bottom style="thin">
        <color rgb="FFF2F2F2"/>
      </bottom>
      <diagonal/>
    </border>
    <border>
      <left style="thin">
        <color rgb="FFBFBFBF"/>
      </left>
      <right style="medium">
        <color rgb="FF000000"/>
      </right>
      <top style="thin">
        <color rgb="FFF2F2F2"/>
      </top>
      <bottom style="thin">
        <color rgb="FFF2F2F2"/>
      </bottom>
      <diagonal/>
    </border>
    <border>
      <left style="medium">
        <color rgb="FF000000"/>
      </left>
      <right/>
      <top style="thin">
        <color rgb="FFF2F2F2"/>
      </top>
      <bottom style="thin">
        <color rgb="FFF2F2F2"/>
      </bottom>
      <diagonal/>
    </border>
    <border>
      <left style="medium">
        <color rgb="FFBFBFBF"/>
      </left>
      <right/>
      <top style="thin">
        <color rgb="FFF2F2F2"/>
      </top>
      <bottom style="thin">
        <color rgb="FFF2F2F2"/>
      </bottom>
      <diagonal/>
    </border>
    <border>
      <left/>
      <right style="medium">
        <color rgb="FFBFBFBF"/>
      </right>
      <top style="thin">
        <color rgb="FFF2F2F2"/>
      </top>
      <bottom style="thin">
        <color rgb="FFF2F2F2"/>
      </bottom>
      <diagonal/>
    </border>
    <border>
      <left style="medium">
        <color rgb="FFD8D8D8"/>
      </left>
      <right/>
      <top style="thin">
        <color rgb="FFF2F2F2"/>
      </top>
      <bottom style="thin">
        <color rgb="FFF2F2F2"/>
      </bottom>
      <diagonal/>
    </border>
    <border>
      <left style="medium">
        <color rgb="FFBFBFBF"/>
      </left>
      <right style="thin">
        <color rgb="FFD8D8D8"/>
      </right>
      <top style="thin">
        <color rgb="FFF2F2F2"/>
      </top>
      <bottom style="thin">
        <color rgb="FFF2F2F2"/>
      </bottom>
      <diagonal/>
    </border>
    <border>
      <left style="medium">
        <color rgb="FFBFBFBF"/>
      </left>
      <right style="thin">
        <color rgb="FFBFBFBF"/>
      </right>
      <top style="thin">
        <color rgb="FFF2F2F2"/>
      </top>
      <bottom style="thin">
        <color rgb="FFF2F2F2"/>
      </bottom>
      <diagonal/>
    </border>
    <border>
      <left style="thin">
        <color rgb="FFBFBFBF"/>
      </left>
      <right style="medium">
        <color rgb="FFBFBFBF"/>
      </right>
      <top style="thin">
        <color rgb="FFF2F2F2"/>
      </top>
      <bottom style="thin">
        <color rgb="FFF2F2F2"/>
      </bottom>
      <diagonal/>
    </border>
    <border>
      <left/>
      <right/>
      <top style="thin">
        <color rgb="FFF2F2F2"/>
      </top>
      <bottom style="thin">
        <color rgb="FFF2F2F2"/>
      </bottom>
      <diagonal/>
    </border>
    <border>
      <left style="medium">
        <color rgb="FFD8D8D8"/>
      </left>
      <right/>
      <top style="thin">
        <color rgb="FFF2F2F2"/>
      </top>
      <bottom style="thin">
        <color rgb="FFF2F2F2"/>
      </bottom>
      <diagonal/>
    </border>
    <border>
      <left style="thin">
        <color rgb="FFBFBFBF"/>
      </left>
      <right style="thin">
        <color rgb="FFBFBFBF"/>
      </right>
      <top style="thin">
        <color rgb="FFF2F2F2"/>
      </top>
      <bottom style="thin">
        <color rgb="FFF2F2F2"/>
      </bottom>
      <diagonal/>
    </border>
    <border>
      <left style="thin">
        <color rgb="FFBFBFBF"/>
      </left>
      <right style="thin">
        <color rgb="FFBFBFBF"/>
      </right>
      <top/>
      <bottom/>
      <diagonal/>
    </border>
    <border>
      <left style="thin">
        <color rgb="FFBFBFBF"/>
      </left>
      <right style="medium">
        <color rgb="FF000000"/>
      </right>
      <top/>
      <bottom/>
      <diagonal/>
    </border>
    <border>
      <left/>
      <right style="thick">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thick">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style="medium">
        <color rgb="FF000000"/>
      </left>
      <right style="medium">
        <color rgb="FF000000"/>
      </right>
      <top/>
      <bottom style="thick">
        <color rgb="FF000000"/>
      </bottom>
      <diagonal/>
    </border>
    <border>
      <left/>
      <right style="thin">
        <color rgb="FF000000"/>
      </right>
      <top style="medium">
        <color rgb="FF000000"/>
      </top>
      <bottom style="thin">
        <color rgb="FF000000"/>
      </bottom>
      <diagonal/>
    </border>
    <border>
      <left/>
      <right style="medium">
        <color rgb="FF000000"/>
      </right>
      <top style="thin">
        <color rgb="FF000000"/>
      </top>
      <bottom/>
      <diagonal/>
    </border>
    <border>
      <left style="medium">
        <color rgb="FF000000"/>
      </left>
      <right/>
      <top style="medium">
        <color rgb="FF000000"/>
      </top>
      <bottom/>
      <diagonal/>
    </border>
    <border>
      <left/>
      <right/>
      <top style="medium">
        <color rgb="FF000000"/>
      </top>
      <bottom style="medium">
        <color rgb="FF000000"/>
      </bottom>
      <diagonal/>
    </border>
    <border>
      <left/>
      <right style="medium">
        <color rgb="FF000000"/>
      </right>
      <top style="medium">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style="medium">
        <color rgb="FF000000"/>
      </top>
      <bottom/>
      <diagonal/>
    </border>
    <border>
      <left style="thin">
        <color rgb="FF3F3F3F"/>
      </left>
      <right style="thin">
        <color rgb="FF3F3F3F"/>
      </right>
      <top style="thin">
        <color rgb="FF3F3F3F"/>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style="medium">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medium">
        <color rgb="FF000000"/>
      </right>
      <top style="thin">
        <color rgb="FF000000"/>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ck">
        <color auto="1"/>
      </left>
      <right/>
      <top/>
      <bottom/>
      <diagonal/>
    </border>
    <border>
      <left/>
      <right style="thick">
        <color auto="1"/>
      </right>
      <top/>
      <bottom/>
      <diagonal/>
    </border>
    <border>
      <left/>
      <right style="medium">
        <color indexed="64"/>
      </right>
      <top/>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style="medium">
        <color rgb="FF000000"/>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style="medium">
        <color rgb="FF000000"/>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medium">
        <color indexed="64"/>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medium">
        <color rgb="FF000000"/>
      </left>
      <right/>
      <top style="thin">
        <color indexed="64"/>
      </top>
      <bottom style="thin">
        <color indexed="64"/>
      </bottom>
      <diagonal/>
    </border>
    <border>
      <left/>
      <right/>
      <top style="medium">
        <color indexed="64"/>
      </top>
      <bottom/>
      <diagonal/>
    </border>
    <border>
      <left style="medium">
        <color rgb="FF000000"/>
      </left>
      <right/>
      <top style="medium">
        <color indexed="64"/>
      </top>
      <bottom/>
      <diagonal/>
    </border>
    <border>
      <left style="medium">
        <color rgb="FF000000"/>
      </left>
      <right/>
      <top/>
      <bottom style="medium">
        <color indexed="64"/>
      </bottom>
      <diagonal/>
    </border>
    <border>
      <left style="medium">
        <color indexed="64"/>
      </left>
      <right/>
      <top style="thin">
        <color indexed="64"/>
      </top>
      <bottom/>
      <diagonal/>
    </border>
    <border>
      <left style="medium">
        <color rgb="FF000000"/>
      </left>
      <right/>
      <top style="thin">
        <color indexed="64"/>
      </top>
      <bottom/>
      <diagonal/>
    </border>
    <border>
      <left style="medium">
        <color rgb="FF000000"/>
      </left>
      <right style="medium">
        <color indexed="64"/>
      </right>
      <top style="thin">
        <color indexed="64"/>
      </top>
      <bottom/>
      <diagonal/>
    </border>
    <border>
      <left style="medium">
        <color indexed="64"/>
      </left>
      <right style="medium">
        <color rgb="FF000000"/>
      </right>
      <top style="medium">
        <color indexed="64"/>
      </top>
      <bottom style="thin">
        <color indexed="64"/>
      </bottom>
      <diagonal/>
    </border>
    <border>
      <left style="medium">
        <color rgb="FF000000"/>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7">
    <xf numFmtId="0" fontId="0" fillId="0" borderId="0"/>
    <xf numFmtId="43" fontId="24" fillId="0" borderId="0" applyFont="0" applyFill="0" applyBorder="0" applyAlignment="0" applyProtection="0"/>
    <xf numFmtId="0" fontId="61" fillId="0" borderId="75"/>
    <xf numFmtId="43" fontId="24" fillId="0" borderId="75" applyFont="0" applyFill="0" applyBorder="0" applyAlignment="0" applyProtection="0"/>
    <xf numFmtId="44" fontId="63" fillId="0" borderId="0" applyFont="0" applyFill="0" applyBorder="0" applyAlignment="0" applyProtection="0"/>
    <xf numFmtId="0" fontId="2" fillId="0" borderId="75"/>
    <xf numFmtId="9" fontId="70" fillId="0" borderId="0" applyFont="0" applyFill="0" applyBorder="0" applyAlignment="0" applyProtection="0"/>
  </cellStyleXfs>
  <cellXfs count="1134">
    <xf numFmtId="0" fontId="0" fillId="0" borderId="0" xfId="0"/>
    <xf numFmtId="0" fontId="3" fillId="2" borderId="1" xfId="0" applyFont="1" applyFill="1" applyBorder="1" applyAlignment="1">
      <alignment vertical="center"/>
    </xf>
    <xf numFmtId="0" fontId="3" fillId="3" borderId="1" xfId="0" applyFont="1" applyFill="1" applyBorder="1" applyAlignment="1">
      <alignment vertical="center"/>
    </xf>
    <xf numFmtId="0" fontId="0" fillId="0" borderId="0" xfId="0" applyAlignment="1">
      <alignment vertical="center"/>
    </xf>
    <xf numFmtId="0" fontId="0" fillId="4" borderId="1" xfId="0" applyFill="1" applyBorder="1" applyAlignment="1">
      <alignment vertical="center" wrapText="1"/>
    </xf>
    <xf numFmtId="0" fontId="0" fillId="5" borderId="1" xfId="0" applyFill="1" applyBorder="1" applyAlignment="1">
      <alignment vertical="center"/>
    </xf>
    <xf numFmtId="0" fontId="3" fillId="2" borderId="1" xfId="0" applyFont="1" applyFill="1" applyBorder="1" applyAlignment="1">
      <alignment vertical="center" wrapText="1"/>
    </xf>
    <xf numFmtId="0" fontId="0" fillId="4" borderId="1" xfId="0" applyFill="1" applyBorder="1" applyAlignment="1">
      <alignment vertical="center"/>
    </xf>
    <xf numFmtId="0" fontId="5" fillId="7" borderId="1" xfId="0" applyFont="1" applyFill="1" applyBorder="1" applyAlignment="1">
      <alignment horizontal="center" vertical="center"/>
    </xf>
    <xf numFmtId="0" fontId="6" fillId="0" borderId="0" xfId="0" applyFont="1" applyAlignment="1">
      <alignment vertical="center"/>
    </xf>
    <xf numFmtId="0" fontId="6" fillId="6" borderId="1" xfId="0" applyFont="1" applyFill="1" applyBorder="1" applyAlignment="1">
      <alignment horizontal="left" vertical="center"/>
    </xf>
    <xf numFmtId="0" fontId="6" fillId="6" borderId="1" xfId="0" applyFont="1" applyFill="1" applyBorder="1" applyAlignment="1">
      <alignment horizontal="left" vertical="center" wrapText="1"/>
    </xf>
    <xf numFmtId="0" fontId="6" fillId="0" borderId="0" xfId="0" applyFont="1" applyAlignment="1">
      <alignment horizontal="left" vertical="center" wrapText="1"/>
    </xf>
    <xf numFmtId="0" fontId="6" fillId="8" borderId="1" xfId="0" applyFont="1" applyFill="1" applyBorder="1" applyAlignment="1">
      <alignment horizontal="center" vertical="center"/>
    </xf>
    <xf numFmtId="0" fontId="6" fillId="0" borderId="0" xfId="0" applyFont="1" applyAlignment="1">
      <alignment horizontal="center" vertical="center"/>
    </xf>
    <xf numFmtId="0" fontId="6" fillId="0" borderId="0" xfId="0" applyFont="1" applyAlignment="1">
      <alignment horizontal="left" vertical="center"/>
    </xf>
    <xf numFmtId="0" fontId="6" fillId="6" borderId="1" xfId="0" applyFont="1" applyFill="1" applyBorder="1" applyAlignment="1">
      <alignment vertical="center"/>
    </xf>
    <xf numFmtId="0" fontId="6" fillId="6" borderId="1" xfId="0" applyFont="1" applyFill="1" applyBorder="1" applyAlignment="1">
      <alignment horizontal="center" vertical="center"/>
    </xf>
    <xf numFmtId="0" fontId="0" fillId="9" borderId="1" xfId="0" applyFill="1" applyBorder="1"/>
    <xf numFmtId="0" fontId="7" fillId="0" borderId="0" xfId="0" applyFont="1"/>
    <xf numFmtId="0" fontId="8" fillId="10" borderId="1" xfId="0" applyFont="1" applyFill="1" applyBorder="1"/>
    <xf numFmtId="0" fontId="0" fillId="11" borderId="1" xfId="0" applyFill="1" applyBorder="1"/>
    <xf numFmtId="0" fontId="0" fillId="7" borderId="1" xfId="0" applyFill="1" applyBorder="1"/>
    <xf numFmtId="0" fontId="0" fillId="0" borderId="0" xfId="0" applyAlignment="1">
      <alignment vertical="center" wrapText="1"/>
    </xf>
    <xf numFmtId="0" fontId="0" fillId="3" borderId="5" xfId="0" applyFill="1" applyBorder="1" applyAlignment="1">
      <alignment vertical="center" wrapText="1"/>
    </xf>
    <xf numFmtId="0" fontId="0" fillId="0" borderId="5" xfId="0" applyBorder="1" applyAlignment="1">
      <alignment vertical="center" wrapText="1"/>
    </xf>
    <xf numFmtId="0" fontId="0" fillId="12" borderId="5" xfId="0" applyFill="1" applyBorder="1" applyAlignment="1">
      <alignment vertical="center" wrapText="1"/>
    </xf>
    <xf numFmtId="0" fontId="0" fillId="0" borderId="0" xfId="0" quotePrefix="1" applyAlignment="1">
      <alignment vertical="center" wrapText="1"/>
    </xf>
    <xf numFmtId="0" fontId="0" fillId="0" borderId="6" xfId="0" applyBorder="1" applyAlignment="1">
      <alignment vertical="center" wrapText="1"/>
    </xf>
    <xf numFmtId="0" fontId="0" fillId="12" borderId="1" xfId="0" applyFill="1" applyBorder="1" applyAlignment="1">
      <alignment vertical="center" wrapText="1"/>
    </xf>
    <xf numFmtId="0" fontId="0" fillId="0" borderId="7" xfId="0" applyBorder="1" applyAlignment="1">
      <alignment vertical="center" wrapText="1"/>
    </xf>
    <xf numFmtId="0" fontId="9" fillId="0" borderId="6" xfId="0" applyFont="1" applyBorder="1" applyAlignment="1">
      <alignment vertical="center" wrapText="1"/>
    </xf>
    <xf numFmtId="0" fontId="9" fillId="0" borderId="8" xfId="0" applyFont="1" applyBorder="1" applyAlignment="1">
      <alignment vertical="center" wrapText="1"/>
    </xf>
    <xf numFmtId="0" fontId="0" fillId="12" borderId="9" xfId="0" applyFill="1" applyBorder="1" applyAlignment="1">
      <alignment vertical="center" wrapText="1"/>
    </xf>
    <xf numFmtId="0" fontId="0" fillId="0" borderId="10" xfId="0" applyBorder="1" applyAlignment="1">
      <alignment vertical="center" wrapText="1"/>
    </xf>
    <xf numFmtId="0" fontId="0" fillId="3" borderId="13" xfId="0" applyFill="1" applyBorder="1" applyAlignment="1">
      <alignment vertical="center" wrapText="1"/>
    </xf>
    <xf numFmtId="0" fontId="0" fillId="0" borderId="8" xfId="0" applyBorder="1" applyAlignment="1">
      <alignment vertical="center" wrapText="1"/>
    </xf>
    <xf numFmtId="0" fontId="0" fillId="0" borderId="14" xfId="0" applyBorder="1" applyAlignment="1">
      <alignment vertical="center" wrapText="1"/>
    </xf>
    <xf numFmtId="0" fontId="9" fillId="0" borderId="0" xfId="0" applyFont="1" applyAlignment="1">
      <alignment vertical="center" wrapText="1"/>
    </xf>
    <xf numFmtId="0" fontId="0" fillId="8" borderId="1" xfId="0" applyFill="1" applyBorder="1" applyAlignment="1">
      <alignment horizontal="left"/>
    </xf>
    <xf numFmtId="0" fontId="0" fillId="8" borderId="1" xfId="0" applyFill="1" applyBorder="1"/>
    <xf numFmtId="0" fontId="0" fillId="14" borderId="1" xfId="0" applyFill="1" applyBorder="1" applyAlignment="1">
      <alignment horizontal="left"/>
    </xf>
    <xf numFmtId="49" fontId="0" fillId="14" borderId="1" xfId="0" applyNumberFormat="1" applyFill="1" applyBorder="1"/>
    <xf numFmtId="0" fontId="0" fillId="4" borderId="1" xfId="0" applyFill="1" applyBorder="1"/>
    <xf numFmtId="49" fontId="0" fillId="14" borderId="1" xfId="0" applyNumberFormat="1" applyFill="1" applyBorder="1" applyAlignment="1">
      <alignment horizontal="left"/>
    </xf>
    <xf numFmtId="0" fontId="0" fillId="0" borderId="0" xfId="0" applyAlignment="1">
      <alignment horizontal="left"/>
    </xf>
    <xf numFmtId="0" fontId="7" fillId="4" borderId="0" xfId="0" applyFont="1" applyFill="1"/>
    <xf numFmtId="0" fontId="11" fillId="0" borderId="0" xfId="0" applyFont="1"/>
    <xf numFmtId="0" fontId="12" fillId="0" borderId="0" xfId="0" applyFont="1"/>
    <xf numFmtId="3" fontId="13" fillId="0" borderId="0" xfId="0" applyNumberFormat="1" applyFont="1"/>
    <xf numFmtId="0" fontId="14" fillId="0" borderId="0" xfId="0" applyFont="1"/>
    <xf numFmtId="0" fontId="13" fillId="0" borderId="0" xfId="0" applyFont="1"/>
    <xf numFmtId="9" fontId="14" fillId="0" borderId="0" xfId="0" applyNumberFormat="1" applyFont="1"/>
    <xf numFmtId="3" fontId="14" fillId="0" borderId="0" xfId="0" applyNumberFormat="1" applyFont="1"/>
    <xf numFmtId="0" fontId="15" fillId="0" borderId="0" xfId="0" applyFont="1"/>
    <xf numFmtId="0" fontId="14" fillId="0" borderId="18" xfId="0" applyFont="1" applyBorder="1"/>
    <xf numFmtId="0" fontId="14" fillId="0" borderId="19" xfId="0" applyFont="1" applyBorder="1"/>
    <xf numFmtId="0" fontId="14" fillId="0" borderId="20" xfId="0" applyFont="1" applyBorder="1"/>
    <xf numFmtId="3" fontId="14" fillId="0" borderId="21" xfId="0" applyNumberFormat="1" applyFont="1" applyBorder="1"/>
    <xf numFmtId="3" fontId="13" fillId="0" borderId="22" xfId="0" applyNumberFormat="1" applyFont="1" applyBorder="1"/>
    <xf numFmtId="3" fontId="14" fillId="0" borderId="22" xfId="0" applyNumberFormat="1" applyFont="1" applyBorder="1"/>
    <xf numFmtId="3" fontId="14" fillId="0" borderId="23" xfId="0" applyNumberFormat="1" applyFont="1" applyBorder="1"/>
    <xf numFmtId="3" fontId="14" fillId="0" borderId="24" xfId="0" applyNumberFormat="1" applyFont="1" applyBorder="1"/>
    <xf numFmtId="3" fontId="14" fillId="0" borderId="25" xfId="0" applyNumberFormat="1" applyFont="1" applyBorder="1"/>
    <xf numFmtId="0" fontId="9" fillId="0" borderId="0" xfId="0" applyFont="1" applyAlignment="1">
      <alignment horizontal="left" vertical="top" wrapText="1"/>
    </xf>
    <xf numFmtId="14" fontId="9" fillId="0" borderId="26" xfId="0" applyNumberFormat="1" applyFont="1" applyBorder="1" applyAlignment="1">
      <alignment horizontal="left" vertical="top" wrapText="1"/>
    </xf>
    <xf numFmtId="14" fontId="9" fillId="0" borderId="0" xfId="0" applyNumberFormat="1" applyFont="1" applyAlignment="1">
      <alignment horizontal="left" vertical="top" wrapText="1"/>
    </xf>
    <xf numFmtId="0" fontId="9" fillId="0" borderId="26" xfId="0" applyFont="1" applyBorder="1" applyAlignment="1">
      <alignment horizontal="left" vertical="top" wrapText="1"/>
    </xf>
    <xf numFmtId="0" fontId="9" fillId="3" borderId="1" xfId="0" applyFont="1" applyFill="1" applyBorder="1" applyAlignment="1">
      <alignment horizontal="left" vertical="top" wrapText="1"/>
    </xf>
    <xf numFmtId="49" fontId="9" fillId="0" borderId="0" xfId="0" applyNumberFormat="1" applyFont="1" applyAlignment="1">
      <alignment horizontal="left" vertical="top" wrapText="1"/>
    </xf>
    <xf numFmtId="19" fontId="9" fillId="0" borderId="26" xfId="0" applyNumberFormat="1" applyFont="1" applyBorder="1" applyAlignment="1">
      <alignment horizontal="left" vertical="top" wrapText="1"/>
    </xf>
    <xf numFmtId="0" fontId="9" fillId="5" borderId="1" xfId="0" applyFont="1" applyFill="1" applyBorder="1" applyAlignment="1">
      <alignment horizontal="left" vertical="top" wrapText="1"/>
    </xf>
    <xf numFmtId="9" fontId="9" fillId="5" borderId="1" xfId="0" applyNumberFormat="1" applyFont="1" applyFill="1" applyBorder="1" applyAlignment="1">
      <alignment horizontal="left" vertical="top" wrapText="1"/>
    </xf>
    <xf numFmtId="0" fontId="16" fillId="0" borderId="0" xfId="0" applyFont="1" applyAlignment="1">
      <alignment horizontal="center" vertical="center" wrapText="1"/>
    </xf>
    <xf numFmtId="0" fontId="17" fillId="0" borderId="0" xfId="0" applyFont="1" applyAlignment="1">
      <alignment horizontal="center" vertical="center" wrapText="1"/>
    </xf>
    <xf numFmtId="0" fontId="17" fillId="0" borderId="0" xfId="0" quotePrefix="1" applyFont="1" applyAlignment="1">
      <alignment horizontal="center" vertical="center" wrapText="1"/>
    </xf>
    <xf numFmtId="0" fontId="19" fillId="0" borderId="0" xfId="0" applyFont="1" applyAlignment="1">
      <alignment horizontal="center" vertical="center" wrapText="1"/>
    </xf>
    <xf numFmtId="49" fontId="19" fillId="17" borderId="0" xfId="0" applyNumberFormat="1" applyFont="1" applyFill="1" applyAlignment="1">
      <alignment horizontal="center" vertical="center" wrapText="1"/>
    </xf>
    <xf numFmtId="0" fontId="19" fillId="18" borderId="1" xfId="0" applyFont="1" applyFill="1" applyBorder="1" applyAlignment="1">
      <alignment horizontal="center" vertical="center" wrapText="1"/>
    </xf>
    <xf numFmtId="0" fontId="19" fillId="8" borderId="1" xfId="0" applyFont="1" applyFill="1" applyBorder="1" applyAlignment="1">
      <alignment horizontal="center" vertical="center" wrapText="1"/>
    </xf>
    <xf numFmtId="0" fontId="19" fillId="6" borderId="1" xfId="0" applyFont="1" applyFill="1" applyBorder="1" applyAlignment="1">
      <alignment horizontal="center" vertical="center" wrapText="1"/>
    </xf>
    <xf numFmtId="0" fontId="19" fillId="6" borderId="30" xfId="0" applyFont="1" applyFill="1" applyBorder="1" applyAlignment="1">
      <alignment horizontal="center" vertical="center" wrapText="1"/>
    </xf>
    <xf numFmtId="0" fontId="19" fillId="13" borderId="1" xfId="0" applyFont="1" applyFill="1" applyBorder="1" applyAlignment="1">
      <alignment horizontal="center" vertical="center" wrapText="1"/>
    </xf>
    <xf numFmtId="0" fontId="19" fillId="19" borderId="1" xfId="0" applyFont="1" applyFill="1" applyBorder="1" applyAlignment="1">
      <alignment horizontal="center" vertical="center" wrapText="1"/>
    </xf>
    <xf numFmtId="0" fontId="19" fillId="5" borderId="30" xfId="0" applyFont="1" applyFill="1" applyBorder="1" applyAlignment="1">
      <alignment horizontal="center" vertical="center" wrapText="1"/>
    </xf>
    <xf numFmtId="0" fontId="19" fillId="5" borderId="1" xfId="0" quotePrefix="1" applyFont="1" applyFill="1" applyBorder="1" applyAlignment="1">
      <alignment horizontal="center" vertical="center" wrapText="1"/>
    </xf>
    <xf numFmtId="0" fontId="19" fillId="5" borderId="1" xfId="0" applyFont="1" applyFill="1" applyBorder="1" applyAlignment="1">
      <alignment horizontal="center" vertical="center" wrapText="1"/>
    </xf>
    <xf numFmtId="0" fontId="20" fillId="0" borderId="0" xfId="0" applyFont="1" applyAlignment="1">
      <alignment horizontal="center" vertical="center" wrapText="1"/>
    </xf>
    <xf numFmtId="0" fontId="19" fillId="0" borderId="0" xfId="0" applyFont="1" applyAlignment="1">
      <alignment horizontal="left" vertical="top" wrapText="1"/>
    </xf>
    <xf numFmtId="0" fontId="19" fillId="0" borderId="26" xfId="0" applyFont="1" applyBorder="1" applyAlignment="1">
      <alignment horizontal="left" vertical="top" wrapText="1"/>
    </xf>
    <xf numFmtId="0" fontId="19" fillId="16" borderId="30" xfId="0" applyFont="1" applyFill="1" applyBorder="1" applyAlignment="1">
      <alignment horizontal="left" vertical="top" wrapText="1"/>
    </xf>
    <xf numFmtId="0" fontId="19" fillId="16" borderId="1" xfId="0" applyFont="1" applyFill="1" applyBorder="1" applyAlignment="1">
      <alignment horizontal="left" vertical="top" wrapText="1"/>
    </xf>
    <xf numFmtId="164" fontId="19" fillId="16" borderId="1" xfId="0" applyNumberFormat="1" applyFont="1" applyFill="1" applyBorder="1" applyAlignment="1">
      <alignment horizontal="left" vertical="top" wrapText="1"/>
    </xf>
    <xf numFmtId="49" fontId="19" fillId="17" borderId="0" xfId="0" applyNumberFormat="1" applyFont="1" applyFill="1" applyAlignment="1">
      <alignment horizontal="center" wrapText="1"/>
    </xf>
    <xf numFmtId="0" fontId="19" fillId="0" borderId="0" xfId="0" applyFont="1" applyAlignment="1">
      <alignment horizontal="center" wrapText="1"/>
    </xf>
    <xf numFmtId="0" fontId="9" fillId="0" borderId="31" xfId="0" applyFont="1" applyBorder="1" applyAlignment="1">
      <alignment horizontal="left" vertical="top" wrapText="1"/>
    </xf>
    <xf numFmtId="49" fontId="9" fillId="17" borderId="0" xfId="0" applyNumberFormat="1" applyFont="1" applyFill="1" applyAlignment="1">
      <alignment horizontal="left" vertical="top" wrapText="1"/>
    </xf>
    <xf numFmtId="49" fontId="9" fillId="0" borderId="0" xfId="0" applyNumberFormat="1" applyFont="1" applyAlignment="1">
      <alignment horizontal="left" vertical="top"/>
    </xf>
    <xf numFmtId="0" fontId="9" fillId="21" borderId="0" xfId="0" applyFont="1" applyFill="1" applyAlignment="1">
      <alignment horizontal="left" vertical="top" wrapText="1"/>
    </xf>
    <xf numFmtId="0" fontId="9" fillId="22" borderId="0" xfId="0" applyFont="1" applyFill="1" applyAlignment="1">
      <alignment horizontal="left" vertical="top" wrapText="1"/>
    </xf>
    <xf numFmtId="0" fontId="9" fillId="17" borderId="0" xfId="0" applyFont="1" applyFill="1" applyAlignment="1">
      <alignment horizontal="left" vertical="top" wrapText="1"/>
    </xf>
    <xf numFmtId="10" fontId="9" fillId="0" borderId="0" xfId="0" applyNumberFormat="1" applyFont="1" applyAlignment="1">
      <alignment horizontal="left" vertical="top" wrapText="1"/>
    </xf>
    <xf numFmtId="165" fontId="9" fillId="0" borderId="26" xfId="0" applyNumberFormat="1" applyFont="1" applyBorder="1" applyAlignment="1">
      <alignment horizontal="left" vertical="top" wrapText="1"/>
    </xf>
    <xf numFmtId="165" fontId="9" fillId="0" borderId="0" xfId="0" applyNumberFormat="1" applyFont="1" applyAlignment="1">
      <alignment horizontal="left" vertical="top" wrapText="1"/>
    </xf>
    <xf numFmtId="0" fontId="21" fillId="17" borderId="0" xfId="0" applyFont="1" applyFill="1"/>
    <xf numFmtId="9" fontId="9" fillId="0" borderId="0" xfId="0" applyNumberFormat="1" applyFont="1" applyAlignment="1">
      <alignment horizontal="left" vertical="top" wrapText="1"/>
    </xf>
    <xf numFmtId="164" fontId="9" fillId="0" borderId="0" xfId="0" applyNumberFormat="1" applyFont="1" applyAlignment="1">
      <alignment horizontal="left" vertical="top" wrapText="1"/>
    </xf>
    <xf numFmtId="2" fontId="9" fillId="0" borderId="0" xfId="0" applyNumberFormat="1" applyFont="1" applyAlignment="1">
      <alignment horizontal="left" vertical="top" wrapText="1"/>
    </xf>
    <xf numFmtId="0" fontId="0" fillId="0" borderId="0" xfId="0" applyAlignment="1">
      <alignment horizontal="left" vertical="top"/>
    </xf>
    <xf numFmtId="0" fontId="9" fillId="23" borderId="1" xfId="0" applyFont="1" applyFill="1" applyBorder="1" applyAlignment="1">
      <alignment horizontal="left" vertical="top" wrapText="1"/>
    </xf>
    <xf numFmtId="0" fontId="9" fillId="0" borderId="26" xfId="0" applyFont="1" applyBorder="1" applyAlignment="1">
      <alignment horizontal="left" vertical="top"/>
    </xf>
    <xf numFmtId="0" fontId="9" fillId="24" borderId="1" xfId="0" applyFont="1" applyFill="1" applyBorder="1" applyAlignment="1">
      <alignment horizontal="left" vertical="top" wrapText="1"/>
    </xf>
    <xf numFmtId="0" fontId="9" fillId="25" borderId="1" xfId="0" applyFont="1" applyFill="1" applyBorder="1" applyAlignment="1">
      <alignment horizontal="left" vertical="top" wrapText="1"/>
    </xf>
    <xf numFmtId="9" fontId="9" fillId="25" borderId="1" xfId="0" applyNumberFormat="1" applyFont="1" applyFill="1" applyBorder="1" applyAlignment="1">
      <alignment horizontal="left" vertical="top" wrapText="1"/>
    </xf>
    <xf numFmtId="0" fontId="9" fillId="26" borderId="26" xfId="0" applyFont="1" applyFill="1" applyBorder="1" applyAlignment="1">
      <alignment horizontal="left" vertical="top" wrapText="1"/>
    </xf>
    <xf numFmtId="0" fontId="9" fillId="0" borderId="0" xfId="0" applyFont="1" applyAlignment="1">
      <alignment horizontal="left" vertical="top"/>
    </xf>
    <xf numFmtId="0" fontId="9" fillId="23" borderId="26" xfId="0" applyFont="1" applyFill="1" applyBorder="1" applyAlignment="1">
      <alignment horizontal="left" vertical="top" wrapText="1"/>
    </xf>
    <xf numFmtId="0" fontId="9" fillId="26" borderId="0" xfId="0" applyFont="1" applyFill="1" applyAlignment="1">
      <alignment horizontal="left" vertical="top" wrapText="1"/>
    </xf>
    <xf numFmtId="14" fontId="0" fillId="0" borderId="26" xfId="0" applyNumberFormat="1" applyBorder="1" applyAlignment="1">
      <alignment horizontal="left" vertical="top"/>
    </xf>
    <xf numFmtId="0" fontId="9" fillId="27" borderId="0" xfId="0" applyFont="1" applyFill="1" applyAlignment="1">
      <alignment horizontal="left" vertical="top" wrapText="1"/>
    </xf>
    <xf numFmtId="0" fontId="21" fillId="21" borderId="0" xfId="0" applyFont="1" applyFill="1"/>
    <xf numFmtId="0" fontId="21" fillId="20" borderId="1" xfId="0" applyFont="1" applyFill="1" applyBorder="1"/>
    <xf numFmtId="0" fontId="9" fillId="13" borderId="0" xfId="0" applyFont="1" applyFill="1" applyAlignment="1">
      <alignment horizontal="left" vertical="top" wrapText="1"/>
    </xf>
    <xf numFmtId="0" fontId="23" fillId="0" borderId="0" xfId="0" applyFont="1"/>
    <xf numFmtId="0" fontId="24" fillId="0" borderId="0" xfId="0" applyFont="1" applyAlignment="1">
      <alignment horizontal="left" vertical="top"/>
    </xf>
    <xf numFmtId="0" fontId="24" fillId="0" borderId="5" xfId="0" applyFont="1" applyBorder="1" applyAlignment="1">
      <alignment horizontal="left" vertical="top"/>
    </xf>
    <xf numFmtId="0" fontId="22" fillId="0" borderId="0" xfId="0" applyFont="1"/>
    <xf numFmtId="9" fontId="9" fillId="0" borderId="26" xfId="0" applyNumberFormat="1" applyFont="1" applyBorder="1" applyAlignment="1">
      <alignment horizontal="left" vertical="top" wrapText="1"/>
    </xf>
    <xf numFmtId="0" fontId="19" fillId="24" borderId="1" xfId="0" applyFont="1" applyFill="1" applyBorder="1" applyAlignment="1">
      <alignment horizontal="left" vertical="top" wrapText="1"/>
    </xf>
    <xf numFmtId="0" fontId="9" fillId="5" borderId="30" xfId="0" applyFont="1" applyFill="1" applyBorder="1" applyAlignment="1">
      <alignment horizontal="left" vertical="top" wrapText="1"/>
    </xf>
    <xf numFmtId="164" fontId="9" fillId="5" borderId="30" xfId="0" applyNumberFormat="1" applyFont="1" applyFill="1" applyBorder="1" applyAlignment="1">
      <alignment horizontal="left" vertical="top" wrapText="1"/>
    </xf>
    <xf numFmtId="3" fontId="9" fillId="0" borderId="0" xfId="0" applyNumberFormat="1" applyFont="1" applyAlignment="1">
      <alignment horizontal="left" vertical="top" wrapText="1"/>
    </xf>
    <xf numFmtId="4" fontId="9" fillId="0" borderId="0" xfId="0" applyNumberFormat="1" applyFont="1" applyAlignment="1">
      <alignment horizontal="left" vertical="top" wrapText="1"/>
    </xf>
    <xf numFmtId="0" fontId="9" fillId="5" borderId="26" xfId="0" applyFont="1" applyFill="1" applyBorder="1" applyAlignment="1">
      <alignment horizontal="left" vertical="top" wrapText="1"/>
    </xf>
    <xf numFmtId="0" fontId="25" fillId="25" borderId="1" xfId="0" applyFont="1" applyFill="1" applyBorder="1" applyAlignment="1">
      <alignment horizontal="left" vertical="top" wrapText="1"/>
    </xf>
    <xf numFmtId="0" fontId="25" fillId="25" borderId="30" xfId="0" applyFont="1" applyFill="1" applyBorder="1" applyAlignment="1">
      <alignment horizontal="left" vertical="top" wrapText="1"/>
    </xf>
    <xf numFmtId="49" fontId="7" fillId="0" borderId="0" xfId="0" applyNumberFormat="1" applyFont="1" applyAlignment="1">
      <alignment wrapText="1"/>
    </xf>
    <xf numFmtId="0" fontId="7" fillId="0" borderId="0" xfId="0" applyFont="1" applyAlignment="1">
      <alignment wrapText="1"/>
    </xf>
    <xf numFmtId="0" fontId="26" fillId="27" borderId="5" xfId="0" applyFont="1" applyFill="1" applyBorder="1"/>
    <xf numFmtId="0" fontId="22" fillId="27" borderId="5" xfId="0" applyFont="1" applyFill="1" applyBorder="1"/>
    <xf numFmtId="0" fontId="0" fillId="0" borderId="5" xfId="0" applyBorder="1"/>
    <xf numFmtId="49" fontId="0" fillId="0" borderId="5" xfId="0" applyNumberFormat="1" applyBorder="1"/>
    <xf numFmtId="0" fontId="0" fillId="27" borderId="5" xfId="0" applyFill="1" applyBorder="1"/>
    <xf numFmtId="49" fontId="0" fillId="0" borderId="5" xfId="0" applyNumberFormat="1" applyBorder="1" applyAlignment="1">
      <alignment horizontal="right"/>
    </xf>
    <xf numFmtId="0" fontId="0" fillId="3" borderId="1" xfId="0" applyFill="1" applyBorder="1"/>
    <xf numFmtId="0" fontId="13" fillId="5" borderId="1" xfId="0" applyFont="1" applyFill="1" applyBorder="1" applyAlignment="1">
      <alignment vertical="center"/>
    </xf>
    <xf numFmtId="0" fontId="0" fillId="5" borderId="1" xfId="0" applyFill="1" applyBorder="1"/>
    <xf numFmtId="49" fontId="0" fillId="5" borderId="1" xfId="0" applyNumberFormat="1" applyFill="1" applyBorder="1"/>
    <xf numFmtId="3" fontId="0" fillId="0" borderId="0" xfId="0" applyNumberFormat="1"/>
    <xf numFmtId="14" fontId="0" fillId="0" borderId="0" xfId="0" applyNumberFormat="1"/>
    <xf numFmtId="0" fontId="0" fillId="5" borderId="1" xfId="0" applyFill="1" applyBorder="1" applyAlignment="1">
      <alignment wrapText="1"/>
    </xf>
    <xf numFmtId="0" fontId="7" fillId="5" borderId="0" xfId="0" applyFont="1" applyFill="1"/>
    <xf numFmtId="0" fontId="0" fillId="0" borderId="22" xfId="0" applyBorder="1"/>
    <xf numFmtId="4" fontId="0" fillId="23" borderId="0" xfId="0" applyNumberFormat="1" applyFill="1"/>
    <xf numFmtId="0" fontId="26" fillId="0" borderId="0" xfId="0" applyFont="1" applyAlignment="1">
      <alignment vertical="center" wrapText="1"/>
    </xf>
    <xf numFmtId="0" fontId="26" fillId="29" borderId="0" xfId="0" applyFont="1" applyFill="1" applyAlignment="1">
      <alignment horizontal="center"/>
    </xf>
    <xf numFmtId="0" fontId="26" fillId="30" borderId="0" xfId="0" applyFont="1" applyFill="1" applyAlignment="1">
      <alignment horizontal="center" vertical="center"/>
    </xf>
    <xf numFmtId="9" fontId="0" fillId="0" borderId="0" xfId="0" applyNumberFormat="1"/>
    <xf numFmtId="0" fontId="26" fillId="15" borderId="1" xfId="0" applyFont="1" applyFill="1" applyBorder="1" applyAlignment="1">
      <alignment vertical="center"/>
    </xf>
    <xf numFmtId="0" fontId="0" fillId="31" borderId="1" xfId="0" applyFill="1" applyBorder="1" applyAlignment="1">
      <alignment vertical="center"/>
    </xf>
    <xf numFmtId="49" fontId="0" fillId="32" borderId="1" xfId="0" applyNumberFormat="1" applyFill="1" applyBorder="1" applyAlignment="1">
      <alignment vertical="center"/>
    </xf>
    <xf numFmtId="2" fontId="0" fillId="32" borderId="1" xfId="0" applyNumberFormat="1" applyFill="1" applyBorder="1" applyAlignment="1">
      <alignment vertical="center"/>
    </xf>
    <xf numFmtId="0" fontId="0" fillId="32" borderId="1" xfId="0" applyFill="1" applyBorder="1" applyAlignment="1">
      <alignment vertical="center"/>
    </xf>
    <xf numFmtId="0" fontId="0" fillId="8" borderId="1" xfId="0" applyFill="1" applyBorder="1" applyAlignment="1">
      <alignment horizontal="center" vertical="center" wrapText="1"/>
    </xf>
    <xf numFmtId="0" fontId="0" fillId="6" borderId="1" xfId="0" applyFill="1" applyBorder="1" applyAlignment="1">
      <alignment horizontal="center" vertical="center" wrapText="1"/>
    </xf>
    <xf numFmtId="0" fontId="0" fillId="14" borderId="1" xfId="0" applyFill="1" applyBorder="1" applyAlignment="1">
      <alignment horizontal="center" vertical="center" wrapText="1"/>
    </xf>
    <xf numFmtId="0" fontId="0" fillId="4" borderId="1" xfId="0" applyFill="1" applyBorder="1" applyAlignment="1">
      <alignment horizontal="center" vertical="center" wrapText="1"/>
    </xf>
    <xf numFmtId="0" fontId="27" fillId="0" borderId="0" xfId="0" applyFont="1" applyAlignment="1">
      <alignment horizontal="left" vertical="top" wrapText="1"/>
    </xf>
    <xf numFmtId="0" fontId="0" fillId="15" borderId="1" xfId="0" applyFill="1" applyBorder="1"/>
    <xf numFmtId="0" fontId="24" fillId="33" borderId="0" xfId="0" applyFont="1" applyFill="1" applyAlignment="1">
      <alignment horizontal="left"/>
    </xf>
    <xf numFmtId="2" fontId="0" fillId="0" borderId="0" xfId="0" applyNumberFormat="1"/>
    <xf numFmtId="0" fontId="0" fillId="0" borderId="0" xfId="0" applyAlignment="1">
      <alignment horizontal="center" vertical="center"/>
    </xf>
    <xf numFmtId="0" fontId="0" fillId="14" borderId="13" xfId="0" applyFill="1" applyBorder="1" applyAlignment="1">
      <alignment horizontal="left" vertical="center"/>
    </xf>
    <xf numFmtId="0" fontId="0" fillId="6" borderId="41" xfId="0" applyFill="1" applyBorder="1" applyAlignment="1">
      <alignment horizontal="center" vertical="center"/>
    </xf>
    <xf numFmtId="0" fontId="0" fillId="6" borderId="42" xfId="0" applyFill="1" applyBorder="1" applyAlignment="1">
      <alignment horizontal="center" vertical="center" wrapText="1"/>
    </xf>
    <xf numFmtId="0" fontId="0" fillId="6" borderId="43" xfId="0" applyFill="1" applyBorder="1" applyAlignment="1">
      <alignment horizontal="center" vertical="center" wrapText="1"/>
    </xf>
    <xf numFmtId="0" fontId="0" fillId="5" borderId="13" xfId="0" applyFill="1" applyBorder="1" applyAlignment="1">
      <alignment horizontal="center"/>
    </xf>
    <xf numFmtId="0" fontId="0" fillId="3" borderId="1" xfId="0" applyFill="1" applyBorder="1" applyAlignment="1">
      <alignment horizontal="left" vertical="center"/>
    </xf>
    <xf numFmtId="165" fontId="0" fillId="3" borderId="44" xfId="0" applyNumberFormat="1" applyFill="1" applyBorder="1" applyAlignment="1">
      <alignment horizontal="center" vertical="center"/>
    </xf>
    <xf numFmtId="165" fontId="0" fillId="3" borderId="9" xfId="0" applyNumberFormat="1" applyFill="1" applyBorder="1" applyAlignment="1">
      <alignment horizontal="center" vertical="center"/>
    </xf>
    <xf numFmtId="165" fontId="0" fillId="3" borderId="45" xfId="0" applyNumberFormat="1" applyFill="1" applyBorder="1" applyAlignment="1">
      <alignment horizontal="center" vertical="center"/>
    </xf>
    <xf numFmtId="0" fontId="0" fillId="14" borderId="13" xfId="0" applyFill="1" applyBorder="1"/>
    <xf numFmtId="164" fontId="0" fillId="5" borderId="13" xfId="0" applyNumberFormat="1" applyFill="1" applyBorder="1"/>
    <xf numFmtId="0" fontId="19" fillId="0" borderId="11" xfId="0" applyFont="1" applyBorder="1" applyAlignment="1">
      <alignment horizontal="center" vertical="center" wrapText="1"/>
    </xf>
    <xf numFmtId="0" fontId="0" fillId="0" borderId="46" xfId="0" applyBorder="1"/>
    <xf numFmtId="165" fontId="0" fillId="5" borderId="47" xfId="0" applyNumberFormat="1" applyFill="1" applyBorder="1" applyAlignment="1">
      <alignment horizontal="right" vertical="center"/>
    </xf>
    <xf numFmtId="165" fontId="0" fillId="5" borderId="48" xfId="0" applyNumberFormat="1" applyFill="1" applyBorder="1" applyAlignment="1">
      <alignment horizontal="right" vertical="center"/>
    </xf>
    <xf numFmtId="165" fontId="0" fillId="5" borderId="49" xfId="0" applyNumberFormat="1" applyFill="1" applyBorder="1" applyAlignment="1">
      <alignment horizontal="right" vertical="center"/>
    </xf>
    <xf numFmtId="0" fontId="19" fillId="0" borderId="12" xfId="0" applyFont="1" applyBorder="1" applyAlignment="1">
      <alignment horizontal="center" vertical="center" wrapText="1"/>
    </xf>
    <xf numFmtId="0" fontId="0" fillId="0" borderId="6" xfId="0" applyBorder="1"/>
    <xf numFmtId="165" fontId="0" fillId="5" borderId="50" xfId="0" applyNumberFormat="1" applyFill="1" applyBorder="1" applyAlignment="1">
      <alignment horizontal="right"/>
    </xf>
    <xf numFmtId="165" fontId="0" fillId="5" borderId="5" xfId="0" applyNumberFormat="1" applyFill="1" applyBorder="1" applyAlignment="1">
      <alignment horizontal="right"/>
    </xf>
    <xf numFmtId="165" fontId="0" fillId="5" borderId="51" xfId="0" applyNumberFormat="1" applyFill="1" applyBorder="1" applyAlignment="1">
      <alignment horizontal="right"/>
    </xf>
    <xf numFmtId="0" fontId="0" fillId="14" borderId="1" xfId="0" applyFill="1" applyBorder="1"/>
    <xf numFmtId="164" fontId="0" fillId="5" borderId="1" xfId="0" applyNumberFormat="1" applyFill="1" applyBorder="1"/>
    <xf numFmtId="164" fontId="0" fillId="5" borderId="50" xfId="0" applyNumberFormat="1" applyFill="1" applyBorder="1" applyAlignment="1">
      <alignment horizontal="right"/>
    </xf>
    <xf numFmtId="164" fontId="0" fillId="5" borderId="5" xfId="0" applyNumberFormat="1" applyFill="1" applyBorder="1" applyAlignment="1">
      <alignment horizontal="right"/>
    </xf>
    <xf numFmtId="164" fontId="0" fillId="5" borderId="51" xfId="0" applyNumberFormat="1" applyFill="1" applyBorder="1" applyAlignment="1">
      <alignment horizontal="right"/>
    </xf>
    <xf numFmtId="10" fontId="0" fillId="5" borderId="50" xfId="0" applyNumberFormat="1" applyFill="1" applyBorder="1"/>
    <xf numFmtId="10" fontId="0" fillId="5" borderId="5" xfId="0" applyNumberFormat="1" applyFill="1" applyBorder="1"/>
    <xf numFmtId="10" fontId="0" fillId="5" borderId="51" xfId="0" applyNumberFormat="1" applyFill="1" applyBorder="1"/>
    <xf numFmtId="10" fontId="0" fillId="5" borderId="52" xfId="0" applyNumberFormat="1" applyFill="1" applyBorder="1" applyAlignment="1">
      <alignment horizontal="right"/>
    </xf>
    <xf numFmtId="165" fontId="0" fillId="5" borderId="50" xfId="0" applyNumberFormat="1" applyFill="1" applyBorder="1" applyAlignment="1">
      <alignment horizontal="left"/>
    </xf>
    <xf numFmtId="165" fontId="0" fillId="5" borderId="5" xfId="0" applyNumberFormat="1" applyFill="1" applyBorder="1" applyAlignment="1">
      <alignment horizontal="left"/>
    </xf>
    <xf numFmtId="165" fontId="0" fillId="5" borderId="51" xfId="0" applyNumberFormat="1" applyFill="1" applyBorder="1" applyAlignment="1">
      <alignment horizontal="left"/>
    </xf>
    <xf numFmtId="0" fontId="19" fillId="0" borderId="15" xfId="0" applyFont="1" applyBorder="1" applyAlignment="1">
      <alignment horizontal="center" vertical="center" wrapText="1"/>
    </xf>
    <xf numFmtId="0" fontId="0" fillId="0" borderId="8" xfId="0" applyBorder="1"/>
    <xf numFmtId="165" fontId="0" fillId="5" borderId="53" xfId="0" applyNumberFormat="1" applyFill="1" applyBorder="1" applyAlignment="1">
      <alignment horizontal="left"/>
    </xf>
    <xf numFmtId="165" fontId="0" fillId="5" borderId="54" xfId="0" applyNumberFormat="1" applyFill="1" applyBorder="1" applyAlignment="1">
      <alignment horizontal="left"/>
    </xf>
    <xf numFmtId="165" fontId="0" fillId="5" borderId="55" xfId="0" applyNumberFormat="1" applyFill="1" applyBorder="1" applyAlignment="1">
      <alignment horizontal="left"/>
    </xf>
    <xf numFmtId="0" fontId="0" fillId="0" borderId="12" xfId="0" applyBorder="1"/>
    <xf numFmtId="165" fontId="0" fillId="5" borderId="59" xfId="0" applyNumberFormat="1" applyFill="1" applyBorder="1" applyAlignment="1">
      <alignment horizontal="right" vertical="center"/>
    </xf>
    <xf numFmtId="165" fontId="0" fillId="5" borderId="60" xfId="0" applyNumberFormat="1" applyFill="1" applyBorder="1" applyAlignment="1">
      <alignment horizontal="right" vertical="center"/>
    </xf>
    <xf numFmtId="165" fontId="0" fillId="5" borderId="61" xfId="0" applyNumberFormat="1" applyFill="1" applyBorder="1" applyAlignment="1">
      <alignment horizontal="right" vertical="center"/>
    </xf>
    <xf numFmtId="165" fontId="0" fillId="5" borderId="50" xfId="0" applyNumberFormat="1" applyFill="1" applyBorder="1" applyAlignment="1">
      <alignment horizontal="right" vertical="center"/>
    </xf>
    <xf numFmtId="165" fontId="0" fillId="5" borderId="5" xfId="0" applyNumberFormat="1" applyFill="1" applyBorder="1" applyAlignment="1">
      <alignment horizontal="right" vertical="center"/>
    </xf>
    <xf numFmtId="165" fontId="0" fillId="5" borderId="51" xfId="0" applyNumberFormat="1" applyFill="1" applyBorder="1" applyAlignment="1">
      <alignment horizontal="right" vertical="center"/>
    </xf>
    <xf numFmtId="165" fontId="0" fillId="5" borderId="62" xfId="0" applyNumberFormat="1" applyFill="1" applyBorder="1" applyAlignment="1">
      <alignment horizontal="left"/>
    </xf>
    <xf numFmtId="165" fontId="0" fillId="5" borderId="63" xfId="0" applyNumberFormat="1" applyFill="1" applyBorder="1" applyAlignment="1">
      <alignment horizontal="left"/>
    </xf>
    <xf numFmtId="0" fontId="0" fillId="0" borderId="15" xfId="0" applyBorder="1"/>
    <xf numFmtId="165" fontId="0" fillId="5" borderId="64" xfId="0" applyNumberFormat="1" applyFill="1" applyBorder="1" applyAlignment="1">
      <alignment horizontal="left"/>
    </xf>
    <xf numFmtId="0" fontId="0" fillId="0" borderId="11" xfId="0" applyBorder="1"/>
    <xf numFmtId="10" fontId="0" fillId="5" borderId="65" xfId="0" applyNumberFormat="1" applyFill="1" applyBorder="1" applyAlignment="1">
      <alignment horizontal="right"/>
    </xf>
    <xf numFmtId="10" fontId="0" fillId="5" borderId="66" xfId="0" applyNumberFormat="1" applyFill="1" applyBorder="1" applyAlignment="1">
      <alignment horizontal="right"/>
    </xf>
    <xf numFmtId="10" fontId="0" fillId="5" borderId="50" xfId="0" applyNumberFormat="1" applyFill="1" applyBorder="1" applyAlignment="1">
      <alignment horizontal="right"/>
    </xf>
    <xf numFmtId="10" fontId="0" fillId="5" borderId="5" xfId="0" applyNumberFormat="1" applyFill="1" applyBorder="1" applyAlignment="1">
      <alignment horizontal="right"/>
    </xf>
    <xf numFmtId="10" fontId="0" fillId="5" borderId="51" xfId="0" applyNumberFormat="1" applyFill="1" applyBorder="1" applyAlignment="1">
      <alignment horizontal="right"/>
    </xf>
    <xf numFmtId="165" fontId="0" fillId="0" borderId="0" xfId="0" applyNumberFormat="1" applyAlignment="1">
      <alignment vertical="center" wrapText="1"/>
    </xf>
    <xf numFmtId="165" fontId="0" fillId="15" borderId="1" xfId="0" applyNumberFormat="1" applyFill="1" applyBorder="1" applyAlignment="1">
      <alignment vertical="center" wrapText="1"/>
    </xf>
    <xf numFmtId="0" fontId="26" fillId="0" borderId="0" xfId="0" applyFont="1" applyAlignment="1">
      <alignment horizontal="center" vertical="center" wrapText="1"/>
    </xf>
    <xf numFmtId="0" fontId="26" fillId="36" borderId="1" xfId="0" applyFont="1" applyFill="1" applyBorder="1" applyAlignment="1">
      <alignment horizontal="center" vertical="center" wrapText="1"/>
    </xf>
    <xf numFmtId="0" fontId="0" fillId="0" borderId="0" xfId="0" applyAlignment="1">
      <alignment horizontal="center" vertical="center" wrapText="1"/>
    </xf>
    <xf numFmtId="2" fontId="0" fillId="0" borderId="0" xfId="0" applyNumberFormat="1" applyAlignment="1">
      <alignment vertical="center" wrapText="1"/>
    </xf>
    <xf numFmtId="2" fontId="0" fillId="24" borderId="1" xfId="0" applyNumberFormat="1" applyFill="1" applyBorder="1" applyAlignment="1">
      <alignment vertical="center" wrapText="1"/>
    </xf>
    <xf numFmtId="2" fontId="0" fillId="20" borderId="1" xfId="0" applyNumberFormat="1" applyFill="1" applyBorder="1" applyAlignment="1">
      <alignment vertical="center" wrapText="1"/>
    </xf>
    <xf numFmtId="164" fontId="0" fillId="20" borderId="1" xfId="0" applyNumberFormat="1" applyFill="1" applyBorder="1" applyAlignment="1">
      <alignment vertical="center" wrapText="1"/>
    </xf>
    <xf numFmtId="165" fontId="0" fillId="20" borderId="1" xfId="0" applyNumberFormat="1" applyFill="1" applyBorder="1" applyAlignment="1">
      <alignment vertical="center" wrapText="1"/>
    </xf>
    <xf numFmtId="0" fontId="0" fillId="20" borderId="1" xfId="0" applyFill="1" applyBorder="1" applyAlignment="1">
      <alignment vertical="center" wrapText="1"/>
    </xf>
    <xf numFmtId="0" fontId="29" fillId="0" borderId="0" xfId="0" applyFont="1" applyAlignment="1">
      <alignment horizontal="center" vertical="center" wrapText="1"/>
    </xf>
    <xf numFmtId="164" fontId="0" fillId="0" borderId="0" xfId="0" applyNumberFormat="1" applyAlignment="1">
      <alignment vertical="center" wrapText="1"/>
    </xf>
    <xf numFmtId="0" fontId="0" fillId="0" borderId="24" xfId="0" applyBorder="1" applyAlignment="1">
      <alignment vertical="center" wrapText="1"/>
    </xf>
    <xf numFmtId="2" fontId="0" fillId="0" borderId="24" xfId="0" applyNumberFormat="1" applyBorder="1" applyAlignment="1">
      <alignment vertical="center" wrapText="1"/>
    </xf>
    <xf numFmtId="2" fontId="0" fillId="24" borderId="67" xfId="0" applyNumberFormat="1" applyFill="1" applyBorder="1" applyAlignment="1">
      <alignment vertical="center" wrapText="1"/>
    </xf>
    <xf numFmtId="2" fontId="0" fillId="20" borderId="67" xfId="0" applyNumberFormat="1" applyFill="1" applyBorder="1" applyAlignment="1">
      <alignment vertical="center" wrapText="1"/>
    </xf>
    <xf numFmtId="164" fontId="0" fillId="20" borderId="67" xfId="0" applyNumberFormat="1" applyFill="1" applyBorder="1" applyAlignment="1">
      <alignment vertical="center" wrapText="1"/>
    </xf>
    <xf numFmtId="165" fontId="0" fillId="20" borderId="67" xfId="0" applyNumberFormat="1" applyFill="1" applyBorder="1" applyAlignment="1">
      <alignment vertical="center" wrapText="1"/>
    </xf>
    <xf numFmtId="0" fontId="0" fillId="20" borderId="67" xfId="0" applyFill="1" applyBorder="1" applyAlignment="1">
      <alignment vertical="center" wrapText="1"/>
    </xf>
    <xf numFmtId="165" fontId="0" fillId="0" borderId="24" xfId="0" applyNumberFormat="1" applyBorder="1" applyAlignment="1">
      <alignment vertical="center" wrapText="1"/>
    </xf>
    <xf numFmtId="0" fontId="29" fillId="0" borderId="24" xfId="0" applyFont="1" applyBorder="1" applyAlignment="1">
      <alignment horizontal="center" vertical="center" wrapText="1"/>
    </xf>
    <xf numFmtId="164" fontId="0" fillId="0" borderId="24" xfId="0" applyNumberFormat="1" applyBorder="1" applyAlignment="1">
      <alignment vertical="center" wrapText="1"/>
    </xf>
    <xf numFmtId="2" fontId="0" fillId="20" borderId="4" xfId="0" applyNumberFormat="1" applyFill="1" applyBorder="1" applyAlignment="1">
      <alignment vertical="center" wrapText="1"/>
    </xf>
    <xf numFmtId="164" fontId="0" fillId="24" borderId="1" xfId="0" applyNumberFormat="1" applyFill="1" applyBorder="1" applyAlignment="1">
      <alignment vertical="center" wrapText="1"/>
    </xf>
    <xf numFmtId="165" fontId="0" fillId="24" borderId="1" xfId="0" applyNumberFormat="1" applyFill="1" applyBorder="1" applyAlignment="1">
      <alignment horizontal="right" vertical="center" wrapText="1"/>
    </xf>
    <xf numFmtId="164" fontId="0" fillId="24" borderId="67" xfId="0" applyNumberFormat="1" applyFill="1" applyBorder="1" applyAlignment="1">
      <alignment vertical="center" wrapText="1"/>
    </xf>
    <xf numFmtId="165" fontId="0" fillId="24" borderId="67" xfId="0" applyNumberFormat="1" applyFill="1" applyBorder="1" applyAlignment="1">
      <alignment horizontal="right" vertical="center" wrapText="1"/>
    </xf>
    <xf numFmtId="164" fontId="0" fillId="0" borderId="0" xfId="0" applyNumberFormat="1"/>
    <xf numFmtId="164" fontId="0" fillId="0" borderId="5" xfId="0" applyNumberFormat="1" applyBorder="1"/>
    <xf numFmtId="0" fontId="30" fillId="0" borderId="0" xfId="0" applyFont="1" applyAlignment="1">
      <alignment vertical="center" wrapText="1"/>
    </xf>
    <xf numFmtId="0" fontId="0" fillId="0" borderId="0" xfId="0" applyAlignment="1">
      <alignment vertical="top" wrapText="1"/>
    </xf>
    <xf numFmtId="0" fontId="3" fillId="0" borderId="0" xfId="0" applyFont="1" applyAlignment="1">
      <alignment vertical="center" wrapText="1"/>
    </xf>
    <xf numFmtId="0" fontId="0" fillId="23" borderId="1" xfId="0" applyFill="1" applyBorder="1" applyAlignment="1">
      <alignment vertical="center" wrapText="1"/>
    </xf>
    <xf numFmtId="0" fontId="0" fillId="17" borderId="0" xfId="0" applyFill="1" applyAlignment="1">
      <alignment vertical="center" wrapText="1"/>
    </xf>
    <xf numFmtId="0" fontId="3" fillId="35" borderId="1" xfId="0" applyFont="1" applyFill="1" applyBorder="1" applyAlignment="1">
      <alignment horizontal="center" vertical="center" wrapText="1"/>
    </xf>
    <xf numFmtId="9" fontId="0" fillId="3" borderId="1" xfId="0" applyNumberFormat="1" applyFill="1" applyBorder="1" applyAlignment="1">
      <alignment vertical="center" wrapText="1"/>
    </xf>
    <xf numFmtId="0" fontId="26" fillId="36" borderId="1" xfId="0" applyFont="1" applyFill="1" applyBorder="1" applyAlignment="1">
      <alignment horizontal="center" vertical="top" wrapText="1"/>
    </xf>
    <xf numFmtId="0" fontId="26" fillId="0" borderId="0" xfId="0" applyFont="1" applyAlignment="1">
      <alignment horizontal="center" vertical="top" wrapText="1"/>
    </xf>
    <xf numFmtId="165" fontId="0" fillId="5" borderId="1" xfId="0" applyNumberFormat="1" applyFill="1" applyBorder="1" applyAlignment="1">
      <alignment horizontal="right" vertical="center" wrapText="1"/>
    </xf>
    <xf numFmtId="166" fontId="0" fillId="5" borderId="1" xfId="0" applyNumberFormat="1" applyFill="1" applyBorder="1" applyAlignment="1">
      <alignment horizontal="right" vertical="center" wrapText="1"/>
    </xf>
    <xf numFmtId="0" fontId="0" fillId="5" borderId="1" xfId="0" applyFill="1" applyBorder="1" applyAlignment="1">
      <alignment vertical="center" wrapText="1"/>
    </xf>
    <xf numFmtId="166" fontId="0" fillId="5" borderId="1" xfId="0" applyNumberFormat="1" applyFill="1" applyBorder="1" applyAlignment="1">
      <alignment vertical="center" wrapText="1"/>
    </xf>
    <xf numFmtId="165" fontId="0" fillId="5" borderId="1" xfId="0" applyNumberFormat="1" applyFill="1" applyBorder="1" applyAlignment="1">
      <alignment vertical="center" wrapText="1"/>
    </xf>
    <xf numFmtId="0" fontId="31" fillId="5" borderId="1" xfId="0" applyFont="1" applyFill="1" applyBorder="1"/>
    <xf numFmtId="0" fontId="29" fillId="5" borderId="1" xfId="0" applyFont="1" applyFill="1" applyBorder="1" applyAlignment="1">
      <alignment horizontal="center" vertical="center" wrapText="1"/>
    </xf>
    <xf numFmtId="164" fontId="0" fillId="5" borderId="1" xfId="0" applyNumberFormat="1" applyFill="1" applyBorder="1" applyAlignment="1">
      <alignment vertical="center" wrapText="1"/>
    </xf>
    <xf numFmtId="165" fontId="0" fillId="5" borderId="67" xfId="0" applyNumberFormat="1" applyFill="1" applyBorder="1" applyAlignment="1">
      <alignment horizontal="right" vertical="center" wrapText="1"/>
    </xf>
    <xf numFmtId="166" fontId="0" fillId="5" borderId="67" xfId="0" applyNumberFormat="1" applyFill="1" applyBorder="1" applyAlignment="1">
      <alignment vertical="center" wrapText="1"/>
    </xf>
    <xf numFmtId="0" fontId="0" fillId="5" borderId="67" xfId="0" applyFill="1" applyBorder="1" applyAlignment="1">
      <alignment vertical="center" wrapText="1"/>
    </xf>
    <xf numFmtId="165" fontId="0" fillId="5" borderId="67" xfId="0" applyNumberFormat="1" applyFill="1" applyBorder="1" applyAlignment="1">
      <alignment vertical="center" wrapText="1"/>
    </xf>
    <xf numFmtId="0" fontId="31" fillId="5" borderId="67" xfId="0" applyFont="1" applyFill="1" applyBorder="1"/>
    <xf numFmtId="0" fontId="29" fillId="5" borderId="67" xfId="0" applyFont="1" applyFill="1" applyBorder="1" applyAlignment="1">
      <alignment horizontal="center" vertical="center" wrapText="1"/>
    </xf>
    <xf numFmtId="164" fontId="0" fillId="5" borderId="67" xfId="0" applyNumberFormat="1" applyFill="1" applyBorder="1" applyAlignment="1">
      <alignment vertical="center" wrapText="1"/>
    </xf>
    <xf numFmtId="165" fontId="0" fillId="0" borderId="0" xfId="0" applyNumberFormat="1" applyAlignment="1">
      <alignment horizontal="right" vertical="center" wrapText="1"/>
    </xf>
    <xf numFmtId="165" fontId="0" fillId="0" borderId="24" xfId="0" applyNumberFormat="1" applyBorder="1" applyAlignment="1">
      <alignment horizontal="right" vertical="center" wrapText="1"/>
    </xf>
    <xf numFmtId="165" fontId="0" fillId="24" borderId="1" xfId="0" applyNumberFormat="1" applyFill="1" applyBorder="1" applyAlignment="1">
      <alignment vertical="center" wrapText="1"/>
    </xf>
    <xf numFmtId="165" fontId="0" fillId="24" borderId="67" xfId="0" applyNumberFormat="1" applyFill="1" applyBorder="1" applyAlignment="1">
      <alignment vertical="center" wrapText="1"/>
    </xf>
    <xf numFmtId="0" fontId="0" fillId="24" borderId="1" xfId="0" applyFill="1" applyBorder="1" applyAlignment="1">
      <alignment vertical="center" wrapText="1"/>
    </xf>
    <xf numFmtId="0" fontId="0" fillId="5" borderId="1" xfId="0" applyFill="1" applyBorder="1" applyAlignment="1">
      <alignment horizontal="center" vertical="center" wrapText="1"/>
    </xf>
    <xf numFmtId="164" fontId="0" fillId="5" borderId="1" xfId="0" applyNumberFormat="1" applyFill="1" applyBorder="1" applyAlignment="1">
      <alignment horizontal="right" vertical="center" wrapText="1"/>
    </xf>
    <xf numFmtId="0" fontId="0" fillId="5" borderId="1" xfId="0" applyFill="1" applyBorder="1" applyAlignment="1">
      <alignment horizontal="left" vertical="center"/>
    </xf>
    <xf numFmtId="0" fontId="0" fillId="0" borderId="0" xfId="0" applyAlignment="1">
      <alignment vertical="top"/>
    </xf>
    <xf numFmtId="0" fontId="0" fillId="0" borderId="7" xfId="0" applyBorder="1" applyAlignment="1">
      <alignment horizontal="left" vertical="top"/>
    </xf>
    <xf numFmtId="0" fontId="0" fillId="20" borderId="76" xfId="0" applyFill="1" applyBorder="1"/>
    <xf numFmtId="0" fontId="0" fillId="20" borderId="1" xfId="0" applyFill="1" applyBorder="1"/>
    <xf numFmtId="0" fontId="0" fillId="20" borderId="1" xfId="0" applyFill="1" applyBorder="1" applyAlignment="1">
      <alignment vertical="top"/>
    </xf>
    <xf numFmtId="0" fontId="33" fillId="20" borderId="76" xfId="0" applyFont="1" applyFill="1" applyBorder="1"/>
    <xf numFmtId="0" fontId="33" fillId="20" borderId="1" xfId="0" applyFont="1" applyFill="1" applyBorder="1"/>
    <xf numFmtId="0" fontId="33" fillId="20" borderId="1" xfId="0" applyFont="1" applyFill="1" applyBorder="1" applyAlignment="1">
      <alignment horizontal="right"/>
    </xf>
    <xf numFmtId="9" fontId="0" fillId="20" borderId="76" xfId="0" applyNumberFormat="1" applyFill="1" applyBorder="1" applyAlignment="1">
      <alignment horizontal="left" vertical="center"/>
    </xf>
    <xf numFmtId="0" fontId="0" fillId="20" borderId="42" xfId="0" applyFill="1" applyBorder="1"/>
    <xf numFmtId="0" fontId="35" fillId="24" borderId="1" xfId="0" applyFont="1" applyFill="1" applyBorder="1" applyAlignment="1">
      <alignment horizontal="center" vertical="top"/>
    </xf>
    <xf numFmtId="0" fontId="36" fillId="24" borderId="1" xfId="0" applyFont="1" applyFill="1" applyBorder="1" applyAlignment="1">
      <alignment horizontal="center" vertical="center"/>
    </xf>
    <xf numFmtId="0" fontId="36" fillId="20" borderId="43" xfId="0" applyFont="1" applyFill="1" applyBorder="1" applyAlignment="1">
      <alignment horizontal="center" vertical="center"/>
    </xf>
    <xf numFmtId="0" fontId="36" fillId="20" borderId="1" xfId="0" applyFont="1" applyFill="1" applyBorder="1" applyAlignment="1">
      <alignment horizontal="center" vertical="center"/>
    </xf>
    <xf numFmtId="0" fontId="0" fillId="20" borderId="44" xfId="0" applyFill="1" applyBorder="1"/>
    <xf numFmtId="0" fontId="37" fillId="20" borderId="9" xfId="0" applyFont="1" applyFill="1" applyBorder="1" applyAlignment="1">
      <alignment horizontal="center" vertical="center"/>
    </xf>
    <xf numFmtId="0" fontId="38" fillId="20" borderId="44" xfId="0" applyFont="1" applyFill="1" applyBorder="1"/>
    <xf numFmtId="0" fontId="0" fillId="20" borderId="85" xfId="0" applyFill="1" applyBorder="1"/>
    <xf numFmtId="0" fontId="0" fillId="20" borderId="86" xfId="0" applyFill="1" applyBorder="1"/>
    <xf numFmtId="0" fontId="26" fillId="15" borderId="87" xfId="0" applyFont="1" applyFill="1" applyBorder="1" applyAlignment="1">
      <alignment vertical="center"/>
    </xf>
    <xf numFmtId="0" fontId="26" fillId="20" borderId="88" xfId="0" applyFont="1" applyFill="1" applyBorder="1" applyAlignment="1">
      <alignment horizontal="center" vertical="center"/>
    </xf>
    <xf numFmtId="0" fontId="26" fillId="20" borderId="91" xfId="0" applyFont="1" applyFill="1" applyBorder="1" applyAlignment="1">
      <alignment horizontal="center" vertical="center" wrapText="1"/>
    </xf>
    <xf numFmtId="0" fontId="26" fillId="13" borderId="92" xfId="0" applyFont="1" applyFill="1" applyBorder="1" applyAlignment="1">
      <alignment horizontal="center" vertical="center" wrapText="1"/>
    </xf>
    <xf numFmtId="0" fontId="26" fillId="15" borderId="1" xfId="0" applyFont="1" applyFill="1" applyBorder="1" applyAlignment="1">
      <alignment horizontal="center" vertical="center" wrapText="1"/>
    </xf>
    <xf numFmtId="0" fontId="26" fillId="24" borderId="1" xfId="0" applyFont="1" applyFill="1" applyBorder="1" applyAlignment="1">
      <alignment vertical="center"/>
    </xf>
    <xf numFmtId="0" fontId="33" fillId="20" borderId="1" xfId="0" applyFont="1" applyFill="1" applyBorder="1" applyAlignment="1">
      <alignment horizontal="left"/>
    </xf>
    <xf numFmtId="0" fontId="0" fillId="20" borderId="93" xfId="0" applyFill="1" applyBorder="1" applyAlignment="1">
      <alignment vertical="top"/>
    </xf>
    <xf numFmtId="0" fontId="0" fillId="20" borderId="94" xfId="0" applyFill="1" applyBorder="1" applyAlignment="1">
      <alignment horizontal="center" vertical="top" wrapText="1"/>
    </xf>
    <xf numFmtId="0" fontId="0" fillId="20" borderId="95" xfId="0" applyFill="1" applyBorder="1" applyAlignment="1">
      <alignment horizontal="center" vertical="top"/>
    </xf>
    <xf numFmtId="0" fontId="0" fillId="20" borderId="91" xfId="0" applyFill="1" applyBorder="1" applyAlignment="1">
      <alignment vertical="top"/>
    </xf>
    <xf numFmtId="0" fontId="0" fillId="20" borderId="92" xfId="0" applyFill="1" applyBorder="1" applyAlignment="1">
      <alignment vertical="top"/>
    </xf>
    <xf numFmtId="0" fontId="0" fillId="20" borderId="93" xfId="0" applyFill="1" applyBorder="1"/>
    <xf numFmtId="0" fontId="0" fillId="20" borderId="94" xfId="0" applyFill="1" applyBorder="1" applyAlignment="1">
      <alignment horizontal="center" vertical="center" wrapText="1"/>
    </xf>
    <xf numFmtId="0" fontId="0" fillId="20" borderId="95" xfId="0" applyFill="1" applyBorder="1" applyAlignment="1">
      <alignment horizontal="center" vertical="center"/>
    </xf>
    <xf numFmtId="0" fontId="0" fillId="20" borderId="91" xfId="0" applyFill="1" applyBorder="1"/>
    <xf numFmtId="0" fontId="0" fillId="20" borderId="96" xfId="0" applyFill="1" applyBorder="1"/>
    <xf numFmtId="0" fontId="0" fillId="20" borderId="1" xfId="0" applyFill="1" applyBorder="1" applyAlignment="1">
      <alignment wrapText="1"/>
    </xf>
    <xf numFmtId="0" fontId="0" fillId="20" borderId="94" xfId="0" applyFill="1" applyBorder="1"/>
    <xf numFmtId="0" fontId="0" fillId="20" borderId="95" xfId="0" applyFill="1" applyBorder="1"/>
    <xf numFmtId="167" fontId="0" fillId="20" borderId="91" xfId="0" applyNumberFormat="1" applyFill="1" applyBorder="1"/>
    <xf numFmtId="0" fontId="0" fillId="20" borderId="92" xfId="0" applyFill="1" applyBorder="1"/>
    <xf numFmtId="167" fontId="0" fillId="20" borderId="96" xfId="0" applyNumberFormat="1" applyFill="1" applyBorder="1"/>
    <xf numFmtId="0" fontId="0" fillId="20" borderId="97" xfId="0" applyFill="1" applyBorder="1"/>
    <xf numFmtId="0" fontId="0" fillId="20" borderId="98" xfId="0" applyFill="1" applyBorder="1"/>
    <xf numFmtId="0" fontId="0" fillId="20" borderId="99" xfId="0" applyFill="1" applyBorder="1"/>
    <xf numFmtId="167" fontId="0" fillId="20" borderId="96" xfId="0" applyNumberFormat="1" applyFill="1" applyBorder="1" applyAlignment="1">
      <alignment horizontal="right"/>
    </xf>
    <xf numFmtId="0" fontId="8" fillId="20" borderId="96" xfId="0" applyFont="1" applyFill="1" applyBorder="1"/>
    <xf numFmtId="9" fontId="39" fillId="24" borderId="76" xfId="0" applyNumberFormat="1" applyFont="1" applyFill="1" applyBorder="1" applyAlignment="1">
      <alignment horizontal="center" vertical="center" wrapText="1"/>
    </xf>
    <xf numFmtId="0" fontId="8" fillId="24" borderId="1" xfId="0" applyFont="1" applyFill="1" applyBorder="1" applyAlignment="1">
      <alignment wrapText="1"/>
    </xf>
    <xf numFmtId="0" fontId="8" fillId="24" borderId="93" xfId="0" applyFont="1" applyFill="1" applyBorder="1"/>
    <xf numFmtId="0" fontId="8" fillId="24" borderId="100" xfId="0" applyFont="1" applyFill="1" applyBorder="1"/>
    <xf numFmtId="0" fontId="8" fillId="24" borderId="101" xfId="0" applyFont="1" applyFill="1" applyBorder="1"/>
    <xf numFmtId="0" fontId="40" fillId="24" borderId="96" xfId="0" applyFont="1" applyFill="1" applyBorder="1" applyAlignment="1">
      <alignment horizontal="center" vertical="center"/>
    </xf>
    <xf numFmtId="0" fontId="40" fillId="24" borderId="92" xfId="0" applyFont="1" applyFill="1" applyBorder="1" applyAlignment="1">
      <alignment horizontal="center" vertical="center"/>
    </xf>
    <xf numFmtId="0" fontId="40" fillId="24" borderId="1" xfId="0" applyFont="1" applyFill="1" applyBorder="1" applyAlignment="1">
      <alignment horizontal="center" vertical="center"/>
    </xf>
    <xf numFmtId="0" fontId="0" fillId="20" borderId="102" xfId="0" applyFill="1" applyBorder="1" applyAlignment="1">
      <alignment vertical="top" wrapText="1"/>
    </xf>
    <xf numFmtId="0" fontId="0" fillId="20" borderId="1" xfId="0" applyFill="1" applyBorder="1" applyAlignment="1">
      <alignment vertical="top" wrapText="1"/>
    </xf>
    <xf numFmtId="0" fontId="0" fillId="12" borderId="103" xfId="0" applyFill="1" applyBorder="1" applyAlignment="1">
      <alignment vertical="top" wrapText="1"/>
    </xf>
    <xf numFmtId="9" fontId="0" fillId="12" borderId="104" xfId="0" applyNumberFormat="1" applyFill="1" applyBorder="1" applyAlignment="1">
      <alignment vertical="top" wrapText="1"/>
    </xf>
    <xf numFmtId="49" fontId="0" fillId="12" borderId="105" xfId="0" applyNumberFormat="1" applyFill="1" applyBorder="1" applyAlignment="1">
      <alignment vertical="top" wrapText="1"/>
    </xf>
    <xf numFmtId="49" fontId="0" fillId="12" borderId="106" xfId="0" applyNumberFormat="1" applyFill="1" applyBorder="1" applyAlignment="1">
      <alignment vertical="top" wrapText="1"/>
    </xf>
    <xf numFmtId="0" fontId="0" fillId="20" borderId="107" xfId="0" applyFill="1" applyBorder="1" applyAlignment="1">
      <alignment horizontal="left" vertical="top" wrapText="1"/>
    </xf>
    <xf numFmtId="0" fontId="0" fillId="20" borderId="106" xfId="0" applyFill="1" applyBorder="1" applyAlignment="1">
      <alignment horizontal="left" vertical="top" wrapText="1"/>
    </xf>
    <xf numFmtId="0" fontId="0" fillId="0" borderId="108" xfId="0" applyBorder="1" applyAlignment="1">
      <alignment vertical="top" wrapText="1"/>
    </xf>
    <xf numFmtId="9" fontId="0" fillId="0" borderId="109" xfId="0" applyNumberFormat="1" applyBorder="1" applyAlignment="1">
      <alignment vertical="top" wrapText="1"/>
    </xf>
    <xf numFmtId="49" fontId="0" fillId="0" borderId="110" xfId="0" applyNumberFormat="1" applyBorder="1" applyAlignment="1">
      <alignment vertical="top" wrapText="1"/>
    </xf>
    <xf numFmtId="0" fontId="0" fillId="20" borderId="111" xfId="0" applyFill="1" applyBorder="1" applyAlignment="1">
      <alignment vertical="top" wrapText="1"/>
    </xf>
    <xf numFmtId="0" fontId="0" fillId="0" borderId="112" xfId="0" applyBorder="1" applyAlignment="1">
      <alignment vertical="top"/>
    </xf>
    <xf numFmtId="9" fontId="0" fillId="0" borderId="113" xfId="0" applyNumberFormat="1" applyBorder="1" applyAlignment="1">
      <alignment vertical="top"/>
    </xf>
    <xf numFmtId="49" fontId="0" fillId="0" borderId="114" xfId="0" applyNumberFormat="1" applyBorder="1" applyAlignment="1">
      <alignment vertical="top" wrapText="1"/>
    </xf>
    <xf numFmtId="49" fontId="0" fillId="0" borderId="115" xfId="0" applyNumberFormat="1" applyBorder="1" applyAlignment="1">
      <alignment vertical="top" wrapText="1"/>
    </xf>
    <xf numFmtId="0" fontId="0" fillId="20" borderId="116" xfId="0" applyFill="1" applyBorder="1" applyAlignment="1">
      <alignment horizontal="left" vertical="top" wrapText="1"/>
    </xf>
    <xf numFmtId="0" fontId="0" fillId="12" borderId="117" xfId="0" applyFill="1" applyBorder="1" applyAlignment="1">
      <alignment vertical="top" wrapText="1"/>
    </xf>
    <xf numFmtId="9" fontId="0" fillId="12" borderId="118" xfId="0" applyNumberFormat="1" applyFill="1" applyBorder="1" applyAlignment="1">
      <alignment vertical="top" wrapText="1"/>
    </xf>
    <xf numFmtId="49" fontId="0" fillId="12" borderId="119" xfId="0" applyNumberFormat="1" applyFill="1" applyBorder="1" applyAlignment="1">
      <alignment vertical="top"/>
    </xf>
    <xf numFmtId="9" fontId="0" fillId="12" borderId="120" xfId="0" applyNumberFormat="1" applyFill="1" applyBorder="1" applyAlignment="1">
      <alignment vertical="top" wrapText="1"/>
    </xf>
    <xf numFmtId="49" fontId="0" fillId="12" borderId="119" xfId="0" applyNumberFormat="1" applyFill="1" applyBorder="1" applyAlignment="1">
      <alignment vertical="top" wrapText="1"/>
    </xf>
    <xf numFmtId="9" fontId="0" fillId="12" borderId="121" xfId="0" applyNumberFormat="1" applyFill="1" applyBorder="1" applyAlignment="1">
      <alignment vertical="top" wrapText="1"/>
    </xf>
    <xf numFmtId="9" fontId="0" fillId="12" borderId="122" xfId="0" applyNumberFormat="1" applyFill="1" applyBorder="1" applyAlignment="1">
      <alignment vertical="top" wrapText="1"/>
    </xf>
    <xf numFmtId="49" fontId="0" fillId="12" borderId="123" xfId="0" applyNumberFormat="1" applyFill="1" applyBorder="1" applyAlignment="1">
      <alignment vertical="top" wrapText="1"/>
    </xf>
    <xf numFmtId="0" fontId="0" fillId="12" borderId="123" xfId="0" applyFill="1" applyBorder="1" applyAlignment="1">
      <alignment vertical="top" wrapText="1"/>
    </xf>
    <xf numFmtId="49" fontId="0" fillId="12" borderId="124" xfId="0" applyNumberFormat="1" applyFill="1" applyBorder="1" applyAlignment="1">
      <alignment vertical="top" wrapText="1"/>
    </xf>
    <xf numFmtId="0" fontId="0" fillId="0" borderId="112" xfId="0" applyBorder="1" applyAlignment="1">
      <alignment vertical="top" wrapText="1"/>
    </xf>
    <xf numFmtId="9" fontId="0" fillId="0" borderId="113" xfId="0" applyNumberFormat="1" applyBorder="1" applyAlignment="1">
      <alignment vertical="top" wrapText="1"/>
    </xf>
    <xf numFmtId="0" fontId="0" fillId="20" borderId="116" xfId="0" applyFill="1" applyBorder="1" applyAlignment="1">
      <alignment horizontal="left" vertical="top"/>
    </xf>
    <xf numFmtId="49" fontId="0" fillId="0" borderId="114" xfId="0" applyNumberFormat="1" applyBorder="1" applyAlignment="1">
      <alignment vertical="top"/>
    </xf>
    <xf numFmtId="9" fontId="0" fillId="0" borderId="125" xfId="0" applyNumberFormat="1" applyBorder="1" applyAlignment="1">
      <alignment vertical="top"/>
    </xf>
    <xf numFmtId="9" fontId="0" fillId="0" borderId="122" xfId="0" applyNumberFormat="1" applyBorder="1" applyAlignment="1">
      <alignment vertical="top"/>
    </xf>
    <xf numFmtId="49" fontId="0" fillId="0" borderId="123" xfId="0" applyNumberFormat="1" applyBorder="1" applyAlignment="1">
      <alignment vertical="top" wrapText="1"/>
    </xf>
    <xf numFmtId="0" fontId="0" fillId="0" borderId="122" xfId="0" applyBorder="1" applyAlignment="1">
      <alignment vertical="top"/>
    </xf>
    <xf numFmtId="0" fontId="0" fillId="0" borderId="123" xfId="0" applyBorder="1" applyAlignment="1">
      <alignment vertical="top"/>
    </xf>
    <xf numFmtId="9" fontId="0" fillId="0" borderId="125" xfId="0" applyNumberFormat="1" applyBorder="1" applyAlignment="1">
      <alignment vertical="top" wrapText="1"/>
    </xf>
    <xf numFmtId="9" fontId="0" fillId="0" borderId="121" xfId="0" applyNumberFormat="1" applyBorder="1" applyAlignment="1">
      <alignment vertical="top"/>
    </xf>
    <xf numFmtId="49" fontId="0" fillId="0" borderId="123" xfId="0" applyNumberFormat="1" applyBorder="1" applyAlignment="1">
      <alignment vertical="top"/>
    </xf>
    <xf numFmtId="49" fontId="0" fillId="12" borderId="117" xfId="0" applyNumberFormat="1" applyFill="1" applyBorder="1" applyAlignment="1">
      <alignment vertical="top" wrapText="1"/>
    </xf>
    <xf numFmtId="9" fontId="0" fillId="0" borderId="121" xfId="0" applyNumberFormat="1" applyBorder="1" applyAlignment="1">
      <alignment vertical="top" wrapText="1"/>
    </xf>
    <xf numFmtId="9" fontId="0" fillId="0" borderId="122" xfId="0" applyNumberFormat="1" applyBorder="1" applyAlignment="1">
      <alignment vertical="top" wrapText="1"/>
    </xf>
    <xf numFmtId="49" fontId="0" fillId="20" borderId="116" xfId="0" applyNumberFormat="1" applyFill="1" applyBorder="1" applyAlignment="1">
      <alignment horizontal="left" vertical="top" wrapText="1"/>
    </xf>
    <xf numFmtId="49" fontId="0" fillId="0" borderId="112" xfId="0" applyNumberFormat="1" applyBorder="1" applyAlignment="1">
      <alignment vertical="top" wrapText="1"/>
    </xf>
    <xf numFmtId="0" fontId="0" fillId="12" borderId="117" xfId="0" applyFill="1" applyBorder="1" applyAlignment="1">
      <alignment vertical="top"/>
    </xf>
    <xf numFmtId="9" fontId="0" fillId="12" borderId="118" xfId="0" applyNumberFormat="1" applyFill="1" applyBorder="1" applyAlignment="1">
      <alignment vertical="top"/>
    </xf>
    <xf numFmtId="9" fontId="0" fillId="12" borderId="120" xfId="0" applyNumberFormat="1" applyFill="1" applyBorder="1" applyAlignment="1">
      <alignment vertical="top"/>
    </xf>
    <xf numFmtId="9" fontId="0" fillId="12" borderId="121" xfId="0" applyNumberFormat="1" applyFill="1" applyBorder="1" applyAlignment="1">
      <alignment vertical="top"/>
    </xf>
    <xf numFmtId="9" fontId="0" fillId="12" borderId="122" xfId="0" applyNumberFormat="1" applyFill="1" applyBorder="1" applyAlignment="1">
      <alignment vertical="top"/>
    </xf>
    <xf numFmtId="49" fontId="0" fillId="12" borderId="123" xfId="0" applyNumberFormat="1" applyFill="1" applyBorder="1" applyAlignment="1">
      <alignment vertical="top"/>
    </xf>
    <xf numFmtId="0" fontId="0" fillId="12" borderId="123" xfId="0" applyFill="1" applyBorder="1" applyAlignment="1">
      <alignment vertical="top"/>
    </xf>
    <xf numFmtId="0" fontId="8" fillId="24" borderId="111" xfId="0" applyFont="1" applyFill="1" applyBorder="1" applyAlignment="1">
      <alignment vertical="top" wrapText="1"/>
    </xf>
    <xf numFmtId="0" fontId="8" fillId="24" borderId="1" xfId="0" applyFont="1" applyFill="1" applyBorder="1" applyAlignment="1">
      <alignment vertical="top" wrapText="1"/>
    </xf>
    <xf numFmtId="0" fontId="8" fillId="24" borderId="117" xfId="0" applyFont="1" applyFill="1" applyBorder="1"/>
    <xf numFmtId="9" fontId="8" fillId="24" borderId="118" xfId="0" applyNumberFormat="1" applyFont="1" applyFill="1" applyBorder="1"/>
    <xf numFmtId="49" fontId="8" fillId="24" borderId="119" xfId="0" applyNumberFormat="1" applyFont="1" applyFill="1" applyBorder="1" applyAlignment="1">
      <alignment wrapText="1"/>
    </xf>
    <xf numFmtId="49" fontId="8" fillId="24" borderId="124" xfId="0" applyNumberFormat="1" applyFont="1" applyFill="1" applyBorder="1" applyAlignment="1">
      <alignment wrapText="1"/>
    </xf>
    <xf numFmtId="0" fontId="36" fillId="24" borderId="116" xfId="0" applyFont="1" applyFill="1" applyBorder="1" applyAlignment="1">
      <alignment horizontal="center" vertical="center"/>
    </xf>
    <xf numFmtId="49" fontId="8" fillId="24" borderId="119" xfId="0" applyNumberFormat="1" applyFont="1" applyFill="1" applyBorder="1"/>
    <xf numFmtId="9" fontId="8" fillId="24" borderId="120" xfId="0" applyNumberFormat="1" applyFont="1" applyFill="1" applyBorder="1"/>
    <xf numFmtId="9" fontId="8" fillId="24" borderId="121" xfId="0" applyNumberFormat="1" applyFont="1" applyFill="1" applyBorder="1"/>
    <xf numFmtId="9" fontId="8" fillId="24" borderId="122" xfId="0" applyNumberFormat="1" applyFont="1" applyFill="1" applyBorder="1"/>
    <xf numFmtId="49" fontId="8" fillId="24" borderId="123" xfId="0" applyNumberFormat="1" applyFont="1" applyFill="1" applyBorder="1"/>
    <xf numFmtId="49" fontId="8" fillId="24" borderId="123" xfId="0" applyNumberFormat="1" applyFont="1" applyFill="1" applyBorder="1" applyAlignment="1">
      <alignment wrapText="1"/>
    </xf>
    <xf numFmtId="0" fontId="8" fillId="24" borderId="122" xfId="0" applyFont="1" applyFill="1" applyBorder="1"/>
    <xf numFmtId="0" fontId="8" fillId="24" borderId="123" xfId="0" applyFont="1" applyFill="1" applyBorder="1"/>
    <xf numFmtId="0" fontId="0" fillId="12" borderId="117" xfId="0" applyFill="1" applyBorder="1" applyAlignment="1">
      <alignment wrapText="1"/>
    </xf>
    <xf numFmtId="9" fontId="0" fillId="12" borderId="118" xfId="0" applyNumberFormat="1" applyFill="1" applyBorder="1" applyAlignment="1">
      <alignment wrapText="1"/>
    </xf>
    <xf numFmtId="49" fontId="0" fillId="12" borderId="119" xfId="0" applyNumberFormat="1" applyFill="1" applyBorder="1" applyAlignment="1">
      <alignment wrapText="1"/>
    </xf>
    <xf numFmtId="49" fontId="0" fillId="12" borderId="124" xfId="0" applyNumberFormat="1" applyFill="1" applyBorder="1" applyAlignment="1">
      <alignment wrapText="1"/>
    </xf>
    <xf numFmtId="9" fontId="0" fillId="23" borderId="118" xfId="0" applyNumberFormat="1" applyFill="1" applyBorder="1" applyAlignment="1">
      <alignment vertical="top" wrapText="1"/>
    </xf>
    <xf numFmtId="0" fontId="0" fillId="20" borderId="126" xfId="0" applyFill="1" applyBorder="1" applyAlignment="1">
      <alignment vertical="top" wrapText="1"/>
    </xf>
    <xf numFmtId="0" fontId="0" fillId="0" borderId="123" xfId="0" applyBorder="1" applyAlignment="1">
      <alignment vertical="top" wrapText="1"/>
    </xf>
    <xf numFmtId="0" fontId="0" fillId="20" borderId="1" xfId="0" applyFill="1" applyBorder="1" applyAlignment="1">
      <alignment horizontal="left" vertical="top" wrapText="1"/>
    </xf>
    <xf numFmtId="0" fontId="8" fillId="24" borderId="1" xfId="0" applyFont="1" applyFill="1" applyBorder="1"/>
    <xf numFmtId="0" fontId="0" fillId="20" borderId="117" xfId="0" applyFill="1" applyBorder="1" applyAlignment="1">
      <alignment vertical="top"/>
    </xf>
    <xf numFmtId="9" fontId="0" fillId="20" borderId="118" xfId="0" applyNumberFormat="1" applyFill="1" applyBorder="1" applyAlignment="1">
      <alignment vertical="top"/>
    </xf>
    <xf numFmtId="49" fontId="0" fillId="20" borderId="119" xfId="0" applyNumberFormat="1" applyFill="1" applyBorder="1" applyAlignment="1">
      <alignment vertical="top" wrapText="1"/>
    </xf>
    <xf numFmtId="49" fontId="0" fillId="20" borderId="124" xfId="0" applyNumberFormat="1" applyFill="1" applyBorder="1" applyAlignment="1">
      <alignment vertical="top" wrapText="1"/>
    </xf>
    <xf numFmtId="49" fontId="0" fillId="20" borderId="119" xfId="0" applyNumberFormat="1" applyFill="1" applyBorder="1" applyAlignment="1">
      <alignment vertical="top"/>
    </xf>
    <xf numFmtId="9" fontId="0" fillId="20" borderId="120" xfId="0" applyNumberFormat="1" applyFill="1" applyBorder="1" applyAlignment="1">
      <alignment vertical="top"/>
    </xf>
    <xf numFmtId="9" fontId="0" fillId="20" borderId="121" xfId="0" applyNumberFormat="1" applyFill="1" applyBorder="1" applyAlignment="1">
      <alignment vertical="top"/>
    </xf>
    <xf numFmtId="9" fontId="0" fillId="20" borderId="122" xfId="0" applyNumberFormat="1" applyFill="1" applyBorder="1" applyAlignment="1">
      <alignment vertical="top"/>
    </xf>
    <xf numFmtId="49" fontId="0" fillId="20" borderId="123" xfId="0" applyNumberFormat="1" applyFill="1" applyBorder="1" applyAlignment="1">
      <alignment vertical="top"/>
    </xf>
    <xf numFmtId="49" fontId="0" fillId="20" borderId="123" xfId="0" applyNumberFormat="1" applyFill="1" applyBorder="1" applyAlignment="1">
      <alignment vertical="top" wrapText="1"/>
    </xf>
    <xf numFmtId="0" fontId="0" fillId="20" borderId="122" xfId="0" applyFill="1" applyBorder="1" applyAlignment="1">
      <alignment vertical="top"/>
    </xf>
    <xf numFmtId="0" fontId="0" fillId="20" borderId="123" xfId="0" applyFill="1" applyBorder="1" applyAlignment="1">
      <alignment vertical="top"/>
    </xf>
    <xf numFmtId="0" fontId="0" fillId="20" borderId="118" xfId="0" applyFill="1" applyBorder="1" applyAlignment="1">
      <alignment vertical="top"/>
    </xf>
    <xf numFmtId="0" fontId="0" fillId="20" borderId="111" xfId="0" applyFill="1" applyBorder="1" applyAlignment="1">
      <alignment vertical="top"/>
    </xf>
    <xf numFmtId="0" fontId="0" fillId="20" borderId="124" xfId="0" applyFill="1" applyBorder="1" applyAlignment="1">
      <alignment horizontal="left" vertical="top"/>
    </xf>
    <xf numFmtId="0" fontId="0" fillId="20" borderId="126" xfId="0" applyFill="1" applyBorder="1" applyAlignment="1">
      <alignment vertical="top"/>
    </xf>
    <xf numFmtId="0" fontId="0" fillId="20" borderId="124" xfId="0" applyFill="1" applyBorder="1" applyAlignment="1">
      <alignment vertical="top"/>
    </xf>
    <xf numFmtId="0" fontId="0" fillId="0" borderId="127" xfId="0" applyBorder="1"/>
    <xf numFmtId="0" fontId="0" fillId="0" borderId="128" xfId="0" applyBorder="1" applyAlignment="1">
      <alignment horizontal="left" vertical="top"/>
    </xf>
    <xf numFmtId="0" fontId="0" fillId="16" borderId="1" xfId="0" applyFill="1" applyBorder="1"/>
    <xf numFmtId="0" fontId="26" fillId="6" borderId="1" xfId="0" applyFont="1" applyFill="1" applyBorder="1"/>
    <xf numFmtId="0" fontId="26" fillId="8" borderId="1" xfId="0" applyFont="1" applyFill="1" applyBorder="1"/>
    <xf numFmtId="0" fontId="13" fillId="0" borderId="0" xfId="0" applyFont="1" applyAlignment="1">
      <alignment vertical="center"/>
    </xf>
    <xf numFmtId="0" fontId="7" fillId="26" borderId="0" xfId="0" applyFont="1" applyFill="1"/>
    <xf numFmtId="0" fontId="40" fillId="24" borderId="97" xfId="0" applyFont="1" applyFill="1" applyBorder="1" applyAlignment="1">
      <alignment horizontal="center" vertical="center"/>
    </xf>
    <xf numFmtId="9" fontId="0" fillId="20" borderId="76" xfId="0" applyNumberFormat="1" applyFill="1" applyBorder="1"/>
    <xf numFmtId="0" fontId="8" fillId="24" borderId="76" xfId="0" applyFont="1" applyFill="1" applyBorder="1"/>
    <xf numFmtId="0" fontId="0" fillId="0" borderId="0" xfId="0" applyAlignment="1">
      <alignment wrapText="1"/>
    </xf>
    <xf numFmtId="0" fontId="0" fillId="0" borderId="0" xfId="0" applyAlignment="1">
      <alignment horizontal="left" wrapText="1"/>
    </xf>
    <xf numFmtId="0" fontId="0" fillId="31" borderId="1" xfId="0" applyFill="1" applyBorder="1" applyAlignment="1">
      <alignment horizontal="center" vertical="center" wrapText="1"/>
    </xf>
    <xf numFmtId="0" fontId="0" fillId="4" borderId="32" xfId="0" applyFill="1" applyBorder="1" applyAlignment="1">
      <alignment horizontal="center" vertical="center" wrapText="1"/>
    </xf>
    <xf numFmtId="0" fontId="0" fillId="4" borderId="76" xfId="0" applyFill="1" applyBorder="1" applyAlignment="1">
      <alignment horizontal="center" vertical="center" wrapText="1"/>
    </xf>
    <xf numFmtId="0" fontId="0" fillId="37" borderId="1" xfId="0" applyFill="1" applyBorder="1" applyAlignment="1">
      <alignment horizontal="center" vertical="center" wrapText="1"/>
    </xf>
    <xf numFmtId="0" fontId="0" fillId="0" borderId="21" xfId="0" applyBorder="1" applyAlignment="1">
      <alignment wrapText="1"/>
    </xf>
    <xf numFmtId="0" fontId="0" fillId="0" borderId="22" xfId="0" applyBorder="1" applyAlignment="1">
      <alignment wrapText="1"/>
    </xf>
    <xf numFmtId="164" fontId="0" fillId="5" borderId="1" xfId="0" applyNumberFormat="1" applyFill="1" applyBorder="1" applyAlignment="1">
      <alignment wrapText="1"/>
    </xf>
    <xf numFmtId="164" fontId="0" fillId="5" borderId="0" xfId="0" applyNumberFormat="1" applyFill="1" applyAlignment="1">
      <alignment wrapText="1"/>
    </xf>
    <xf numFmtId="168" fontId="0" fillId="5" borderId="1" xfId="0" applyNumberFormat="1" applyFill="1" applyBorder="1" applyAlignment="1">
      <alignment wrapText="1"/>
    </xf>
    <xf numFmtId="10" fontId="0" fillId="5" borderId="1" xfId="0" applyNumberFormat="1" applyFill="1" applyBorder="1" applyAlignment="1">
      <alignment wrapText="1"/>
    </xf>
    <xf numFmtId="164" fontId="0" fillId="5" borderId="32" xfId="0" applyNumberFormat="1" applyFill="1" applyBorder="1" applyAlignment="1">
      <alignment wrapText="1"/>
    </xf>
    <xf numFmtId="164" fontId="0" fillId="0" borderId="0" xfId="0" applyNumberFormat="1" applyAlignment="1">
      <alignment wrapText="1"/>
    </xf>
    <xf numFmtId="49" fontId="0" fillId="0" borderId="0" xfId="0" applyNumberFormat="1" applyAlignment="1">
      <alignment horizontal="left" vertical="top"/>
    </xf>
    <xf numFmtId="169" fontId="39" fillId="0" borderId="0" xfId="0" applyNumberFormat="1" applyFont="1" applyAlignment="1">
      <alignment horizontal="right" wrapText="1"/>
    </xf>
    <xf numFmtId="0" fontId="39" fillId="0" borderId="0" xfId="0" applyFont="1"/>
    <xf numFmtId="169" fontId="6" fillId="0" borderId="0" xfId="0" applyNumberFormat="1" applyFont="1" applyAlignment="1">
      <alignment horizontal="right"/>
    </xf>
    <xf numFmtId="0" fontId="6" fillId="0" borderId="0" xfId="0" applyFont="1"/>
    <xf numFmtId="164" fontId="6" fillId="0" borderId="0" xfId="0" applyNumberFormat="1" applyFont="1" applyAlignment="1">
      <alignment horizontal="right"/>
    </xf>
    <xf numFmtId="165" fontId="39" fillId="0" borderId="0" xfId="0" applyNumberFormat="1" applyFont="1" applyAlignment="1">
      <alignment horizontal="right"/>
    </xf>
    <xf numFmtId="0" fontId="6" fillId="0" borderId="0" xfId="0" applyFont="1" applyAlignment="1">
      <alignment horizontal="right"/>
    </xf>
    <xf numFmtId="165" fontId="6" fillId="0" borderId="0" xfId="0" applyNumberFormat="1" applyFont="1" applyAlignment="1">
      <alignment horizontal="right"/>
    </xf>
    <xf numFmtId="164" fontId="6" fillId="38" borderId="1" xfId="0" applyNumberFormat="1" applyFont="1" applyFill="1" applyBorder="1" applyAlignment="1">
      <alignment horizontal="right"/>
    </xf>
    <xf numFmtId="164" fontId="6" fillId="21" borderId="1" xfId="0" applyNumberFormat="1" applyFont="1" applyFill="1" applyBorder="1" applyAlignment="1">
      <alignment horizontal="right"/>
    </xf>
    <xf numFmtId="164" fontId="6" fillId="39" borderId="1" xfId="0" applyNumberFormat="1" applyFont="1" applyFill="1" applyBorder="1" applyAlignment="1">
      <alignment horizontal="right"/>
    </xf>
    <xf numFmtId="165" fontId="0" fillId="15" borderId="1" xfId="0" applyNumberFormat="1" applyFill="1" applyBorder="1"/>
    <xf numFmtId="0" fontId="0" fillId="7" borderId="42" xfId="0" applyFill="1" applyBorder="1"/>
    <xf numFmtId="0" fontId="0" fillId="7" borderId="129" xfId="0" applyFill="1" applyBorder="1"/>
    <xf numFmtId="0" fontId="0" fillId="0" borderId="26" xfId="0" applyBorder="1"/>
    <xf numFmtId="0" fontId="0" fillId="7" borderId="41" xfId="0" applyFill="1" applyBorder="1"/>
    <xf numFmtId="165" fontId="0" fillId="6" borderId="42" xfId="0" applyNumberFormat="1" applyFill="1" applyBorder="1"/>
    <xf numFmtId="165" fontId="0" fillId="6" borderId="1" xfId="0" applyNumberFormat="1" applyFill="1" applyBorder="1"/>
    <xf numFmtId="165" fontId="0" fillId="6" borderId="43" xfId="0" applyNumberFormat="1" applyFill="1" applyBorder="1"/>
    <xf numFmtId="0" fontId="0" fillId="7" borderId="130" xfId="0" applyFill="1" applyBorder="1"/>
    <xf numFmtId="0" fontId="0" fillId="25" borderId="131" xfId="0" applyFill="1" applyBorder="1"/>
    <xf numFmtId="164" fontId="0" fillId="25" borderId="44" xfId="0" applyNumberFormat="1" applyFill="1" applyBorder="1"/>
    <xf numFmtId="164" fontId="0" fillId="25" borderId="9" xfId="0" applyNumberFormat="1" applyFill="1" applyBorder="1"/>
    <xf numFmtId="164" fontId="0" fillId="25" borderId="45" xfId="0" applyNumberFormat="1" applyFill="1" applyBorder="1"/>
    <xf numFmtId="0" fontId="0" fillId="3" borderId="13" xfId="0" applyFill="1" applyBorder="1"/>
    <xf numFmtId="165" fontId="0" fillId="5" borderId="130" xfId="0" applyNumberFormat="1" applyFill="1" applyBorder="1"/>
    <xf numFmtId="165" fontId="0" fillId="0" borderId="6" xfId="0" applyNumberFormat="1" applyBorder="1"/>
    <xf numFmtId="165" fontId="0" fillId="0" borderId="7" xfId="0" applyNumberFormat="1" applyBorder="1"/>
    <xf numFmtId="165" fontId="0" fillId="5" borderId="134" xfId="0" applyNumberFormat="1" applyFill="1" applyBorder="1"/>
    <xf numFmtId="165" fontId="0" fillId="0" borderId="8" xfId="0" applyNumberFormat="1" applyBorder="1"/>
    <xf numFmtId="165" fontId="0" fillId="0" borderId="10" xfId="0" applyNumberFormat="1" applyBorder="1"/>
    <xf numFmtId="0" fontId="41" fillId="0" borderId="47" xfId="0" applyFont="1" applyBorder="1" applyAlignment="1">
      <alignment vertical="center" wrapText="1"/>
    </xf>
    <xf numFmtId="0" fontId="41" fillId="0" borderId="38" xfId="0" applyFont="1" applyBorder="1" applyAlignment="1">
      <alignment vertical="center" wrapText="1"/>
    </xf>
    <xf numFmtId="0" fontId="41" fillId="0" borderId="135" xfId="0" applyFont="1" applyBorder="1" applyAlignment="1">
      <alignment vertical="center" wrapText="1"/>
    </xf>
    <xf numFmtId="165" fontId="41" fillId="0" borderId="48" xfId="0" applyNumberFormat="1" applyFont="1" applyBorder="1" applyAlignment="1">
      <alignment vertical="center" wrapText="1"/>
    </xf>
    <xf numFmtId="165" fontId="41" fillId="0" borderId="49" xfId="0" applyNumberFormat="1" applyFont="1" applyBorder="1" applyAlignment="1">
      <alignment vertical="center" wrapText="1"/>
    </xf>
    <xf numFmtId="0" fontId="41" fillId="0" borderId="6" xfId="0" applyFont="1" applyBorder="1" applyAlignment="1">
      <alignment vertical="center" wrapText="1"/>
    </xf>
    <xf numFmtId="0" fontId="41" fillId="0" borderId="19" xfId="0" applyFont="1" applyBorder="1" applyAlignment="1">
      <alignment vertical="center" wrapText="1"/>
    </xf>
    <xf numFmtId="165" fontId="41" fillId="0" borderId="19" xfId="0" applyNumberFormat="1" applyFont="1" applyBorder="1" applyAlignment="1">
      <alignment vertical="center" wrapText="1"/>
    </xf>
    <xf numFmtId="165" fontId="41" fillId="0" borderId="136" xfId="0" applyNumberFormat="1" applyFont="1" applyBorder="1" applyAlignment="1">
      <alignment vertical="center" wrapText="1"/>
    </xf>
    <xf numFmtId="165" fontId="13" fillId="0" borderId="6" xfId="0" applyNumberFormat="1" applyFont="1" applyBorder="1"/>
    <xf numFmtId="165" fontId="13" fillId="0" borderId="0" xfId="0" applyNumberFormat="1" applyFont="1"/>
    <xf numFmtId="164" fontId="0" fillId="0" borderId="7" xfId="0" applyNumberFormat="1" applyBorder="1"/>
    <xf numFmtId="165" fontId="13" fillId="0" borderId="8" xfId="0" applyNumberFormat="1" applyFont="1" applyBorder="1"/>
    <xf numFmtId="165" fontId="13" fillId="0" borderId="14" xfId="0" applyNumberFormat="1" applyFont="1" applyBorder="1"/>
    <xf numFmtId="164" fontId="0" fillId="0" borderId="14" xfId="0" applyNumberFormat="1" applyBorder="1"/>
    <xf numFmtId="164" fontId="0" fillId="0" borderId="10" xfId="0" applyNumberFormat="1" applyBorder="1"/>
    <xf numFmtId="165" fontId="0" fillId="0" borderId="0" xfId="0" applyNumberFormat="1"/>
    <xf numFmtId="0" fontId="0" fillId="7" borderId="42" xfId="0" applyFill="1" applyBorder="1" applyAlignment="1">
      <alignment horizontal="center" vertical="center"/>
    </xf>
    <xf numFmtId="0" fontId="0" fillId="7" borderId="1" xfId="0" applyFill="1" applyBorder="1" applyAlignment="1">
      <alignment horizontal="center" vertical="center"/>
    </xf>
    <xf numFmtId="0" fontId="0" fillId="7" borderId="137" xfId="0" applyFill="1" applyBorder="1" applyAlignment="1">
      <alignment horizontal="center" vertical="center"/>
    </xf>
    <xf numFmtId="0" fontId="0" fillId="7" borderId="87" xfId="0" applyFill="1" applyBorder="1" applyAlignment="1">
      <alignment horizontal="center" vertical="center"/>
    </xf>
    <xf numFmtId="0" fontId="0" fillId="7" borderId="86" xfId="0" applyFill="1" applyBorder="1" applyAlignment="1">
      <alignment horizontal="center" vertical="center"/>
    </xf>
    <xf numFmtId="0" fontId="0" fillId="0" borderId="80" xfId="0" applyBorder="1"/>
    <xf numFmtId="0" fontId="0" fillId="0" borderId="82" xfId="0" applyBorder="1" applyAlignment="1">
      <alignment horizontal="center"/>
    </xf>
    <xf numFmtId="165" fontId="0" fillId="5" borderId="131" xfId="0" applyNumberFormat="1" applyFill="1" applyBorder="1"/>
    <xf numFmtId="0" fontId="0" fillId="7" borderId="42" xfId="0" applyFill="1" applyBorder="1" applyAlignment="1">
      <alignment horizontal="center"/>
    </xf>
    <xf numFmtId="0" fontId="0" fillId="7" borderId="1" xfId="0" applyFill="1" applyBorder="1" applyAlignment="1">
      <alignment horizontal="center"/>
    </xf>
    <xf numFmtId="0" fontId="0" fillId="7" borderId="43" xfId="0" applyFill="1" applyBorder="1" applyAlignment="1">
      <alignment horizontal="center"/>
    </xf>
    <xf numFmtId="0" fontId="0" fillId="7" borderId="1" xfId="0" applyFill="1" applyBorder="1" applyAlignment="1">
      <alignment horizontal="left"/>
    </xf>
    <xf numFmtId="165" fontId="0" fillId="6" borderId="42" xfId="0" applyNumberFormat="1" applyFill="1" applyBorder="1" applyAlignment="1">
      <alignment horizontal="right"/>
    </xf>
    <xf numFmtId="165" fontId="0" fillId="6" borderId="1" xfId="0" applyNumberFormat="1" applyFill="1" applyBorder="1" applyAlignment="1">
      <alignment horizontal="right"/>
    </xf>
    <xf numFmtId="165" fontId="0" fillId="6" borderId="43" xfId="0" applyNumberFormat="1" applyFill="1" applyBorder="1" applyAlignment="1">
      <alignment horizontal="right"/>
    </xf>
    <xf numFmtId="2" fontId="0" fillId="0" borderId="6" xfId="0" applyNumberFormat="1" applyBorder="1" applyAlignment="1">
      <alignment horizontal="right"/>
    </xf>
    <xf numFmtId="2" fontId="0" fillId="0" borderId="0" xfId="0" applyNumberFormat="1" applyAlignment="1">
      <alignment horizontal="right"/>
    </xf>
    <xf numFmtId="2" fontId="0" fillId="0" borderId="7" xfId="0" applyNumberFormat="1" applyBorder="1" applyAlignment="1">
      <alignment horizontal="right"/>
    </xf>
    <xf numFmtId="0" fontId="0" fillId="0" borderId="7" xfId="0" applyBorder="1"/>
    <xf numFmtId="0" fontId="42" fillId="40" borderId="1" xfId="0" applyFont="1" applyFill="1" applyBorder="1"/>
    <xf numFmtId="164" fontId="42" fillId="40" borderId="44" xfId="0" applyNumberFormat="1" applyFont="1" applyFill="1" applyBorder="1" applyAlignment="1">
      <alignment horizontal="right"/>
    </xf>
    <xf numFmtId="164" fontId="42" fillId="40" borderId="9" xfId="0" applyNumberFormat="1" applyFont="1" applyFill="1" applyBorder="1" applyAlignment="1">
      <alignment horizontal="right"/>
    </xf>
    <xf numFmtId="164" fontId="42" fillId="40" borderId="45" xfId="0" applyNumberFormat="1" applyFont="1" applyFill="1" applyBorder="1" applyAlignment="1">
      <alignment horizontal="right"/>
    </xf>
    <xf numFmtId="0" fontId="0" fillId="3" borderId="137" xfId="0" applyFill="1" applyBorder="1"/>
    <xf numFmtId="0" fontId="0" fillId="0" borderId="139" xfId="0" applyBorder="1" applyAlignment="1">
      <alignment horizontal="center"/>
    </xf>
    <xf numFmtId="165" fontId="0" fillId="5" borderId="42" xfId="0" applyNumberFormat="1" applyFill="1" applyBorder="1"/>
    <xf numFmtId="165" fontId="0" fillId="5" borderId="44" xfId="0" applyNumberFormat="1" applyFill="1" applyBorder="1"/>
    <xf numFmtId="0" fontId="43" fillId="0" borderId="0" xfId="0" applyFont="1" applyAlignment="1">
      <alignment vertical="center" wrapText="1"/>
    </xf>
    <xf numFmtId="0" fontId="0" fillId="34" borderId="1" xfId="0" applyFill="1" applyBorder="1" applyAlignment="1">
      <alignment horizontal="center"/>
    </xf>
    <xf numFmtId="165" fontId="13" fillId="0" borderId="140" xfId="0" applyNumberFormat="1" applyFont="1" applyBorder="1" applyAlignment="1">
      <alignment horizontal="left" vertical="center" wrapText="1"/>
    </xf>
    <xf numFmtId="165" fontId="13" fillId="0" borderId="65" xfId="0" applyNumberFormat="1" applyFont="1" applyBorder="1" applyAlignment="1">
      <alignment horizontal="left" vertical="center" wrapText="1"/>
    </xf>
    <xf numFmtId="0" fontId="13" fillId="0" borderId="65" xfId="0" applyFont="1" applyBorder="1" applyAlignment="1">
      <alignment horizontal="left" vertical="center" wrapText="1"/>
    </xf>
    <xf numFmtId="0" fontId="0" fillId="0" borderId="65" xfId="0" applyBorder="1" applyAlignment="1">
      <alignment vertical="center" wrapText="1"/>
    </xf>
    <xf numFmtId="0" fontId="0" fillId="0" borderId="65" xfId="0" applyBorder="1"/>
    <xf numFmtId="164" fontId="13" fillId="0" borderId="141" xfId="0" applyNumberFormat="1" applyFont="1" applyBorder="1" applyAlignment="1">
      <alignment horizontal="left" vertical="center" wrapText="1"/>
    </xf>
    <xf numFmtId="164" fontId="13" fillId="0" borderId="0" xfId="0" applyNumberFormat="1" applyFont="1" applyAlignment="1">
      <alignment horizontal="left" vertical="center" wrapText="1"/>
    </xf>
    <xf numFmtId="165" fontId="13" fillId="0" borderId="18" xfId="0" applyNumberFormat="1" applyFont="1" applyBorder="1" applyAlignment="1">
      <alignment horizontal="left" vertical="center" wrapText="1"/>
    </xf>
    <xf numFmtId="165" fontId="13" fillId="0" borderId="19" xfId="0" applyNumberFormat="1" applyFont="1" applyBorder="1" applyAlignment="1">
      <alignment horizontal="left" vertical="center" wrapText="1"/>
    </xf>
    <xf numFmtId="0" fontId="13" fillId="0" borderId="19" xfId="0" applyFont="1" applyBorder="1" applyAlignment="1">
      <alignment horizontal="left" vertical="center" wrapText="1"/>
    </xf>
    <xf numFmtId="0" fontId="0" fillId="0" borderId="19" xfId="0" applyBorder="1"/>
    <xf numFmtId="164" fontId="13" fillId="0" borderId="20" xfId="0" applyNumberFormat="1" applyFont="1" applyBorder="1" applyAlignment="1">
      <alignment horizontal="left" vertical="center" wrapText="1"/>
    </xf>
    <xf numFmtId="165" fontId="13" fillId="0" borderId="21" xfId="0" applyNumberFormat="1" applyFont="1" applyBorder="1" applyAlignment="1">
      <alignment horizontal="left" vertical="center" wrapText="1"/>
    </xf>
    <xf numFmtId="165" fontId="13" fillId="0" borderId="0" xfId="0" applyNumberFormat="1" applyFont="1" applyAlignment="1">
      <alignment horizontal="left" vertical="center" wrapText="1"/>
    </xf>
    <xf numFmtId="0" fontId="13" fillId="0" borderId="0" xfId="0" applyFont="1" applyAlignment="1">
      <alignment horizontal="left" vertical="center" wrapText="1"/>
    </xf>
    <xf numFmtId="164" fontId="13" fillId="0" borderId="22" xfId="0" applyNumberFormat="1" applyFont="1" applyBorder="1" applyAlignment="1">
      <alignment horizontal="left" vertical="center" wrapText="1"/>
    </xf>
    <xf numFmtId="165" fontId="13" fillId="0" borderId="23" xfId="0" applyNumberFormat="1" applyFont="1" applyBorder="1" applyAlignment="1">
      <alignment horizontal="left" vertical="center" wrapText="1"/>
    </xf>
    <xf numFmtId="165" fontId="13" fillId="0" borderId="24" xfId="0" applyNumberFormat="1" applyFont="1" applyBorder="1" applyAlignment="1">
      <alignment horizontal="left" vertical="center" wrapText="1"/>
    </xf>
    <xf numFmtId="0" fontId="13" fillId="0" borderId="24" xfId="0" applyFont="1" applyBorder="1" applyAlignment="1">
      <alignment horizontal="left" vertical="center" wrapText="1"/>
    </xf>
    <xf numFmtId="0" fontId="0" fillId="0" borderId="24" xfId="0" applyBorder="1"/>
    <xf numFmtId="164" fontId="13" fillId="0" borderId="25" xfId="0" applyNumberFormat="1" applyFont="1" applyBorder="1" applyAlignment="1">
      <alignment horizontal="left" vertical="center" wrapText="1"/>
    </xf>
    <xf numFmtId="165" fontId="41" fillId="0" borderId="5" xfId="0" applyNumberFormat="1" applyFont="1" applyBorder="1" applyAlignment="1">
      <alignment vertical="center" wrapText="1"/>
    </xf>
    <xf numFmtId="164" fontId="41" fillId="0" borderId="0" xfId="0" applyNumberFormat="1" applyFont="1" applyAlignment="1">
      <alignment vertical="center" wrapText="1"/>
    </xf>
    <xf numFmtId="0" fontId="0" fillId="7" borderId="43" xfId="0" applyFill="1" applyBorder="1"/>
    <xf numFmtId="0" fontId="0" fillId="7" borderId="41" xfId="0" applyFill="1" applyBorder="1" applyAlignment="1">
      <alignment horizontal="left"/>
    </xf>
    <xf numFmtId="0" fontId="0" fillId="7" borderId="130" xfId="0" applyFill="1" applyBorder="1" applyAlignment="1">
      <alignment horizontal="left"/>
    </xf>
    <xf numFmtId="0" fontId="42" fillId="40" borderId="130" xfId="0" applyFont="1" applyFill="1" applyBorder="1"/>
    <xf numFmtId="164" fontId="42" fillId="40" borderId="42" xfId="0" applyNumberFormat="1" applyFont="1" applyFill="1" applyBorder="1" applyAlignment="1">
      <alignment horizontal="right"/>
    </xf>
    <xf numFmtId="164" fontId="42" fillId="40" borderId="1" xfId="0" applyNumberFormat="1" applyFont="1" applyFill="1" applyBorder="1" applyAlignment="1">
      <alignment horizontal="right"/>
    </xf>
    <xf numFmtId="164" fontId="42" fillId="40" borderId="43" xfId="0" applyNumberFormat="1" applyFont="1" applyFill="1" applyBorder="1" applyAlignment="1">
      <alignment horizontal="right"/>
    </xf>
    <xf numFmtId="165" fontId="0" fillId="0" borderId="6" xfId="0" applyNumberFormat="1" applyBorder="1" applyAlignment="1">
      <alignment horizontal="right"/>
    </xf>
    <xf numFmtId="165" fontId="0" fillId="0" borderId="0" xfId="0" applyNumberFormat="1" applyAlignment="1">
      <alignment horizontal="right"/>
    </xf>
    <xf numFmtId="165" fontId="0" fillId="0" borderId="7" xfId="0" applyNumberFormat="1" applyBorder="1" applyAlignment="1">
      <alignment horizontal="right"/>
    </xf>
    <xf numFmtId="0" fontId="44" fillId="41" borderId="130" xfId="0" applyFont="1" applyFill="1" applyBorder="1"/>
    <xf numFmtId="164" fontId="44" fillId="41" borderId="42" xfId="0" applyNumberFormat="1" applyFont="1" applyFill="1" applyBorder="1" applyAlignment="1">
      <alignment horizontal="right"/>
    </xf>
    <xf numFmtId="164" fontId="44" fillId="41" borderId="1" xfId="0" applyNumberFormat="1" applyFont="1" applyFill="1" applyBorder="1" applyAlignment="1">
      <alignment horizontal="right"/>
    </xf>
    <xf numFmtId="0" fontId="44" fillId="41" borderId="131" xfId="0" applyFont="1" applyFill="1" applyBorder="1"/>
    <xf numFmtId="165" fontId="44" fillId="41" borderId="44" xfId="0" applyNumberFormat="1" applyFont="1" applyFill="1" applyBorder="1" applyAlignment="1">
      <alignment horizontal="right"/>
    </xf>
    <xf numFmtId="165" fontId="44" fillId="41" borderId="9" xfId="0" applyNumberFormat="1" applyFont="1" applyFill="1" applyBorder="1" applyAlignment="1">
      <alignment horizontal="right"/>
    </xf>
    <xf numFmtId="165" fontId="0" fillId="0" borderId="14" xfId="0" applyNumberFormat="1" applyBorder="1"/>
    <xf numFmtId="0" fontId="45" fillId="42" borderId="145" xfId="0" applyFont="1" applyFill="1" applyBorder="1" applyAlignment="1">
      <alignment horizontal="right"/>
    </xf>
    <xf numFmtId="165" fontId="0" fillId="0" borderId="5" xfId="0" applyNumberFormat="1" applyBorder="1"/>
    <xf numFmtId="165" fontId="0" fillId="0" borderId="146" xfId="0" applyNumberFormat="1" applyBorder="1"/>
    <xf numFmtId="164" fontId="0" fillId="0" borderId="146" xfId="0" applyNumberFormat="1" applyBorder="1"/>
    <xf numFmtId="170" fontId="49" fillId="44" borderId="147" xfId="1" applyNumberFormat="1" applyFont="1" applyFill="1" applyBorder="1"/>
    <xf numFmtId="164" fontId="6" fillId="38" borderId="75" xfId="0" applyNumberFormat="1" applyFont="1" applyFill="1" applyBorder="1" applyAlignment="1">
      <alignment horizontal="right"/>
    </xf>
    <xf numFmtId="164" fontId="6" fillId="21" borderId="75" xfId="0" applyNumberFormat="1" applyFont="1" applyFill="1" applyBorder="1" applyAlignment="1">
      <alignment horizontal="right"/>
    </xf>
    <xf numFmtId="164" fontId="50" fillId="38" borderId="75" xfId="0" applyNumberFormat="1" applyFont="1" applyFill="1" applyBorder="1" applyAlignment="1">
      <alignment horizontal="right"/>
    </xf>
    <xf numFmtId="0" fontId="19" fillId="5" borderId="33" xfId="0" applyFont="1" applyFill="1" applyBorder="1" applyAlignment="1">
      <alignment horizontal="center" vertical="center" wrapText="1"/>
    </xf>
    <xf numFmtId="0" fontId="19" fillId="5" borderId="75" xfId="0" applyFont="1" applyFill="1" applyBorder="1" applyAlignment="1">
      <alignment horizontal="center" vertical="center" wrapText="1"/>
    </xf>
    <xf numFmtId="0" fontId="9" fillId="0" borderId="30" xfId="0" applyFont="1" applyBorder="1" applyAlignment="1">
      <alignment horizontal="left" vertical="top" wrapText="1"/>
    </xf>
    <xf numFmtId="0" fontId="19" fillId="0" borderId="130" xfId="0" applyFont="1" applyBorder="1" applyAlignment="1">
      <alignment horizontal="center" vertical="center" wrapText="1"/>
    </xf>
    <xf numFmtId="0" fontId="0" fillId="0" borderId="130" xfId="0" applyBorder="1"/>
    <xf numFmtId="165" fontId="0" fillId="5" borderId="146" xfId="0" applyNumberFormat="1" applyFill="1" applyBorder="1" applyAlignment="1">
      <alignment horizontal="right" vertical="center"/>
    </xf>
    <xf numFmtId="165" fontId="0" fillId="5" borderId="136" xfId="0" applyNumberFormat="1" applyFill="1" applyBorder="1" applyAlignment="1">
      <alignment horizontal="left"/>
    </xf>
    <xf numFmtId="0" fontId="19" fillId="0" borderId="131" xfId="0" applyFont="1" applyBorder="1" applyAlignment="1">
      <alignment horizontal="center" vertical="center" wrapText="1"/>
    </xf>
    <xf numFmtId="0" fontId="0" fillId="0" borderId="131" xfId="0" applyBorder="1"/>
    <xf numFmtId="2" fontId="0" fillId="20" borderId="75" xfId="0" applyNumberFormat="1" applyFill="1" applyBorder="1" applyAlignment="1">
      <alignment vertical="center" wrapText="1"/>
    </xf>
    <xf numFmtId="164" fontId="0" fillId="20" borderId="75" xfId="0" applyNumberFormat="1" applyFill="1" applyBorder="1" applyAlignment="1">
      <alignment vertical="center" wrapText="1"/>
    </xf>
    <xf numFmtId="0" fontId="0" fillId="20" borderId="75" xfId="0" applyFill="1" applyBorder="1" applyAlignment="1">
      <alignment vertical="center" wrapText="1"/>
    </xf>
    <xf numFmtId="165" fontId="52" fillId="0" borderId="0" xfId="0" applyNumberFormat="1" applyFont="1"/>
    <xf numFmtId="0" fontId="0" fillId="0" borderId="143" xfId="0" applyBorder="1" applyAlignment="1">
      <alignment vertical="center" wrapText="1"/>
    </xf>
    <xf numFmtId="0" fontId="0" fillId="0" borderId="75" xfId="0" applyBorder="1" applyAlignment="1">
      <alignment vertical="center" wrapText="1"/>
    </xf>
    <xf numFmtId="0" fontId="0" fillId="44" borderId="148" xfId="0" applyFill="1" applyBorder="1" applyAlignment="1">
      <alignment vertical="center" wrapText="1"/>
    </xf>
    <xf numFmtId="2" fontId="0" fillId="44" borderId="148" xfId="0" applyNumberFormat="1" applyFill="1" applyBorder="1" applyAlignment="1">
      <alignment vertical="center" wrapText="1"/>
    </xf>
    <xf numFmtId="2" fontId="0" fillId="45" borderId="148" xfId="0" applyNumberFormat="1" applyFill="1" applyBorder="1" applyAlignment="1">
      <alignment vertical="center" wrapText="1"/>
    </xf>
    <xf numFmtId="164" fontId="0" fillId="45" borderId="148" xfId="0" applyNumberFormat="1" applyFill="1" applyBorder="1" applyAlignment="1">
      <alignment vertical="center" wrapText="1"/>
    </xf>
    <xf numFmtId="0" fontId="0" fillId="45" borderId="148" xfId="0" applyFill="1" applyBorder="1" applyAlignment="1">
      <alignment vertical="center" wrapText="1"/>
    </xf>
    <xf numFmtId="165" fontId="0" fillId="44" borderId="148" xfId="0" applyNumberFormat="1" applyFill="1" applyBorder="1" applyAlignment="1">
      <alignment vertical="center" wrapText="1"/>
    </xf>
    <xf numFmtId="165" fontId="52" fillId="44" borderId="148" xfId="0" applyNumberFormat="1" applyFont="1" applyFill="1" applyBorder="1"/>
    <xf numFmtId="0" fontId="29" fillId="44" borderId="148" xfId="0" applyFont="1" applyFill="1" applyBorder="1" applyAlignment="1">
      <alignment horizontal="center" vertical="center" wrapText="1"/>
    </xf>
    <xf numFmtId="164" fontId="0" fillId="44" borderId="148" xfId="0" applyNumberFormat="1" applyFill="1" applyBorder="1" applyAlignment="1">
      <alignment vertical="center" wrapText="1"/>
    </xf>
    <xf numFmtId="0" fontId="0" fillId="44" borderId="148" xfId="0" applyFill="1" applyBorder="1"/>
    <xf numFmtId="165" fontId="0" fillId="0" borderId="75" xfId="0" applyNumberFormat="1" applyBorder="1" applyAlignment="1">
      <alignment horizontal="right" vertical="center" wrapText="1"/>
    </xf>
    <xf numFmtId="165" fontId="0" fillId="5" borderId="75" xfId="0" applyNumberFormat="1" applyFill="1" applyBorder="1" applyAlignment="1">
      <alignment horizontal="right" vertical="center" wrapText="1"/>
    </xf>
    <xf numFmtId="166" fontId="0" fillId="5" borderId="75" xfId="0" applyNumberFormat="1" applyFill="1" applyBorder="1" applyAlignment="1">
      <alignment vertical="center" wrapText="1"/>
    </xf>
    <xf numFmtId="0" fontId="0" fillId="5" borderId="75" xfId="0" applyFill="1" applyBorder="1" applyAlignment="1">
      <alignment vertical="center" wrapText="1"/>
    </xf>
    <xf numFmtId="165" fontId="0" fillId="5" borderId="75" xfId="0" applyNumberFormat="1" applyFill="1" applyBorder="1" applyAlignment="1">
      <alignment vertical="center" wrapText="1"/>
    </xf>
    <xf numFmtId="0" fontId="29" fillId="5" borderId="75" xfId="0" applyFont="1" applyFill="1" applyBorder="1" applyAlignment="1">
      <alignment horizontal="center" vertical="center" wrapText="1"/>
    </xf>
    <xf numFmtId="164" fontId="0" fillId="5" borderId="75" xfId="0" applyNumberFormat="1" applyFill="1" applyBorder="1" applyAlignment="1">
      <alignment vertical="center" wrapText="1"/>
    </xf>
    <xf numFmtId="166" fontId="0" fillId="5" borderId="75" xfId="0" applyNumberFormat="1" applyFill="1" applyBorder="1" applyAlignment="1">
      <alignment horizontal="right" vertical="center" wrapText="1"/>
    </xf>
    <xf numFmtId="0" fontId="0" fillId="5" borderId="143" xfId="0" applyFill="1" applyBorder="1" applyAlignment="1">
      <alignment vertical="center" wrapText="1"/>
    </xf>
    <xf numFmtId="0" fontId="7" fillId="5" borderId="75" xfId="0" applyFont="1" applyFill="1" applyBorder="1"/>
    <xf numFmtId="164" fontId="0" fillId="5" borderId="75" xfId="0" applyNumberFormat="1" applyFill="1" applyBorder="1" applyAlignment="1">
      <alignment wrapText="1"/>
    </xf>
    <xf numFmtId="168" fontId="0" fillId="5" borderId="75" xfId="0" applyNumberFormat="1" applyFill="1" applyBorder="1" applyAlignment="1">
      <alignment wrapText="1"/>
    </xf>
    <xf numFmtId="10" fontId="0" fillId="5" borderId="75" xfId="0" applyNumberFormat="1" applyFill="1" applyBorder="1" applyAlignment="1">
      <alignment wrapText="1"/>
    </xf>
    <xf numFmtId="164" fontId="0" fillId="5" borderId="33" xfId="0" applyNumberFormat="1" applyFill="1" applyBorder="1" applyAlignment="1">
      <alignment wrapText="1"/>
    </xf>
    <xf numFmtId="0" fontId="0" fillId="15" borderId="75" xfId="0" applyFill="1" applyBorder="1"/>
    <xf numFmtId="165" fontId="0" fillId="15" borderId="75" xfId="0" applyNumberFormat="1" applyFill="1" applyBorder="1"/>
    <xf numFmtId="0" fontId="0" fillId="7" borderId="75" xfId="0" applyFill="1" applyBorder="1"/>
    <xf numFmtId="0" fontId="0" fillId="7" borderId="83" xfId="0" applyFill="1" applyBorder="1"/>
    <xf numFmtId="165" fontId="0" fillId="6" borderId="75" xfId="0" applyNumberFormat="1" applyFill="1" applyBorder="1"/>
    <xf numFmtId="165" fontId="0" fillId="6" borderId="83" xfId="0" applyNumberFormat="1" applyFill="1" applyBorder="1"/>
    <xf numFmtId="164" fontId="0" fillId="25" borderId="77" xfId="0" applyNumberFormat="1" applyFill="1" applyBorder="1"/>
    <xf numFmtId="164" fontId="0" fillId="25" borderId="84" xfId="0" applyNumberFormat="1" applyFill="1" applyBorder="1"/>
    <xf numFmtId="164" fontId="0" fillId="25" borderId="79" xfId="0" applyNumberFormat="1" applyFill="1" applyBorder="1"/>
    <xf numFmtId="165" fontId="0" fillId="0" borderId="42" xfId="0" applyNumberFormat="1" applyBorder="1"/>
    <xf numFmtId="165" fontId="0" fillId="0" borderId="83" xfId="0" applyNumberFormat="1" applyBorder="1"/>
    <xf numFmtId="165" fontId="0" fillId="0" borderId="77" xfId="0" applyNumberFormat="1" applyBorder="1"/>
    <xf numFmtId="165" fontId="0" fillId="0" borderId="79" xfId="0" applyNumberFormat="1" applyBorder="1"/>
    <xf numFmtId="0" fontId="53" fillId="0" borderId="0" xfId="0" applyFont="1" applyAlignment="1">
      <alignment horizontal="left" vertical="top" wrapText="1"/>
    </xf>
    <xf numFmtId="0" fontId="51" fillId="0" borderId="0" xfId="0" applyFont="1" applyAlignment="1">
      <alignment horizontal="left" vertical="top" wrapText="1"/>
    </xf>
    <xf numFmtId="0" fontId="51" fillId="46" borderId="75" xfId="0" applyFont="1" applyFill="1" applyBorder="1" applyAlignment="1">
      <alignment horizontal="left" vertical="top" wrapText="1"/>
    </xf>
    <xf numFmtId="0" fontId="0" fillId="47" borderId="0" xfId="0" applyFill="1"/>
    <xf numFmtId="9" fontId="0" fillId="47" borderId="0" xfId="0" applyNumberFormat="1" applyFill="1"/>
    <xf numFmtId="0" fontId="0" fillId="48" borderId="0" xfId="0" applyFill="1"/>
    <xf numFmtId="0" fontId="54" fillId="49" borderId="75" xfId="0" applyFont="1" applyFill="1" applyBorder="1" applyAlignment="1">
      <alignment horizontal="left" vertical="top" wrapText="1"/>
    </xf>
    <xf numFmtId="165" fontId="0" fillId="50" borderId="1" xfId="0" applyNumberFormat="1" applyFill="1" applyBorder="1" applyAlignment="1">
      <alignment horizontal="right" vertical="center" wrapText="1"/>
    </xf>
    <xf numFmtId="165" fontId="0" fillId="50" borderId="67" xfId="0" applyNumberFormat="1" applyFill="1" applyBorder="1" applyAlignment="1">
      <alignment horizontal="right" vertical="center" wrapText="1"/>
    </xf>
    <xf numFmtId="165" fontId="0" fillId="50" borderId="1" xfId="0" applyNumberFormat="1" applyFill="1" applyBorder="1" applyAlignment="1">
      <alignment vertical="center" wrapText="1"/>
    </xf>
    <xf numFmtId="165" fontId="0" fillId="50" borderId="67" xfId="0" applyNumberFormat="1" applyFill="1" applyBorder="1" applyAlignment="1">
      <alignment vertical="center" wrapText="1"/>
    </xf>
    <xf numFmtId="164" fontId="0" fillId="50" borderId="1" xfId="0" applyNumberFormat="1" applyFill="1" applyBorder="1" applyAlignment="1">
      <alignment vertical="center" wrapText="1"/>
    </xf>
    <xf numFmtId="164" fontId="0" fillId="50" borderId="67" xfId="0" applyNumberFormat="1" applyFill="1" applyBorder="1" applyAlignment="1">
      <alignment vertical="center" wrapText="1"/>
    </xf>
    <xf numFmtId="14" fontId="0" fillId="0" borderId="75" xfId="0" applyNumberFormat="1" applyBorder="1"/>
    <xf numFmtId="3" fontId="0" fillId="0" borderId="75" xfId="0" applyNumberFormat="1" applyBorder="1"/>
    <xf numFmtId="4" fontId="0" fillId="0" borderId="75" xfId="0" applyNumberFormat="1" applyBorder="1"/>
    <xf numFmtId="0" fontId="9" fillId="3" borderId="75" xfId="0" applyFont="1" applyFill="1" applyBorder="1" applyAlignment="1">
      <alignment horizontal="left" vertical="top" wrapText="1"/>
    </xf>
    <xf numFmtId="9" fontId="9" fillId="5" borderId="75" xfId="0" applyNumberFormat="1" applyFont="1" applyFill="1" applyBorder="1" applyAlignment="1">
      <alignment horizontal="left" vertical="top" wrapText="1"/>
    </xf>
    <xf numFmtId="0" fontId="19" fillId="5" borderId="75" xfId="0" quotePrefix="1" applyFont="1" applyFill="1" applyBorder="1" applyAlignment="1">
      <alignment horizontal="center" vertical="center" wrapText="1"/>
    </xf>
    <xf numFmtId="0" fontId="9" fillId="0" borderId="75" xfId="0" applyFont="1" applyBorder="1" applyAlignment="1">
      <alignment horizontal="left" vertical="top" wrapText="1"/>
    </xf>
    <xf numFmtId="0" fontId="0" fillId="0" borderId="75" xfId="0" applyBorder="1"/>
    <xf numFmtId="0" fontId="0" fillId="0" borderId="0" xfId="0" applyAlignment="1">
      <alignment horizontal="center"/>
    </xf>
    <xf numFmtId="0" fontId="55" fillId="0" borderId="0" xfId="0" applyFont="1"/>
    <xf numFmtId="0" fontId="55" fillId="0" borderId="0" xfId="0" applyFont="1" applyAlignment="1">
      <alignment horizontal="center"/>
    </xf>
    <xf numFmtId="0" fontId="0" fillId="51" borderId="147" xfId="0" applyFill="1" applyBorder="1" applyAlignment="1">
      <alignment horizontal="center" vertical="center"/>
    </xf>
    <xf numFmtId="0" fontId="0" fillId="0" borderId="147" xfId="0" applyBorder="1" applyAlignment="1">
      <alignment horizontal="center" vertical="center"/>
    </xf>
    <xf numFmtId="0" fontId="0" fillId="52" borderId="147" xfId="0" applyFill="1" applyBorder="1" applyAlignment="1">
      <alignment horizontal="center" vertical="center"/>
    </xf>
    <xf numFmtId="0" fontId="0" fillId="0" borderId="147" xfId="0" applyBorder="1"/>
    <xf numFmtId="0" fontId="0" fillId="53" borderId="147" xfId="0" applyFill="1" applyBorder="1" applyAlignment="1">
      <alignment horizontal="center" vertical="center"/>
    </xf>
    <xf numFmtId="0" fontId="56" fillId="54" borderId="150" xfId="0" applyFont="1" applyFill="1" applyBorder="1" applyAlignment="1">
      <alignment horizontal="center" wrapText="1"/>
    </xf>
    <xf numFmtId="0" fontId="56" fillId="55" borderId="147" xfId="0" applyFont="1" applyFill="1" applyBorder="1" applyAlignment="1">
      <alignment horizontal="center" wrapText="1"/>
    </xf>
    <xf numFmtId="0" fontId="56" fillId="55" borderId="151" xfId="0" applyFont="1" applyFill="1" applyBorder="1" applyAlignment="1">
      <alignment horizontal="center" wrapText="1"/>
    </xf>
    <xf numFmtId="0" fontId="56" fillId="54" borderId="152" xfId="0" applyFont="1" applyFill="1" applyBorder="1" applyAlignment="1">
      <alignment horizontal="center" wrapText="1"/>
    </xf>
    <xf numFmtId="0" fontId="56" fillId="0" borderId="0" xfId="0" applyFont="1" applyAlignment="1">
      <alignment wrapText="1"/>
    </xf>
    <xf numFmtId="0" fontId="56" fillId="54" borderId="153" xfId="0" applyFont="1" applyFill="1" applyBorder="1" applyAlignment="1">
      <alignment horizontal="center" wrapText="1"/>
    </xf>
    <xf numFmtId="0" fontId="56" fillId="55" borderId="152" xfId="0" applyFont="1" applyFill="1" applyBorder="1" applyAlignment="1">
      <alignment horizontal="center" wrapText="1"/>
    </xf>
    <xf numFmtId="171" fontId="0" fillId="0" borderId="154" xfId="0" applyNumberFormat="1" applyBorder="1" applyAlignment="1">
      <alignment horizontal="center"/>
    </xf>
    <xf numFmtId="172" fontId="0" fillId="56" borderId="147" xfId="0" applyNumberFormat="1" applyFill="1" applyBorder="1" applyAlignment="1">
      <alignment horizontal="right"/>
    </xf>
    <xf numFmtId="173" fontId="0" fillId="0" borderId="155" xfId="0" applyNumberFormat="1" applyBorder="1" applyAlignment="1">
      <alignment horizontal="center"/>
    </xf>
    <xf numFmtId="173" fontId="0" fillId="0" borderId="155" xfId="0" applyNumberFormat="1" applyBorder="1" applyAlignment="1">
      <alignment horizontal="right"/>
    </xf>
    <xf numFmtId="173" fontId="0" fillId="0" borderId="156" xfId="0" applyNumberFormat="1" applyBorder="1" applyAlignment="1">
      <alignment horizontal="center"/>
    </xf>
    <xf numFmtId="171" fontId="0" fillId="0" borderId="155" xfId="0" applyNumberFormat="1" applyBorder="1"/>
    <xf numFmtId="171" fontId="0" fillId="0" borderId="155" xfId="0" applyNumberFormat="1" applyBorder="1" applyAlignment="1">
      <alignment horizontal="center"/>
    </xf>
    <xf numFmtId="0" fontId="0" fillId="0" borderId="155" xfId="0" applyBorder="1"/>
    <xf numFmtId="171" fontId="0" fillId="0" borderId="157" xfId="0" applyNumberFormat="1" applyBorder="1" applyAlignment="1">
      <alignment horizontal="center"/>
    </xf>
    <xf numFmtId="172" fontId="0" fillId="52" borderId="155" xfId="0" applyNumberFormat="1" applyFill="1" applyBorder="1" applyAlignment="1">
      <alignment horizontal="right"/>
    </xf>
    <xf numFmtId="173" fontId="0" fillId="0" borderId="147" xfId="0" applyNumberFormat="1" applyBorder="1" applyAlignment="1">
      <alignment horizontal="right"/>
    </xf>
    <xf numFmtId="172" fontId="0" fillId="56" borderId="155" xfId="0" applyNumberFormat="1" applyFill="1" applyBorder="1" applyAlignment="1">
      <alignment horizontal="right"/>
    </xf>
    <xf numFmtId="174" fontId="0" fillId="0" borderId="155" xfId="0" applyNumberFormat="1" applyBorder="1" applyAlignment="1">
      <alignment horizontal="right"/>
    </xf>
    <xf numFmtId="174" fontId="0" fillId="0" borderId="155" xfId="0" applyNumberFormat="1" applyBorder="1" applyAlignment="1">
      <alignment horizontal="center"/>
    </xf>
    <xf numFmtId="172" fontId="0" fillId="0" borderId="155" xfId="0" applyNumberFormat="1" applyBorder="1" applyAlignment="1">
      <alignment horizontal="right"/>
    </xf>
    <xf numFmtId="174" fontId="0" fillId="52" borderId="155" xfId="0" applyNumberFormat="1" applyFill="1" applyBorder="1" applyAlignment="1">
      <alignment horizontal="right"/>
    </xf>
    <xf numFmtId="171" fontId="0" fillId="57" borderId="154" xfId="0" applyNumberFormat="1" applyFill="1" applyBorder="1" applyAlignment="1">
      <alignment horizontal="center"/>
    </xf>
    <xf numFmtId="172" fontId="0" fillId="57" borderId="155" xfId="0" applyNumberFormat="1" applyFill="1" applyBorder="1" applyAlignment="1">
      <alignment horizontal="right"/>
    </xf>
    <xf numFmtId="174" fontId="0" fillId="57" borderId="155" xfId="0" applyNumberFormat="1" applyFill="1" applyBorder="1" applyAlignment="1">
      <alignment horizontal="right"/>
    </xf>
    <xf numFmtId="171" fontId="0" fillId="57" borderId="157" xfId="0" applyNumberFormat="1" applyFill="1" applyBorder="1" applyAlignment="1">
      <alignment horizontal="center"/>
    </xf>
    <xf numFmtId="174" fontId="0" fillId="0" borderId="0" xfId="0" applyNumberFormat="1"/>
    <xf numFmtId="174" fontId="0" fillId="57" borderId="155" xfId="0" applyNumberFormat="1" applyFill="1" applyBorder="1" applyAlignment="1">
      <alignment horizontal="center"/>
    </xf>
    <xf numFmtId="172" fontId="0" fillId="53" borderId="155" xfId="0" applyNumberFormat="1" applyFill="1" applyBorder="1" applyAlignment="1">
      <alignment horizontal="right"/>
    </xf>
    <xf numFmtId="174" fontId="0" fillId="53" borderId="155" xfId="0" applyNumberFormat="1" applyFill="1" applyBorder="1" applyAlignment="1">
      <alignment horizontal="right"/>
    </xf>
    <xf numFmtId="171" fontId="0" fillId="0" borderId="158" xfId="0" applyNumberFormat="1" applyBorder="1" applyAlignment="1">
      <alignment horizontal="center"/>
    </xf>
    <xf numFmtId="171" fontId="0" fillId="0" borderId="159" xfId="0" applyNumberFormat="1" applyBorder="1" applyAlignment="1">
      <alignment horizontal="center"/>
    </xf>
    <xf numFmtId="173" fontId="0" fillId="0" borderId="160" xfId="0" applyNumberFormat="1" applyBorder="1" applyAlignment="1">
      <alignment horizontal="right"/>
    </xf>
    <xf numFmtId="173" fontId="0" fillId="0" borderId="161" xfId="0" applyNumberFormat="1" applyBorder="1" applyAlignment="1">
      <alignment horizontal="right"/>
    </xf>
    <xf numFmtId="3" fontId="0" fillId="0" borderId="154" xfId="0" applyNumberFormat="1" applyBorder="1" applyAlignment="1">
      <alignment horizontal="center"/>
    </xf>
    <xf numFmtId="3" fontId="0" fillId="57" borderId="154" xfId="0" applyNumberFormat="1" applyFill="1" applyBorder="1" applyAlignment="1">
      <alignment horizontal="center"/>
    </xf>
    <xf numFmtId="3" fontId="0" fillId="0" borderId="158" xfId="0" applyNumberFormat="1" applyBorder="1" applyAlignment="1">
      <alignment horizontal="center"/>
    </xf>
    <xf numFmtId="165" fontId="0" fillId="0" borderId="75" xfId="0" applyNumberFormat="1" applyBorder="1"/>
    <xf numFmtId="0" fontId="57" fillId="3" borderId="41" xfId="0" applyFont="1" applyFill="1" applyBorder="1"/>
    <xf numFmtId="165" fontId="0" fillId="5" borderId="162" xfId="0" applyNumberFormat="1" applyFill="1" applyBorder="1"/>
    <xf numFmtId="165" fontId="0" fillId="5" borderId="163" xfId="0" applyNumberFormat="1" applyFill="1" applyBorder="1"/>
    <xf numFmtId="165" fontId="0" fillId="5" borderId="164" xfId="0" applyNumberFormat="1" applyFill="1" applyBorder="1"/>
    <xf numFmtId="165" fontId="58" fillId="0" borderId="0" xfId="0" applyNumberFormat="1" applyFont="1"/>
    <xf numFmtId="0" fontId="59" fillId="0" borderId="0" xfId="0" applyFont="1" applyAlignment="1">
      <alignment horizontal="center" vertical="center" wrapText="1"/>
    </xf>
    <xf numFmtId="2" fontId="0" fillId="0" borderId="143" xfId="0" applyNumberFormat="1" applyBorder="1" applyAlignment="1">
      <alignment vertical="center" wrapText="1"/>
    </xf>
    <xf numFmtId="2" fontId="0" fillId="20" borderId="143" xfId="0" applyNumberFormat="1" applyFill="1" applyBorder="1" applyAlignment="1">
      <alignment vertical="center" wrapText="1"/>
    </xf>
    <xf numFmtId="164" fontId="0" fillId="20" borderId="143" xfId="0" applyNumberFormat="1" applyFill="1" applyBorder="1" applyAlignment="1">
      <alignment vertical="center" wrapText="1"/>
    </xf>
    <xf numFmtId="0" fontId="0" fillId="20" borderId="143" xfId="0" applyFill="1" applyBorder="1" applyAlignment="1">
      <alignment vertical="center" wrapText="1"/>
    </xf>
    <xf numFmtId="165" fontId="0" fillId="0" borderId="143" xfId="0" applyNumberFormat="1" applyBorder="1" applyAlignment="1">
      <alignment vertical="center" wrapText="1"/>
    </xf>
    <xf numFmtId="0" fontId="59" fillId="0" borderId="143" xfId="0" applyFont="1" applyBorder="1" applyAlignment="1">
      <alignment horizontal="center" vertical="center" wrapText="1"/>
    </xf>
    <xf numFmtId="164" fontId="0" fillId="0" borderId="143" xfId="0" applyNumberFormat="1" applyBorder="1" applyAlignment="1">
      <alignment vertical="center" wrapText="1"/>
    </xf>
    <xf numFmtId="0" fontId="29" fillId="0" borderId="75" xfId="0" applyFont="1" applyBorder="1" applyAlignment="1">
      <alignment horizontal="center" vertical="center" wrapText="1"/>
    </xf>
    <xf numFmtId="0" fontId="57" fillId="0" borderId="165" xfId="0" applyFont="1" applyBorder="1" applyAlignment="1">
      <alignment vertical="center" wrapText="1"/>
    </xf>
    <xf numFmtId="0" fontId="57" fillId="0" borderId="166" xfId="0" applyFont="1" applyBorder="1" applyAlignment="1">
      <alignment vertical="center" wrapText="1"/>
    </xf>
    <xf numFmtId="0" fontId="0" fillId="0" borderId="166" xfId="0" applyBorder="1" applyAlignment="1">
      <alignment vertical="center" wrapText="1"/>
    </xf>
    <xf numFmtId="165" fontId="0" fillId="0" borderId="166" xfId="0" applyNumberFormat="1" applyBorder="1" applyAlignment="1">
      <alignment horizontal="right" vertical="center" wrapText="1"/>
    </xf>
    <xf numFmtId="166" fontId="0" fillId="5" borderId="166" xfId="0" applyNumberFormat="1" applyFill="1" applyBorder="1" applyAlignment="1">
      <alignment horizontal="right" vertical="center" wrapText="1"/>
    </xf>
    <xf numFmtId="0" fontId="0" fillId="5" borderId="166" xfId="0" applyFill="1" applyBorder="1" applyAlignment="1">
      <alignment vertical="center" wrapText="1"/>
    </xf>
    <xf numFmtId="166" fontId="0" fillId="5" borderId="166" xfId="0" applyNumberFormat="1" applyFill="1" applyBorder="1" applyAlignment="1">
      <alignment vertical="center" wrapText="1"/>
    </xf>
    <xf numFmtId="165" fontId="0" fillId="5" borderId="166" xfId="0" applyNumberFormat="1" applyFill="1" applyBorder="1" applyAlignment="1">
      <alignment vertical="center" wrapText="1"/>
    </xf>
    <xf numFmtId="0" fontId="31" fillId="5" borderId="166" xfId="0" applyFont="1" applyFill="1" applyBorder="1"/>
    <xf numFmtId="0" fontId="29" fillId="5" borderId="166" xfId="0" applyFont="1" applyFill="1" applyBorder="1" applyAlignment="1">
      <alignment horizontal="center" vertical="center" wrapText="1"/>
    </xf>
    <xf numFmtId="0" fontId="29" fillId="0" borderId="166" xfId="0" applyFont="1" applyBorder="1" applyAlignment="1">
      <alignment horizontal="center" vertical="center" wrapText="1"/>
    </xf>
    <xf numFmtId="0" fontId="0" fillId="0" borderId="166" xfId="0" applyBorder="1"/>
    <xf numFmtId="0" fontId="57" fillId="0" borderId="149" xfId="0" applyFont="1" applyBorder="1" applyAlignment="1">
      <alignment vertical="center" wrapText="1"/>
    </xf>
    <xf numFmtId="0" fontId="57" fillId="0" borderId="75" xfId="0" applyFont="1" applyBorder="1" applyAlignment="1">
      <alignment vertical="center" wrapText="1"/>
    </xf>
    <xf numFmtId="0" fontId="31" fillId="5" borderId="75" xfId="0" applyFont="1" applyFill="1" applyBorder="1"/>
    <xf numFmtId="0" fontId="57" fillId="0" borderId="167" xfId="0" applyFont="1" applyBorder="1" applyAlignment="1">
      <alignment vertical="center" wrapText="1"/>
    </xf>
    <xf numFmtId="0" fontId="57" fillId="0" borderId="148" xfId="0" applyFont="1" applyBorder="1" applyAlignment="1">
      <alignment vertical="center" wrapText="1"/>
    </xf>
    <xf numFmtId="0" fontId="0" fillId="0" borderId="148" xfId="0" applyBorder="1" applyAlignment="1">
      <alignment vertical="center" wrapText="1"/>
    </xf>
    <xf numFmtId="165" fontId="0" fillId="0" borderId="148" xfId="0" applyNumberFormat="1" applyBorder="1" applyAlignment="1">
      <alignment horizontal="right" vertical="center" wrapText="1"/>
    </xf>
    <xf numFmtId="165" fontId="0" fillId="5" borderId="148" xfId="0" applyNumberFormat="1" applyFill="1" applyBorder="1" applyAlignment="1">
      <alignment horizontal="right" vertical="center" wrapText="1"/>
    </xf>
    <xf numFmtId="166" fontId="0" fillId="5" borderId="148" xfId="0" applyNumberFormat="1" applyFill="1" applyBorder="1" applyAlignment="1">
      <alignment vertical="center" wrapText="1"/>
    </xf>
    <xf numFmtId="0" fontId="0" fillId="5" borderId="148" xfId="0" applyFill="1" applyBorder="1" applyAlignment="1">
      <alignment vertical="center" wrapText="1"/>
    </xf>
    <xf numFmtId="165" fontId="0" fillId="5" borderId="148" xfId="0" applyNumberFormat="1" applyFill="1" applyBorder="1" applyAlignment="1">
      <alignment vertical="center" wrapText="1"/>
    </xf>
    <xf numFmtId="0" fontId="31" fillId="5" borderId="148" xfId="0" applyFont="1" applyFill="1" applyBorder="1"/>
    <xf numFmtId="0" fontId="29" fillId="0" borderId="148" xfId="0" applyFont="1" applyBorder="1" applyAlignment="1">
      <alignment horizontal="center" vertical="center" wrapText="1"/>
    </xf>
    <xf numFmtId="0" fontId="29" fillId="5" borderId="148" xfId="0" applyFont="1" applyFill="1" applyBorder="1" applyAlignment="1">
      <alignment horizontal="center" vertical="center" wrapText="1"/>
    </xf>
    <xf numFmtId="164" fontId="0" fillId="5" borderId="148" xfId="0" applyNumberFormat="1" applyFill="1" applyBorder="1" applyAlignment="1">
      <alignment vertical="center" wrapText="1"/>
    </xf>
    <xf numFmtId="0" fontId="0" fillId="0" borderId="148" xfId="0" applyBorder="1"/>
    <xf numFmtId="164" fontId="60" fillId="58" borderId="44" xfId="0" applyNumberFormat="1" applyFont="1" applyFill="1" applyBorder="1"/>
    <xf numFmtId="0" fontId="0" fillId="58" borderId="131" xfId="0" applyFill="1" applyBorder="1"/>
    <xf numFmtId="165" fontId="0" fillId="5" borderId="168" xfId="0" applyNumberFormat="1" applyFill="1" applyBorder="1" applyAlignment="1">
      <alignment horizontal="left"/>
    </xf>
    <xf numFmtId="165" fontId="0" fillId="5" borderId="169" xfId="0" applyNumberFormat="1" applyFill="1" applyBorder="1" applyAlignment="1">
      <alignment horizontal="left"/>
    </xf>
    <xf numFmtId="165" fontId="0" fillId="5" borderId="170" xfId="0" applyNumberFormat="1" applyFill="1" applyBorder="1" applyAlignment="1">
      <alignment horizontal="left"/>
    </xf>
    <xf numFmtId="164" fontId="0" fillId="5" borderId="147" xfId="0" applyNumberFormat="1" applyFill="1" applyBorder="1" applyAlignment="1">
      <alignment horizontal="right"/>
    </xf>
    <xf numFmtId="165" fontId="0" fillId="5" borderId="147" xfId="0" applyNumberFormat="1" applyFill="1" applyBorder="1" applyAlignment="1">
      <alignment horizontal="right"/>
    </xf>
    <xf numFmtId="10" fontId="0" fillId="5" borderId="147" xfId="0" applyNumberFormat="1" applyFill="1" applyBorder="1" applyAlignment="1">
      <alignment horizontal="right"/>
    </xf>
    <xf numFmtId="165" fontId="0" fillId="5" borderId="147" xfId="0" applyNumberFormat="1" applyFill="1" applyBorder="1" applyAlignment="1">
      <alignment horizontal="left"/>
    </xf>
    <xf numFmtId="164" fontId="0" fillId="5" borderId="171" xfId="0" applyNumberFormat="1" applyFill="1" applyBorder="1" applyAlignment="1">
      <alignment horizontal="right"/>
    </xf>
    <xf numFmtId="164" fontId="0" fillId="5" borderId="152" xfId="0" applyNumberFormat="1" applyFill="1" applyBorder="1" applyAlignment="1">
      <alignment horizontal="right"/>
    </xf>
    <xf numFmtId="164" fontId="0" fillId="5" borderId="172" xfId="0" applyNumberFormat="1" applyFill="1" applyBorder="1" applyAlignment="1">
      <alignment horizontal="right"/>
    </xf>
    <xf numFmtId="165" fontId="0" fillId="5" borderId="155" xfId="0" applyNumberFormat="1" applyFill="1" applyBorder="1" applyAlignment="1">
      <alignment horizontal="right"/>
    </xf>
    <xf numFmtId="165" fontId="0" fillId="5" borderId="173" xfId="0" applyNumberFormat="1" applyFill="1" applyBorder="1" applyAlignment="1">
      <alignment horizontal="right"/>
    </xf>
    <xf numFmtId="164" fontId="0" fillId="5" borderId="155" xfId="0" applyNumberFormat="1" applyFill="1" applyBorder="1" applyAlignment="1">
      <alignment horizontal="right"/>
    </xf>
    <xf numFmtId="164" fontId="0" fillId="5" borderId="173" xfId="0" applyNumberFormat="1" applyFill="1" applyBorder="1" applyAlignment="1">
      <alignment horizontal="right"/>
    </xf>
    <xf numFmtId="10" fontId="0" fillId="5" borderId="155" xfId="0" applyNumberFormat="1" applyFill="1" applyBorder="1" applyAlignment="1">
      <alignment horizontal="right"/>
    </xf>
    <xf numFmtId="10" fontId="0" fillId="5" borderId="173" xfId="0" applyNumberFormat="1" applyFill="1" applyBorder="1" applyAlignment="1">
      <alignment horizontal="right"/>
    </xf>
    <xf numFmtId="165" fontId="0" fillId="5" borderId="155" xfId="0" applyNumberFormat="1" applyFill="1" applyBorder="1" applyAlignment="1">
      <alignment horizontal="left"/>
    </xf>
    <xf numFmtId="165" fontId="0" fillId="5" borderId="173" xfId="0" applyNumberFormat="1" applyFill="1" applyBorder="1" applyAlignment="1">
      <alignment horizontal="left"/>
    </xf>
    <xf numFmtId="165" fontId="0" fillId="5" borderId="160" xfId="0" applyNumberFormat="1" applyFill="1" applyBorder="1" applyAlignment="1">
      <alignment horizontal="left"/>
    </xf>
    <xf numFmtId="165" fontId="0" fillId="5" borderId="174" xfId="0" applyNumberFormat="1" applyFill="1" applyBorder="1" applyAlignment="1">
      <alignment horizontal="left"/>
    </xf>
    <xf numFmtId="165" fontId="0" fillId="5" borderId="175" xfId="0" applyNumberFormat="1" applyFill="1" applyBorder="1" applyAlignment="1">
      <alignment horizontal="left"/>
    </xf>
    <xf numFmtId="164" fontId="0" fillId="5" borderId="19" xfId="0" applyNumberFormat="1" applyFill="1" applyBorder="1" applyAlignment="1">
      <alignment vertical="center" wrapText="1"/>
    </xf>
    <xf numFmtId="0" fontId="57" fillId="0" borderId="0" xfId="0" applyFont="1" applyAlignment="1">
      <alignment wrapText="1"/>
    </xf>
    <xf numFmtId="2" fontId="0" fillId="0" borderId="75" xfId="0" applyNumberFormat="1" applyBorder="1" applyAlignment="1">
      <alignment vertical="center" wrapText="1"/>
    </xf>
    <xf numFmtId="2" fontId="0" fillId="0" borderId="148" xfId="0" applyNumberFormat="1" applyBorder="1" applyAlignment="1">
      <alignment vertical="center" wrapText="1"/>
    </xf>
    <xf numFmtId="0" fontId="19" fillId="16" borderId="75" xfId="0" applyFont="1" applyFill="1" applyBorder="1" applyAlignment="1">
      <alignment horizontal="left" vertical="top" wrapText="1"/>
    </xf>
    <xf numFmtId="9" fontId="9" fillId="0" borderId="75" xfId="0" applyNumberFormat="1" applyFont="1" applyBorder="1" applyAlignment="1">
      <alignment horizontal="left" vertical="top" wrapText="1"/>
    </xf>
    <xf numFmtId="0" fontId="9" fillId="21" borderId="75" xfId="0" applyFont="1" applyFill="1" applyBorder="1" applyAlignment="1">
      <alignment horizontal="left" vertical="top" wrapText="1"/>
    </xf>
    <xf numFmtId="0" fontId="9" fillId="0" borderId="1" xfId="0" applyFont="1" applyBorder="1" applyAlignment="1">
      <alignment horizontal="left" vertical="top" wrapText="1"/>
    </xf>
    <xf numFmtId="0" fontId="9" fillId="0" borderId="176" xfId="0" applyFont="1" applyBorder="1" applyAlignment="1">
      <alignment horizontal="left" vertical="top" wrapText="1"/>
    </xf>
    <xf numFmtId="0" fontId="24" fillId="0" borderId="75" xfId="0" applyFont="1" applyBorder="1" applyAlignment="1">
      <alignment horizontal="left" vertical="top"/>
    </xf>
    <xf numFmtId="0" fontId="24" fillId="0" borderId="0" xfId="0" quotePrefix="1" applyFont="1"/>
    <xf numFmtId="0" fontId="0" fillId="44" borderId="75" xfId="0" applyFill="1" applyBorder="1" applyAlignment="1">
      <alignment vertical="center" wrapText="1"/>
    </xf>
    <xf numFmtId="0" fontId="24" fillId="0" borderId="0" xfId="0" applyFont="1"/>
    <xf numFmtId="0" fontId="0" fillId="59" borderId="75" xfId="0" applyFill="1" applyBorder="1"/>
    <xf numFmtId="0" fontId="0" fillId="60" borderId="75" xfId="0" applyFill="1" applyBorder="1"/>
    <xf numFmtId="2" fontId="0" fillId="20" borderId="148" xfId="0" applyNumberFormat="1" applyFill="1" applyBorder="1" applyAlignment="1">
      <alignment vertical="center" wrapText="1"/>
    </xf>
    <xf numFmtId="9" fontId="9" fillId="0" borderId="30" xfId="0" applyNumberFormat="1" applyFont="1" applyBorder="1" applyAlignment="1">
      <alignment horizontal="left" vertical="top" wrapText="1"/>
    </xf>
    <xf numFmtId="0" fontId="9" fillId="0" borderId="177" xfId="0" applyFont="1" applyBorder="1" applyAlignment="1">
      <alignment horizontal="left" vertical="top" wrapText="1"/>
    </xf>
    <xf numFmtId="0" fontId="9" fillId="61" borderId="0" xfId="0" applyFont="1" applyFill="1" applyAlignment="1">
      <alignment horizontal="left" vertical="top" wrapText="1"/>
    </xf>
    <xf numFmtId="0" fontId="3" fillId="35" borderId="16" xfId="0" applyFont="1" applyFill="1" applyBorder="1" applyAlignment="1">
      <alignment vertical="center" wrapText="1"/>
    </xf>
    <xf numFmtId="0" fontId="3" fillId="0" borderId="16" xfId="0" applyFont="1" applyBorder="1" applyAlignment="1">
      <alignment vertical="center" wrapText="1"/>
    </xf>
    <xf numFmtId="0" fontId="0" fillId="0" borderId="1" xfId="0" applyBorder="1" applyAlignment="1">
      <alignment vertical="center" wrapText="1"/>
    </xf>
    <xf numFmtId="0" fontId="0" fillId="57" borderId="0" xfId="0" applyFill="1" applyAlignment="1">
      <alignment vertical="center" wrapText="1"/>
    </xf>
    <xf numFmtId="165" fontId="0" fillId="20" borderId="148" xfId="0" applyNumberFormat="1" applyFill="1" applyBorder="1" applyAlignment="1">
      <alignment vertical="center" wrapText="1"/>
    </xf>
    <xf numFmtId="0" fontId="0" fillId="63" borderId="1" xfId="0" applyFill="1" applyBorder="1" applyAlignment="1">
      <alignment horizontal="center" vertical="center" wrapText="1"/>
    </xf>
    <xf numFmtId="0" fontId="0" fillId="64" borderId="1" xfId="0" applyFill="1" applyBorder="1" applyAlignment="1">
      <alignment horizontal="center" vertical="center" wrapText="1"/>
    </xf>
    <xf numFmtId="0" fontId="0" fillId="14" borderId="75" xfId="0" applyFill="1" applyBorder="1" applyAlignment="1">
      <alignment horizontal="center" vertical="center" wrapText="1"/>
    </xf>
    <xf numFmtId="0" fontId="0" fillId="4" borderId="75" xfId="0" applyFill="1" applyBorder="1" applyAlignment="1">
      <alignment horizontal="center" vertical="center" wrapText="1"/>
    </xf>
    <xf numFmtId="0" fontId="27" fillId="0" borderId="0" xfId="0" applyFont="1" applyAlignment="1">
      <alignment vertical="top" wrapText="1"/>
    </xf>
    <xf numFmtId="0" fontId="0" fillId="0" borderId="33" xfId="0" applyBorder="1"/>
    <xf numFmtId="0" fontId="0" fillId="0" borderId="76" xfId="0" applyBorder="1"/>
    <xf numFmtId="9" fontId="0" fillId="23" borderId="33" xfId="0" applyNumberFormat="1" applyFill="1" applyBorder="1"/>
    <xf numFmtId="164" fontId="0" fillId="23" borderId="75" xfId="0" applyNumberFormat="1" applyFill="1" applyBorder="1"/>
    <xf numFmtId="0" fontId="26" fillId="28" borderId="75" xfId="0" applyFont="1" applyFill="1" applyBorder="1" applyAlignment="1">
      <alignment vertical="center" wrapText="1"/>
    </xf>
    <xf numFmtId="0" fontId="26" fillId="3" borderId="33" xfId="0" applyFont="1" applyFill="1" applyBorder="1" applyAlignment="1">
      <alignment vertical="center" wrapText="1"/>
    </xf>
    <xf numFmtId="0" fontId="26" fillId="3" borderId="75" xfId="0" applyFont="1" applyFill="1" applyBorder="1" applyAlignment="1">
      <alignment vertical="center" wrapText="1"/>
    </xf>
    <xf numFmtId="0" fontId="0" fillId="0" borderId="75" xfId="0" applyBorder="1" applyAlignment="1">
      <alignment horizontal="right"/>
    </xf>
    <xf numFmtId="9" fontId="0" fillId="0" borderId="75" xfId="0" applyNumberFormat="1" applyBorder="1" applyAlignment="1">
      <alignment horizontal="right"/>
    </xf>
    <xf numFmtId="0" fontId="0" fillId="0" borderId="75" xfId="0" applyBorder="1" applyAlignment="1">
      <alignment horizontal="left"/>
    </xf>
    <xf numFmtId="9" fontId="0" fillId="0" borderId="75" xfId="0" applyNumberFormat="1" applyBorder="1"/>
    <xf numFmtId="0" fontId="7" fillId="0" borderId="75" xfId="0" applyFont="1" applyBorder="1"/>
    <xf numFmtId="0" fontId="13" fillId="0" borderId="0" xfId="0" applyFont="1" applyAlignment="1">
      <alignment vertical="center" wrapText="1"/>
    </xf>
    <xf numFmtId="0" fontId="13" fillId="0" borderId="0" xfId="0" applyFont="1" applyAlignment="1">
      <alignment wrapText="1"/>
    </xf>
    <xf numFmtId="0" fontId="12" fillId="0" borderId="0" xfId="0" applyFont="1" applyAlignment="1">
      <alignment vertical="center" wrapText="1"/>
    </xf>
    <xf numFmtId="0" fontId="25" fillId="25" borderId="75" xfId="0" applyFont="1" applyFill="1" applyBorder="1" applyAlignment="1">
      <alignment horizontal="left" vertical="top" wrapText="1"/>
    </xf>
    <xf numFmtId="0" fontId="4" fillId="44" borderId="0" xfId="0" applyFont="1" applyFill="1"/>
    <xf numFmtId="0" fontId="62" fillId="66" borderId="75" xfId="0" applyFont="1" applyFill="1" applyBorder="1" applyAlignment="1">
      <alignment horizontal="left" vertical="top" wrapText="1"/>
    </xf>
    <xf numFmtId="0" fontId="19" fillId="5" borderId="176" xfId="0" quotePrefix="1" applyFont="1" applyFill="1" applyBorder="1" applyAlignment="1">
      <alignment horizontal="center" vertical="center" wrapText="1"/>
    </xf>
    <xf numFmtId="0" fontId="19" fillId="16" borderId="176" xfId="0" applyFont="1" applyFill="1" applyBorder="1" applyAlignment="1">
      <alignment horizontal="left" vertical="top" wrapText="1"/>
    </xf>
    <xf numFmtId="0" fontId="19" fillId="16" borderId="177" xfId="0" applyFont="1" applyFill="1" applyBorder="1" applyAlignment="1">
      <alignment horizontal="left" vertical="top" wrapText="1"/>
    </xf>
    <xf numFmtId="0" fontId="19" fillId="5" borderId="177" xfId="0" quotePrefix="1" applyFont="1" applyFill="1" applyBorder="1" applyAlignment="1">
      <alignment horizontal="center" vertical="center" wrapText="1"/>
    </xf>
    <xf numFmtId="0" fontId="25" fillId="25" borderId="177" xfId="0" applyFont="1" applyFill="1" applyBorder="1" applyAlignment="1">
      <alignment horizontal="left" vertical="top" wrapText="1"/>
    </xf>
    <xf numFmtId="0" fontId="24" fillId="0" borderId="130" xfId="0" applyFont="1" applyBorder="1"/>
    <xf numFmtId="0" fontId="24" fillId="0" borderId="131" xfId="0" applyFont="1" applyBorder="1"/>
    <xf numFmtId="0" fontId="24" fillId="0" borderId="0" xfId="0" applyFont="1" applyAlignment="1">
      <alignment wrapText="1"/>
    </xf>
    <xf numFmtId="0" fontId="64" fillId="67" borderId="147" xfId="0" applyFont="1" applyFill="1" applyBorder="1"/>
    <xf numFmtId="175" fontId="64" fillId="67" borderId="147" xfId="4" applyNumberFormat="1" applyFont="1" applyFill="1" applyBorder="1"/>
    <xf numFmtId="0" fontId="64" fillId="0" borderId="147" xfId="0" applyFont="1" applyBorder="1"/>
    <xf numFmtId="0" fontId="0" fillId="67" borderId="147" xfId="0" applyFill="1" applyBorder="1"/>
    <xf numFmtId="176" fontId="0" fillId="67" borderId="147" xfId="4" applyNumberFormat="1" applyFont="1" applyFill="1" applyBorder="1"/>
    <xf numFmtId="176" fontId="0" fillId="0" borderId="147" xfId="4" applyNumberFormat="1" applyFont="1" applyBorder="1"/>
    <xf numFmtId="0" fontId="0" fillId="68" borderId="147" xfId="0" applyFill="1" applyBorder="1"/>
    <xf numFmtId="176" fontId="0" fillId="68" borderId="147" xfId="4" applyNumberFormat="1" applyFont="1" applyFill="1" applyBorder="1"/>
    <xf numFmtId="3" fontId="0" fillId="44" borderId="154" xfId="0" applyNumberFormat="1" applyFill="1" applyBorder="1" applyAlignment="1">
      <alignment horizontal="center"/>
    </xf>
    <xf numFmtId="0" fontId="0" fillId="5" borderId="178" xfId="0" applyFill="1" applyBorder="1" applyAlignment="1">
      <alignment horizontal="center" vertical="center"/>
    </xf>
    <xf numFmtId="0" fontId="0" fillId="0" borderId="1" xfId="0" applyBorder="1"/>
    <xf numFmtId="165" fontId="0" fillId="0" borderId="1" xfId="0" applyNumberFormat="1" applyBorder="1"/>
    <xf numFmtId="0" fontId="24" fillId="3" borderId="41" xfId="0" applyFont="1" applyFill="1" applyBorder="1"/>
    <xf numFmtId="0" fontId="56" fillId="0" borderId="75" xfId="0" applyFont="1" applyBorder="1" applyAlignment="1">
      <alignment horizontal="center" wrapText="1"/>
    </xf>
    <xf numFmtId="171" fontId="0" fillId="0" borderId="75" xfId="0" applyNumberFormat="1" applyBorder="1" applyAlignment="1">
      <alignment horizontal="center"/>
    </xf>
    <xf numFmtId="172" fontId="0" fillId="0" borderId="75" xfId="0" applyNumberFormat="1" applyBorder="1" applyAlignment="1">
      <alignment horizontal="right"/>
    </xf>
    <xf numFmtId="173" fontId="0" fillId="0" borderId="75" xfId="0" applyNumberFormat="1" applyBorder="1" applyAlignment="1">
      <alignment horizontal="center"/>
    </xf>
    <xf numFmtId="173" fontId="0" fillId="0" borderId="75" xfId="0" applyNumberFormat="1" applyBorder="1" applyAlignment="1">
      <alignment horizontal="right"/>
    </xf>
    <xf numFmtId="174" fontId="0" fillId="0" borderId="75" xfId="0" applyNumberFormat="1" applyBorder="1" applyAlignment="1">
      <alignment horizontal="right"/>
    </xf>
    <xf numFmtId="174" fontId="0" fillId="0" borderId="75" xfId="0" applyNumberFormat="1" applyBorder="1" applyAlignment="1">
      <alignment horizontal="center"/>
    </xf>
    <xf numFmtId="0" fontId="24" fillId="0" borderId="75" xfId="0" applyFont="1" applyBorder="1" applyAlignment="1">
      <alignment vertical="center" wrapText="1"/>
    </xf>
    <xf numFmtId="0" fontId="24" fillId="15" borderId="1" xfId="0" applyFont="1" applyFill="1" applyBorder="1"/>
    <xf numFmtId="0" fontId="0" fillId="5" borderId="75" xfId="0" applyFill="1" applyBorder="1" applyAlignment="1">
      <alignment horizontal="center" vertical="center"/>
    </xf>
    <xf numFmtId="0" fontId="0" fillId="15" borderId="16" xfId="0" applyFill="1" applyBorder="1" applyAlignment="1">
      <alignment vertical="center"/>
    </xf>
    <xf numFmtId="0" fontId="4" fillId="0" borderId="28" xfId="0" applyFont="1" applyBorder="1"/>
    <xf numFmtId="0" fontId="4" fillId="0" borderId="17" xfId="0" applyFont="1" applyBorder="1"/>
    <xf numFmtId="0" fontId="0" fillId="7" borderId="182" xfId="0" applyFill="1" applyBorder="1"/>
    <xf numFmtId="0" fontId="0" fillId="7" borderId="178" xfId="0" applyFill="1" applyBorder="1"/>
    <xf numFmtId="165" fontId="0" fillId="6" borderId="182" xfId="0" applyNumberFormat="1" applyFill="1" applyBorder="1"/>
    <xf numFmtId="165" fontId="0" fillId="6" borderId="178" xfId="0" applyNumberFormat="1" applyFill="1" applyBorder="1"/>
    <xf numFmtId="165" fontId="0" fillId="6" borderId="183" xfId="0" applyNumberFormat="1" applyFill="1" applyBorder="1"/>
    <xf numFmtId="165" fontId="0" fillId="6" borderId="184" xfId="0" applyNumberFormat="1" applyFill="1" applyBorder="1"/>
    <xf numFmtId="165" fontId="0" fillId="6" borderId="185" xfId="0" applyNumberFormat="1" applyFill="1" applyBorder="1"/>
    <xf numFmtId="0" fontId="0" fillId="57" borderId="0" xfId="0" applyFill="1"/>
    <xf numFmtId="0" fontId="0" fillId="69" borderId="0" xfId="0" applyFill="1"/>
    <xf numFmtId="0" fontId="9" fillId="0" borderId="129" xfId="0" applyFont="1" applyBorder="1" applyAlignment="1">
      <alignment horizontal="left" vertical="top" wrapText="1"/>
    </xf>
    <xf numFmtId="14" fontId="9" fillId="0" borderId="30" xfId="0" applyNumberFormat="1" applyFont="1" applyBorder="1" applyAlignment="1">
      <alignment horizontal="left" vertical="top" wrapText="1"/>
    </xf>
    <xf numFmtId="0" fontId="26" fillId="0" borderId="0" xfId="0" applyFont="1"/>
    <xf numFmtId="165" fontId="0" fillId="5" borderId="186" xfId="0" applyNumberFormat="1" applyFill="1" applyBorder="1"/>
    <xf numFmtId="164" fontId="0" fillId="20" borderId="1" xfId="0" quotePrefix="1" applyNumberFormat="1" applyFill="1" applyBorder="1" applyAlignment="1">
      <alignment vertical="center" wrapText="1"/>
    </xf>
    <xf numFmtId="4" fontId="66" fillId="0" borderId="75" xfId="0" applyNumberFormat="1" applyFont="1" applyBorder="1"/>
    <xf numFmtId="164" fontId="9" fillId="23" borderId="75" xfId="0" applyNumberFormat="1" applyFont="1" applyFill="1" applyBorder="1" applyAlignment="1">
      <alignment horizontal="left" vertical="top" wrapText="1"/>
    </xf>
    <xf numFmtId="0" fontId="65" fillId="0" borderId="0" xfId="0" applyFont="1" applyAlignment="1">
      <alignment horizontal="left" vertical="top" wrapText="1"/>
    </xf>
    <xf numFmtId="165" fontId="65" fillId="0" borderId="26" xfId="0" applyNumberFormat="1" applyFont="1" applyBorder="1" applyAlignment="1">
      <alignment horizontal="left" vertical="top" wrapText="1"/>
    </xf>
    <xf numFmtId="49" fontId="65" fillId="0" borderId="0" xfId="0" applyNumberFormat="1" applyFont="1" applyAlignment="1">
      <alignment horizontal="left" vertical="top"/>
    </xf>
    <xf numFmtId="165" fontId="65" fillId="0" borderId="0" xfId="0" applyNumberFormat="1" applyFont="1" applyAlignment="1">
      <alignment horizontal="left" vertical="top" wrapText="1"/>
    </xf>
    <xf numFmtId="0" fontId="65" fillId="0" borderId="26" xfId="0" applyFont="1" applyBorder="1" applyAlignment="1">
      <alignment horizontal="left" vertical="top" wrapText="1"/>
    </xf>
    <xf numFmtId="0" fontId="65" fillId="0" borderId="31" xfId="0" applyFont="1" applyBorder="1" applyAlignment="1">
      <alignment horizontal="left" vertical="top" wrapText="1"/>
    </xf>
    <xf numFmtId="0" fontId="66" fillId="0" borderId="0" xfId="0" applyFont="1"/>
    <xf numFmtId="0" fontId="67" fillId="0" borderId="0" xfId="0" applyFont="1"/>
    <xf numFmtId="0" fontId="65" fillId="0" borderId="30" xfId="0" applyFont="1" applyBorder="1" applyAlignment="1">
      <alignment horizontal="left" vertical="top" wrapText="1"/>
    </xf>
    <xf numFmtId="0" fontId="65" fillId="0" borderId="75" xfId="0" applyFont="1" applyBorder="1" applyAlignment="1">
      <alignment horizontal="left" vertical="top" wrapText="1"/>
    </xf>
    <xf numFmtId="0" fontId="65" fillId="0" borderId="176" xfId="0" applyFont="1" applyBorder="1" applyAlignment="1">
      <alignment horizontal="left" vertical="top" wrapText="1"/>
    </xf>
    <xf numFmtId="0" fontId="65" fillId="0" borderId="177" xfId="0" applyFont="1" applyBorder="1" applyAlignment="1">
      <alignment horizontal="left" vertical="top" wrapText="1"/>
    </xf>
    <xf numFmtId="0" fontId="61" fillId="0" borderId="75" xfId="2"/>
    <xf numFmtId="0" fontId="62" fillId="0" borderId="0" xfId="0" applyFont="1" applyAlignment="1">
      <alignment horizontal="left" vertical="top" wrapText="1"/>
    </xf>
    <xf numFmtId="0" fontId="62" fillId="0" borderId="26" xfId="0" applyFont="1" applyBorder="1" applyAlignment="1">
      <alignment horizontal="left" vertical="top" wrapText="1"/>
    </xf>
    <xf numFmtId="0" fontId="4" fillId="0" borderId="0" xfId="0" applyFont="1"/>
    <xf numFmtId="0" fontId="62" fillId="0" borderId="31" xfId="0" applyFont="1" applyBorder="1" applyAlignment="1">
      <alignment horizontal="left" vertical="top" wrapText="1"/>
    </xf>
    <xf numFmtId="0" fontId="62" fillId="0" borderId="75" xfId="0" applyFont="1" applyBorder="1" applyAlignment="1">
      <alignment horizontal="left" vertical="top" wrapText="1"/>
    </xf>
    <xf numFmtId="0" fontId="62" fillId="0" borderId="176" xfId="0" applyFont="1" applyBorder="1" applyAlignment="1">
      <alignment horizontal="left" vertical="top" wrapText="1"/>
    </xf>
    <xf numFmtId="0" fontId="62" fillId="0" borderId="177" xfId="0" applyFont="1" applyBorder="1" applyAlignment="1">
      <alignment horizontal="left" vertical="top" wrapText="1"/>
    </xf>
    <xf numFmtId="49" fontId="62" fillId="17" borderId="0" xfId="0" applyNumberFormat="1" applyFont="1" applyFill="1" applyAlignment="1">
      <alignment horizontal="left" vertical="top" wrapText="1"/>
    </xf>
    <xf numFmtId="49" fontId="0" fillId="5" borderId="75" xfId="0" applyNumberFormat="1" applyFill="1" applyBorder="1"/>
    <xf numFmtId="0" fontId="4" fillId="69" borderId="75" xfId="0" applyFont="1" applyFill="1" applyBorder="1" applyAlignment="1">
      <alignment horizontal="center" vertical="center"/>
    </xf>
    <xf numFmtId="0" fontId="0" fillId="3" borderId="16" xfId="0" applyFill="1" applyBorder="1"/>
    <xf numFmtId="0" fontId="4" fillId="69" borderId="28" xfId="0" applyFont="1" applyFill="1" applyBorder="1"/>
    <xf numFmtId="0" fontId="4" fillId="69" borderId="17" xfId="0" applyFont="1" applyFill="1" applyBorder="1"/>
    <xf numFmtId="0" fontId="46" fillId="0" borderId="1" xfId="0" applyFont="1" applyBorder="1"/>
    <xf numFmtId="0" fontId="0" fillId="0" borderId="178" xfId="0" applyBorder="1"/>
    <xf numFmtId="0" fontId="0" fillId="0" borderId="185" xfId="0" applyBorder="1"/>
    <xf numFmtId="0" fontId="0" fillId="0" borderId="187" xfId="0" applyBorder="1"/>
    <xf numFmtId="0" fontId="0" fillId="0" borderId="188" xfId="0" applyBorder="1"/>
    <xf numFmtId="0" fontId="0" fillId="0" borderId="189" xfId="0" applyBorder="1"/>
    <xf numFmtId="0" fontId="0" fillId="0" borderId="190" xfId="0" applyBorder="1"/>
    <xf numFmtId="0" fontId="47" fillId="43" borderId="171" xfId="0" applyFont="1" applyFill="1" applyBorder="1"/>
    <xf numFmtId="0" fontId="47" fillId="43" borderId="152" xfId="0" applyFont="1" applyFill="1" applyBorder="1"/>
    <xf numFmtId="0" fontId="47" fillId="43" borderId="191" xfId="0" applyFont="1" applyFill="1" applyBorder="1"/>
    <xf numFmtId="0" fontId="0" fillId="67" borderId="155" xfId="0" applyFill="1" applyBorder="1"/>
    <xf numFmtId="0" fontId="0" fillId="67" borderId="192" xfId="0" applyFill="1" applyBorder="1"/>
    <xf numFmtId="0" fontId="68" fillId="0" borderId="75" xfId="5" applyFont="1"/>
    <xf numFmtId="0" fontId="2" fillId="0" borderId="75" xfId="5"/>
    <xf numFmtId="0" fontId="64" fillId="44" borderId="171" xfId="5" applyFont="1" applyFill="1" applyBorder="1"/>
    <xf numFmtId="0" fontId="47" fillId="70" borderId="152" xfId="5" applyFont="1" applyFill="1" applyBorder="1"/>
    <xf numFmtId="0" fontId="47" fillId="70" borderId="191" xfId="5" applyFont="1" applyFill="1" applyBorder="1"/>
    <xf numFmtId="0" fontId="2" fillId="67" borderId="187" xfId="5" applyFill="1" applyBorder="1"/>
    <xf numFmtId="0" fontId="2" fillId="67" borderId="189" xfId="5" applyFill="1" applyBorder="1"/>
    <xf numFmtId="0" fontId="2" fillId="67" borderId="178" xfId="5" applyFill="1" applyBorder="1"/>
    <xf numFmtId="0" fontId="2" fillId="71" borderId="187" xfId="5" applyFill="1" applyBorder="1"/>
    <xf numFmtId="0" fontId="2" fillId="71" borderId="189" xfId="5" applyFill="1" applyBorder="1"/>
    <xf numFmtId="0" fontId="2" fillId="71" borderId="178" xfId="5" applyFill="1" applyBorder="1"/>
    <xf numFmtId="0" fontId="2" fillId="67" borderId="188" xfId="5" applyFill="1" applyBorder="1"/>
    <xf numFmtId="0" fontId="2" fillId="67" borderId="190" xfId="5" applyFill="1" applyBorder="1"/>
    <xf numFmtId="0" fontId="2" fillId="67" borderId="185" xfId="5" applyFill="1" applyBorder="1"/>
    <xf numFmtId="0" fontId="47" fillId="70" borderId="193" xfId="5" applyFont="1" applyFill="1" applyBorder="1"/>
    <xf numFmtId="0" fontId="47" fillId="70" borderId="194" xfId="5" applyFont="1" applyFill="1" applyBorder="1"/>
    <xf numFmtId="0" fontId="47" fillId="0" borderId="75" xfId="5" applyFont="1"/>
    <xf numFmtId="0" fontId="47" fillId="70" borderId="162" xfId="5" applyFont="1" applyFill="1" applyBorder="1"/>
    <xf numFmtId="0" fontId="2" fillId="72" borderId="195" xfId="5" applyFill="1" applyBorder="1"/>
    <xf numFmtId="0" fontId="2" fillId="67" borderId="196" xfId="5" applyFill="1" applyBorder="1"/>
    <xf numFmtId="0" fontId="2" fillId="67" borderId="163" xfId="5" applyFill="1" applyBorder="1"/>
    <xf numFmtId="0" fontId="2" fillId="73" borderId="189" xfId="5" applyFill="1" applyBorder="1"/>
    <xf numFmtId="0" fontId="2" fillId="71" borderId="196" xfId="5" applyFill="1" applyBorder="1"/>
    <xf numFmtId="0" fontId="2" fillId="71" borderId="163" xfId="5" applyFill="1" applyBorder="1"/>
    <xf numFmtId="0" fontId="2" fillId="72" borderId="190" xfId="5" applyFill="1" applyBorder="1"/>
    <xf numFmtId="0" fontId="2" fillId="67" borderId="197" xfId="5" applyFill="1" applyBorder="1"/>
    <xf numFmtId="0" fontId="2" fillId="67" borderId="164" xfId="5" applyFill="1" applyBorder="1"/>
    <xf numFmtId="0" fontId="2" fillId="0" borderId="75" xfId="5" applyAlignment="1">
      <alignment vertical="top" wrapText="1"/>
    </xf>
    <xf numFmtId="0" fontId="2" fillId="72" borderId="198" xfId="5" applyFill="1" applyBorder="1"/>
    <xf numFmtId="0" fontId="2" fillId="73" borderId="199" xfId="5" applyFill="1" applyBorder="1"/>
    <xf numFmtId="0" fontId="2" fillId="72" borderId="200" xfId="5" applyFill="1" applyBorder="1"/>
    <xf numFmtId="0" fontId="2" fillId="61" borderId="201" xfId="5" applyFill="1" applyBorder="1"/>
    <xf numFmtId="0" fontId="2" fillId="72" borderId="202" xfId="5" applyFill="1" applyBorder="1"/>
    <xf numFmtId="0" fontId="2" fillId="61" borderId="182" xfId="5" applyFill="1" applyBorder="1"/>
    <xf numFmtId="0" fontId="2" fillId="61" borderId="183" xfId="5" applyFill="1" applyBorder="1"/>
    <xf numFmtId="0" fontId="24" fillId="0" borderId="42" xfId="0" applyFont="1" applyBorder="1"/>
    <xf numFmtId="10" fontId="0" fillId="5" borderId="203" xfId="0" applyNumberFormat="1" applyFill="1" applyBorder="1" applyAlignment="1">
      <alignment horizontal="right"/>
    </xf>
    <xf numFmtId="10" fontId="0" fillId="5" borderId="204" xfId="0" applyNumberFormat="1" applyFill="1" applyBorder="1" applyAlignment="1">
      <alignment horizontal="right"/>
    </xf>
    <xf numFmtId="10" fontId="0" fillId="5" borderId="205" xfId="0" applyNumberFormat="1" applyFill="1" applyBorder="1" applyAlignment="1">
      <alignment horizontal="right"/>
    </xf>
    <xf numFmtId="10" fontId="24" fillId="5" borderId="203" xfId="0" applyNumberFormat="1" applyFont="1" applyFill="1" applyBorder="1" applyAlignment="1">
      <alignment horizontal="right"/>
    </xf>
    <xf numFmtId="0" fontId="2" fillId="72" borderId="189" xfId="5" applyFill="1" applyBorder="1"/>
    <xf numFmtId="0" fontId="2" fillId="67" borderId="199" xfId="5" applyFill="1" applyBorder="1"/>
    <xf numFmtId="0" fontId="2" fillId="71" borderId="199" xfId="5" applyFill="1" applyBorder="1"/>
    <xf numFmtId="0" fontId="2" fillId="67" borderId="200" xfId="5" applyFill="1" applyBorder="1"/>
    <xf numFmtId="0" fontId="9" fillId="57" borderId="75" xfId="0" applyFont="1" applyFill="1" applyBorder="1" applyAlignment="1">
      <alignment horizontal="left" vertical="top" wrapText="1"/>
    </xf>
    <xf numFmtId="3" fontId="9" fillId="0" borderId="26" xfId="0" applyNumberFormat="1" applyFont="1" applyBorder="1" applyAlignment="1">
      <alignment horizontal="left" vertical="top" wrapText="1"/>
    </xf>
    <xf numFmtId="0" fontId="21" fillId="0" borderId="0" xfId="0" applyFont="1"/>
    <xf numFmtId="0" fontId="30" fillId="0" borderId="0" xfId="0" applyFont="1"/>
    <xf numFmtId="0" fontId="30" fillId="0" borderId="0" xfId="0" applyFont="1" applyAlignment="1">
      <alignment wrapText="1"/>
    </xf>
    <xf numFmtId="170" fontId="49" fillId="44" borderId="147" xfId="3" applyNumberFormat="1" applyFont="1" applyFill="1" applyBorder="1"/>
    <xf numFmtId="165" fontId="0" fillId="5" borderId="75" xfId="0" applyNumberFormat="1" applyFill="1" applyBorder="1"/>
    <xf numFmtId="165" fontId="0" fillId="0" borderId="42" xfId="0" applyNumberFormat="1" applyBorder="1" applyAlignment="1">
      <alignment horizontal="right"/>
    </xf>
    <xf numFmtId="165" fontId="0" fillId="0" borderId="75" xfId="0" applyNumberFormat="1" applyBorder="1" applyAlignment="1">
      <alignment horizontal="right"/>
    </xf>
    <xf numFmtId="165" fontId="0" fillId="0" borderId="83" xfId="0" applyNumberFormat="1" applyBorder="1" applyAlignment="1">
      <alignment horizontal="right"/>
    </xf>
    <xf numFmtId="177" fontId="0" fillId="0" borderId="0" xfId="0" applyNumberFormat="1"/>
    <xf numFmtId="0" fontId="0" fillId="65" borderId="130" xfId="0" applyFill="1" applyBorder="1"/>
    <xf numFmtId="164" fontId="0" fillId="65" borderId="6" xfId="0" applyNumberFormat="1" applyFill="1" applyBorder="1" applyAlignment="1">
      <alignment horizontal="right"/>
    </xf>
    <xf numFmtId="164" fontId="0" fillId="65" borderId="0" xfId="0" applyNumberFormat="1" applyFill="1" applyAlignment="1">
      <alignment horizontal="right"/>
    </xf>
    <xf numFmtId="164" fontId="0" fillId="65" borderId="7" xfId="0" applyNumberFormat="1" applyFill="1" applyBorder="1" applyAlignment="1">
      <alignment horizontal="right"/>
    </xf>
    <xf numFmtId="165" fontId="44" fillId="41" borderId="42" xfId="0" applyNumberFormat="1" applyFont="1" applyFill="1" applyBorder="1" applyAlignment="1">
      <alignment horizontal="right"/>
    </xf>
    <xf numFmtId="165" fontId="44" fillId="41" borderId="77" xfId="0" applyNumberFormat="1" applyFont="1" applyFill="1" applyBorder="1" applyAlignment="1">
      <alignment horizontal="right"/>
    </xf>
    <xf numFmtId="165" fontId="44" fillId="41" borderId="75" xfId="0" applyNumberFormat="1" applyFont="1" applyFill="1" applyBorder="1" applyAlignment="1">
      <alignment horizontal="right"/>
    </xf>
    <xf numFmtId="165" fontId="44" fillId="41" borderId="84" xfId="0" applyNumberFormat="1" applyFont="1" applyFill="1" applyBorder="1" applyAlignment="1">
      <alignment horizontal="right"/>
    </xf>
    <xf numFmtId="165" fontId="44" fillId="41" borderId="83" xfId="0" applyNumberFormat="1" applyFont="1" applyFill="1" applyBorder="1" applyAlignment="1">
      <alignment horizontal="right"/>
    </xf>
    <xf numFmtId="165" fontId="44" fillId="41" borderId="79" xfId="0" applyNumberFormat="1" applyFont="1" applyFill="1" applyBorder="1" applyAlignment="1">
      <alignment horizontal="right"/>
    </xf>
    <xf numFmtId="10" fontId="0" fillId="5" borderId="0" xfId="6" applyNumberFormat="1" applyFont="1" applyFill="1" applyAlignment="1">
      <alignment wrapText="1"/>
    </xf>
    <xf numFmtId="0" fontId="0" fillId="74" borderId="206" xfId="0" applyFill="1" applyBorder="1"/>
    <xf numFmtId="0" fontId="0" fillId="74" borderId="208" xfId="0" applyFill="1" applyBorder="1"/>
    <xf numFmtId="0" fontId="26" fillId="29" borderId="0" xfId="0" applyFont="1" applyFill="1"/>
    <xf numFmtId="164" fontId="60" fillId="58" borderId="209" xfId="0" applyNumberFormat="1" applyFont="1" applyFill="1" applyBorder="1"/>
    <xf numFmtId="0" fontId="0" fillId="7" borderId="137" xfId="0" applyFill="1" applyBorder="1"/>
    <xf numFmtId="0" fontId="0" fillId="7" borderId="201" xfId="0" applyFill="1" applyBorder="1"/>
    <xf numFmtId="0" fontId="0" fillId="7" borderId="210" xfId="0" applyFill="1" applyBorder="1"/>
    <xf numFmtId="0" fontId="0" fillId="7" borderId="211" xfId="0" applyFill="1" applyBorder="1"/>
    <xf numFmtId="0" fontId="0" fillId="7" borderId="194" xfId="0" applyFill="1" applyBorder="1"/>
    <xf numFmtId="164" fontId="60" fillId="58" borderId="154" xfId="0" applyNumberFormat="1" applyFont="1" applyFill="1" applyBorder="1"/>
    <xf numFmtId="165" fontId="0" fillId="6" borderId="201" xfId="0" applyNumberFormat="1" applyFill="1" applyBorder="1"/>
    <xf numFmtId="165" fontId="0" fillId="6" borderId="210" xfId="0" applyNumberFormat="1" applyFill="1" applyBorder="1"/>
    <xf numFmtId="165" fontId="0" fillId="6" borderId="194" xfId="0" applyNumberFormat="1" applyFill="1" applyBorder="1"/>
    <xf numFmtId="0" fontId="0" fillId="58" borderId="154" xfId="0" applyFill="1" applyBorder="1"/>
    <xf numFmtId="0" fontId="0" fillId="65" borderId="182" xfId="0" applyFill="1" applyBorder="1"/>
    <xf numFmtId="0" fontId="0" fillId="0" borderId="182" xfId="0" applyBorder="1"/>
    <xf numFmtId="165" fontId="0" fillId="0" borderId="182" xfId="0" applyNumberFormat="1" applyBorder="1"/>
    <xf numFmtId="165" fontId="0" fillId="0" borderId="178" xfId="0" applyNumberFormat="1" applyBorder="1"/>
    <xf numFmtId="0" fontId="0" fillId="75" borderId="183" xfId="0" applyFill="1" applyBorder="1"/>
    <xf numFmtId="164" fontId="60" fillId="76" borderId="183" xfId="0" applyNumberFormat="1" applyFont="1" applyFill="1" applyBorder="1"/>
    <xf numFmtId="164" fontId="60" fillId="76" borderId="212" xfId="0" applyNumberFormat="1" applyFont="1" applyFill="1" applyBorder="1"/>
    <xf numFmtId="0" fontId="0" fillId="65" borderId="163" xfId="0" applyFill="1" applyBorder="1"/>
    <xf numFmtId="0" fontId="0" fillId="77" borderId="0" xfId="0" applyFill="1"/>
    <xf numFmtId="164" fontId="60" fillId="76" borderId="164" xfId="0" applyNumberFormat="1" applyFont="1" applyFill="1" applyBorder="1"/>
    <xf numFmtId="164" fontId="60" fillId="58" borderId="213" xfId="0" applyNumberFormat="1" applyFont="1" applyFill="1" applyBorder="1"/>
    <xf numFmtId="164" fontId="60" fillId="58" borderId="214" xfId="0" applyNumberFormat="1" applyFont="1" applyFill="1" applyBorder="1"/>
    <xf numFmtId="164" fontId="60" fillId="58" borderId="215" xfId="0" applyNumberFormat="1" applyFont="1" applyFill="1" applyBorder="1"/>
    <xf numFmtId="165" fontId="0" fillId="0" borderId="201" xfId="0" applyNumberFormat="1" applyBorder="1"/>
    <xf numFmtId="165" fontId="0" fillId="0" borderId="210" xfId="0" applyNumberFormat="1" applyBorder="1"/>
    <xf numFmtId="165" fontId="0" fillId="0" borderId="194" xfId="0" applyNumberFormat="1" applyBorder="1"/>
    <xf numFmtId="0" fontId="0" fillId="7" borderId="216" xfId="0" applyFill="1" applyBorder="1"/>
    <xf numFmtId="165" fontId="0" fillId="6" borderId="217" xfId="0" applyNumberFormat="1" applyFill="1" applyBorder="1"/>
    <xf numFmtId="165" fontId="0" fillId="6" borderId="218" xfId="0" applyNumberFormat="1" applyFill="1" applyBorder="1"/>
    <xf numFmtId="165" fontId="0" fillId="6" borderId="150" xfId="0" applyNumberFormat="1" applyFill="1" applyBorder="1"/>
    <xf numFmtId="165" fontId="0" fillId="6" borderId="191" xfId="0" applyNumberFormat="1" applyFill="1" applyBorder="1"/>
    <xf numFmtId="0" fontId="62" fillId="77" borderId="75" xfId="0" applyFont="1" applyFill="1" applyBorder="1" applyAlignment="1">
      <alignment horizontal="left" vertical="top" wrapText="1"/>
    </xf>
    <xf numFmtId="0" fontId="12" fillId="54" borderId="219" xfId="0" applyFont="1" applyFill="1" applyBorder="1" applyAlignment="1">
      <alignment horizontal="center" vertical="center" wrapText="1"/>
    </xf>
    <xf numFmtId="0" fontId="12" fillId="78" borderId="220" xfId="0" applyFont="1" applyFill="1" applyBorder="1" applyAlignment="1">
      <alignment horizontal="center" vertical="center" wrapText="1"/>
    </xf>
    <xf numFmtId="0" fontId="12" fillId="54" borderId="220" xfId="0" applyFont="1" applyFill="1" applyBorder="1" applyAlignment="1">
      <alignment horizontal="center" vertical="center" wrapText="1"/>
    </xf>
    <xf numFmtId="171" fontId="13" fillId="0" borderId="164" xfId="0" applyNumberFormat="1" applyFont="1" applyBorder="1" applyAlignment="1">
      <alignment horizontal="center" vertical="center"/>
    </xf>
    <xf numFmtId="8" fontId="13" fillId="79" borderId="185" xfId="0" applyNumberFormat="1" applyFont="1" applyFill="1" applyBorder="1" applyAlignment="1">
      <alignment horizontal="right" vertical="center"/>
    </xf>
    <xf numFmtId="0" fontId="13" fillId="0" borderId="185" xfId="0" applyFont="1" applyBorder="1" applyAlignment="1">
      <alignment horizontal="center" vertical="center"/>
    </xf>
    <xf numFmtId="0" fontId="13" fillId="0" borderId="185" xfId="0" applyFont="1" applyBorder="1" applyAlignment="1">
      <alignment horizontal="right" vertical="center"/>
    </xf>
    <xf numFmtId="0" fontId="13" fillId="0" borderId="185" xfId="0" applyFont="1" applyBorder="1" applyAlignment="1">
      <alignment vertical="center"/>
    </xf>
    <xf numFmtId="8" fontId="13" fillId="80" borderId="185" xfId="0" applyNumberFormat="1" applyFont="1" applyFill="1" applyBorder="1" applyAlignment="1">
      <alignment horizontal="right" vertical="center"/>
    </xf>
    <xf numFmtId="8" fontId="13" fillId="81" borderId="185" xfId="0" applyNumberFormat="1" applyFont="1" applyFill="1" applyBorder="1" applyAlignment="1">
      <alignment horizontal="right" vertical="center"/>
    </xf>
    <xf numFmtId="0" fontId="13" fillId="0" borderId="178" xfId="0" applyFont="1" applyBorder="1" applyAlignment="1">
      <alignment horizontal="right" vertical="center"/>
    </xf>
    <xf numFmtId="164" fontId="13" fillId="0" borderId="0" xfId="0" applyNumberFormat="1" applyFont="1"/>
    <xf numFmtId="0" fontId="0" fillId="5" borderId="75" xfId="0" applyFill="1" applyBorder="1" applyAlignment="1">
      <alignment vertical="center"/>
    </xf>
    <xf numFmtId="164" fontId="13" fillId="0" borderId="147" xfId="0" applyNumberFormat="1" applyFont="1" applyBorder="1"/>
    <xf numFmtId="164" fontId="13" fillId="0" borderId="165" xfId="0" applyNumberFormat="1" applyFont="1" applyBorder="1"/>
    <xf numFmtId="164" fontId="13" fillId="0" borderId="166" xfId="0" applyNumberFormat="1" applyFont="1" applyBorder="1"/>
    <xf numFmtId="164" fontId="13" fillId="0" borderId="221" xfId="0" applyNumberFormat="1" applyFont="1" applyBorder="1"/>
    <xf numFmtId="164" fontId="13" fillId="0" borderId="149" xfId="0" applyNumberFormat="1" applyFont="1" applyBorder="1"/>
    <xf numFmtId="164" fontId="13" fillId="0" borderId="75" xfId="0" applyNumberFormat="1" applyFont="1" applyBorder="1"/>
    <xf numFmtId="164" fontId="13" fillId="0" borderId="196" xfId="0" applyNumberFormat="1" applyFont="1" applyBorder="1"/>
    <xf numFmtId="164" fontId="13" fillId="0" borderId="167" xfId="0" applyNumberFormat="1" applyFont="1" applyBorder="1"/>
    <xf numFmtId="164" fontId="13" fillId="0" borderId="148" xfId="0" applyNumberFormat="1" applyFont="1" applyBorder="1"/>
    <xf numFmtId="164" fontId="13" fillId="0" borderId="222" xfId="0" applyNumberFormat="1" applyFont="1" applyBorder="1"/>
    <xf numFmtId="0" fontId="19" fillId="16" borderId="27" xfId="0" applyFont="1" applyFill="1" applyBorder="1" applyAlignment="1">
      <alignment horizontal="center" vertical="center" wrapText="1"/>
    </xf>
    <xf numFmtId="0" fontId="4" fillId="0" borderId="28" xfId="0" applyFont="1" applyBorder="1"/>
    <xf numFmtId="0" fontId="4" fillId="0" borderId="29" xfId="0" applyFont="1" applyBorder="1"/>
    <xf numFmtId="49" fontId="20" fillId="17" borderId="0" xfId="0" applyNumberFormat="1" applyFont="1" applyFill="1" applyAlignment="1">
      <alignment horizontal="center" vertical="center" wrapText="1"/>
    </xf>
    <xf numFmtId="0" fontId="0" fillId="0" borderId="0" xfId="0"/>
    <xf numFmtId="0" fontId="18" fillId="15" borderId="27" xfId="0" applyFont="1" applyFill="1" applyBorder="1" applyAlignment="1">
      <alignment horizontal="center" vertical="center" wrapText="1"/>
    </xf>
    <xf numFmtId="0" fontId="4" fillId="0" borderId="17" xfId="0" applyFont="1" applyBorder="1"/>
    <xf numFmtId="0" fontId="18" fillId="14" borderId="27" xfId="0" applyFont="1" applyFill="1" applyBorder="1" applyAlignment="1">
      <alignment horizontal="center" vertical="center" wrapText="1"/>
    </xf>
    <xf numFmtId="0" fontId="4" fillId="0" borderId="75" xfId="0" applyFont="1" applyBorder="1"/>
    <xf numFmtId="0" fontId="0" fillId="3" borderId="35" xfId="0" applyFill="1" applyBorder="1" applyAlignment="1">
      <alignment horizontal="center" vertical="center"/>
    </xf>
    <xf numFmtId="0" fontId="4" fillId="0" borderId="36" xfId="0" applyFont="1" applyBorder="1"/>
    <xf numFmtId="0" fontId="4" fillId="0" borderId="37" xfId="0" applyFont="1" applyBorder="1"/>
    <xf numFmtId="0" fontId="0" fillId="34" borderId="38" xfId="0" applyFill="1" applyBorder="1" applyAlignment="1">
      <alignment horizontal="center" vertical="center"/>
    </xf>
    <xf numFmtId="0" fontId="4" fillId="0" borderId="39" xfId="0" applyFont="1" applyBorder="1"/>
    <xf numFmtId="0" fontId="4" fillId="0" borderId="40" xfId="0" applyFont="1" applyBorder="1"/>
    <xf numFmtId="165" fontId="0" fillId="5" borderId="56" xfId="0" applyNumberFormat="1" applyFill="1" applyBorder="1" applyAlignment="1">
      <alignment horizontal="center" vertical="center"/>
    </xf>
    <xf numFmtId="0" fontId="4" fillId="0" borderId="57" xfId="0" applyFont="1" applyBorder="1"/>
    <xf numFmtId="0" fontId="4" fillId="0" borderId="58" xfId="0" applyFont="1" applyBorder="1"/>
    <xf numFmtId="165" fontId="0" fillId="5" borderId="38" xfId="0" applyNumberFormat="1" applyFill="1" applyBorder="1" applyAlignment="1">
      <alignment horizontal="center"/>
    </xf>
    <xf numFmtId="0" fontId="69" fillId="61" borderId="206" xfId="5" applyFont="1" applyFill="1" applyBorder="1" applyAlignment="1">
      <alignment horizontal="left"/>
    </xf>
    <xf numFmtId="0" fontId="69" fillId="61" borderId="207" xfId="5" applyFont="1" applyFill="1" applyBorder="1" applyAlignment="1">
      <alignment horizontal="left"/>
    </xf>
    <xf numFmtId="0" fontId="69" fillId="61" borderId="156" xfId="5" applyFont="1" applyFill="1" applyBorder="1" applyAlignment="1">
      <alignment horizontal="left"/>
    </xf>
    <xf numFmtId="0" fontId="1" fillId="61" borderId="182" xfId="5" applyFont="1" applyFill="1" applyBorder="1" applyAlignment="1">
      <alignment horizontal="left" vertical="top" wrapText="1"/>
    </xf>
    <xf numFmtId="0" fontId="2" fillId="61" borderId="75" xfId="5" applyFill="1" applyAlignment="1">
      <alignment horizontal="left" vertical="top" wrapText="1"/>
    </xf>
    <xf numFmtId="0" fontId="2" fillId="61" borderId="182" xfId="5" applyFill="1" applyBorder="1" applyAlignment="1">
      <alignment horizontal="left" vertical="top" wrapText="1"/>
    </xf>
    <xf numFmtId="0" fontId="0" fillId="62" borderId="16" xfId="0" applyFill="1" applyBorder="1" applyAlignment="1">
      <alignment horizontal="center" vertical="center" wrapText="1"/>
    </xf>
    <xf numFmtId="0" fontId="4" fillId="48" borderId="17" xfId="0" applyFont="1" applyFill="1" applyBorder="1"/>
    <xf numFmtId="0" fontId="0" fillId="7" borderId="16" xfId="0" applyFill="1" applyBorder="1" applyAlignment="1">
      <alignment horizontal="center" vertical="center" wrapText="1"/>
    </xf>
    <xf numFmtId="0" fontId="0" fillId="2" borderId="16" xfId="0" applyFill="1" applyBorder="1" applyAlignment="1">
      <alignment horizontal="center" vertical="center" wrapText="1"/>
    </xf>
    <xf numFmtId="0" fontId="0" fillId="2" borderId="75" xfId="0" applyFill="1" applyBorder="1" applyAlignment="1">
      <alignment horizontal="center" vertical="center" wrapText="1"/>
    </xf>
    <xf numFmtId="0" fontId="19" fillId="16" borderId="33" xfId="0" applyFont="1" applyFill="1" applyBorder="1" applyAlignment="1">
      <alignment horizontal="center" vertical="center" wrapText="1"/>
    </xf>
    <xf numFmtId="0" fontId="19" fillId="16" borderId="75" xfId="0" applyFont="1" applyFill="1" applyBorder="1" applyAlignment="1">
      <alignment horizontal="center" vertical="center" wrapText="1"/>
    </xf>
    <xf numFmtId="0" fontId="33" fillId="65" borderId="0" xfId="0" applyFont="1" applyFill="1" applyAlignment="1">
      <alignment horizontal="center" vertical="center" wrapText="1"/>
    </xf>
    <xf numFmtId="0" fontId="4" fillId="0" borderId="76" xfId="0" applyFont="1" applyBorder="1"/>
    <xf numFmtId="0" fontId="19" fillId="16" borderId="76" xfId="0" applyFont="1" applyFill="1" applyBorder="1" applyAlignment="1">
      <alignment horizontal="center" vertical="center" wrapText="1"/>
    </xf>
    <xf numFmtId="0" fontId="3" fillId="35" borderId="16" xfId="0" applyFont="1" applyFill="1" applyBorder="1" applyAlignment="1">
      <alignment horizontal="center" vertical="center" wrapText="1"/>
    </xf>
    <xf numFmtId="0" fontId="28" fillId="15" borderId="2" xfId="0" applyFont="1" applyFill="1" applyBorder="1" applyAlignment="1">
      <alignment horizontal="center" vertical="center" wrapText="1"/>
    </xf>
    <xf numFmtId="0" fontId="4" fillId="0" borderId="4" xfId="0" applyFont="1" applyBorder="1"/>
    <xf numFmtId="0" fontId="28" fillId="15" borderId="68" xfId="0" applyFont="1" applyFill="1" applyBorder="1" applyAlignment="1">
      <alignment horizontal="center" vertical="center" wrapText="1"/>
    </xf>
    <xf numFmtId="0" fontId="4" fillId="0" borderId="69" xfId="0" applyFont="1" applyBorder="1"/>
    <xf numFmtId="0" fontId="4" fillId="0" borderId="70" xfId="0" applyFont="1" applyBorder="1"/>
    <xf numFmtId="0" fontId="4" fillId="0" borderId="71" xfId="0" applyFont="1" applyBorder="1"/>
    <xf numFmtId="0" fontId="26" fillId="0" borderId="68" xfId="0" applyFont="1" applyBorder="1" applyAlignment="1">
      <alignment horizontal="left" vertical="center" wrapText="1"/>
    </xf>
    <xf numFmtId="0" fontId="4" fillId="0" borderId="72" xfId="0" applyFont="1" applyBorder="1"/>
    <xf numFmtId="0" fontId="4" fillId="0" borderId="73" xfId="0" applyFont="1" applyBorder="1"/>
    <xf numFmtId="0" fontId="26" fillId="25" borderId="68" xfId="0" applyFont="1" applyFill="1" applyBorder="1" applyAlignment="1">
      <alignment horizontal="left" vertical="center" wrapText="1"/>
    </xf>
    <xf numFmtId="0" fontId="0" fillId="5" borderId="68" xfId="0" applyFill="1" applyBorder="1" applyAlignment="1">
      <alignment horizontal="center" vertical="center" wrapText="1"/>
    </xf>
    <xf numFmtId="0" fontId="4" fillId="0" borderId="74" xfId="0" applyFont="1" applyBorder="1"/>
    <xf numFmtId="0" fontId="0" fillId="34" borderId="0" xfId="0" applyFill="1" applyAlignment="1">
      <alignment wrapText="1"/>
    </xf>
    <xf numFmtId="0" fontId="26" fillId="34" borderId="16" xfId="0" applyFont="1" applyFill="1" applyBorder="1" applyAlignment="1">
      <alignment horizontal="left" vertical="center" wrapText="1"/>
    </xf>
    <xf numFmtId="0" fontId="26" fillId="2" borderId="16" xfId="0" applyFont="1" applyFill="1" applyBorder="1" applyAlignment="1">
      <alignment horizontal="center" vertical="center" wrapText="1"/>
    </xf>
    <xf numFmtId="0" fontId="26" fillId="15" borderId="16" xfId="0" applyFont="1" applyFill="1" applyBorder="1" applyAlignment="1">
      <alignment horizontal="center" vertical="center" wrapText="1"/>
    </xf>
    <xf numFmtId="0" fontId="0" fillId="0" borderId="80" xfId="0" applyBorder="1" applyAlignment="1">
      <alignment horizontal="center"/>
    </xf>
    <xf numFmtId="0" fontId="4" fillId="0" borderId="82" xfId="0" applyFont="1" applyBorder="1"/>
    <xf numFmtId="0" fontId="4" fillId="0" borderId="81" xfId="0" applyFont="1" applyBorder="1"/>
    <xf numFmtId="0" fontId="0" fillId="0" borderId="81" xfId="0" applyBorder="1" applyAlignment="1">
      <alignment horizontal="center"/>
    </xf>
    <xf numFmtId="0" fontId="4" fillId="0" borderId="132" xfId="0" applyFont="1" applyBorder="1"/>
    <xf numFmtId="0" fontId="0" fillId="0" borderId="133" xfId="0" applyBorder="1" applyAlignment="1">
      <alignment horizontal="center"/>
    </xf>
    <xf numFmtId="0" fontId="0" fillId="0" borderId="46" xfId="0" applyBorder="1" applyAlignment="1">
      <alignment horizontal="center"/>
    </xf>
    <xf numFmtId="0" fontId="4" fillId="0" borderId="139" xfId="0" applyFont="1" applyBorder="1"/>
    <xf numFmtId="0" fontId="0" fillId="34" borderId="35" xfId="0" applyFill="1" applyBorder="1" applyAlignment="1">
      <alignment horizontal="center"/>
    </xf>
    <xf numFmtId="0" fontId="0" fillId="5" borderId="80" xfId="0" applyFill="1" applyBorder="1" applyAlignment="1">
      <alignment horizontal="center"/>
    </xf>
    <xf numFmtId="0" fontId="4" fillId="0" borderId="138" xfId="0" applyFont="1" applyBorder="1"/>
    <xf numFmtId="0" fontId="0" fillId="6" borderId="80" xfId="0" applyFill="1" applyBorder="1" applyAlignment="1">
      <alignment horizontal="center"/>
    </xf>
    <xf numFmtId="0" fontId="0" fillId="15" borderId="16" xfId="0" applyFill="1" applyBorder="1" applyAlignment="1">
      <alignment horizontal="center" vertical="center"/>
    </xf>
    <xf numFmtId="0" fontId="0" fillId="5" borderId="16" xfId="0" applyFill="1" applyBorder="1" applyAlignment="1">
      <alignment horizontal="center" vertical="center"/>
    </xf>
    <xf numFmtId="0" fontId="4" fillId="0" borderId="34" xfId="0" applyFont="1" applyBorder="1"/>
    <xf numFmtId="0" fontId="0" fillId="0" borderId="137" xfId="0" applyBorder="1" applyAlignment="1">
      <alignment horizontal="center"/>
    </xf>
    <xf numFmtId="0" fontId="4" fillId="0" borderId="144" xfId="0" applyFont="1" applyBorder="1"/>
    <xf numFmtId="0" fontId="0" fillId="0" borderId="82" xfId="0" applyBorder="1" applyAlignment="1">
      <alignment horizontal="center"/>
    </xf>
    <xf numFmtId="0" fontId="0" fillId="0" borderId="179" xfId="0" applyBorder="1" applyAlignment="1">
      <alignment horizontal="center"/>
    </xf>
    <xf numFmtId="0" fontId="4" fillId="0" borderId="180" xfId="0" applyFont="1" applyBorder="1"/>
    <xf numFmtId="0" fontId="4" fillId="0" borderId="181" xfId="0" applyFont="1" applyBorder="1"/>
    <xf numFmtId="0" fontId="0" fillId="15" borderId="142" xfId="0" applyFill="1" applyBorder="1" applyAlignment="1">
      <alignment horizontal="center" vertical="center"/>
    </xf>
    <xf numFmtId="0" fontId="4" fillId="0" borderId="143" xfId="0" applyFont="1" applyBorder="1"/>
    <xf numFmtId="0" fontId="0" fillId="23" borderId="35" xfId="0" applyFill="1" applyBorder="1" applyAlignment="1">
      <alignment horizontal="center"/>
    </xf>
    <xf numFmtId="0" fontId="0" fillId="2" borderId="35" xfId="0" applyFill="1" applyBorder="1" applyAlignment="1">
      <alignment horizontal="center"/>
    </xf>
    <xf numFmtId="0" fontId="0" fillId="23" borderId="80" xfId="0" applyFill="1" applyBorder="1" applyAlignment="1">
      <alignment horizontal="center"/>
    </xf>
    <xf numFmtId="0" fontId="0" fillId="2" borderId="80" xfId="0" applyFill="1" applyBorder="1" applyAlignment="1">
      <alignment horizontal="center"/>
    </xf>
    <xf numFmtId="0" fontId="0" fillId="15" borderId="75" xfId="0" applyFill="1" applyBorder="1" applyAlignment="1">
      <alignment horizontal="center" vertical="center"/>
    </xf>
    <xf numFmtId="0" fontId="0" fillId="0" borderId="138" xfId="0" applyBorder="1" applyAlignment="1">
      <alignment horizontal="center"/>
    </xf>
    <xf numFmtId="0" fontId="0" fillId="15" borderId="143" xfId="0" applyFill="1" applyBorder="1" applyAlignment="1">
      <alignment horizontal="center" vertical="center"/>
    </xf>
    <xf numFmtId="0" fontId="0" fillId="5" borderId="75" xfId="0" applyFill="1" applyBorder="1" applyAlignment="1">
      <alignment horizontal="center" vertical="center"/>
    </xf>
    <xf numFmtId="0" fontId="0" fillId="6" borderId="2" xfId="0" quotePrefix="1" applyFill="1" applyBorder="1" applyAlignment="1">
      <alignment horizontal="center" vertical="center" wrapText="1"/>
    </xf>
    <xf numFmtId="0" fontId="4" fillId="0" borderId="3" xfId="0" applyFont="1" applyBorder="1"/>
    <xf numFmtId="0" fontId="0" fillId="6" borderId="2" xfId="0" quotePrefix="1" applyFill="1" applyBorder="1" applyAlignment="1">
      <alignment horizontal="center" vertical="center"/>
    </xf>
    <xf numFmtId="0" fontId="10" fillId="13" borderId="11" xfId="0" applyFont="1" applyFill="1" applyBorder="1" applyAlignment="1">
      <alignment horizontal="left" vertical="center" wrapText="1"/>
    </xf>
    <xf numFmtId="0" fontId="4" fillId="0" borderId="12" xfId="0" applyFont="1" applyBorder="1"/>
    <xf numFmtId="0" fontId="4" fillId="0" borderId="15" xfId="0" applyFont="1" applyBorder="1"/>
    <xf numFmtId="0" fontId="3" fillId="2" borderId="16" xfId="0" applyFont="1" applyFill="1" applyBorder="1" applyAlignment="1">
      <alignment horizontal="center" vertical="center"/>
    </xf>
    <xf numFmtId="49" fontId="3" fillId="2" borderId="16" xfId="0" applyNumberFormat="1" applyFont="1" applyFill="1" applyBorder="1" applyAlignment="1">
      <alignment horizontal="center" vertical="center"/>
    </xf>
    <xf numFmtId="0" fontId="0" fillId="3" borderId="16" xfId="0" applyFill="1" applyBorder="1" applyAlignment="1">
      <alignment horizontal="center"/>
    </xf>
    <xf numFmtId="0" fontId="0" fillId="3" borderId="2" xfId="0" applyFill="1" applyBorder="1" applyAlignment="1">
      <alignment horizontal="center" vertical="center"/>
    </xf>
    <xf numFmtId="0" fontId="37" fillId="20" borderId="84" xfId="0" applyFont="1" applyFill="1" applyBorder="1" applyAlignment="1">
      <alignment horizontal="center" vertical="center"/>
    </xf>
    <xf numFmtId="0" fontId="4" fillId="0" borderId="78" xfId="0" applyFont="1" applyBorder="1"/>
    <xf numFmtId="0" fontId="4" fillId="0" borderId="79" xfId="0" applyFont="1" applyBorder="1"/>
    <xf numFmtId="0" fontId="26" fillId="20" borderId="89" xfId="0" applyFont="1" applyFill="1" applyBorder="1" applyAlignment="1">
      <alignment horizontal="center" vertical="center"/>
    </xf>
    <xf numFmtId="0" fontId="4" fillId="0" borderId="90" xfId="0" applyFont="1" applyBorder="1"/>
    <xf numFmtId="0" fontId="35" fillId="24" borderId="16" xfId="0" applyFont="1" applyFill="1" applyBorder="1" applyAlignment="1">
      <alignment horizontal="center" vertical="top"/>
    </xf>
    <xf numFmtId="0" fontId="4" fillId="0" borderId="83" xfId="0" applyFont="1" applyBorder="1"/>
    <xf numFmtId="0" fontId="36" fillId="24" borderId="16" xfId="0" applyFont="1" applyFill="1" applyBorder="1" applyAlignment="1">
      <alignment horizontal="center" vertical="center"/>
    </xf>
    <xf numFmtId="0" fontId="34" fillId="20" borderId="80" xfId="0" applyFont="1" applyFill="1" applyBorder="1" applyAlignment="1">
      <alignment horizontal="center"/>
    </xf>
    <xf numFmtId="0" fontId="32" fillId="20" borderId="77" xfId="0" applyFont="1" applyFill="1" applyBorder="1" applyAlignment="1">
      <alignment horizontal="center"/>
    </xf>
  </cellXfs>
  <cellStyles count="7">
    <cellStyle name="Komma" xfId="1" builtinId="3"/>
    <cellStyle name="Komma 2" xfId="3"/>
    <cellStyle name="Prozent" xfId="6" builtinId="5"/>
    <cellStyle name="Standard" xfId="0" builtinId="0"/>
    <cellStyle name="Standard 2" xfId="2"/>
    <cellStyle name="Standard 3" xfId="5"/>
    <cellStyle name="Währung" xfId="4" builtinId="4"/>
  </cellStyles>
  <dxfs count="195">
    <dxf>
      <font>
        <color auto="1"/>
      </font>
      <fill>
        <patternFill>
          <bgColor rgb="FFFFC7CE"/>
        </patternFill>
      </fill>
    </dxf>
    <dxf>
      <font>
        <color auto="1"/>
      </font>
      <fill>
        <patternFill>
          <bgColor theme="7"/>
        </patternFill>
      </fill>
    </dxf>
    <dxf>
      <font>
        <color auto="1"/>
      </font>
      <fill>
        <patternFill>
          <bgColor rgb="FFC6EFCE"/>
        </patternFill>
      </fill>
    </dxf>
    <dxf>
      <fill>
        <patternFill patternType="solid">
          <fgColor rgb="FF00FF00"/>
          <bgColor rgb="FF00FF00"/>
        </patternFill>
      </fill>
    </dxf>
    <dxf>
      <fill>
        <patternFill patternType="solid">
          <fgColor rgb="FFFF0000"/>
          <bgColor rgb="FFFF0000"/>
        </patternFill>
      </fill>
    </dxf>
    <dxf>
      <fill>
        <patternFill patternType="solid">
          <fgColor rgb="FFFFFF00"/>
          <bgColor rgb="FFFFFF00"/>
        </patternFill>
      </fill>
    </dxf>
    <dxf>
      <fill>
        <patternFill patternType="solid">
          <fgColor rgb="FF00FF00"/>
          <bgColor rgb="FF00FF00"/>
        </patternFill>
      </fill>
    </dxf>
    <dxf>
      <fill>
        <patternFill patternType="solid">
          <fgColor rgb="FFFF0000"/>
          <bgColor rgb="FFFF0000"/>
        </patternFill>
      </fill>
    </dxf>
    <dxf>
      <fill>
        <patternFill patternType="solid">
          <fgColor rgb="FFFFFF00"/>
          <bgColor rgb="FFFFFF00"/>
        </patternFill>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color rgb="FF00B0F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color rgb="FF00B0F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color rgb="FF00B0F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color rgb="FF00B0F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color rgb="FF00B0F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ont>
        <color rgb="FF00B0F0"/>
      </font>
      <fill>
        <patternFill patternType="none"/>
      </fill>
    </dxf>
    <dxf>
      <font>
        <b/>
        <color rgb="FF00B050"/>
      </font>
      <fill>
        <patternFill patternType="none"/>
      </fill>
    </dxf>
    <dxf>
      <font>
        <b/>
        <color rgb="FF00B050"/>
      </font>
      <fill>
        <patternFill patternType="none"/>
      </fill>
    </dxf>
    <dxf>
      <font>
        <b/>
        <color rgb="FF00B050"/>
      </font>
      <fill>
        <patternFill patternType="none"/>
      </fill>
    </dxf>
    <dxf>
      <fill>
        <patternFill patternType="solid">
          <fgColor rgb="FFE2EFD9"/>
          <bgColor rgb="FFE2EFD9"/>
        </patternFill>
      </fill>
    </dxf>
    <dxf>
      <fill>
        <patternFill patternType="solid">
          <fgColor rgb="FFFBE4D5"/>
          <bgColor rgb="FFFBE4D5"/>
        </patternFill>
      </fill>
    </dxf>
    <dxf>
      <fill>
        <patternFill patternType="solid">
          <fgColor rgb="FFE2EFD9"/>
          <bgColor rgb="FFE2EFD9"/>
        </patternFill>
      </fill>
    </dxf>
    <dxf>
      <fill>
        <patternFill patternType="solid">
          <fgColor rgb="FFFBE4D5"/>
          <bgColor rgb="FFFBE4D5"/>
        </patternFill>
      </fill>
    </dxf>
    <dxf>
      <fill>
        <patternFill patternType="solid">
          <fgColor rgb="FFE2EFD9"/>
          <bgColor rgb="FFE2EFD9"/>
        </patternFill>
      </fill>
    </dxf>
    <dxf>
      <fill>
        <patternFill patternType="solid">
          <fgColor rgb="FFFBE4D5"/>
          <bgColor rgb="FFFBE4D5"/>
        </patternFill>
      </fill>
    </dxf>
    <dxf>
      <fill>
        <patternFill patternType="solid">
          <fgColor rgb="FFE2EFD9"/>
          <bgColor rgb="FFE2EFD9"/>
        </patternFill>
      </fill>
    </dxf>
    <dxf>
      <fill>
        <patternFill patternType="solid">
          <fgColor rgb="FFFBE4D5"/>
          <bgColor rgb="FFFBE4D5"/>
        </patternFill>
      </fill>
    </dxf>
    <dxf>
      <fill>
        <patternFill patternType="solid">
          <fgColor rgb="FFE2EFD9"/>
          <bgColor rgb="FFE2EFD9"/>
        </patternFill>
      </fill>
    </dxf>
    <dxf>
      <fill>
        <patternFill patternType="solid">
          <fgColor rgb="FFFBE4D5"/>
          <bgColor rgb="FFFBE4D5"/>
        </patternFill>
      </fill>
    </dxf>
    <dxf>
      <fill>
        <patternFill patternType="solid">
          <fgColor rgb="FF70AD47"/>
          <bgColor rgb="FF70AD47"/>
        </patternFill>
      </fill>
    </dxf>
    <dxf>
      <fill>
        <patternFill patternType="solid">
          <fgColor rgb="FF70AD47"/>
          <bgColor rgb="FF70AD47"/>
        </patternFill>
      </fill>
    </dxf>
    <dxf>
      <fill>
        <patternFill patternType="solid">
          <fgColor rgb="FF70AD47"/>
          <bgColor rgb="FF70AD47"/>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00FF00"/>
          <bgColor rgb="FF00FF00"/>
        </patternFill>
      </fill>
    </dxf>
    <dxf>
      <fill>
        <patternFill patternType="solid">
          <fgColor rgb="FFFF0000"/>
          <bgColor rgb="FFFF0000"/>
        </patternFill>
      </fill>
    </dxf>
    <dxf>
      <fill>
        <patternFill patternType="solid">
          <fgColor rgb="FFFFFF00"/>
          <bgColor rgb="FFFFFF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bgColor rgb="FFFFFF00"/>
        </patternFill>
      </fill>
    </dxf>
    <dxf>
      <fill>
        <patternFill>
          <bgColor theme="9" tint="0.39994506668294322"/>
        </patternFill>
      </fill>
    </dxf>
    <dxf>
      <fill>
        <patternFill>
          <bgColor rgb="FFFF0000"/>
        </patternFill>
      </fill>
    </dxf>
    <dxf>
      <fill>
        <patternFill patternType="solid">
          <fgColor rgb="FFA8D08D"/>
          <bgColor rgb="FFA8D08D"/>
        </patternFill>
      </fill>
    </dxf>
    <dxf>
      <fill>
        <patternFill patternType="solid">
          <fgColor rgb="FFFF0000"/>
          <bgColor rgb="FFFF0000"/>
        </patternFill>
      </fill>
    </dxf>
    <dxf>
      <font>
        <color rgb="FF000000"/>
      </font>
      <fill>
        <patternFill patternType="solid">
          <fgColor rgb="FFFFFF00"/>
          <bgColor rgb="FFFFFF00"/>
        </patternFill>
      </fill>
    </dxf>
    <dxf>
      <fill>
        <patternFill patternType="solid">
          <fgColor rgb="FFA8D08D"/>
          <bgColor rgb="FFA8D08D"/>
        </patternFill>
      </fill>
    </dxf>
    <dxf>
      <fill>
        <patternFill patternType="solid">
          <fgColor rgb="FFFF0000"/>
          <bgColor rgb="FFFF0000"/>
        </patternFill>
      </fill>
    </dxf>
    <dxf>
      <font>
        <color rgb="FF000000"/>
      </font>
      <fill>
        <patternFill patternType="solid">
          <fgColor rgb="FFFFFF00"/>
          <bgColor rgb="FFFFFF00"/>
        </patternFill>
      </fill>
    </dxf>
    <dxf>
      <fill>
        <patternFill patternType="solid">
          <fgColor rgb="FFA8D08D"/>
          <bgColor rgb="FFA8D08D"/>
        </patternFill>
      </fill>
    </dxf>
    <dxf>
      <fill>
        <patternFill patternType="solid">
          <fgColor rgb="FFFF0000"/>
          <bgColor rgb="FFFF0000"/>
        </patternFill>
      </fill>
    </dxf>
    <dxf>
      <font>
        <color rgb="FF000000"/>
      </font>
      <fill>
        <patternFill patternType="solid">
          <fgColor rgb="FFFFFF00"/>
          <bgColor rgb="FFFFFF00"/>
        </patternFill>
      </fill>
    </dxf>
    <dxf>
      <fill>
        <patternFill patternType="solid">
          <fgColor rgb="FFB7E1CD"/>
          <bgColor rgb="FFB7E1CD"/>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bgColor theme="7" tint="0.59996337778862885"/>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bgColor theme="7" tint="0.59996337778862885"/>
        </patternFill>
      </fill>
    </dxf>
    <dxf>
      <fill>
        <patternFill>
          <bgColor theme="7" tint="0.59996337778862885"/>
        </patternFill>
      </fill>
    </dxf>
    <dxf>
      <fill>
        <patternFill patternType="solid">
          <fgColor rgb="FFFFFF00"/>
          <bgColor rgb="FFFFFF00"/>
        </patternFill>
      </fill>
    </dxf>
    <dxf>
      <fill>
        <patternFill patternType="solid">
          <fgColor rgb="FF92D050"/>
          <bgColor rgb="FF92D050"/>
        </patternFill>
      </fill>
    </dxf>
    <dxf>
      <fill>
        <patternFill patternType="solid">
          <fgColor rgb="FFFFFF00"/>
          <bgColor rgb="FFFFFF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92D050"/>
          <bgColor rgb="FF92D050"/>
        </patternFill>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92D050"/>
          <bgColor rgb="FF92D05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bgColor theme="7" tint="0.59996337778862885"/>
        </patternFill>
      </fill>
    </dxf>
    <dxf>
      <fill>
        <patternFill>
          <bgColor theme="7" tint="0.59996337778862885"/>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CE8B2"/>
          <bgColor rgb="FFFCE8B2"/>
        </patternFill>
      </fill>
    </dxf>
    <dxf>
      <fill>
        <patternFill patternType="solid">
          <fgColor rgb="FFFF0000"/>
          <bgColor rgb="FFFF0000"/>
        </patternFill>
      </fill>
    </dxf>
    <dxf>
      <fill>
        <patternFill>
          <bgColor theme="7" tint="0.59996337778862885"/>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bgColor theme="7" tint="0.59996337778862885"/>
        </patternFill>
      </fill>
    </dxf>
    <dxf>
      <fill>
        <patternFill>
          <bgColor theme="7" tint="0.59996337778862885"/>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FF00"/>
          <bgColor rgb="FFFFFF00"/>
        </patternFill>
      </fill>
    </dxf>
    <dxf>
      <fill>
        <patternFill patternType="solid">
          <fgColor rgb="FFFF0000"/>
          <bgColor rgb="FFFF0000"/>
        </patternFill>
      </fill>
    </dxf>
    <dxf>
      <fill>
        <patternFill patternType="solid">
          <fgColor rgb="FF92D050"/>
          <bgColor rgb="FF92D050"/>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ont>
        <color rgb="FF9C0006"/>
      </font>
      <fill>
        <patternFill patternType="solid">
          <fgColor rgb="FFFFC7CE"/>
          <bgColor rgb="FFFFC7CE"/>
        </patternFill>
      </fill>
    </dxf>
    <dxf>
      <fill>
        <patternFill patternType="solid">
          <fgColor rgb="FFE2EFD9"/>
          <bgColor rgb="FFE2EFD9"/>
        </patternFill>
      </fill>
    </dxf>
    <dxf>
      <font>
        <color rgb="FF9C0006"/>
      </font>
      <fill>
        <patternFill patternType="solid">
          <fgColor rgb="FFFFC7CE"/>
          <bgColor rgb="FFFFC7CE"/>
        </patternFill>
      </fill>
    </dxf>
  </dxfs>
  <tableStyles count="0" defaultTableStyle="TableStyleMedium2" defaultPivotStyle="PivotStyleLight16"/>
  <colors>
    <mruColors>
      <color rgb="FFFF7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s>
</file>

<file path=xl/drawings/drawing1.xml><?xml version="1.0" encoding="utf-8"?>
<xdr:wsDr xmlns:xdr="http://schemas.openxmlformats.org/drawingml/2006/spreadsheetDrawing" xmlns:a="http://schemas.openxmlformats.org/drawingml/2006/main">
  <xdr:oneCellAnchor>
    <xdr:from>
      <xdr:col>0</xdr:col>
      <xdr:colOff>1200150</xdr:colOff>
      <xdr:row>2</xdr:row>
      <xdr:rowOff>600075</xdr:rowOff>
    </xdr:from>
    <xdr:ext cx="476250" cy="2714625"/>
    <xdr:grpSp>
      <xdr:nvGrpSpPr>
        <xdr:cNvPr id="2" name="Shape 2">
          <a:extLst>
            <a:ext uri="{FF2B5EF4-FFF2-40B4-BE49-F238E27FC236}">
              <a16:creationId xmlns:a16="http://schemas.microsoft.com/office/drawing/2014/main" id="{00000000-0008-0000-1800-000002000000}"/>
            </a:ext>
          </a:extLst>
        </xdr:cNvPr>
        <xdr:cNvGrpSpPr/>
      </xdr:nvGrpSpPr>
      <xdr:grpSpPr>
        <a:xfrm>
          <a:off x="1200150" y="1743075"/>
          <a:ext cx="476250" cy="2714625"/>
          <a:chOff x="5107875" y="2422688"/>
          <a:chExt cx="476250" cy="2714625"/>
        </a:xfrm>
      </xdr:grpSpPr>
      <xdr:grpSp>
        <xdr:nvGrpSpPr>
          <xdr:cNvPr id="3" name="Shape 3">
            <a:extLst>
              <a:ext uri="{FF2B5EF4-FFF2-40B4-BE49-F238E27FC236}">
                <a16:creationId xmlns:a16="http://schemas.microsoft.com/office/drawing/2014/main" id="{00000000-0008-0000-1800-000003000000}"/>
              </a:ext>
            </a:extLst>
          </xdr:cNvPr>
          <xdr:cNvGrpSpPr/>
        </xdr:nvGrpSpPr>
        <xdr:grpSpPr>
          <a:xfrm>
            <a:off x="5107875" y="2422688"/>
            <a:ext cx="476250" cy="2714625"/>
            <a:chOff x="5126925" y="2436975"/>
            <a:chExt cx="438150" cy="2686050"/>
          </a:xfrm>
        </xdr:grpSpPr>
        <xdr:sp macro="" textlink="">
          <xdr:nvSpPr>
            <xdr:cNvPr id="4" name="Shape 4">
              <a:extLst>
                <a:ext uri="{FF2B5EF4-FFF2-40B4-BE49-F238E27FC236}">
                  <a16:creationId xmlns:a16="http://schemas.microsoft.com/office/drawing/2014/main" id="{00000000-0008-0000-1800-000004000000}"/>
                </a:ext>
              </a:extLst>
            </xdr:cNvPr>
            <xdr:cNvSpPr/>
          </xdr:nvSpPr>
          <xdr:spPr>
            <a:xfrm>
              <a:off x="5126925" y="2436975"/>
              <a:ext cx="438150" cy="2686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 name="Shape 5">
              <a:extLst>
                <a:ext uri="{FF2B5EF4-FFF2-40B4-BE49-F238E27FC236}">
                  <a16:creationId xmlns:a16="http://schemas.microsoft.com/office/drawing/2014/main" id="{00000000-0008-0000-1800-000005000000}"/>
                </a:ext>
              </a:extLst>
            </xdr:cNvPr>
            <xdr:cNvCxnSpPr/>
          </xdr:nvCxnSpPr>
          <xdr:spPr>
            <a:xfrm rot="10800000" flipH="1">
              <a:off x="5126925" y="2436975"/>
              <a:ext cx="438150" cy="2686050"/>
            </a:xfrm>
            <a:prstGeom prst="straightConnector1">
              <a:avLst/>
            </a:prstGeom>
            <a:noFill/>
            <a:ln w="31750" cap="flat" cmpd="sng">
              <a:solidFill>
                <a:schemeClr val="accent6"/>
              </a:solidFill>
              <a:prstDash val="solid"/>
              <a:miter lim="800000"/>
              <a:headEnd type="none" w="sm" len="sm"/>
              <a:tailEnd type="triangle" w="lg" len="lg"/>
            </a:ln>
          </xdr:spPr>
        </xdr:cxnSp>
      </xdr:grpSp>
    </xdr:grpSp>
    <xdr:clientData fLocksWithSheet="0"/>
  </xdr:oneCellAnchor>
  <xdr:oneCellAnchor>
    <xdr:from>
      <xdr:col>0</xdr:col>
      <xdr:colOff>1190625</xdr:colOff>
      <xdr:row>7</xdr:row>
      <xdr:rowOff>371475</xdr:rowOff>
    </xdr:from>
    <xdr:ext cx="495300" cy="38100"/>
    <xdr:grpSp>
      <xdr:nvGrpSpPr>
        <xdr:cNvPr id="6" name="Shape 2">
          <a:extLst>
            <a:ext uri="{FF2B5EF4-FFF2-40B4-BE49-F238E27FC236}">
              <a16:creationId xmlns:a16="http://schemas.microsoft.com/office/drawing/2014/main" id="{00000000-0008-0000-1800-000006000000}"/>
            </a:ext>
          </a:extLst>
        </xdr:cNvPr>
        <xdr:cNvGrpSpPr/>
      </xdr:nvGrpSpPr>
      <xdr:grpSpPr>
        <a:xfrm>
          <a:off x="1190625" y="4438650"/>
          <a:ext cx="495300" cy="38100"/>
          <a:chOff x="5098350" y="3760949"/>
          <a:chExt cx="495300" cy="38100"/>
        </a:xfrm>
      </xdr:grpSpPr>
      <xdr:grpSp>
        <xdr:nvGrpSpPr>
          <xdr:cNvPr id="7" name="Shape 6">
            <a:extLst>
              <a:ext uri="{FF2B5EF4-FFF2-40B4-BE49-F238E27FC236}">
                <a16:creationId xmlns:a16="http://schemas.microsoft.com/office/drawing/2014/main" id="{00000000-0008-0000-1800-000007000000}"/>
              </a:ext>
            </a:extLst>
          </xdr:cNvPr>
          <xdr:cNvGrpSpPr/>
        </xdr:nvGrpSpPr>
        <xdr:grpSpPr>
          <a:xfrm>
            <a:off x="5098350" y="3760949"/>
            <a:ext cx="495300" cy="38100"/>
            <a:chOff x="5098350" y="3775238"/>
            <a:chExt cx="495300" cy="9525"/>
          </a:xfrm>
        </xdr:grpSpPr>
        <xdr:sp macro="" textlink="">
          <xdr:nvSpPr>
            <xdr:cNvPr id="8" name="Shape 4">
              <a:extLst>
                <a:ext uri="{FF2B5EF4-FFF2-40B4-BE49-F238E27FC236}">
                  <a16:creationId xmlns:a16="http://schemas.microsoft.com/office/drawing/2014/main" id="{00000000-0008-0000-1800-000008000000}"/>
                </a:ext>
              </a:extLst>
            </xdr:cNvPr>
            <xdr:cNvSpPr/>
          </xdr:nvSpPr>
          <xdr:spPr>
            <a:xfrm>
              <a:off x="5098350" y="3775238"/>
              <a:ext cx="495300" cy="9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 name="Shape 7">
              <a:extLst>
                <a:ext uri="{FF2B5EF4-FFF2-40B4-BE49-F238E27FC236}">
                  <a16:creationId xmlns:a16="http://schemas.microsoft.com/office/drawing/2014/main" id="{00000000-0008-0000-1800-000009000000}"/>
                </a:ext>
              </a:extLst>
            </xdr:cNvPr>
            <xdr:cNvCxnSpPr/>
          </xdr:nvCxnSpPr>
          <xdr:spPr>
            <a:xfrm rot="10800000" flipH="1">
              <a:off x="5098350" y="3775238"/>
              <a:ext cx="495300" cy="9525"/>
            </a:xfrm>
            <a:prstGeom prst="straightConnector1">
              <a:avLst/>
            </a:prstGeom>
            <a:noFill/>
            <a:ln w="31750" cap="flat" cmpd="sng">
              <a:solidFill>
                <a:schemeClr val="accent6"/>
              </a:solidFill>
              <a:prstDash val="solid"/>
              <a:miter lim="800000"/>
              <a:headEnd type="none" w="sm" len="sm"/>
              <a:tailEnd type="triangle" w="lg" len="lg"/>
            </a:ln>
          </xdr:spPr>
        </xdr:cxnSp>
      </xdr:grpSp>
    </xdr:grpSp>
    <xdr:clientData fLocksWithSheet="0"/>
  </xdr:oneCellAnchor>
  <xdr:oneCellAnchor>
    <xdr:from>
      <xdr:col>0</xdr:col>
      <xdr:colOff>1209675</xdr:colOff>
      <xdr:row>7</xdr:row>
      <xdr:rowOff>409575</xdr:rowOff>
    </xdr:from>
    <xdr:ext cx="466725" cy="1943100"/>
    <xdr:grpSp>
      <xdr:nvGrpSpPr>
        <xdr:cNvPr id="10" name="Shape 2">
          <a:extLst>
            <a:ext uri="{FF2B5EF4-FFF2-40B4-BE49-F238E27FC236}">
              <a16:creationId xmlns:a16="http://schemas.microsoft.com/office/drawing/2014/main" id="{00000000-0008-0000-1800-00000A000000}"/>
            </a:ext>
          </a:extLst>
        </xdr:cNvPr>
        <xdr:cNvGrpSpPr/>
      </xdr:nvGrpSpPr>
      <xdr:grpSpPr>
        <a:xfrm>
          <a:off x="1209675" y="4476750"/>
          <a:ext cx="466725" cy="1943100"/>
          <a:chOff x="5112638" y="2808450"/>
          <a:chExt cx="466725" cy="1943100"/>
        </a:xfrm>
      </xdr:grpSpPr>
      <xdr:grpSp>
        <xdr:nvGrpSpPr>
          <xdr:cNvPr id="11" name="Shape 8">
            <a:extLst>
              <a:ext uri="{FF2B5EF4-FFF2-40B4-BE49-F238E27FC236}">
                <a16:creationId xmlns:a16="http://schemas.microsoft.com/office/drawing/2014/main" id="{00000000-0008-0000-1800-00000B000000}"/>
              </a:ext>
            </a:extLst>
          </xdr:cNvPr>
          <xdr:cNvGrpSpPr/>
        </xdr:nvGrpSpPr>
        <xdr:grpSpPr>
          <a:xfrm>
            <a:off x="5112638" y="2808450"/>
            <a:ext cx="466725" cy="1943100"/>
            <a:chOff x="5126925" y="2822738"/>
            <a:chExt cx="438150" cy="1914525"/>
          </a:xfrm>
        </xdr:grpSpPr>
        <xdr:sp macro="" textlink="">
          <xdr:nvSpPr>
            <xdr:cNvPr id="12" name="Shape 4">
              <a:extLst>
                <a:ext uri="{FF2B5EF4-FFF2-40B4-BE49-F238E27FC236}">
                  <a16:creationId xmlns:a16="http://schemas.microsoft.com/office/drawing/2014/main" id="{00000000-0008-0000-1800-00000C000000}"/>
                </a:ext>
              </a:extLst>
            </xdr:cNvPr>
            <xdr:cNvSpPr/>
          </xdr:nvSpPr>
          <xdr:spPr>
            <a:xfrm>
              <a:off x="5126925" y="2822738"/>
              <a:ext cx="438150" cy="1914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 name="Shape 9">
              <a:extLst>
                <a:ext uri="{FF2B5EF4-FFF2-40B4-BE49-F238E27FC236}">
                  <a16:creationId xmlns:a16="http://schemas.microsoft.com/office/drawing/2014/main" id="{00000000-0008-0000-1800-00000D000000}"/>
                </a:ext>
              </a:extLst>
            </xdr:cNvPr>
            <xdr:cNvCxnSpPr/>
          </xdr:nvCxnSpPr>
          <xdr:spPr>
            <a:xfrm>
              <a:off x="5126925" y="2822738"/>
              <a:ext cx="438150" cy="1914525"/>
            </a:xfrm>
            <a:prstGeom prst="straightConnector1">
              <a:avLst/>
            </a:prstGeom>
            <a:noFill/>
            <a:ln w="31750" cap="flat" cmpd="sng">
              <a:solidFill>
                <a:schemeClr val="accent6"/>
              </a:solidFill>
              <a:prstDash val="solid"/>
              <a:miter lim="800000"/>
              <a:headEnd type="none" w="sm" len="sm"/>
              <a:tailEnd type="triangle" w="lg" len="lg"/>
            </a:ln>
          </xdr:spPr>
        </xdr:cxnSp>
      </xdr:grpSp>
    </xdr:grpSp>
    <xdr:clientData fLocksWithSheet="0"/>
  </xdr:oneCellAnchor>
  <xdr:oneCellAnchor>
    <xdr:from>
      <xdr:col>5</xdr:col>
      <xdr:colOff>0</xdr:colOff>
      <xdr:row>8</xdr:row>
      <xdr:rowOff>-9525</xdr:rowOff>
    </xdr:from>
    <xdr:ext cx="428625" cy="1781175"/>
    <xdr:grpSp>
      <xdr:nvGrpSpPr>
        <xdr:cNvPr id="14" name="Shape 2">
          <a:extLst>
            <a:ext uri="{FF2B5EF4-FFF2-40B4-BE49-F238E27FC236}">
              <a16:creationId xmlns:a16="http://schemas.microsoft.com/office/drawing/2014/main" id="{00000000-0008-0000-1800-00000E000000}"/>
            </a:ext>
          </a:extLst>
        </xdr:cNvPr>
        <xdr:cNvGrpSpPr/>
      </xdr:nvGrpSpPr>
      <xdr:grpSpPr>
        <a:xfrm>
          <a:off x="5324475" y="4638675"/>
          <a:ext cx="428625" cy="1781175"/>
          <a:chOff x="5131688" y="2889413"/>
          <a:chExt cx="428625" cy="1781175"/>
        </a:xfrm>
      </xdr:grpSpPr>
      <xdr:grpSp>
        <xdr:nvGrpSpPr>
          <xdr:cNvPr id="15" name="Shape 10">
            <a:extLst>
              <a:ext uri="{FF2B5EF4-FFF2-40B4-BE49-F238E27FC236}">
                <a16:creationId xmlns:a16="http://schemas.microsoft.com/office/drawing/2014/main" id="{00000000-0008-0000-1800-00000F000000}"/>
              </a:ext>
            </a:extLst>
          </xdr:cNvPr>
          <xdr:cNvGrpSpPr/>
        </xdr:nvGrpSpPr>
        <xdr:grpSpPr>
          <a:xfrm>
            <a:off x="5131688" y="2889413"/>
            <a:ext cx="428625" cy="1781175"/>
            <a:chOff x="5145975" y="2903700"/>
            <a:chExt cx="400050" cy="1752600"/>
          </a:xfrm>
        </xdr:grpSpPr>
        <xdr:sp macro="" textlink="">
          <xdr:nvSpPr>
            <xdr:cNvPr id="16" name="Shape 4">
              <a:extLst>
                <a:ext uri="{FF2B5EF4-FFF2-40B4-BE49-F238E27FC236}">
                  <a16:creationId xmlns:a16="http://schemas.microsoft.com/office/drawing/2014/main" id="{00000000-0008-0000-1800-000010000000}"/>
                </a:ext>
              </a:extLst>
            </xdr:cNvPr>
            <xdr:cNvSpPr/>
          </xdr:nvSpPr>
          <xdr:spPr>
            <a:xfrm>
              <a:off x="5145975" y="2903700"/>
              <a:ext cx="400050" cy="175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 name="Shape 11">
              <a:extLst>
                <a:ext uri="{FF2B5EF4-FFF2-40B4-BE49-F238E27FC236}">
                  <a16:creationId xmlns:a16="http://schemas.microsoft.com/office/drawing/2014/main" id="{00000000-0008-0000-1800-000011000000}"/>
                </a:ext>
              </a:extLst>
            </xdr:cNvPr>
            <xdr:cNvCxnSpPr/>
          </xdr:nvCxnSpPr>
          <xdr:spPr>
            <a:xfrm rot="10800000" flipH="1">
              <a:off x="5145975" y="2903700"/>
              <a:ext cx="400050" cy="1752600"/>
            </a:xfrm>
            <a:prstGeom prst="straightConnector1">
              <a:avLst/>
            </a:prstGeom>
            <a:noFill/>
            <a:ln w="31750" cap="flat" cmpd="sng">
              <a:solidFill>
                <a:schemeClr val="accent6"/>
              </a:solidFill>
              <a:prstDash val="solid"/>
              <a:miter lim="800000"/>
              <a:headEnd type="none" w="sm" len="sm"/>
              <a:tailEnd type="triangle" w="lg" len="lg"/>
            </a:ln>
          </xdr:spPr>
        </xdr:cxnSp>
      </xdr:grpSp>
    </xdr:grpSp>
    <xdr:clientData fLocksWithSheet="0"/>
  </xdr:oneCellAnchor>
  <xdr:oneCellAnchor>
    <xdr:from>
      <xdr:col>5</xdr:col>
      <xdr:colOff>0</xdr:colOff>
      <xdr:row>7</xdr:row>
      <xdr:rowOff>381000</xdr:rowOff>
    </xdr:from>
    <xdr:ext cx="476250" cy="228600"/>
    <xdr:grpSp>
      <xdr:nvGrpSpPr>
        <xdr:cNvPr id="18" name="Shape 2">
          <a:extLst>
            <a:ext uri="{FF2B5EF4-FFF2-40B4-BE49-F238E27FC236}">
              <a16:creationId xmlns:a16="http://schemas.microsoft.com/office/drawing/2014/main" id="{00000000-0008-0000-1800-000012000000}"/>
            </a:ext>
          </a:extLst>
        </xdr:cNvPr>
        <xdr:cNvGrpSpPr/>
      </xdr:nvGrpSpPr>
      <xdr:grpSpPr>
        <a:xfrm>
          <a:off x="5324475" y="4448175"/>
          <a:ext cx="476250" cy="228600"/>
          <a:chOff x="5107875" y="3665700"/>
          <a:chExt cx="476250" cy="228600"/>
        </a:xfrm>
      </xdr:grpSpPr>
      <xdr:grpSp>
        <xdr:nvGrpSpPr>
          <xdr:cNvPr id="19" name="Shape 12">
            <a:extLst>
              <a:ext uri="{FF2B5EF4-FFF2-40B4-BE49-F238E27FC236}">
                <a16:creationId xmlns:a16="http://schemas.microsoft.com/office/drawing/2014/main" id="{00000000-0008-0000-1800-000013000000}"/>
              </a:ext>
            </a:extLst>
          </xdr:cNvPr>
          <xdr:cNvGrpSpPr/>
        </xdr:nvGrpSpPr>
        <xdr:grpSpPr>
          <a:xfrm>
            <a:off x="5107875" y="3665700"/>
            <a:ext cx="476250" cy="228600"/>
            <a:chOff x="5122163" y="3684750"/>
            <a:chExt cx="447675" cy="190500"/>
          </a:xfrm>
        </xdr:grpSpPr>
        <xdr:sp macro="" textlink="">
          <xdr:nvSpPr>
            <xdr:cNvPr id="20" name="Shape 4">
              <a:extLst>
                <a:ext uri="{FF2B5EF4-FFF2-40B4-BE49-F238E27FC236}">
                  <a16:creationId xmlns:a16="http://schemas.microsoft.com/office/drawing/2014/main" id="{00000000-0008-0000-1800-000014000000}"/>
                </a:ext>
              </a:extLst>
            </xdr:cNvPr>
            <xdr:cNvSpPr/>
          </xdr:nvSpPr>
          <xdr:spPr>
            <a:xfrm>
              <a:off x="5122163" y="3684750"/>
              <a:ext cx="447675" cy="190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 name="Shape 13">
              <a:extLst>
                <a:ext uri="{FF2B5EF4-FFF2-40B4-BE49-F238E27FC236}">
                  <a16:creationId xmlns:a16="http://schemas.microsoft.com/office/drawing/2014/main" id="{00000000-0008-0000-1800-000015000000}"/>
                </a:ext>
              </a:extLst>
            </xdr:cNvPr>
            <xdr:cNvCxnSpPr/>
          </xdr:nvCxnSpPr>
          <xdr:spPr>
            <a:xfrm>
              <a:off x="5122163" y="3684750"/>
              <a:ext cx="447675" cy="190500"/>
            </a:xfrm>
            <a:prstGeom prst="straightConnector1">
              <a:avLst/>
            </a:prstGeom>
            <a:noFill/>
            <a:ln w="31750" cap="flat" cmpd="sng">
              <a:solidFill>
                <a:schemeClr val="accent6"/>
              </a:solidFill>
              <a:prstDash val="solid"/>
              <a:miter lim="800000"/>
              <a:headEnd type="none" w="sm" len="sm"/>
              <a:tailEnd type="triangle" w="lg" len="lg"/>
            </a:ln>
          </xdr:spPr>
        </xdr:cxnSp>
      </xdr:grpSp>
    </xdr:grpSp>
    <xdr:clientData fLocksWithSheet="0"/>
  </xdr:oneCellAnchor>
  <xdr:oneCellAnchor>
    <xdr:from>
      <xdr:col>5</xdr:col>
      <xdr:colOff>0</xdr:colOff>
      <xdr:row>3</xdr:row>
      <xdr:rowOff>-9525</xdr:rowOff>
    </xdr:from>
    <xdr:ext cx="419100" cy="3000375"/>
    <xdr:grpSp>
      <xdr:nvGrpSpPr>
        <xdr:cNvPr id="22" name="Shape 2">
          <a:extLst>
            <a:ext uri="{FF2B5EF4-FFF2-40B4-BE49-F238E27FC236}">
              <a16:creationId xmlns:a16="http://schemas.microsoft.com/office/drawing/2014/main" id="{00000000-0008-0000-1800-000016000000}"/>
            </a:ext>
          </a:extLst>
        </xdr:cNvPr>
        <xdr:cNvGrpSpPr/>
      </xdr:nvGrpSpPr>
      <xdr:grpSpPr>
        <a:xfrm>
          <a:off x="5324475" y="1733550"/>
          <a:ext cx="419100" cy="3000375"/>
          <a:chOff x="5136450" y="2279813"/>
          <a:chExt cx="419100" cy="3000375"/>
        </a:xfrm>
      </xdr:grpSpPr>
      <xdr:grpSp>
        <xdr:nvGrpSpPr>
          <xdr:cNvPr id="23" name="Shape 14">
            <a:extLst>
              <a:ext uri="{FF2B5EF4-FFF2-40B4-BE49-F238E27FC236}">
                <a16:creationId xmlns:a16="http://schemas.microsoft.com/office/drawing/2014/main" id="{00000000-0008-0000-1800-000017000000}"/>
              </a:ext>
            </a:extLst>
          </xdr:cNvPr>
          <xdr:cNvGrpSpPr/>
        </xdr:nvGrpSpPr>
        <xdr:grpSpPr>
          <a:xfrm>
            <a:off x="5136450" y="2279813"/>
            <a:ext cx="419100" cy="3000375"/>
            <a:chOff x="5150738" y="2298863"/>
            <a:chExt cx="390525" cy="2962275"/>
          </a:xfrm>
        </xdr:grpSpPr>
        <xdr:sp macro="" textlink="">
          <xdr:nvSpPr>
            <xdr:cNvPr id="24" name="Shape 4">
              <a:extLst>
                <a:ext uri="{FF2B5EF4-FFF2-40B4-BE49-F238E27FC236}">
                  <a16:creationId xmlns:a16="http://schemas.microsoft.com/office/drawing/2014/main" id="{00000000-0008-0000-1800-000018000000}"/>
                </a:ext>
              </a:extLst>
            </xdr:cNvPr>
            <xdr:cNvSpPr/>
          </xdr:nvSpPr>
          <xdr:spPr>
            <a:xfrm>
              <a:off x="5150738" y="2298863"/>
              <a:ext cx="390525" cy="2962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 name="Shape 15">
              <a:extLst>
                <a:ext uri="{FF2B5EF4-FFF2-40B4-BE49-F238E27FC236}">
                  <a16:creationId xmlns:a16="http://schemas.microsoft.com/office/drawing/2014/main" id="{00000000-0008-0000-1800-000019000000}"/>
                </a:ext>
              </a:extLst>
            </xdr:cNvPr>
            <xdr:cNvCxnSpPr/>
          </xdr:nvCxnSpPr>
          <xdr:spPr>
            <a:xfrm>
              <a:off x="5150738" y="2298863"/>
              <a:ext cx="390525" cy="2962275"/>
            </a:xfrm>
            <a:prstGeom prst="straightConnector1">
              <a:avLst/>
            </a:prstGeom>
            <a:noFill/>
            <a:ln w="31750" cap="flat" cmpd="sng">
              <a:solidFill>
                <a:schemeClr val="accent6"/>
              </a:solidFill>
              <a:prstDash val="solid"/>
              <a:miter lim="800000"/>
              <a:headEnd type="none" w="sm" len="sm"/>
              <a:tailEnd type="triangle" w="lg" len="lg"/>
            </a:ln>
          </xdr:spPr>
        </xdr:cxnSp>
      </xdr:grpSp>
    </xdr:grpSp>
    <xdr:clientData fLocksWithSheet="0"/>
  </xdr:oneCellAnchor>
  <xdr:oneCellAnchor>
    <xdr:from>
      <xdr:col>9</xdr:col>
      <xdr:colOff>0</xdr:colOff>
      <xdr:row>2</xdr:row>
      <xdr:rowOff>419100</xdr:rowOff>
    </xdr:from>
    <xdr:ext cx="485775" cy="3095625"/>
    <xdr:grpSp>
      <xdr:nvGrpSpPr>
        <xdr:cNvPr id="26" name="Shape 2">
          <a:extLst>
            <a:ext uri="{FF2B5EF4-FFF2-40B4-BE49-F238E27FC236}">
              <a16:creationId xmlns:a16="http://schemas.microsoft.com/office/drawing/2014/main" id="{00000000-0008-0000-1800-00001A000000}"/>
            </a:ext>
          </a:extLst>
        </xdr:cNvPr>
        <xdr:cNvGrpSpPr/>
      </xdr:nvGrpSpPr>
      <xdr:grpSpPr>
        <a:xfrm>
          <a:off x="9429750" y="1581150"/>
          <a:ext cx="485775" cy="3095625"/>
          <a:chOff x="5103113" y="2232188"/>
          <a:chExt cx="485775" cy="3095625"/>
        </a:xfrm>
      </xdr:grpSpPr>
      <xdr:grpSp>
        <xdr:nvGrpSpPr>
          <xdr:cNvPr id="27" name="Shape 16">
            <a:extLst>
              <a:ext uri="{FF2B5EF4-FFF2-40B4-BE49-F238E27FC236}">
                <a16:creationId xmlns:a16="http://schemas.microsoft.com/office/drawing/2014/main" id="{00000000-0008-0000-1800-00001B000000}"/>
              </a:ext>
            </a:extLst>
          </xdr:cNvPr>
          <xdr:cNvGrpSpPr/>
        </xdr:nvGrpSpPr>
        <xdr:grpSpPr>
          <a:xfrm>
            <a:off x="5103113" y="2232188"/>
            <a:ext cx="485775" cy="3095625"/>
            <a:chOff x="5117400" y="2246475"/>
            <a:chExt cx="457200" cy="3067050"/>
          </a:xfrm>
        </xdr:grpSpPr>
        <xdr:sp macro="" textlink="">
          <xdr:nvSpPr>
            <xdr:cNvPr id="28" name="Shape 4">
              <a:extLst>
                <a:ext uri="{FF2B5EF4-FFF2-40B4-BE49-F238E27FC236}">
                  <a16:creationId xmlns:a16="http://schemas.microsoft.com/office/drawing/2014/main" id="{00000000-0008-0000-1800-00001C000000}"/>
                </a:ext>
              </a:extLst>
            </xdr:cNvPr>
            <xdr:cNvSpPr/>
          </xdr:nvSpPr>
          <xdr:spPr>
            <a:xfrm>
              <a:off x="5117400" y="2246475"/>
              <a:ext cx="457200" cy="3067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 name="Shape 17">
              <a:extLst>
                <a:ext uri="{FF2B5EF4-FFF2-40B4-BE49-F238E27FC236}">
                  <a16:creationId xmlns:a16="http://schemas.microsoft.com/office/drawing/2014/main" id="{00000000-0008-0000-1800-00001D000000}"/>
                </a:ext>
              </a:extLst>
            </xdr:cNvPr>
            <xdr:cNvCxnSpPr/>
          </xdr:nvCxnSpPr>
          <xdr:spPr>
            <a:xfrm rot="10800000" flipH="1">
              <a:off x="5117400" y="2246475"/>
              <a:ext cx="457200" cy="3067050"/>
            </a:xfrm>
            <a:prstGeom prst="straightConnector1">
              <a:avLst/>
            </a:prstGeom>
            <a:noFill/>
            <a:ln w="31750" cap="flat" cmpd="sng">
              <a:solidFill>
                <a:schemeClr val="accent6"/>
              </a:solidFill>
              <a:prstDash val="solid"/>
              <a:miter lim="800000"/>
              <a:headEnd type="none" w="sm" len="sm"/>
              <a:tailEnd type="triangle" w="lg" len="lg"/>
            </a:ln>
          </xdr:spPr>
        </xdr:cxnSp>
      </xdr:grpSp>
    </xdr:grpSp>
    <xdr:clientData fLocksWithSheet="0"/>
  </xdr:oneCellAnchor>
  <xdr:oneCellAnchor>
    <xdr:from>
      <xdr:col>9</xdr:col>
      <xdr:colOff>-9525</xdr:colOff>
      <xdr:row>8</xdr:row>
      <xdr:rowOff>19050</xdr:rowOff>
    </xdr:from>
    <xdr:ext cx="466725" cy="2324100"/>
    <xdr:grpSp>
      <xdr:nvGrpSpPr>
        <xdr:cNvPr id="30" name="Shape 2">
          <a:extLst>
            <a:ext uri="{FF2B5EF4-FFF2-40B4-BE49-F238E27FC236}">
              <a16:creationId xmlns:a16="http://schemas.microsoft.com/office/drawing/2014/main" id="{00000000-0008-0000-1800-00001E000000}"/>
            </a:ext>
          </a:extLst>
        </xdr:cNvPr>
        <xdr:cNvGrpSpPr/>
      </xdr:nvGrpSpPr>
      <xdr:grpSpPr>
        <a:xfrm>
          <a:off x="9420225" y="4667250"/>
          <a:ext cx="466725" cy="2324100"/>
          <a:chOff x="5112638" y="2617950"/>
          <a:chExt cx="466725" cy="2324100"/>
        </a:xfrm>
      </xdr:grpSpPr>
      <xdr:grpSp>
        <xdr:nvGrpSpPr>
          <xdr:cNvPr id="31" name="Shape 18">
            <a:extLst>
              <a:ext uri="{FF2B5EF4-FFF2-40B4-BE49-F238E27FC236}">
                <a16:creationId xmlns:a16="http://schemas.microsoft.com/office/drawing/2014/main" id="{00000000-0008-0000-1800-00001F000000}"/>
              </a:ext>
            </a:extLst>
          </xdr:cNvPr>
          <xdr:cNvGrpSpPr/>
        </xdr:nvGrpSpPr>
        <xdr:grpSpPr>
          <a:xfrm>
            <a:off x="5112638" y="2617950"/>
            <a:ext cx="466725" cy="2324100"/>
            <a:chOff x="5126925" y="2632238"/>
            <a:chExt cx="438150" cy="2295525"/>
          </a:xfrm>
        </xdr:grpSpPr>
        <xdr:sp macro="" textlink="">
          <xdr:nvSpPr>
            <xdr:cNvPr id="32" name="Shape 4">
              <a:extLst>
                <a:ext uri="{FF2B5EF4-FFF2-40B4-BE49-F238E27FC236}">
                  <a16:creationId xmlns:a16="http://schemas.microsoft.com/office/drawing/2014/main" id="{00000000-0008-0000-1800-000020000000}"/>
                </a:ext>
              </a:extLst>
            </xdr:cNvPr>
            <xdr:cNvSpPr/>
          </xdr:nvSpPr>
          <xdr:spPr>
            <a:xfrm>
              <a:off x="5126925" y="2632238"/>
              <a:ext cx="438150" cy="2295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 name="Shape 19">
              <a:extLst>
                <a:ext uri="{FF2B5EF4-FFF2-40B4-BE49-F238E27FC236}">
                  <a16:creationId xmlns:a16="http://schemas.microsoft.com/office/drawing/2014/main" id="{00000000-0008-0000-1800-000021000000}"/>
                </a:ext>
              </a:extLst>
            </xdr:cNvPr>
            <xdr:cNvCxnSpPr/>
          </xdr:nvCxnSpPr>
          <xdr:spPr>
            <a:xfrm>
              <a:off x="5126925" y="2632238"/>
              <a:ext cx="438150" cy="2295525"/>
            </a:xfrm>
            <a:prstGeom prst="straightConnector1">
              <a:avLst/>
            </a:prstGeom>
            <a:noFill/>
            <a:ln w="31750" cap="flat" cmpd="sng">
              <a:solidFill>
                <a:schemeClr val="accent6"/>
              </a:solidFill>
              <a:prstDash val="solid"/>
              <a:miter lim="800000"/>
              <a:headEnd type="none" w="sm" len="sm"/>
              <a:tailEnd type="triangle" w="lg" len="lg"/>
            </a:ln>
          </xdr:spPr>
        </xdr:cxnSp>
      </xdr:grpSp>
    </xdr:grpSp>
    <xdr:clientData fLocksWithSheet="0"/>
  </xdr:oneCellAnchor>
  <xdr:oneCellAnchor>
    <xdr:from>
      <xdr:col>15</xdr:col>
      <xdr:colOff>9525</xdr:colOff>
      <xdr:row>6</xdr:row>
      <xdr:rowOff>400050</xdr:rowOff>
    </xdr:from>
    <xdr:ext cx="323850" cy="3295650"/>
    <xdr:grpSp>
      <xdr:nvGrpSpPr>
        <xdr:cNvPr id="34" name="Shape 2">
          <a:extLst>
            <a:ext uri="{FF2B5EF4-FFF2-40B4-BE49-F238E27FC236}">
              <a16:creationId xmlns:a16="http://schemas.microsoft.com/office/drawing/2014/main" id="{00000000-0008-0000-1800-000022000000}"/>
            </a:ext>
          </a:extLst>
        </xdr:cNvPr>
        <xdr:cNvGrpSpPr/>
      </xdr:nvGrpSpPr>
      <xdr:grpSpPr>
        <a:xfrm>
          <a:off x="18878550" y="3886200"/>
          <a:ext cx="323850" cy="3295650"/>
          <a:chOff x="5184075" y="2132175"/>
          <a:chExt cx="323850" cy="3295650"/>
        </a:xfrm>
      </xdr:grpSpPr>
      <xdr:grpSp>
        <xdr:nvGrpSpPr>
          <xdr:cNvPr id="35" name="Shape 20">
            <a:extLst>
              <a:ext uri="{FF2B5EF4-FFF2-40B4-BE49-F238E27FC236}">
                <a16:creationId xmlns:a16="http://schemas.microsoft.com/office/drawing/2014/main" id="{00000000-0008-0000-1800-000023000000}"/>
              </a:ext>
            </a:extLst>
          </xdr:cNvPr>
          <xdr:cNvGrpSpPr/>
        </xdr:nvGrpSpPr>
        <xdr:grpSpPr>
          <a:xfrm>
            <a:off x="5184075" y="2132175"/>
            <a:ext cx="323850" cy="3295650"/>
            <a:chOff x="5193600" y="2146463"/>
            <a:chExt cx="304800" cy="3267075"/>
          </a:xfrm>
        </xdr:grpSpPr>
        <xdr:sp macro="" textlink="">
          <xdr:nvSpPr>
            <xdr:cNvPr id="36" name="Shape 4">
              <a:extLst>
                <a:ext uri="{FF2B5EF4-FFF2-40B4-BE49-F238E27FC236}">
                  <a16:creationId xmlns:a16="http://schemas.microsoft.com/office/drawing/2014/main" id="{00000000-0008-0000-1800-000024000000}"/>
                </a:ext>
              </a:extLst>
            </xdr:cNvPr>
            <xdr:cNvSpPr/>
          </xdr:nvSpPr>
          <xdr:spPr>
            <a:xfrm>
              <a:off x="5193600" y="2146463"/>
              <a:ext cx="304800" cy="3267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 name="Shape 21">
              <a:extLst>
                <a:ext uri="{FF2B5EF4-FFF2-40B4-BE49-F238E27FC236}">
                  <a16:creationId xmlns:a16="http://schemas.microsoft.com/office/drawing/2014/main" id="{00000000-0008-0000-1800-000025000000}"/>
                </a:ext>
              </a:extLst>
            </xdr:cNvPr>
            <xdr:cNvCxnSpPr/>
          </xdr:nvCxnSpPr>
          <xdr:spPr>
            <a:xfrm rot="10800000" flipH="1">
              <a:off x="5193600" y="2146463"/>
              <a:ext cx="304800" cy="3267075"/>
            </a:xfrm>
            <a:prstGeom prst="straightConnector1">
              <a:avLst/>
            </a:prstGeom>
            <a:noFill/>
            <a:ln w="31750" cap="flat" cmpd="sng">
              <a:solidFill>
                <a:schemeClr val="accent6"/>
              </a:solidFill>
              <a:prstDash val="solid"/>
              <a:miter lim="800000"/>
              <a:headEnd type="none" w="sm" len="sm"/>
              <a:tailEnd type="triangle" w="lg" len="lg"/>
            </a:ln>
          </xdr:spPr>
        </xdr:cxnSp>
      </xdr:grpSp>
    </xdr:grpSp>
    <xdr:clientData fLocksWithSheet="0"/>
  </xdr:oneCellAnchor>
  <xdr:oneCellAnchor>
    <xdr:from>
      <xdr:col>13</xdr:col>
      <xdr:colOff>0</xdr:colOff>
      <xdr:row>2</xdr:row>
      <xdr:rowOff>381000</xdr:rowOff>
    </xdr:from>
    <xdr:ext cx="2847975" cy="2324100"/>
    <xdr:grpSp>
      <xdr:nvGrpSpPr>
        <xdr:cNvPr id="38" name="Shape 2">
          <a:extLst>
            <a:ext uri="{FF2B5EF4-FFF2-40B4-BE49-F238E27FC236}">
              <a16:creationId xmlns:a16="http://schemas.microsoft.com/office/drawing/2014/main" id="{00000000-0008-0000-1800-000026000000}"/>
            </a:ext>
          </a:extLst>
        </xdr:cNvPr>
        <xdr:cNvGrpSpPr/>
      </xdr:nvGrpSpPr>
      <xdr:grpSpPr>
        <a:xfrm>
          <a:off x="16363950" y="1543050"/>
          <a:ext cx="2847975" cy="2324100"/>
          <a:chOff x="3922013" y="2617950"/>
          <a:chExt cx="2847975" cy="2324100"/>
        </a:xfrm>
      </xdr:grpSpPr>
      <xdr:grpSp>
        <xdr:nvGrpSpPr>
          <xdr:cNvPr id="39" name="Shape 22">
            <a:extLst>
              <a:ext uri="{FF2B5EF4-FFF2-40B4-BE49-F238E27FC236}">
                <a16:creationId xmlns:a16="http://schemas.microsoft.com/office/drawing/2014/main" id="{00000000-0008-0000-1800-000027000000}"/>
              </a:ext>
            </a:extLst>
          </xdr:cNvPr>
          <xdr:cNvGrpSpPr/>
        </xdr:nvGrpSpPr>
        <xdr:grpSpPr>
          <a:xfrm>
            <a:off x="3922013" y="2617950"/>
            <a:ext cx="2847975" cy="2324100"/>
            <a:chOff x="3936300" y="2637000"/>
            <a:chExt cx="2819400" cy="2286000"/>
          </a:xfrm>
        </xdr:grpSpPr>
        <xdr:sp macro="" textlink="">
          <xdr:nvSpPr>
            <xdr:cNvPr id="40" name="Shape 4">
              <a:extLst>
                <a:ext uri="{FF2B5EF4-FFF2-40B4-BE49-F238E27FC236}">
                  <a16:creationId xmlns:a16="http://schemas.microsoft.com/office/drawing/2014/main" id="{00000000-0008-0000-1800-000028000000}"/>
                </a:ext>
              </a:extLst>
            </xdr:cNvPr>
            <xdr:cNvSpPr/>
          </xdr:nvSpPr>
          <xdr:spPr>
            <a:xfrm>
              <a:off x="3936300" y="2637000"/>
              <a:ext cx="2819400" cy="228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 name="Shape 23">
              <a:extLst>
                <a:ext uri="{FF2B5EF4-FFF2-40B4-BE49-F238E27FC236}">
                  <a16:creationId xmlns:a16="http://schemas.microsoft.com/office/drawing/2014/main" id="{00000000-0008-0000-1800-000029000000}"/>
                </a:ext>
              </a:extLst>
            </xdr:cNvPr>
            <xdr:cNvCxnSpPr/>
          </xdr:nvCxnSpPr>
          <xdr:spPr>
            <a:xfrm>
              <a:off x="3936300" y="2637000"/>
              <a:ext cx="2819400" cy="2286000"/>
            </a:xfrm>
            <a:prstGeom prst="straightConnector1">
              <a:avLst/>
            </a:prstGeom>
            <a:noFill/>
            <a:ln w="31750" cap="flat" cmpd="sng">
              <a:solidFill>
                <a:schemeClr val="accent6"/>
              </a:solidFill>
              <a:prstDash val="solid"/>
              <a:miter lim="800000"/>
              <a:headEnd type="none" w="sm" len="sm"/>
              <a:tailEnd type="triangle" w="lg" len="lg"/>
            </a:ln>
          </xdr:spPr>
        </xdr:cxnSp>
      </xdr:grp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85623"/>
  </sheetPr>
  <dimension ref="A1:BT991"/>
  <sheetViews>
    <sheetView tabSelected="1" zoomScale="70" zoomScaleNormal="70" workbookViewId="0">
      <pane xSplit="4" ySplit="5" topLeftCell="AY53" activePane="bottomRight" state="frozen"/>
      <selection pane="topRight" activeCell="E1" sqref="E1"/>
      <selection pane="bottomLeft" activeCell="A6" sqref="A6"/>
      <selection pane="bottomRight" activeCell="BB53" sqref="BB53"/>
    </sheetView>
  </sheetViews>
  <sheetFormatPr baseColWidth="10" defaultColWidth="14.33203125" defaultRowHeight="15" customHeight="1" outlineLevelRow="1" outlineLevelCol="3"/>
  <cols>
    <col min="1" max="1" width="17" customWidth="1"/>
    <col min="2" max="2" width="42.33203125" customWidth="1"/>
    <col min="3" max="3" width="17" customWidth="1"/>
    <col min="4" max="4" width="65" customWidth="1"/>
    <col min="5" max="5" width="23.6640625" customWidth="1"/>
    <col min="6" max="12" width="21" customWidth="1" outlineLevel="2"/>
    <col min="13" max="15" width="28.33203125" customWidth="1" outlineLevel="2"/>
    <col min="16" max="32" width="21.33203125" customWidth="1" outlineLevel="2"/>
    <col min="33" max="33" width="36.33203125" customWidth="1" outlineLevel="2"/>
    <col min="34" max="39" width="21.33203125" customWidth="1" outlineLevel="2"/>
    <col min="40" max="45" width="21.33203125" customWidth="1" outlineLevel="3"/>
    <col min="46" max="56" width="21" customWidth="1" outlineLevel="3"/>
    <col min="57" max="57" width="21" style="658" customWidth="1" outlineLevel="3"/>
    <col min="58" max="62" width="21.33203125" customWidth="1" outlineLevel="3"/>
    <col min="63" max="63" width="36.33203125" customWidth="1" outlineLevel="3"/>
    <col min="64" max="64" width="21.33203125" customWidth="1" outlineLevel="3" collapsed="1"/>
    <col min="65" max="68" width="21.33203125" customWidth="1" outlineLevel="3"/>
    <col min="69" max="69" width="36.33203125" customWidth="1" outlineLevel="3"/>
    <col min="70" max="70" width="56.33203125" customWidth="1" outlineLevel="1"/>
    <col min="71" max="71" width="60.5546875" customWidth="1" outlineLevel="1"/>
    <col min="72" max="72" width="79" customWidth="1"/>
  </cols>
  <sheetData>
    <row r="1" spans="1:72" ht="12.75" customHeight="1" outlineLevel="1">
      <c r="A1" s="64"/>
      <c r="B1" s="64"/>
      <c r="C1" s="64"/>
      <c r="D1" s="64"/>
      <c r="E1" s="64"/>
      <c r="F1" s="65">
        <v>43557</v>
      </c>
      <c r="G1" s="66"/>
      <c r="H1" s="66"/>
      <c r="I1" s="66"/>
      <c r="J1" s="66"/>
      <c r="K1" s="65"/>
      <c r="L1" s="66"/>
      <c r="M1" s="66"/>
      <c r="N1" s="66"/>
      <c r="O1" s="64"/>
      <c r="P1" s="67"/>
      <c r="Q1" s="68" t="s">
        <v>2395</v>
      </c>
      <c r="R1" s="68"/>
      <c r="S1" s="68" t="s">
        <v>2396</v>
      </c>
      <c r="T1" s="68"/>
      <c r="U1" s="68"/>
      <c r="V1" s="67"/>
      <c r="W1" s="68" t="s">
        <v>2395</v>
      </c>
      <c r="X1" s="68"/>
      <c r="Y1" s="68" t="s">
        <v>2396</v>
      </c>
      <c r="Z1" s="68"/>
      <c r="AA1" s="68"/>
      <c r="AB1" s="67"/>
      <c r="AC1" s="68" t="s">
        <v>2395</v>
      </c>
      <c r="AD1" s="68"/>
      <c r="AE1" s="68" t="s">
        <v>2396</v>
      </c>
      <c r="AF1" s="68"/>
      <c r="AG1" s="68"/>
      <c r="AH1" s="67"/>
      <c r="AI1" s="68" t="s">
        <v>2395</v>
      </c>
      <c r="AJ1" s="68"/>
      <c r="AK1" s="68" t="s">
        <v>2396</v>
      </c>
      <c r="AL1" s="68"/>
      <c r="AM1" s="68"/>
      <c r="AN1" s="67"/>
      <c r="AO1" s="68" t="s">
        <v>2395</v>
      </c>
      <c r="AP1" s="68"/>
      <c r="AQ1" s="68" t="s">
        <v>2396</v>
      </c>
      <c r="AR1" s="68"/>
      <c r="AS1" s="68"/>
      <c r="AT1" s="64"/>
      <c r="AU1" s="68" t="s">
        <v>2395</v>
      </c>
      <c r="AV1" s="68"/>
      <c r="AW1" s="68" t="s">
        <v>2396</v>
      </c>
      <c r="AX1" s="68"/>
      <c r="AY1" s="68"/>
      <c r="AZ1" s="64"/>
      <c r="BA1" s="68" t="s">
        <v>2395</v>
      </c>
      <c r="BB1" s="68"/>
      <c r="BC1" s="68" t="s">
        <v>2396</v>
      </c>
      <c r="BD1" s="68"/>
      <c r="BE1" s="654"/>
      <c r="BF1" s="67"/>
      <c r="BG1" s="68" t="s">
        <v>2395</v>
      </c>
      <c r="BH1" s="68"/>
      <c r="BI1" s="68" t="s">
        <v>2396</v>
      </c>
      <c r="BJ1" s="68"/>
      <c r="BK1" s="68"/>
      <c r="BL1" s="816"/>
      <c r="BM1" s="654" t="s">
        <v>2395</v>
      </c>
      <c r="BN1" s="654"/>
      <c r="BO1" s="654" t="s">
        <v>2396</v>
      </c>
      <c r="BP1" s="654"/>
      <c r="BQ1" s="654"/>
      <c r="BR1" s="69"/>
      <c r="BS1" s="69"/>
      <c r="BT1" s="64"/>
    </row>
    <row r="2" spans="1:72" ht="12.75" customHeight="1" outlineLevel="1">
      <c r="A2" s="64"/>
      <c r="B2" s="64"/>
      <c r="C2" s="64"/>
      <c r="D2" s="64"/>
      <c r="E2" s="64"/>
      <c r="F2" s="70">
        <v>0.47</v>
      </c>
      <c r="G2" s="64"/>
      <c r="H2" s="64"/>
      <c r="I2" s="64"/>
      <c r="J2" s="64"/>
      <c r="K2" s="67"/>
      <c r="L2" s="64"/>
      <c r="M2" s="64"/>
      <c r="N2" s="64"/>
      <c r="O2" s="64"/>
      <c r="P2" s="67"/>
      <c r="Q2" s="71">
        <f ca="1">COUNTIF(Q7:Q148,"Referral")</f>
        <v>1</v>
      </c>
      <c r="R2" s="71"/>
      <c r="S2" s="72">
        <f>SUM(S7:S210)</f>
        <v>0</v>
      </c>
      <c r="T2" s="72"/>
      <c r="U2" s="72"/>
      <c r="V2" s="67"/>
      <c r="W2" s="71">
        <f ca="1">COUNTIF(W7:W148,"Referral")</f>
        <v>1</v>
      </c>
      <c r="X2" s="71"/>
      <c r="Y2" s="72">
        <f>SUM(Y7:Y210)</f>
        <v>0</v>
      </c>
      <c r="Z2" s="72"/>
      <c r="AA2" s="72"/>
      <c r="AB2" s="67"/>
      <c r="AC2" s="71">
        <f ca="1">COUNTIF(AC8:AC148,"Referral")</f>
        <v>2</v>
      </c>
      <c r="AD2" s="71"/>
      <c r="AE2" s="72">
        <f>SUM(AE7:AE210)</f>
        <v>0</v>
      </c>
      <c r="AF2" s="72"/>
      <c r="AG2" s="72"/>
      <c r="AH2" s="67"/>
      <c r="AI2" s="71">
        <f ca="1">COUNTIF(AI7:AI148,"Referral")</f>
        <v>2</v>
      </c>
      <c r="AJ2" s="71"/>
      <c r="AK2" s="72">
        <f ca="1">SUM(AK7:AK210)</f>
        <v>0</v>
      </c>
      <c r="AL2" s="72"/>
      <c r="AM2" s="72"/>
      <c r="AN2" s="67"/>
      <c r="AO2" s="71">
        <f ca="1">COUNTIF(AO7:AO148,"Referral")</f>
        <v>1</v>
      </c>
      <c r="AP2" s="71"/>
      <c r="AQ2" s="72">
        <f>SUM(AQ7:AQ210)</f>
        <v>0</v>
      </c>
      <c r="AR2" s="72"/>
      <c r="AS2" s="72"/>
      <c r="AT2" s="64"/>
      <c r="AU2" s="71">
        <f ca="1">COUNTIF(AU7:AU148,"Referral")</f>
        <v>1</v>
      </c>
      <c r="AV2" s="71"/>
      <c r="AW2" s="72">
        <f>SUM(AW7:AW210)</f>
        <v>0</v>
      </c>
      <c r="AX2" s="72"/>
      <c r="AY2" s="72"/>
      <c r="AZ2" s="64"/>
      <c r="BA2" s="71">
        <f>COUNTIF(BA7:BA148,"Referral")</f>
        <v>0</v>
      </c>
      <c r="BB2" s="71"/>
      <c r="BC2" s="72">
        <f>SUM(BC7:BC210)</f>
        <v>0</v>
      </c>
      <c r="BD2" s="72"/>
      <c r="BE2" s="655"/>
      <c r="BF2" s="67"/>
      <c r="BG2" s="71">
        <f ca="1">COUNTIF(BG8:BG148,"Referral")</f>
        <v>0</v>
      </c>
      <c r="BH2" s="71"/>
      <c r="BI2" s="72">
        <f>SUM(BI7:BI210)</f>
        <v>0</v>
      </c>
      <c r="BJ2" s="72"/>
      <c r="BK2" s="72"/>
      <c r="BL2" s="817"/>
      <c r="BM2" s="655"/>
      <c r="BN2" s="655"/>
      <c r="BO2" s="655"/>
      <c r="BP2" s="655"/>
      <c r="BQ2" s="655"/>
      <c r="BR2" s="69"/>
      <c r="BS2" s="69"/>
      <c r="BT2" s="64"/>
    </row>
    <row r="3" spans="1:72" ht="12.75" customHeight="1" outlineLevel="1">
      <c r="A3" s="64"/>
      <c r="B3" s="64"/>
      <c r="C3" s="64"/>
      <c r="D3" s="64"/>
      <c r="E3" s="64"/>
      <c r="F3" s="67" t="s">
        <v>2397</v>
      </c>
      <c r="G3" s="64"/>
      <c r="H3" s="64"/>
      <c r="I3" s="64"/>
      <c r="J3" s="64"/>
      <c r="K3" s="67"/>
      <c r="L3" s="64"/>
      <c r="M3" s="64"/>
      <c r="N3" s="64"/>
      <c r="O3" s="64"/>
      <c r="P3" s="67"/>
      <c r="Q3" s="64"/>
      <c r="R3" s="64"/>
      <c r="S3" s="64"/>
      <c r="T3" s="64"/>
      <c r="U3" s="64"/>
      <c r="V3" s="67"/>
      <c r="W3" s="64"/>
      <c r="X3" s="64"/>
      <c r="Y3" s="64"/>
      <c r="Z3" s="64"/>
      <c r="AA3" s="64"/>
      <c r="AB3" s="67"/>
      <c r="AC3" s="64"/>
      <c r="AD3" s="64"/>
      <c r="AE3" s="64"/>
      <c r="AF3" s="64"/>
      <c r="AG3" s="64"/>
      <c r="AH3" s="67"/>
      <c r="AI3" s="64">
        <f>NewlineEigenkapitalquote</f>
        <v>0</v>
      </c>
      <c r="AJ3" s="64"/>
      <c r="AK3" s="64"/>
      <c r="AL3" s="64"/>
      <c r="AM3" s="64"/>
      <c r="AN3" s="67"/>
      <c r="AO3" s="64"/>
      <c r="AP3" s="64"/>
      <c r="AQ3" s="64"/>
      <c r="AR3" s="64"/>
      <c r="AS3" s="64"/>
      <c r="AT3" s="64"/>
      <c r="AU3" s="64">
        <f>WVAGEigenkapitalquote</f>
        <v>0</v>
      </c>
      <c r="AV3" s="64"/>
      <c r="AW3" s="64"/>
      <c r="AX3" s="64"/>
      <c r="AY3" s="64"/>
      <c r="AZ3" s="64"/>
      <c r="BA3" s="64"/>
      <c r="BB3" s="64"/>
      <c r="BC3" s="64"/>
      <c r="BD3" s="64"/>
      <c r="BE3" s="657"/>
      <c r="BF3" s="67"/>
      <c r="BG3" s="64"/>
      <c r="BH3" s="64"/>
      <c r="BI3" s="64"/>
      <c r="BJ3" s="64"/>
      <c r="BK3" s="64"/>
      <c r="BL3" s="64"/>
      <c r="BM3" s="64"/>
      <c r="BN3" s="64"/>
      <c r="BO3" s="64"/>
      <c r="BP3" s="64"/>
      <c r="BQ3" s="64"/>
      <c r="BR3" s="69"/>
      <c r="BS3" s="69"/>
      <c r="BT3" s="64"/>
    </row>
    <row r="4" spans="1:72" ht="36" customHeight="1">
      <c r="A4" s="73"/>
      <c r="B4" s="73"/>
      <c r="C4" s="73"/>
      <c r="D4" s="74"/>
      <c r="E4" s="75" t="s">
        <v>57</v>
      </c>
      <c r="F4" s="1036" t="s">
        <v>2398</v>
      </c>
      <c r="G4" s="1032"/>
      <c r="H4" s="1032"/>
      <c r="I4" s="1032"/>
      <c r="J4" s="1037"/>
      <c r="K4" s="1038" t="s">
        <v>2399</v>
      </c>
      <c r="L4" s="1032"/>
      <c r="M4" s="1032"/>
      <c r="N4" s="1032"/>
      <c r="O4" s="1037"/>
      <c r="P4" s="1031" t="s">
        <v>2400</v>
      </c>
      <c r="Q4" s="1032"/>
      <c r="R4" s="1032"/>
      <c r="S4" s="1032"/>
      <c r="T4" s="1032"/>
      <c r="U4" s="1037"/>
      <c r="V4" s="1031" t="s">
        <v>2391</v>
      </c>
      <c r="W4" s="1032"/>
      <c r="X4" s="1032"/>
      <c r="Y4" s="1032"/>
      <c r="Z4" s="1032"/>
      <c r="AA4" s="1033"/>
      <c r="AB4" s="1031" t="s">
        <v>2392</v>
      </c>
      <c r="AC4" s="1032"/>
      <c r="AD4" s="1032"/>
      <c r="AE4" s="1032"/>
      <c r="AF4" s="1032"/>
      <c r="AG4" s="1033"/>
      <c r="AH4" s="1031" t="s">
        <v>2401</v>
      </c>
      <c r="AI4" s="1032"/>
      <c r="AJ4" s="1032"/>
      <c r="AK4" s="1032"/>
      <c r="AL4" s="1032"/>
      <c r="AM4" s="1033"/>
      <c r="AN4" s="1031" t="s">
        <v>2393</v>
      </c>
      <c r="AO4" s="1032"/>
      <c r="AP4" s="1032"/>
      <c r="AQ4" s="1032"/>
      <c r="AR4" s="1032"/>
      <c r="AS4" s="1033"/>
      <c r="AT4" s="1031" t="s">
        <v>2402</v>
      </c>
      <c r="AU4" s="1032"/>
      <c r="AV4" s="1032"/>
      <c r="AW4" s="1032"/>
      <c r="AX4" s="1032"/>
      <c r="AY4" s="1033"/>
      <c r="AZ4" s="1031" t="s">
        <v>3727</v>
      </c>
      <c r="BA4" s="1032"/>
      <c r="BB4" s="1032"/>
      <c r="BC4" s="1032"/>
      <c r="BD4" s="1032"/>
      <c r="BE4" s="1033"/>
      <c r="BF4" s="1031" t="s">
        <v>3747</v>
      </c>
      <c r="BG4" s="1032"/>
      <c r="BH4" s="1032"/>
      <c r="BI4" s="1032"/>
      <c r="BJ4" s="1032"/>
      <c r="BK4" s="1033"/>
      <c r="BL4" s="1031" t="s">
        <v>3796</v>
      </c>
      <c r="BM4" s="1032"/>
      <c r="BN4" s="1032"/>
      <c r="BO4" s="1032"/>
      <c r="BP4" s="1039"/>
      <c r="BQ4" s="1032"/>
      <c r="BR4" s="77"/>
      <c r="BS4" s="77"/>
      <c r="BT4" s="76"/>
    </row>
    <row r="5" spans="1:72" ht="84.45" customHeight="1">
      <c r="A5" s="78" t="s">
        <v>2403</v>
      </c>
      <c r="B5" s="78" t="s">
        <v>2404</v>
      </c>
      <c r="C5" s="79" t="s">
        <v>2405</v>
      </c>
      <c r="D5" s="80" t="s">
        <v>2406</v>
      </c>
      <c r="E5" s="80" t="s">
        <v>2407</v>
      </c>
      <c r="F5" s="81" t="s">
        <v>2408</v>
      </c>
      <c r="G5" s="82" t="s">
        <v>2409</v>
      </c>
      <c r="H5" s="83" t="s">
        <v>2410</v>
      </c>
      <c r="I5" s="80" t="s">
        <v>2411</v>
      </c>
      <c r="J5" s="80" t="s">
        <v>2412</v>
      </c>
      <c r="K5" s="81" t="s">
        <v>2408</v>
      </c>
      <c r="L5" s="82" t="s">
        <v>2409</v>
      </c>
      <c r="M5" s="83" t="s">
        <v>2410</v>
      </c>
      <c r="N5" s="80" t="s">
        <v>2411</v>
      </c>
      <c r="O5" s="80" t="s">
        <v>2412</v>
      </c>
      <c r="P5" s="84" t="s">
        <v>2413</v>
      </c>
      <c r="Q5" s="85" t="s">
        <v>2414</v>
      </c>
      <c r="R5" s="85" t="s">
        <v>2415</v>
      </c>
      <c r="S5" s="85" t="s">
        <v>2416</v>
      </c>
      <c r="T5" s="86" t="s">
        <v>2417</v>
      </c>
      <c r="U5" s="85" t="s">
        <v>2418</v>
      </c>
      <c r="V5" s="84" t="s">
        <v>2413</v>
      </c>
      <c r="W5" s="85" t="s">
        <v>2414</v>
      </c>
      <c r="X5" s="85" t="s">
        <v>2415</v>
      </c>
      <c r="Y5" s="85" t="s">
        <v>2416</v>
      </c>
      <c r="Z5" s="86" t="s">
        <v>2417</v>
      </c>
      <c r="AA5" s="85" t="s">
        <v>2418</v>
      </c>
      <c r="AB5" s="84" t="s">
        <v>2413</v>
      </c>
      <c r="AC5" s="85" t="s">
        <v>2414</v>
      </c>
      <c r="AD5" s="85" t="s">
        <v>2415</v>
      </c>
      <c r="AE5" s="85" t="s">
        <v>2416</v>
      </c>
      <c r="AF5" s="86" t="s">
        <v>2417</v>
      </c>
      <c r="AG5" s="85" t="s">
        <v>2418</v>
      </c>
      <c r="AH5" s="84" t="s">
        <v>2413</v>
      </c>
      <c r="AI5" s="85" t="s">
        <v>2414</v>
      </c>
      <c r="AJ5" s="85" t="s">
        <v>2415</v>
      </c>
      <c r="AK5" s="85" t="s">
        <v>2416</v>
      </c>
      <c r="AL5" s="86" t="s">
        <v>2417</v>
      </c>
      <c r="AM5" s="85" t="s">
        <v>2418</v>
      </c>
      <c r="AN5" s="84" t="s">
        <v>2413</v>
      </c>
      <c r="AO5" s="85" t="s">
        <v>2414</v>
      </c>
      <c r="AP5" s="85" t="s">
        <v>2415</v>
      </c>
      <c r="AQ5" s="85" t="s">
        <v>2416</v>
      </c>
      <c r="AR5" s="86" t="s">
        <v>2417</v>
      </c>
      <c r="AS5" s="85" t="s">
        <v>2418</v>
      </c>
      <c r="AT5" s="84" t="s">
        <v>2413</v>
      </c>
      <c r="AU5" s="85" t="s">
        <v>2414</v>
      </c>
      <c r="AV5" s="85" t="s">
        <v>2415</v>
      </c>
      <c r="AW5" s="85" t="s">
        <v>2416</v>
      </c>
      <c r="AX5" s="86" t="s">
        <v>2417</v>
      </c>
      <c r="AY5" s="85" t="s">
        <v>2418</v>
      </c>
      <c r="AZ5" s="84" t="s">
        <v>2413</v>
      </c>
      <c r="BA5" s="85" t="s">
        <v>2414</v>
      </c>
      <c r="BB5" s="85" t="s">
        <v>2415</v>
      </c>
      <c r="BC5" s="85" t="s">
        <v>2416</v>
      </c>
      <c r="BD5" s="86" t="s">
        <v>2417</v>
      </c>
      <c r="BE5" s="656" t="s">
        <v>2418</v>
      </c>
      <c r="BF5" s="84" t="s">
        <v>2413</v>
      </c>
      <c r="BG5" s="85" t="s">
        <v>2414</v>
      </c>
      <c r="BH5" s="85" t="s">
        <v>2415</v>
      </c>
      <c r="BI5" s="85" t="s">
        <v>2416</v>
      </c>
      <c r="BJ5" s="86" t="s">
        <v>2417</v>
      </c>
      <c r="BK5" s="85" t="s">
        <v>2418</v>
      </c>
      <c r="BL5" s="818" t="s">
        <v>2413</v>
      </c>
      <c r="BM5" s="656" t="s">
        <v>2414</v>
      </c>
      <c r="BN5" s="656" t="s">
        <v>2415</v>
      </c>
      <c r="BO5" s="656" t="s">
        <v>2416</v>
      </c>
      <c r="BP5" s="656" t="s">
        <v>2417</v>
      </c>
      <c r="BQ5" s="821" t="s">
        <v>2418</v>
      </c>
      <c r="BR5" s="1034" t="s">
        <v>2419</v>
      </c>
      <c r="BS5" s="1035"/>
      <c r="BT5" s="87"/>
    </row>
    <row r="6" spans="1:72" ht="32.25" customHeight="1">
      <c r="A6" s="88"/>
      <c r="B6" s="88"/>
      <c r="C6" s="88"/>
      <c r="D6" s="88"/>
      <c r="E6" s="88"/>
      <c r="F6" s="89"/>
      <c r="G6" s="638"/>
      <c r="H6" s="88"/>
      <c r="I6" s="88"/>
      <c r="J6" s="88"/>
      <c r="K6" s="89"/>
      <c r="M6" s="88"/>
      <c r="N6" s="88"/>
      <c r="O6" s="88"/>
      <c r="P6" s="90" t="str">
        <f ca="1">IF(R6&gt;0,OfferDeclined,IF(Q6&gt;0,OfferReferral,OfferReady))</f>
        <v>OFFER_REFERRAL</v>
      </c>
      <c r="Q6" s="91">
        <f ca="1">COUNTIF(Q7:Q151,Referral)</f>
        <v>1</v>
      </c>
      <c r="R6" s="91">
        <f>COUNTIF(R7:R151,"KO Trigger")</f>
        <v>0</v>
      </c>
      <c r="S6" s="91">
        <f>SUM(S7:S151)</f>
        <v>0</v>
      </c>
      <c r="T6" s="91" t="str">
        <f>CONCATENATE(T24,",",dualDefaultKlauseln)</f>
        <v>,</v>
      </c>
      <c r="U6" s="91">
        <f>MIN(U7:U151)</f>
        <v>0</v>
      </c>
      <c r="V6" s="90" t="str">
        <f ca="1">IF(X6&gt;0,OfferDeclined,IF(W6&gt;0,OfferReferral,OfferReady))</f>
        <v>OFFER_REFERRAL</v>
      </c>
      <c r="W6" s="91">
        <f ca="1">COUNTIF(W7:W151,Referral)</f>
        <v>1</v>
      </c>
      <c r="X6" s="91">
        <f>COUNTIF(X7:X151,"KO Trigger")</f>
        <v>0</v>
      </c>
      <c r="Y6" s="91">
        <f>SUM(Y7:Y151)</f>
        <v>0</v>
      </c>
      <c r="Z6" s="91" t="str">
        <f>CONCATENATE(Z24,",",aigDefaultKlauseln)</f>
        <v>,</v>
      </c>
      <c r="AA6" s="91">
        <f>MIN(AA7:AA151)</f>
        <v>0</v>
      </c>
      <c r="AB6" s="90" t="str">
        <f ca="1">IF(AD6&gt;0,OfferDeclined,IF(AC6&gt;0,OfferReferral,OfferReady))</f>
        <v>OFFER_REFERRAL</v>
      </c>
      <c r="AC6" s="91">
        <f ca="1">COUNTIF(AC7:AC151,Referral)</f>
        <v>2</v>
      </c>
      <c r="AD6" s="91">
        <f>COUNTIF(AD7:AD151,"KO Trigger")</f>
        <v>0</v>
      </c>
      <c r="AE6" s="92">
        <f>SUM(AE7:AE151)</f>
        <v>0</v>
      </c>
      <c r="AF6" s="91" t="str">
        <f>CONCATENATE(AF24,",",berkleyDefaultKlauseln)</f>
        <v>,</v>
      </c>
      <c r="AG6" s="91">
        <f>MIN(AG7:AG151)</f>
        <v>0</v>
      </c>
      <c r="AH6" s="90" t="str">
        <f ca="1">IF(AJ6&gt;0,OfferDeclined,IF(AI6&gt;0,OfferReferral,OfferReady))</f>
        <v>OFFER_REFERRAL</v>
      </c>
      <c r="AI6" s="91">
        <f ca="1">COUNTIF(AI7:AI151,Referral)</f>
        <v>3</v>
      </c>
      <c r="AJ6" s="91">
        <f>COUNTIF(AJ7:AJ151,"KO Trigger")</f>
        <v>0</v>
      </c>
      <c r="AK6" s="92">
        <f ca="1">SUM(AK7:AK151)</f>
        <v>0</v>
      </c>
      <c r="AL6" s="91" t="str">
        <f>CONCATENATE(AL24,",",newlineDefaultKlauseln)</f>
        <v>,</v>
      </c>
      <c r="AM6" s="91">
        <f>MIN(AM7:AM151)</f>
        <v>0</v>
      </c>
      <c r="AN6" s="90" t="str">
        <f>IF(AP6&gt;0,OfferDeclined,IF(AO6&gt;0,OfferReferral,OfferReady))</f>
        <v>OFFER_DECLINED</v>
      </c>
      <c r="AO6" s="91">
        <f ca="1">COUNTIF(AO7:AO151,Referral)</f>
        <v>2</v>
      </c>
      <c r="AP6" s="91">
        <f>COUNTIF(AP7:AP151,"KO Trigger") + IF(COUNTIF(AO53:AO59,"Referral")&gt;1,1,0)</f>
        <v>1</v>
      </c>
      <c r="AQ6" s="92">
        <f>SUM(AQ7:AQ151)</f>
        <v>0</v>
      </c>
      <c r="AR6" s="91" t="str">
        <f>CONCATENATE(AR24,",",AR150,",",axaDefaultKlauseln)</f>
        <v>,,</v>
      </c>
      <c r="AS6" s="91">
        <f>MIN(AS7:AS151)</f>
        <v>0</v>
      </c>
      <c r="AT6" s="90" t="str">
        <f ca="1">IF(AV6&gt;0,OfferDeclined,IF(AU6&gt;0,OfferReferral,OfferReady))</f>
        <v>OFFER_REFERRAL</v>
      </c>
      <c r="AU6" s="91">
        <f ca="1">COUNTIF(AU7:AU151,Referral)</f>
        <v>1</v>
      </c>
      <c r="AV6" s="91">
        <f>COUNTIF(AV7:AV151,"KO Trigger")</f>
        <v>0</v>
      </c>
      <c r="AW6" s="92">
        <f>SUM(AW7:AW151)</f>
        <v>0</v>
      </c>
      <c r="AX6" s="91" t="str">
        <f>CONCATENATE(AX24,",",wvagDefaultKlauseln)</f>
        <v>,</v>
      </c>
      <c r="AY6" s="91">
        <f>MIN(AY7:AY151)</f>
        <v>0</v>
      </c>
      <c r="AZ6" s="90" t="str">
        <f ca="1">IF(BB6&gt;0,OfferDeclined,IF(BA6&gt;0,OfferReferral,OfferReady))</f>
        <v>OFFER_DECLINED</v>
      </c>
      <c r="BA6" s="775">
        <f>COUNTIF(BA7:BA151,Referral)</f>
        <v>0</v>
      </c>
      <c r="BB6" s="775">
        <f ca="1">COUNTIF(BB7:BB151,"KO Trigger")</f>
        <v>1</v>
      </c>
      <c r="BC6" s="775">
        <f>SUM(BC7:BC151)</f>
        <v>0</v>
      </c>
      <c r="BD6" s="775" t="str">
        <f>CONCATENATE(BD24, ",",markelDefaultKlauseln)</f>
        <v>,</v>
      </c>
      <c r="BE6" s="775">
        <f>MIN(BE7:BE151)</f>
        <v>0</v>
      </c>
      <c r="BF6" s="90" t="str">
        <f ca="1">IF(BH6&gt;0,OfferDeclined,IF(BG6&gt;0,OfferReferral,OfferReady))</f>
        <v>OFFER_READY_FOR_POLICY</v>
      </c>
      <c r="BG6" s="91">
        <f ca="1">COUNTIF(BG7:BG151,Referral)</f>
        <v>0</v>
      </c>
      <c r="BH6" s="91">
        <f>COUNTIF(BH7:BH151,"KO Trigger")</f>
        <v>0</v>
      </c>
      <c r="BI6" s="92">
        <f>SUM(BI7:BI151)</f>
        <v>0</v>
      </c>
      <c r="BJ6" s="91" t="str">
        <f>CONCATENATE(BJ24,",",libertyDefaultKlauseln)</f>
        <v>,</v>
      </c>
      <c r="BK6" s="91">
        <f>MIN(BK7:BK151)</f>
        <v>0</v>
      </c>
      <c r="BL6" s="819" t="str">
        <f ca="1">IF(BN6&gt;0,OfferDeclined,IF(BM6&gt;0,OfferReferral,OfferReady))</f>
        <v>OFFER_DECLINED</v>
      </c>
      <c r="BM6" s="775">
        <f>COUNTIF(BM7:BM151,Referral)</f>
        <v>1</v>
      </c>
      <c r="BN6" s="775">
        <f ca="1">COUNTIF(BN7:BN151,"KO Trigger")</f>
        <v>1</v>
      </c>
      <c r="BO6" s="92">
        <f>SUM(BO7:BO151)</f>
        <v>0</v>
      </c>
      <c r="BP6" s="775" t="str">
        <f>CONCATENATE(BP24,BP34,",",BP149,",",ergoDefaultKlauseln)</f>
        <v>,ergo_nettoisierung:group-4,</v>
      </c>
      <c r="BQ6" s="820"/>
      <c r="BR6" s="93" t="s">
        <v>2420</v>
      </c>
      <c r="BS6" s="93" t="s">
        <v>2421</v>
      </c>
      <c r="BT6" s="94"/>
    </row>
    <row r="7" spans="1:72" ht="12.75" customHeight="1">
      <c r="A7" s="64" t="s">
        <v>2422</v>
      </c>
      <c r="B7" s="64" t="s">
        <v>2423</v>
      </c>
      <c r="C7" s="64" t="s">
        <v>2424</v>
      </c>
      <c r="D7" s="64" t="s">
        <v>2425</v>
      </c>
      <c r="E7" s="64"/>
      <c r="F7" s="67"/>
      <c r="G7" s="3"/>
      <c r="H7" s="64" t="s">
        <v>2426</v>
      </c>
      <c r="I7" s="64"/>
      <c r="J7" s="64"/>
      <c r="K7" s="67"/>
      <c r="M7" s="64" t="s">
        <v>2426</v>
      </c>
      <c r="N7" s="64" t="s">
        <v>2423</v>
      </c>
      <c r="O7" s="64"/>
      <c r="P7" s="67" t="s">
        <v>17</v>
      </c>
      <c r="Q7" s="64"/>
      <c r="R7" s="64"/>
      <c r="S7" s="64"/>
      <c r="T7" s="64"/>
      <c r="U7" s="95"/>
      <c r="V7" s="67" t="s">
        <v>17</v>
      </c>
      <c r="W7" s="64"/>
      <c r="X7" s="64"/>
      <c r="Y7" s="64"/>
      <c r="Z7" s="64"/>
      <c r="AA7" s="95"/>
      <c r="AB7" s="67" t="s">
        <v>17</v>
      </c>
      <c r="AC7" s="64"/>
      <c r="AD7" s="64"/>
      <c r="AE7" s="64"/>
      <c r="AF7" s="64"/>
      <c r="AG7" s="95"/>
      <c r="AH7" s="67" t="s">
        <v>17</v>
      </c>
      <c r="AI7" s="64"/>
      <c r="AJ7" s="64"/>
      <c r="AK7" s="64"/>
      <c r="AL7" s="64"/>
      <c r="AM7" s="95"/>
      <c r="AN7" s="67" t="s">
        <v>17</v>
      </c>
      <c r="AO7" s="64"/>
      <c r="AP7" s="64"/>
      <c r="AQ7" s="64"/>
      <c r="AR7" s="64"/>
      <c r="AS7" s="64"/>
      <c r="AT7" s="67" t="s">
        <v>17</v>
      </c>
      <c r="AU7" s="64"/>
      <c r="AV7" s="64"/>
      <c r="AW7" s="64"/>
      <c r="AX7" s="64"/>
      <c r="AY7" s="64"/>
      <c r="AZ7" s="588" t="s">
        <v>17</v>
      </c>
      <c r="BA7" s="657"/>
      <c r="BB7" s="657"/>
      <c r="BC7" s="657"/>
      <c r="BD7" s="657"/>
      <c r="BE7" s="657"/>
      <c r="BF7" s="67" t="s">
        <v>17</v>
      </c>
      <c r="BG7" s="64"/>
      <c r="BH7" s="64"/>
      <c r="BI7" s="64"/>
      <c r="BJ7" s="64"/>
      <c r="BK7" s="95"/>
      <c r="BL7" s="67" t="s">
        <v>17</v>
      </c>
      <c r="BM7" s="657"/>
      <c r="BN7" s="657"/>
      <c r="BO7" s="657"/>
      <c r="BP7" s="657"/>
      <c r="BQ7" s="788"/>
      <c r="BR7" s="96"/>
      <c r="BS7" s="96">
        <f>BR7</f>
        <v>0</v>
      </c>
      <c r="BT7" s="64"/>
    </row>
    <row r="8" spans="1:72" ht="12.75" customHeight="1">
      <c r="A8" s="64" t="s">
        <v>2422</v>
      </c>
      <c r="B8" s="64" t="s">
        <v>2427</v>
      </c>
      <c r="C8" s="64" t="s">
        <v>2428</v>
      </c>
      <c r="D8" s="64" t="s">
        <v>2429</v>
      </c>
      <c r="E8" s="64"/>
      <c r="F8" s="67" t="str">
        <f>VLOOKUP(TEXT(giLegalForm,0),'Listen-Daten DigPos'!G3:H43,2,FALSE)</f>
        <v>andere</v>
      </c>
      <c r="H8" s="64" t="s">
        <v>2430</v>
      </c>
      <c r="I8" s="97" t="s">
        <v>2431</v>
      </c>
      <c r="J8" s="64" t="e">
        <f>VLOOKUP(F8,'Listen-Daten'!A2:B41,2,FALSE)</f>
        <v>#N/A</v>
      </c>
      <c r="K8" s="67" t="str">
        <f>VLOOKUP(TEXT(StammDaten2,0),'Listen-Daten DigPos'!G3:H43,2,FALSE)</f>
        <v>andere</v>
      </c>
      <c r="L8" s="3"/>
      <c r="M8" s="64" t="s">
        <v>2430</v>
      </c>
      <c r="N8" s="64" t="s">
        <v>2427</v>
      </c>
      <c r="O8" s="64" t="str">
        <f>_xlfn.IFNA(VLOOKUP(K8,'Listen-Daten'!A2:B41,2,FALSE),"")</f>
        <v/>
      </c>
      <c r="P8" s="67" t="s">
        <v>2432</v>
      </c>
      <c r="Q8" s="657" t="str">
        <f>IF(K8 ="Einzelunternehmen", Referral, Dunkelverarbeitung)</f>
        <v>Dunkelverarbeitung</v>
      </c>
      <c r="R8" s="64"/>
      <c r="S8" s="64"/>
      <c r="T8" s="64"/>
      <c r="U8" s="95"/>
      <c r="V8" s="67" t="s">
        <v>2432</v>
      </c>
      <c r="W8" s="657" t="str">
        <f>IF(K8="Einzelunternehmen", Referral, Dunkelverarbeitung)</f>
        <v>Dunkelverarbeitung</v>
      </c>
      <c r="X8" s="64"/>
      <c r="Y8" s="64"/>
      <c r="Z8" s="64"/>
      <c r="AA8" s="95"/>
      <c r="AB8" s="67" t="s">
        <v>2432</v>
      </c>
      <c r="AC8" s="657" t="str">
        <f>IF(K8="Einzelunternehmen", Referral, Dunkelverarbeitung)</f>
        <v>Dunkelverarbeitung</v>
      </c>
      <c r="AD8" s="64"/>
      <c r="AE8" s="64"/>
      <c r="AF8" s="64"/>
      <c r="AG8" s="95"/>
      <c r="AH8" s="67" t="s">
        <v>17</v>
      </c>
      <c r="AI8" s="657" t="str">
        <f>IF(OR($K$8="PartG",$K$8="GbR"), Referral, Dunkelverarbeitung)</f>
        <v>Dunkelverarbeitung</v>
      </c>
      <c r="AJ8" s="64"/>
      <c r="AK8" s="64"/>
      <c r="AL8" s="64"/>
      <c r="AM8" s="95"/>
      <c r="AN8" s="67" t="s">
        <v>2432</v>
      </c>
      <c r="AO8" s="657" t="str">
        <f>IF(K8="Einzelunternehmen", Referral, Dunkelverarbeitung)</f>
        <v>Dunkelverarbeitung</v>
      </c>
      <c r="AP8" s="64"/>
      <c r="AQ8" s="64"/>
      <c r="AR8" s="64"/>
      <c r="AS8" s="64"/>
      <c r="AT8" s="67" t="s">
        <v>2432</v>
      </c>
      <c r="AU8" s="99" t="str">
        <f>IF(OR(K8= "gGmbH",K8 ="gAG",K8 ="UG",K8 ="Einzelunternehmen"), Referral, Dunkelverarbeitung)</f>
        <v>Dunkelverarbeitung</v>
      </c>
      <c r="AV8" s="100" t="str">
        <f>IF(K8= "GbR", "KO Trigger", Dunkelverarbeitung)</f>
        <v>Dunkelverarbeitung</v>
      </c>
      <c r="AW8" s="101"/>
      <c r="AX8" s="64"/>
      <c r="AY8" s="64"/>
      <c r="AZ8" s="588" t="s">
        <v>2432</v>
      </c>
      <c r="BA8" s="657"/>
      <c r="BB8" s="657" t="str">
        <f>IF(OR(K8="Einzelunternehmen",K8="e.K."),KO_Trigger, Dunkelverarbeitung)</f>
        <v>Dunkelverarbeitung</v>
      </c>
      <c r="BC8" s="657"/>
      <c r="BD8" s="657"/>
      <c r="BE8" s="657"/>
      <c r="BF8" s="67" t="s">
        <v>2432</v>
      </c>
      <c r="BG8" s="657" t="str">
        <f>IF(K8 ="Einzelunternehmen", Referral, Dunkelverarbeitung)</f>
        <v>Dunkelverarbeitung</v>
      </c>
      <c r="BH8" s="64"/>
      <c r="BI8" s="64"/>
      <c r="BJ8" s="64"/>
      <c r="BK8" s="95"/>
      <c r="BL8" s="67" t="s">
        <v>2432</v>
      </c>
      <c r="BM8" s="657" t="str">
        <f>IF(OR(K8= "LLP",K8 ="GbR",K8 ="KG",K8="OHG",K8 ="Einzelunternehmen"), Referral, Dunkelverarbeitung)</f>
        <v>Dunkelverarbeitung</v>
      </c>
      <c r="BN8" s="657"/>
      <c r="BO8" s="657"/>
      <c r="BP8" s="657"/>
      <c r="BQ8" s="788"/>
      <c r="BR8" s="96" t="s">
        <v>2433</v>
      </c>
      <c r="BS8" s="96" t="s">
        <v>2433</v>
      </c>
      <c r="BT8" s="64"/>
    </row>
    <row r="9" spans="1:72" ht="12.75" customHeight="1">
      <c r="A9" s="64" t="s">
        <v>2422</v>
      </c>
      <c r="B9" s="64" t="s">
        <v>2434</v>
      </c>
      <c r="C9" s="64" t="s">
        <v>2428</v>
      </c>
      <c r="D9" s="64" t="s">
        <v>2435</v>
      </c>
      <c r="E9" s="64"/>
      <c r="F9" s="67"/>
      <c r="H9" s="64"/>
      <c r="I9" s="97"/>
      <c r="J9" s="64"/>
      <c r="K9" s="67"/>
      <c r="M9" s="64"/>
      <c r="N9" s="64" t="s">
        <v>2434</v>
      </c>
      <c r="O9" s="64"/>
      <c r="P9" s="67" t="s">
        <v>17</v>
      </c>
      <c r="Q9" s="64"/>
      <c r="R9" s="64"/>
      <c r="S9" s="64"/>
      <c r="T9" s="64"/>
      <c r="U9" s="95"/>
      <c r="V9" s="67" t="s">
        <v>17</v>
      </c>
      <c r="W9" s="64"/>
      <c r="X9" s="64"/>
      <c r="Y9" s="64"/>
      <c r="Z9" s="64"/>
      <c r="AA9" s="95"/>
      <c r="AB9" s="67" t="s">
        <v>17</v>
      </c>
      <c r="AC9" s="64"/>
      <c r="AD9" s="64"/>
      <c r="AE9" s="64"/>
      <c r="AF9" s="64"/>
      <c r="AG9" s="95"/>
      <c r="AH9" s="67" t="s">
        <v>17</v>
      </c>
      <c r="AI9" s="64"/>
      <c r="AJ9" s="64"/>
      <c r="AK9" s="64"/>
      <c r="AL9" s="64"/>
      <c r="AM9" s="95"/>
      <c r="AN9" s="67" t="s">
        <v>17</v>
      </c>
      <c r="AO9" s="64"/>
      <c r="AP9" s="64"/>
      <c r="AQ9" s="64"/>
      <c r="AR9" s="64"/>
      <c r="AS9" s="64"/>
      <c r="AT9" s="67" t="s">
        <v>17</v>
      </c>
      <c r="AU9" s="64"/>
      <c r="AV9" s="64"/>
      <c r="AW9" s="64"/>
      <c r="AX9" s="64"/>
      <c r="AY9" s="64"/>
      <c r="AZ9" s="588" t="s">
        <v>17</v>
      </c>
      <c r="BA9" s="657"/>
      <c r="BB9" s="657"/>
      <c r="BC9" s="657"/>
      <c r="BD9" s="657"/>
      <c r="BE9" s="657"/>
      <c r="BF9" s="67" t="s">
        <v>17</v>
      </c>
      <c r="BG9" s="64"/>
      <c r="BH9" s="64"/>
      <c r="BI9" s="64"/>
      <c r="BJ9" s="64"/>
      <c r="BK9" s="95"/>
      <c r="BL9" s="67" t="s">
        <v>17</v>
      </c>
      <c r="BM9" s="657"/>
      <c r="BN9" s="657"/>
      <c r="BO9" s="657"/>
      <c r="BP9" s="657"/>
      <c r="BQ9" s="788"/>
      <c r="BR9" s="96"/>
      <c r="BS9" s="96">
        <f t="shared" ref="BS9:BS149" si="0">BR9</f>
        <v>0</v>
      </c>
      <c r="BT9" s="64"/>
    </row>
    <row r="10" spans="1:72" ht="12.75" customHeight="1">
      <c r="A10" s="64" t="s">
        <v>2422</v>
      </c>
      <c r="B10" s="64" t="s">
        <v>2436</v>
      </c>
      <c r="C10" s="64" t="s">
        <v>2428</v>
      </c>
      <c r="D10" s="64" t="s">
        <v>2437</v>
      </c>
      <c r="E10" s="64"/>
      <c r="F10" s="67"/>
      <c r="H10" s="64" t="s">
        <v>2438</v>
      </c>
      <c r="I10" s="64"/>
      <c r="J10" s="64"/>
      <c r="K10" s="67" t="str">
        <f>IF(L10="YES","ja",IF(L10="NO","nein",""))</f>
        <v/>
      </c>
      <c r="M10" s="64" t="s">
        <v>2438</v>
      </c>
      <c r="N10" s="64" t="s">
        <v>2436</v>
      </c>
      <c r="O10" s="64"/>
      <c r="P10" s="67" t="s">
        <v>17</v>
      </c>
      <c r="Q10" s="64"/>
      <c r="R10" s="64"/>
      <c r="S10" s="64"/>
      <c r="T10" s="64"/>
      <c r="U10" s="95"/>
      <c r="V10" s="67" t="s">
        <v>17</v>
      </c>
      <c r="W10" s="64"/>
      <c r="X10" s="64"/>
      <c r="Y10" s="64"/>
      <c r="Z10" s="64"/>
      <c r="AA10" s="95"/>
      <c r="AB10" s="67" t="s">
        <v>17</v>
      </c>
      <c r="AC10" s="64"/>
      <c r="AD10" s="64"/>
      <c r="AE10" s="64"/>
      <c r="AF10" s="64"/>
      <c r="AG10" s="95"/>
      <c r="AH10" s="67" t="s">
        <v>17</v>
      </c>
      <c r="AI10" s="64"/>
      <c r="AJ10" s="64"/>
      <c r="AK10" s="64"/>
      <c r="AL10" s="64"/>
      <c r="AM10" s="95"/>
      <c r="AN10" s="67" t="s">
        <v>17</v>
      </c>
      <c r="AO10" s="64"/>
      <c r="AP10" s="64"/>
      <c r="AQ10" s="64"/>
      <c r="AR10" s="64"/>
      <c r="AS10" s="64"/>
      <c r="AT10" s="67" t="s">
        <v>17</v>
      </c>
      <c r="AU10" s="64"/>
      <c r="AV10" s="64"/>
      <c r="AW10" s="64"/>
      <c r="AX10" s="64"/>
      <c r="AY10" s="64"/>
      <c r="AZ10" s="588" t="s">
        <v>17</v>
      </c>
      <c r="BA10" s="657"/>
      <c r="BB10" s="657"/>
      <c r="BC10" s="657"/>
      <c r="BD10" s="657"/>
      <c r="BE10" s="657"/>
      <c r="BF10" s="67" t="s">
        <v>17</v>
      </c>
      <c r="BG10" s="64"/>
      <c r="BH10" s="64"/>
      <c r="BI10" s="64"/>
      <c r="BJ10" s="64"/>
      <c r="BK10" s="95"/>
      <c r="BL10" s="67" t="s">
        <v>17</v>
      </c>
      <c r="BM10" s="657"/>
      <c r="BN10" s="657"/>
      <c r="BO10" s="657"/>
      <c r="BP10" s="657"/>
      <c r="BQ10" s="788"/>
      <c r="BR10" s="96"/>
      <c r="BS10" s="96">
        <f t="shared" si="0"/>
        <v>0</v>
      </c>
      <c r="BT10" s="64"/>
    </row>
    <row r="11" spans="1:72" ht="27.6">
      <c r="A11" s="64" t="s">
        <v>2422</v>
      </c>
      <c r="B11" s="64" t="s">
        <v>2439</v>
      </c>
      <c r="C11" s="64" t="s">
        <v>2440</v>
      </c>
      <c r="D11" s="64" t="s">
        <v>2441</v>
      </c>
      <c r="E11" s="64"/>
      <c r="F11" s="102">
        <f>giClubRevenue</f>
        <v>0</v>
      </c>
      <c r="H11" s="64" t="s">
        <v>2442</v>
      </c>
      <c r="I11" s="97" t="s">
        <v>2443</v>
      </c>
      <c r="J11" s="103"/>
      <c r="K11" s="102">
        <f>RisikoFragen127</f>
        <v>0</v>
      </c>
      <c r="M11" s="64" t="s">
        <v>2442</v>
      </c>
      <c r="N11" s="64" t="s">
        <v>2439</v>
      </c>
      <c r="O11" s="64"/>
      <c r="P11" s="67" t="s">
        <v>17</v>
      </c>
      <c r="Q11" s="64"/>
      <c r="R11" s="64"/>
      <c r="S11" s="64"/>
      <c r="T11" s="64"/>
      <c r="U11" s="95"/>
      <c r="V11" s="67" t="s">
        <v>17</v>
      </c>
      <c r="W11" s="64"/>
      <c r="X11" s="64"/>
      <c r="Y11" s="64"/>
      <c r="Z11" s="64"/>
      <c r="AA11" s="95"/>
      <c r="AB11" s="67" t="s">
        <v>17</v>
      </c>
      <c r="AC11" s="64"/>
      <c r="AD11" s="64"/>
      <c r="AE11" s="64"/>
      <c r="AF11" s="64"/>
      <c r="AG11" s="95"/>
      <c r="AH11" s="67" t="s">
        <v>17</v>
      </c>
      <c r="AI11" s="64"/>
      <c r="AJ11" s="64"/>
      <c r="AK11" s="64"/>
      <c r="AL11" s="64"/>
      <c r="AM11" s="95"/>
      <c r="AN11" s="67" t="s">
        <v>17</v>
      </c>
      <c r="AO11" s="64"/>
      <c r="AP11" s="64"/>
      <c r="AQ11" s="64"/>
      <c r="AR11" s="64"/>
      <c r="AS11" s="64"/>
      <c r="AT11" s="67" t="s">
        <v>2432</v>
      </c>
      <c r="AU11" s="98" t="str">
        <f>IF(RisikoFragen127 &gt; 50000000,Referral,Dunkelverarbeitung)</f>
        <v>Dunkelverarbeitung</v>
      </c>
      <c r="AV11" s="100" t="str">
        <f>IF(RisikoFragen127 &gt; 500000000,"KO Trigger",Dunkelverarbeitung)</f>
        <v>Dunkelverarbeitung</v>
      </c>
      <c r="AW11" s="64"/>
      <c r="AX11" s="64"/>
      <c r="AY11" s="64"/>
      <c r="AZ11" s="588" t="s">
        <v>17</v>
      </c>
      <c r="BA11" s="657"/>
      <c r="BB11" s="657"/>
      <c r="BC11" s="657"/>
      <c r="BD11" s="657"/>
      <c r="BE11" s="657"/>
      <c r="BF11" s="67" t="s">
        <v>17</v>
      </c>
      <c r="BG11" s="64"/>
      <c r="BH11" s="64"/>
      <c r="BI11" s="64"/>
      <c r="BJ11" s="64"/>
      <c r="BK11" s="95"/>
      <c r="BL11" s="67" t="s">
        <v>17</v>
      </c>
      <c r="BM11" s="657"/>
      <c r="BN11" s="657"/>
      <c r="BO11" s="657"/>
      <c r="BP11" s="657"/>
      <c r="BQ11" s="788"/>
      <c r="BR11" s="96" t="s">
        <v>2444</v>
      </c>
      <c r="BS11" s="96" t="str">
        <f t="shared" si="0"/>
        <v>Hohe Bilanzsumme bzw. Vereinsvermöge</v>
      </c>
      <c r="BT11" s="64"/>
    </row>
    <row r="12" spans="1:72" ht="12.75" customHeight="1">
      <c r="A12" s="64" t="s">
        <v>2422</v>
      </c>
      <c r="B12" s="64" t="s">
        <v>2445</v>
      </c>
      <c r="C12" s="64" t="s">
        <v>2446</v>
      </c>
      <c r="D12" s="64" t="s">
        <v>2447</v>
      </c>
      <c r="E12" s="64"/>
      <c r="F12" s="67"/>
      <c r="H12" s="64" t="s">
        <v>2438</v>
      </c>
      <c r="I12" s="64"/>
      <c r="J12" s="64"/>
      <c r="K12" s="67" t="str">
        <f>IF(L12="YES","ja",IF(L12="NO","nein",""))</f>
        <v/>
      </c>
      <c r="M12" s="64" t="s">
        <v>2438</v>
      </c>
      <c r="N12" s="64" t="s">
        <v>2445</v>
      </c>
      <c r="O12" s="64"/>
      <c r="P12" s="67" t="s">
        <v>2432</v>
      </c>
      <c r="Q12" s="64" t="str">
        <f>IF(K12=JaAntwort,Referral,Dunkelverarbeitung)</f>
        <v>Dunkelverarbeitung</v>
      </c>
      <c r="R12" s="64"/>
      <c r="S12" s="64"/>
      <c r="T12" s="64"/>
      <c r="U12" s="95"/>
      <c r="V12" s="67" t="s">
        <v>17</v>
      </c>
      <c r="W12" s="64"/>
      <c r="X12" s="64"/>
      <c r="Y12" s="64"/>
      <c r="Z12" s="64"/>
      <c r="AA12" s="95"/>
      <c r="AB12" s="67" t="s">
        <v>2432</v>
      </c>
      <c r="AC12" s="64" t="str">
        <f>IF(Profisport=JaAntwort,"Referral",Dunkelverarbeitung)</f>
        <v>Dunkelverarbeitung</v>
      </c>
      <c r="AD12" s="64"/>
      <c r="AE12" s="64"/>
      <c r="AF12" s="64"/>
      <c r="AG12" s="95"/>
      <c r="AH12" s="67" t="s">
        <v>2432</v>
      </c>
      <c r="AI12" s="64"/>
      <c r="AJ12" s="64" t="str">
        <f>IF(K12=JaAntwort,"KO Trigger",Dunkelverarbeitung)</f>
        <v>Dunkelverarbeitung</v>
      </c>
      <c r="AK12" s="64"/>
      <c r="AL12" s="64"/>
      <c r="AM12" s="95"/>
      <c r="AN12" s="67" t="s">
        <v>2432</v>
      </c>
      <c r="AO12" s="64"/>
      <c r="AP12" s="64" t="str">
        <f>IF(Profisport=JaAntwort,"KO Trigger",Dunkelverarbeitung)</f>
        <v>Dunkelverarbeitung</v>
      </c>
      <c r="AQ12" s="64"/>
      <c r="AR12" s="64"/>
      <c r="AS12" s="64"/>
      <c r="AT12" s="67" t="s">
        <v>2432</v>
      </c>
      <c r="AU12" s="64"/>
      <c r="AV12" s="104" t="str">
        <f>IF(Profisport=JaAntwort,"KO Trigger",Dunkelverarbeitung)</f>
        <v>Dunkelverarbeitung</v>
      </c>
      <c r="AW12" s="64"/>
      <c r="AX12" s="64"/>
      <c r="AY12" s="64"/>
      <c r="AZ12" s="588" t="s">
        <v>2432</v>
      </c>
      <c r="BA12" s="657" t="str">
        <f>IF(K12=JaAntwort,Referral,Dunkelverarbeitung)</f>
        <v>Dunkelverarbeitung</v>
      </c>
      <c r="BB12" s="657"/>
      <c r="BC12" s="657"/>
      <c r="BD12" s="657"/>
      <c r="BE12" s="657"/>
      <c r="BF12" s="67" t="s">
        <v>2432</v>
      </c>
      <c r="BG12" s="64"/>
      <c r="BH12" s="64" t="str">
        <f>IF(Profisport=JaAntwort,"KO Trigger",Dunkelverarbeitung)</f>
        <v>Dunkelverarbeitung</v>
      </c>
      <c r="BI12" s="64"/>
      <c r="BJ12" s="64"/>
      <c r="BK12" s="95"/>
      <c r="BL12" s="67" t="s">
        <v>2432</v>
      </c>
      <c r="BM12" s="657"/>
      <c r="BN12" s="64" t="str">
        <f>IF(Profisport=JaAntwort,"KO Trigger",Dunkelverarbeitung)</f>
        <v>Dunkelverarbeitung</v>
      </c>
      <c r="BO12" s="657"/>
      <c r="BP12" s="657"/>
      <c r="BQ12" s="788"/>
      <c r="BR12" s="96" t="s">
        <v>2448</v>
      </c>
      <c r="BS12" s="96" t="str">
        <f t="shared" si="0"/>
        <v>Profisport</v>
      </c>
      <c r="BT12" s="64"/>
    </row>
    <row r="13" spans="1:72" ht="27.6">
      <c r="A13" s="64" t="s">
        <v>2422</v>
      </c>
      <c r="B13" s="64" t="s">
        <v>2449</v>
      </c>
      <c r="C13" s="64" t="s">
        <v>2440</v>
      </c>
      <c r="D13" s="64" t="s">
        <v>2450</v>
      </c>
      <c r="E13" s="64"/>
      <c r="F13" s="67" t="e">
        <f>VLOOKUP(giBusinessCode,'Listen-Daten DigPos'!D3:E1102,2,FALSE)</f>
        <v>#N/A</v>
      </c>
      <c r="G13" s="781"/>
      <c r="H13" s="64" t="s">
        <v>2430</v>
      </c>
      <c r="I13" s="97" t="s">
        <v>2451</v>
      </c>
      <c r="J13" s="64"/>
      <c r="K13" s="67" t="str">
        <f>IF(BusinessCode="","",VLOOKUP(BusinessCode,'Listen-Daten DigPos'!D3:E1102,2,FALSE))</f>
        <v/>
      </c>
      <c r="M13" s="64" t="s">
        <v>2430</v>
      </c>
      <c r="N13" s="64" t="s">
        <v>2449</v>
      </c>
      <c r="O13" s="64" t="str">
        <f>IF(K13="","",VLOOKUP(K13,'SIC-Liste'!B7:C1013,2,FALSE))</f>
        <v/>
      </c>
      <c r="P13" s="588" t="s">
        <v>2432</v>
      </c>
      <c r="Q13" s="105" t="str">
        <f>IF('SIC-Liste'!D3=Referral,Referral,Dunkelverarbeitung)</f>
        <v>Dunkelverarbeitung</v>
      </c>
      <c r="R13" s="105" t="str">
        <f>IF('SIC-Liste'!D3=KO_Trigger,KO_Trigger,Dunkelverarbeitung)</f>
        <v>Dunkelverarbeitung</v>
      </c>
      <c r="S13" s="867">
        <f>'SIC-Liste'!E3</f>
        <v>0</v>
      </c>
      <c r="T13" s="64"/>
      <c r="U13" s="64"/>
      <c r="V13" s="588" t="s">
        <v>2452</v>
      </c>
      <c r="W13" s="64" t="s">
        <v>2452</v>
      </c>
      <c r="X13" s="64" t="s">
        <v>2452</v>
      </c>
      <c r="Y13" s="64"/>
      <c r="Z13" s="64"/>
      <c r="AA13" s="861"/>
      <c r="AB13" s="588" t="s">
        <v>2432</v>
      </c>
      <c r="AC13" s="105" t="str">
        <f>IF('SIC-Liste'!H3=Referral,Referral,Dunkelverarbeitung)</f>
        <v>Dunkelverarbeitung</v>
      </c>
      <c r="AD13" s="105" t="str">
        <f>IF('SIC-Liste'!H3=KO_Trigger,KO_Trigger,Dunkelverarbeitung)</f>
        <v>Dunkelverarbeitung</v>
      </c>
      <c r="AE13" s="106">
        <f>'SIC-Liste'!I3</f>
        <v>0</v>
      </c>
      <c r="AF13" s="64"/>
      <c r="AG13" s="861"/>
      <c r="AH13" s="588" t="s">
        <v>2432</v>
      </c>
      <c r="AI13" s="105" t="str">
        <f>IF('SIC-Liste'!F3=Referral,Referral,Dunkelverarbeitung)</f>
        <v>Dunkelverarbeitung</v>
      </c>
      <c r="AJ13" s="105" t="str">
        <f>IF('SIC-Liste'!F3=KO_Trigger,KO_Trigger,Dunkelverarbeitung)</f>
        <v>Dunkelverarbeitung</v>
      </c>
      <c r="AK13" s="107">
        <f>'SIC-Liste'!G3</f>
        <v>0</v>
      </c>
      <c r="AL13" s="64"/>
      <c r="AM13" s="95"/>
      <c r="AN13" s="588" t="s">
        <v>2432</v>
      </c>
      <c r="AO13" s="98" t="str">
        <f>IF('SIC-Liste'!J3=Referral,Referral,Dunkelverarbeitung)</f>
        <v>Dunkelverarbeitung</v>
      </c>
      <c r="AP13" s="100" t="str">
        <f>IF('SIC-Liste'!J3=KO_Trigger,KO_Trigger,Dunkelverarbeitung)</f>
        <v>Dunkelverarbeitung</v>
      </c>
      <c r="AQ13" s="64">
        <f>'SIC-Liste'!K3</f>
        <v>0</v>
      </c>
      <c r="AR13" s="64"/>
      <c r="AS13" s="64"/>
      <c r="AT13" s="588" t="s">
        <v>2432</v>
      </c>
      <c r="AU13" s="98" t="str">
        <f>IF('SIC-Liste'!L3=Referral,Referral,Dunkelverarbeitung)</f>
        <v>Dunkelverarbeitung</v>
      </c>
      <c r="AV13" s="100" t="str">
        <f>IF('SIC-Liste'!L3=KO_Trigger,KO_Trigger,Dunkelverarbeitung)</f>
        <v>Dunkelverarbeitung</v>
      </c>
      <c r="AW13" s="106">
        <f>'SIC-Liste'!M3</f>
        <v>0</v>
      </c>
      <c r="AX13" s="64"/>
      <c r="AY13" s="64"/>
      <c r="AZ13" s="588" t="s">
        <v>2432</v>
      </c>
      <c r="BA13" s="98" t="str">
        <f>IF('SIC-Liste'!R3=Referral,Referral,Dunkelverarbeitung)</f>
        <v>Dunkelverarbeitung</v>
      </c>
      <c r="BB13" s="100" t="str">
        <f>IF('SIC-Liste'!R3=KO_Trigger,KO_Trigger,Dunkelverarbeitung)</f>
        <v>Dunkelverarbeitung</v>
      </c>
      <c r="BC13" s="776">
        <f>'SIC-Liste'!S3</f>
        <v>0</v>
      </c>
      <c r="BD13" s="657"/>
      <c r="BE13" s="657"/>
      <c r="BF13" s="588" t="s">
        <v>2432</v>
      </c>
      <c r="BG13" s="98" t="str">
        <f>IF('SIC-Liste'!T2=Referral,Referral,Dunkelverarbeitung)</f>
        <v>Dunkelverarbeitung</v>
      </c>
      <c r="BH13" s="100" t="str">
        <f>IF('SIC-Liste'!T2=KO_Trigger,KO_Trigger,Dunkelverarbeitung)</f>
        <v>Dunkelverarbeitung</v>
      </c>
      <c r="BI13" s="105">
        <f>'SIC-Liste'!U2</f>
        <v>0</v>
      </c>
      <c r="BJ13" s="64"/>
      <c r="BK13" s="861"/>
      <c r="BL13" s="588" t="s">
        <v>2432</v>
      </c>
      <c r="BM13" s="98" t="str">
        <f>IF('SIC-Liste'!X3=Referral,Referral,Dunkelverarbeitung)</f>
        <v>Dunkelverarbeitung</v>
      </c>
      <c r="BN13" s="100" t="str">
        <f>IF('SIC-Liste'!X3=KO_Trigger,KO_Trigger,Dunkelverarbeitung)</f>
        <v>Dunkelverarbeitung</v>
      </c>
      <c r="BO13" s="657">
        <f>'SIC-Liste'!Y3</f>
        <v>0</v>
      </c>
      <c r="BP13" s="657"/>
      <c r="BQ13" s="788"/>
      <c r="BR13" s="96" t="s">
        <v>2450</v>
      </c>
      <c r="BS13" s="96" t="str">
        <f t="shared" si="0"/>
        <v>Branche</v>
      </c>
      <c r="BT13" s="64"/>
    </row>
    <row r="14" spans="1:72" ht="27.6">
      <c r="A14" s="64" t="s">
        <v>2422</v>
      </c>
      <c r="B14" s="64" t="s">
        <v>2453</v>
      </c>
      <c r="C14" s="64" t="s">
        <v>2440</v>
      </c>
      <c r="D14" s="64" t="s">
        <v>2454</v>
      </c>
      <c r="E14" s="64"/>
      <c r="F14" s="67"/>
      <c r="H14" s="64"/>
      <c r="I14" s="97"/>
      <c r="J14" s="64"/>
      <c r="K14" s="67"/>
      <c r="M14" s="64"/>
      <c r="N14" s="64" t="s">
        <v>2453</v>
      </c>
      <c r="O14" s="64"/>
      <c r="P14" s="67" t="s">
        <v>17</v>
      </c>
      <c r="Q14" s="64"/>
      <c r="R14" s="64"/>
      <c r="S14" s="64"/>
      <c r="T14" s="64"/>
      <c r="U14" s="64"/>
      <c r="V14" s="67" t="s">
        <v>17</v>
      </c>
      <c r="W14" s="64"/>
      <c r="X14" s="64"/>
      <c r="Y14" s="64"/>
      <c r="Z14" s="64"/>
      <c r="AA14" s="95"/>
      <c r="AB14" s="67" t="s">
        <v>17</v>
      </c>
      <c r="AC14" s="64"/>
      <c r="AD14" s="64"/>
      <c r="AE14" s="64"/>
      <c r="AF14" s="64"/>
      <c r="AG14" s="64"/>
      <c r="AH14" s="67" t="s">
        <v>17</v>
      </c>
      <c r="AI14" s="64"/>
      <c r="AJ14" s="64"/>
      <c r="AK14" s="107"/>
      <c r="AL14" s="64"/>
      <c r="AM14" s="95"/>
      <c r="AN14" s="67" t="s">
        <v>17</v>
      </c>
      <c r="AO14" s="64"/>
      <c r="AP14" s="64"/>
      <c r="AQ14" s="64"/>
      <c r="AR14" s="64"/>
      <c r="AS14" s="64"/>
      <c r="AT14" s="67" t="s">
        <v>17</v>
      </c>
      <c r="AU14" s="64"/>
      <c r="AV14" s="64"/>
      <c r="AW14" s="64"/>
      <c r="AX14" s="64"/>
      <c r="AY14" s="64"/>
      <c r="AZ14" s="588" t="s">
        <v>17</v>
      </c>
      <c r="BA14" s="657"/>
      <c r="BB14" s="657"/>
      <c r="BC14" s="657"/>
      <c r="BD14" s="657"/>
      <c r="BE14" s="657"/>
      <c r="BF14" s="67" t="s">
        <v>17</v>
      </c>
      <c r="BG14" s="64"/>
      <c r="BH14" s="64"/>
      <c r="BI14" s="64"/>
      <c r="BJ14" s="64"/>
      <c r="BK14" s="95"/>
      <c r="BL14" s="67" t="s">
        <v>17</v>
      </c>
      <c r="BM14" s="657"/>
      <c r="BN14" s="657"/>
      <c r="BO14" s="657"/>
      <c r="BP14" s="657"/>
      <c r="BQ14" s="788"/>
      <c r="BR14" s="96"/>
      <c r="BS14" s="96">
        <f t="shared" si="0"/>
        <v>0</v>
      </c>
      <c r="BT14" s="64"/>
    </row>
    <row r="15" spans="1:72" ht="27.6">
      <c r="A15" s="64" t="s">
        <v>2422</v>
      </c>
      <c r="B15" s="64" t="s">
        <v>2455</v>
      </c>
      <c r="C15" s="64" t="s">
        <v>2440</v>
      </c>
      <c r="D15" s="64" t="s">
        <v>2456</v>
      </c>
      <c r="E15" s="64"/>
      <c r="F15" s="67"/>
      <c r="H15" s="64" t="s">
        <v>2457</v>
      </c>
      <c r="I15" s="64"/>
      <c r="J15" s="64"/>
      <c r="K15" s="67" t="str">
        <f>IFERROR(VLOOKUP(L15,'Listen-Daten DigPos'!J3:K4,2,FALSE),"")</f>
        <v/>
      </c>
      <c r="M15" s="64" t="s">
        <v>2457</v>
      </c>
      <c r="N15" s="64" t="s">
        <v>2455</v>
      </c>
      <c r="O15" s="64" t="str">
        <f>K15</f>
        <v/>
      </c>
      <c r="P15" s="67" t="s">
        <v>2432</v>
      </c>
      <c r="Q15" s="64" t="str">
        <f>IF(RisikoFragen9="STARTUP",Referral,Dunkelverarbeitung)</f>
        <v>Dunkelverarbeitung</v>
      </c>
      <c r="R15" s="64"/>
      <c r="S15" s="109" t="str">
        <f>IF(K15='Listen-Daten'!F2,0.25,"")</f>
        <v/>
      </c>
      <c r="T15" s="64"/>
      <c r="U15" s="64"/>
      <c r="V15" s="67" t="s">
        <v>2432</v>
      </c>
      <c r="W15" s="64" t="str">
        <f>IF(RisikoFragen9="STARTUP",Referral,Dunkelverarbeitung)</f>
        <v>Dunkelverarbeitung</v>
      </c>
      <c r="X15" s="64"/>
      <c r="Y15" s="64" t="str">
        <f>IF(RisikoFragen9="STARTUP",60%,"")</f>
        <v/>
      </c>
      <c r="Z15" s="103"/>
      <c r="AA15" s="103" t="str">
        <f>IF(RisikoFragen9="STARTUP",1000000,"")</f>
        <v/>
      </c>
      <c r="AB15" s="67" t="s">
        <v>2432</v>
      </c>
      <c r="AC15" s="64" t="str">
        <f>IF(RisikoFragen9="STARTUP",Referral,Dunkelverarbeitung)</f>
        <v>Dunkelverarbeitung</v>
      </c>
      <c r="AD15" s="64"/>
      <c r="AE15" s="64" t="str">
        <f>IF(K15='Listen-Daten'!F2,30%,"")</f>
        <v/>
      </c>
      <c r="AF15" s="64"/>
      <c r="AG15" s="95"/>
      <c r="AH15" s="67" t="s">
        <v>2432</v>
      </c>
      <c r="AI15" s="64"/>
      <c r="AJ15" s="64"/>
      <c r="AK15" s="64">
        <f>IF(RisikoFragen9="STARTUP",0.5,0)</f>
        <v>0</v>
      </c>
      <c r="AL15" s="64"/>
      <c r="AM15" s="95"/>
      <c r="AN15" s="67" t="s">
        <v>2432</v>
      </c>
      <c r="AO15" s="64"/>
      <c r="AP15" s="64" t="str">
        <f>IF(K15='Listen-Daten'!F2,"KO Trigger",Dunkelverarbeitung)</f>
        <v>Dunkelverarbeitung</v>
      </c>
      <c r="AQ15" s="64"/>
      <c r="AR15" s="64"/>
      <c r="AS15" s="64"/>
      <c r="AT15" s="67" t="s">
        <v>2432</v>
      </c>
      <c r="AU15" s="64" t="str">
        <f>IF(RisikoFragen9="STARTUP",Referral,Dunkelverarbeitung)</f>
        <v>Dunkelverarbeitung</v>
      </c>
      <c r="AV15" s="64"/>
      <c r="AW15" s="64"/>
      <c r="AX15" s="64"/>
      <c r="AY15" s="64"/>
      <c r="AZ15" s="588" t="s">
        <v>2432</v>
      </c>
      <c r="BA15" s="657" t="str">
        <f>IF(RisikoFragen9="STARTUP",Referral,Dunkelverarbeitung)</f>
        <v>Dunkelverarbeitung</v>
      </c>
      <c r="BB15" s="657"/>
      <c r="BC15" s="657"/>
      <c r="BD15" s="657"/>
      <c r="BE15" s="777" t="str">
        <f>IF(BA15=Referral,"1000000","")</f>
        <v/>
      </c>
      <c r="BF15" s="67" t="s">
        <v>2432</v>
      </c>
      <c r="BG15" s="64"/>
      <c r="BH15" s="64" t="str">
        <f>IF(RisikoFragen9="STARTUP","KO Trigger",Dunkelverarbeitung)</f>
        <v>Dunkelverarbeitung</v>
      </c>
      <c r="BI15" s="64"/>
      <c r="BJ15" s="64"/>
      <c r="BK15" s="95"/>
      <c r="BL15" s="67" t="s">
        <v>2432</v>
      </c>
      <c r="BM15" s="657"/>
      <c r="BN15" s="64"/>
      <c r="BO15" s="657"/>
      <c r="BP15" s="657"/>
      <c r="BQ15" s="777" t="str">
        <f>IF(BM15=Referral,"1000000","")</f>
        <v/>
      </c>
      <c r="BR15" s="96" t="s">
        <v>2458</v>
      </c>
      <c r="BS15" s="96" t="str">
        <f t="shared" si="0"/>
        <v>Junges Unternehmen / Startup</v>
      </c>
      <c r="BT15" s="64"/>
    </row>
    <row r="16" spans="1:72" ht="27.6">
      <c r="A16" s="64" t="s">
        <v>2422</v>
      </c>
      <c r="B16" s="64" t="s">
        <v>3810</v>
      </c>
      <c r="C16" s="64" t="s">
        <v>2440</v>
      </c>
      <c r="D16" s="64" t="s">
        <v>3812</v>
      </c>
      <c r="E16" s="64"/>
      <c r="F16" s="588"/>
      <c r="H16" s="64"/>
      <c r="I16" s="64"/>
      <c r="J16" s="64"/>
      <c r="K16" s="862">
        <f>L16</f>
        <v>0</v>
      </c>
      <c r="L16" s="149"/>
      <c r="M16" s="64" t="s">
        <v>2474</v>
      </c>
      <c r="N16" s="64" t="s">
        <v>3810</v>
      </c>
      <c r="O16" s="64"/>
      <c r="P16" s="67" t="s">
        <v>17</v>
      </c>
      <c r="Q16" s="64"/>
      <c r="R16" s="64"/>
      <c r="S16" s="657"/>
      <c r="T16" s="64"/>
      <c r="U16" s="64"/>
      <c r="V16" s="67" t="s">
        <v>17</v>
      </c>
      <c r="W16" s="64"/>
      <c r="X16" s="64"/>
      <c r="Y16" s="64"/>
      <c r="Z16" s="103"/>
      <c r="AA16" s="103"/>
      <c r="AB16" s="67" t="s">
        <v>17</v>
      </c>
      <c r="AC16" s="64"/>
      <c r="AD16" s="64"/>
      <c r="AE16" s="64"/>
      <c r="AF16" s="64"/>
      <c r="AG16" s="861"/>
      <c r="AH16" s="67" t="s">
        <v>17</v>
      </c>
      <c r="AI16" s="64"/>
      <c r="AJ16" s="64"/>
      <c r="AK16" s="64"/>
      <c r="AL16" s="64"/>
      <c r="AM16" s="95"/>
      <c r="AN16" s="67" t="s">
        <v>17</v>
      </c>
      <c r="AO16" s="64"/>
      <c r="AP16" s="64"/>
      <c r="AQ16" s="64"/>
      <c r="AR16" s="64"/>
      <c r="AS16" s="64"/>
      <c r="AT16" s="67" t="s">
        <v>17</v>
      </c>
      <c r="AU16" s="64"/>
      <c r="AV16" s="64"/>
      <c r="AW16" s="64"/>
      <c r="AX16" s="64"/>
      <c r="AY16" s="64"/>
      <c r="AZ16" s="67" t="s">
        <v>17</v>
      </c>
      <c r="BA16" s="657"/>
      <c r="BB16" s="657"/>
      <c r="BC16" s="657"/>
      <c r="BD16" s="657"/>
      <c r="BE16" s="657"/>
      <c r="BF16" s="67" t="s">
        <v>17</v>
      </c>
      <c r="BG16" s="64"/>
      <c r="BH16" s="64"/>
      <c r="BI16" s="64"/>
      <c r="BJ16" s="64"/>
      <c r="BK16" s="861"/>
      <c r="BL16" s="67" t="s">
        <v>2432</v>
      </c>
      <c r="BM16" s="657"/>
      <c r="BN16" s="64" t="str">
        <f ca="1">IF(TYPE(K16)=1,IF(AND(DATEDIF(K16, TODAY(), "Y")&gt;=2,DATEDIF(K16, TODAY(), "MD")&gt;=0),Dunkelverarbeitung,"KO Trigger"),IF(_xlfn.NUMBERVALUE(RIGHT(K16,4))&lt;=1900,Dunkelverarbeitung,"KO Trigger"))</f>
        <v>Dunkelverarbeitung</v>
      </c>
      <c r="BO16" s="657"/>
      <c r="BP16" s="657"/>
      <c r="BQ16" s="788"/>
      <c r="BR16" s="96" t="s">
        <v>3811</v>
      </c>
      <c r="BS16" s="96" t="str">
        <f t="shared" si="0"/>
        <v>Gründungsjahr</v>
      </c>
      <c r="BT16" s="64"/>
    </row>
    <row r="17" spans="1:72" ht="27.6">
      <c r="A17" s="64" t="s">
        <v>2422</v>
      </c>
      <c r="B17" s="64" t="s">
        <v>2459</v>
      </c>
      <c r="C17" s="64" t="s">
        <v>2428</v>
      </c>
      <c r="D17" s="64" t="s">
        <v>2460</v>
      </c>
      <c r="E17" s="64"/>
      <c r="F17" s="67"/>
      <c r="H17" s="64" t="s">
        <v>2430</v>
      </c>
      <c r="I17" s="64"/>
      <c r="J17" s="64"/>
      <c r="K17" s="110" t="e">
        <f>VLOOKUP(StammDaten3,'Listen-Daten'!H2:J250,3,FALSE)</f>
        <v>#N/A</v>
      </c>
      <c r="M17" s="64" t="s">
        <v>2430</v>
      </c>
      <c r="N17" s="64" t="s">
        <v>2459</v>
      </c>
      <c r="O17" s="111"/>
      <c r="P17" s="67" t="s">
        <v>2432</v>
      </c>
      <c r="Q17" s="64"/>
      <c r="R17" s="112" t="e">
        <f>IF(K17&lt;&gt;"Germany","KO Trigger",Dunkelverarbeitung)</f>
        <v>#N/A</v>
      </c>
      <c r="S17" s="64"/>
      <c r="T17" s="64"/>
      <c r="U17" s="64"/>
      <c r="V17" s="67" t="s">
        <v>2432</v>
      </c>
      <c r="W17" s="64"/>
      <c r="X17" s="113" t="e">
        <f>IF(K17&lt;&gt;"Germany","KO Trigger",Dunkelverarbeitung)</f>
        <v>#N/A</v>
      </c>
      <c r="Y17" s="64"/>
      <c r="Z17" s="64"/>
      <c r="AA17" s="95"/>
      <c r="AB17" s="67" t="s">
        <v>2432</v>
      </c>
      <c r="AC17" s="64"/>
      <c r="AD17" s="112" t="e">
        <f>IF(K17&lt;&gt;"Germany","KO Trigger",Dunkelverarbeitung)</f>
        <v>#N/A</v>
      </c>
      <c r="AE17" s="64"/>
      <c r="AF17" s="64"/>
      <c r="AG17" s="95"/>
      <c r="AH17" s="67" t="s">
        <v>2432</v>
      </c>
      <c r="AI17" s="64" t="e">
        <f>IF(VLOOKUP(StammDaten3,'Listen-Daten'!$H$2:$K$250,4,FALSE)&lt;&gt;"EU",Referral,Dunkelverarbeitung)</f>
        <v>#N/A</v>
      </c>
      <c r="AJ17" s="778"/>
      <c r="AK17" s="64"/>
      <c r="AL17" s="64"/>
      <c r="AM17" s="95"/>
      <c r="AN17" s="67" t="s">
        <v>2432</v>
      </c>
      <c r="AO17" s="64"/>
      <c r="AP17" s="112" t="e">
        <f>IF(K17&lt;&gt;"Germany","KO Trigger",Dunkelverarbeitung)</f>
        <v>#N/A</v>
      </c>
      <c r="AQ17" s="64"/>
      <c r="AR17" s="64"/>
      <c r="AS17" s="64"/>
      <c r="AT17" s="67" t="s">
        <v>2432</v>
      </c>
      <c r="AU17" s="114"/>
      <c r="AV17" s="112" t="e">
        <f>IF(K17="Germany", Dunkelverarbeitung,"KO Trigger")</f>
        <v>#N/A</v>
      </c>
      <c r="AW17" s="64"/>
      <c r="AX17" s="64"/>
      <c r="AY17" s="64"/>
      <c r="AZ17" s="588" t="s">
        <v>2432</v>
      </c>
      <c r="BA17" s="657" t="e">
        <f>IF(OR(K17="Germany",K17="Austria"),Dunkelverarbeitung,Referral)</f>
        <v>#N/A</v>
      </c>
      <c r="BB17" s="657" t="e">
        <f>IF(OR(K17="Germany",K17="Austria",K17="Switzerland"),Dunkelverarbeitung,"KO Trigger")</f>
        <v>#N/A</v>
      </c>
      <c r="BC17" s="657"/>
      <c r="BD17" s="657"/>
      <c r="BE17" s="657"/>
      <c r="BF17" s="67" t="s">
        <v>2432</v>
      </c>
      <c r="BG17" s="64"/>
      <c r="BH17" s="112" t="e">
        <f>IF(K17="Germany",Dunkelverarbeitung,"KO Trigger")</f>
        <v>#N/A</v>
      </c>
      <c r="BI17" s="64"/>
      <c r="BJ17" s="64"/>
      <c r="BK17" s="95"/>
      <c r="BL17" s="67" t="s">
        <v>2432</v>
      </c>
      <c r="BM17" s="657" t="e">
        <f>IF(K17="Germany",Dunkelverarbeitung,IF(VLOOKUP(StammDaten3,'Listen-Daten'!$H$2:$K$250,4,FALSE)="EU",Referral,""))</f>
        <v>#N/A</v>
      </c>
      <c r="BN17" s="657" t="e">
        <f>IF(VLOOKUP(StammDaten3,'Listen-Daten'!$H$2:$K$250,4,FALSE)&lt;&gt;"EU",KO_Trigger,"")</f>
        <v>#N/A</v>
      </c>
      <c r="BO17" s="657"/>
      <c r="BP17" s="657"/>
      <c r="BQ17" s="788"/>
      <c r="BR17" s="96" t="s">
        <v>2461</v>
      </c>
      <c r="BS17" s="96" t="str">
        <f t="shared" si="0"/>
        <v>Land der Versicherungsnehmerin</v>
      </c>
      <c r="BT17" s="64"/>
    </row>
    <row r="18" spans="1:72" ht="12.75" customHeight="1">
      <c r="A18" s="64" t="s">
        <v>2422</v>
      </c>
      <c r="B18" s="64" t="s">
        <v>2462</v>
      </c>
      <c r="C18" s="64" t="s">
        <v>2424</v>
      </c>
      <c r="D18" s="64" t="s">
        <v>2463</v>
      </c>
      <c r="E18" s="64"/>
      <c r="F18" s="67"/>
      <c r="H18" s="64" t="s">
        <v>2426</v>
      </c>
      <c r="I18" s="64"/>
      <c r="J18" s="64"/>
      <c r="K18" s="67"/>
      <c r="M18" s="64" t="s">
        <v>2426</v>
      </c>
      <c r="N18" s="64" t="s">
        <v>2462</v>
      </c>
      <c r="O18" s="64"/>
      <c r="P18" s="67" t="s">
        <v>17</v>
      </c>
      <c r="Q18" s="64"/>
      <c r="R18" s="64"/>
      <c r="S18" s="64"/>
      <c r="T18" s="64"/>
      <c r="U18" s="95"/>
      <c r="V18" s="67" t="s">
        <v>17</v>
      </c>
      <c r="W18" s="64"/>
      <c r="X18" s="64"/>
      <c r="Y18" s="64"/>
      <c r="Z18" s="64"/>
      <c r="AA18" s="95"/>
      <c r="AB18" s="67" t="s">
        <v>17</v>
      </c>
      <c r="AC18" s="64"/>
      <c r="AD18" s="64"/>
      <c r="AE18" s="64"/>
      <c r="AF18" s="64"/>
      <c r="AG18" s="95"/>
      <c r="AH18" s="67" t="s">
        <v>17</v>
      </c>
      <c r="AI18" s="64"/>
      <c r="AJ18" s="64"/>
      <c r="AK18" s="64"/>
      <c r="AL18" s="64"/>
      <c r="AM18" s="95"/>
      <c r="AN18" s="67" t="s">
        <v>17</v>
      </c>
      <c r="AO18" s="64"/>
      <c r="AP18" s="64"/>
      <c r="AQ18" s="64"/>
      <c r="AR18" s="64"/>
      <c r="AS18" s="64"/>
      <c r="AT18" s="67" t="s">
        <v>17</v>
      </c>
      <c r="AU18" s="64"/>
      <c r="AV18" s="64"/>
      <c r="AW18" s="64"/>
      <c r="AX18" s="64"/>
      <c r="AY18" s="64"/>
      <c r="AZ18" s="588" t="s">
        <v>17</v>
      </c>
      <c r="BA18" s="657"/>
      <c r="BB18" s="657"/>
      <c r="BC18" s="657"/>
      <c r="BD18" s="657"/>
      <c r="BE18" s="657"/>
      <c r="BF18" s="67" t="s">
        <v>17</v>
      </c>
      <c r="BG18" s="64"/>
      <c r="BH18" s="64"/>
      <c r="BI18" s="64"/>
      <c r="BJ18" s="64"/>
      <c r="BK18" s="95"/>
      <c r="BL18" s="67" t="s">
        <v>17</v>
      </c>
      <c r="BM18" s="657"/>
      <c r="BN18" s="657"/>
      <c r="BO18" s="657"/>
      <c r="BP18" s="657"/>
      <c r="BQ18" s="788"/>
      <c r="BR18" s="96"/>
      <c r="BS18" s="96">
        <f t="shared" si="0"/>
        <v>0</v>
      </c>
      <c r="BT18" s="64"/>
    </row>
    <row r="19" spans="1:72" ht="12.75" customHeight="1">
      <c r="A19" s="64" t="s">
        <v>2422</v>
      </c>
      <c r="B19" s="64" t="s">
        <v>2464</v>
      </c>
      <c r="C19" s="64" t="s">
        <v>2424</v>
      </c>
      <c r="D19" s="64" t="s">
        <v>2465</v>
      </c>
      <c r="E19" s="64"/>
      <c r="F19" s="67"/>
      <c r="H19" s="64" t="s">
        <v>2442</v>
      </c>
      <c r="I19" s="64"/>
      <c r="J19" s="64"/>
      <c r="K19" s="67"/>
      <c r="M19" s="64" t="s">
        <v>2442</v>
      </c>
      <c r="N19" s="64" t="s">
        <v>2464</v>
      </c>
      <c r="O19" s="64"/>
      <c r="P19" s="67" t="s">
        <v>17</v>
      </c>
      <c r="Q19" s="64"/>
      <c r="R19" s="64"/>
      <c r="S19" s="64"/>
      <c r="T19" s="64"/>
      <c r="U19" s="95"/>
      <c r="V19" s="67" t="s">
        <v>17</v>
      </c>
      <c r="W19" s="64"/>
      <c r="X19" s="64"/>
      <c r="Y19" s="64"/>
      <c r="Z19" s="64"/>
      <c r="AA19" s="95"/>
      <c r="AB19" s="67" t="s">
        <v>17</v>
      </c>
      <c r="AC19" s="64"/>
      <c r="AD19" s="64"/>
      <c r="AE19" s="64"/>
      <c r="AF19" s="64"/>
      <c r="AG19" s="95"/>
      <c r="AH19" s="67" t="s">
        <v>17</v>
      </c>
      <c r="AI19" s="64"/>
      <c r="AJ19" s="64"/>
      <c r="AK19" s="64"/>
      <c r="AL19" s="64"/>
      <c r="AM19" s="95"/>
      <c r="AN19" s="67" t="s">
        <v>17</v>
      </c>
      <c r="AO19" s="64"/>
      <c r="AP19" s="64"/>
      <c r="AQ19" s="64"/>
      <c r="AR19" s="64"/>
      <c r="AS19" s="64"/>
      <c r="AT19" s="67" t="s">
        <v>17</v>
      </c>
      <c r="AU19" s="64"/>
      <c r="AV19" s="64"/>
      <c r="AW19" s="64"/>
      <c r="AX19" s="64"/>
      <c r="AY19" s="64"/>
      <c r="AZ19" s="588" t="s">
        <v>17</v>
      </c>
      <c r="BA19" s="657"/>
      <c r="BB19" s="657"/>
      <c r="BC19" s="657"/>
      <c r="BD19" s="657"/>
      <c r="BE19" s="657"/>
      <c r="BF19" s="67" t="s">
        <v>17</v>
      </c>
      <c r="BG19" s="64"/>
      <c r="BH19" s="64"/>
      <c r="BI19" s="64"/>
      <c r="BJ19" s="64"/>
      <c r="BK19" s="95"/>
      <c r="BL19" s="67" t="s">
        <v>17</v>
      </c>
      <c r="BM19" s="657"/>
      <c r="BN19" s="657"/>
      <c r="BO19" s="657"/>
      <c r="BP19" s="657"/>
      <c r="BQ19" s="788"/>
      <c r="BR19" s="96"/>
      <c r="BS19" s="96">
        <f t="shared" si="0"/>
        <v>0</v>
      </c>
      <c r="BT19" s="64"/>
    </row>
    <row r="20" spans="1:72" ht="12.75" customHeight="1">
      <c r="A20" s="64" t="s">
        <v>2422</v>
      </c>
      <c r="B20" s="64" t="s">
        <v>2466</v>
      </c>
      <c r="C20" s="64" t="s">
        <v>2424</v>
      </c>
      <c r="D20" s="64" t="s">
        <v>2467</v>
      </c>
      <c r="E20" s="64"/>
      <c r="F20" s="67"/>
      <c r="H20" s="64" t="s">
        <v>2426</v>
      </c>
      <c r="I20" s="64"/>
      <c r="J20" s="64"/>
      <c r="K20" s="67"/>
      <c r="M20" s="64" t="s">
        <v>2426</v>
      </c>
      <c r="N20" s="64" t="s">
        <v>2466</v>
      </c>
      <c r="O20" s="64"/>
      <c r="P20" s="67" t="s">
        <v>17</v>
      </c>
      <c r="Q20" s="64"/>
      <c r="R20" s="64"/>
      <c r="S20" s="64"/>
      <c r="T20" s="64"/>
      <c r="U20" s="95"/>
      <c r="V20" s="67" t="s">
        <v>17</v>
      </c>
      <c r="W20" s="64"/>
      <c r="X20" s="64"/>
      <c r="Y20" s="64"/>
      <c r="Z20" s="64"/>
      <c r="AA20" s="95"/>
      <c r="AB20" s="67" t="s">
        <v>17</v>
      </c>
      <c r="AC20" s="64"/>
      <c r="AD20" s="64"/>
      <c r="AE20" s="64"/>
      <c r="AF20" s="64"/>
      <c r="AG20" s="95"/>
      <c r="AH20" s="67" t="s">
        <v>17</v>
      </c>
      <c r="AI20" s="64"/>
      <c r="AJ20" s="64"/>
      <c r="AK20" s="64"/>
      <c r="AL20" s="64"/>
      <c r="AM20" s="95"/>
      <c r="AN20" s="67" t="s">
        <v>17</v>
      </c>
      <c r="AO20" s="64"/>
      <c r="AP20" s="64"/>
      <c r="AQ20" s="64"/>
      <c r="AR20" s="64"/>
      <c r="AS20" s="64"/>
      <c r="AT20" s="67" t="s">
        <v>17</v>
      </c>
      <c r="AU20" s="64"/>
      <c r="AV20" s="64"/>
      <c r="AW20" s="64"/>
      <c r="AX20" s="64"/>
      <c r="AY20" s="64"/>
      <c r="AZ20" s="588" t="s">
        <v>17</v>
      </c>
      <c r="BA20" s="657"/>
      <c r="BB20" s="657"/>
      <c r="BC20" s="657"/>
      <c r="BD20" s="657"/>
      <c r="BE20" s="657"/>
      <c r="BF20" s="67" t="s">
        <v>17</v>
      </c>
      <c r="BG20" s="64"/>
      <c r="BH20" s="64"/>
      <c r="BI20" s="64"/>
      <c r="BJ20" s="64"/>
      <c r="BK20" s="95"/>
      <c r="BL20" s="67" t="s">
        <v>17</v>
      </c>
      <c r="BM20" s="657"/>
      <c r="BN20" s="657"/>
      <c r="BO20" s="657"/>
      <c r="BP20" s="657"/>
      <c r="BQ20" s="788"/>
      <c r="BR20" s="96"/>
      <c r="BS20" s="96">
        <f t="shared" si="0"/>
        <v>0</v>
      </c>
      <c r="BT20" s="64"/>
    </row>
    <row r="21" spans="1:72" ht="12.75" customHeight="1">
      <c r="A21" s="64" t="s">
        <v>2422</v>
      </c>
      <c r="B21" s="64" t="s">
        <v>2468</v>
      </c>
      <c r="C21" s="64" t="s">
        <v>2440</v>
      </c>
      <c r="D21" s="64" t="s">
        <v>2469</v>
      </c>
      <c r="E21" s="64"/>
      <c r="F21" s="67"/>
      <c r="H21" s="64" t="s">
        <v>2426</v>
      </c>
      <c r="I21" s="64"/>
      <c r="J21" s="64"/>
      <c r="K21" s="67" t="str">
        <f>IF(L21="YES","ja",IF(L21="NO","nein",""))</f>
        <v/>
      </c>
      <c r="M21" s="64" t="s">
        <v>2426</v>
      </c>
      <c r="N21" s="64" t="s">
        <v>2468</v>
      </c>
      <c r="O21" s="64"/>
      <c r="P21" s="67" t="s">
        <v>17</v>
      </c>
      <c r="Q21" s="64"/>
      <c r="R21" s="64"/>
      <c r="S21" s="64"/>
      <c r="T21" s="64"/>
      <c r="U21" s="95"/>
      <c r="V21" s="67" t="s">
        <v>17</v>
      </c>
      <c r="W21" s="64"/>
      <c r="X21" s="64"/>
      <c r="Y21" s="64"/>
      <c r="Z21" s="64"/>
      <c r="AA21" s="95"/>
      <c r="AB21" s="67" t="s">
        <v>17</v>
      </c>
      <c r="AC21" s="64"/>
      <c r="AD21" s="64"/>
      <c r="AE21" s="64"/>
      <c r="AF21" s="64"/>
      <c r="AG21" s="95"/>
      <c r="AH21" s="67" t="s">
        <v>17</v>
      </c>
      <c r="AI21" s="64"/>
      <c r="AJ21" s="64"/>
      <c r="AK21" s="64"/>
      <c r="AL21" s="64"/>
      <c r="AM21" s="95"/>
      <c r="AN21" s="67" t="s">
        <v>17</v>
      </c>
      <c r="AO21" s="64"/>
      <c r="AP21" s="64"/>
      <c r="AQ21" s="64"/>
      <c r="AR21" s="64"/>
      <c r="AS21" s="64"/>
      <c r="AT21" s="67" t="s">
        <v>17</v>
      </c>
      <c r="AU21" s="64"/>
      <c r="AV21" s="64"/>
      <c r="AW21" s="64"/>
      <c r="AX21" s="64"/>
      <c r="AY21" s="64"/>
      <c r="AZ21" s="588" t="s">
        <v>17</v>
      </c>
      <c r="BA21" s="657"/>
      <c r="BB21" s="657"/>
      <c r="BC21" s="657"/>
      <c r="BD21" s="657"/>
      <c r="BE21" s="657"/>
      <c r="BF21" s="67" t="s">
        <v>17</v>
      </c>
      <c r="BG21" s="64"/>
      <c r="BH21" s="64"/>
      <c r="BI21" s="64"/>
      <c r="BJ21" s="64"/>
      <c r="BK21" s="95"/>
      <c r="BL21" s="67" t="s">
        <v>17</v>
      </c>
      <c r="BM21" s="657"/>
      <c r="BN21" s="657"/>
      <c r="BO21" s="657"/>
      <c r="BP21" s="657"/>
      <c r="BQ21" s="788"/>
      <c r="BR21" s="96"/>
      <c r="BS21" s="96">
        <f t="shared" si="0"/>
        <v>0</v>
      </c>
      <c r="BT21" s="64"/>
    </row>
    <row r="22" spans="1:72" ht="12.75" customHeight="1">
      <c r="A22" s="64" t="s">
        <v>2422</v>
      </c>
      <c r="B22" s="64" t="s">
        <v>2470</v>
      </c>
      <c r="C22" s="64" t="s">
        <v>2440</v>
      </c>
      <c r="D22" s="64" t="s">
        <v>2471</v>
      </c>
      <c r="E22" s="64"/>
      <c r="F22" s="67"/>
      <c r="H22" s="64" t="s">
        <v>2426</v>
      </c>
      <c r="I22" s="64"/>
      <c r="J22" s="64"/>
      <c r="K22" s="67" t="str">
        <f>IF(L22="YES","ja",IF(L22="NO","nein",""))</f>
        <v/>
      </c>
      <c r="M22" s="64" t="s">
        <v>2426</v>
      </c>
      <c r="N22" s="64" t="s">
        <v>2470</v>
      </c>
      <c r="O22" s="64"/>
      <c r="P22" s="67" t="s">
        <v>17</v>
      </c>
      <c r="Q22" s="64"/>
      <c r="R22" s="64"/>
      <c r="S22" s="64"/>
      <c r="T22" s="64"/>
      <c r="U22" s="95"/>
      <c r="V22" s="67" t="s">
        <v>17</v>
      </c>
      <c r="W22" s="64"/>
      <c r="X22" s="64"/>
      <c r="Y22" s="64"/>
      <c r="Z22" s="64"/>
      <c r="AA22" s="95"/>
      <c r="AB22" s="67" t="s">
        <v>17</v>
      </c>
      <c r="AC22" s="64"/>
      <c r="AD22" s="64"/>
      <c r="AE22" s="64"/>
      <c r="AF22" s="64"/>
      <c r="AG22" s="95"/>
      <c r="AH22" s="67" t="s">
        <v>17</v>
      </c>
      <c r="AI22" s="64"/>
      <c r="AJ22" s="64"/>
      <c r="AK22" s="64"/>
      <c r="AL22" s="64"/>
      <c r="AM22" s="95"/>
      <c r="AN22" s="67" t="s">
        <v>17</v>
      </c>
      <c r="AO22" s="64"/>
      <c r="AP22" s="64"/>
      <c r="AQ22" s="64"/>
      <c r="AR22" s="64"/>
      <c r="AS22" s="64"/>
      <c r="AT22" s="67" t="s">
        <v>17</v>
      </c>
      <c r="AU22" s="64"/>
      <c r="AV22" s="64"/>
      <c r="AW22" s="64"/>
      <c r="AX22" s="64"/>
      <c r="AY22" s="64"/>
      <c r="AZ22" s="588" t="s">
        <v>17</v>
      </c>
      <c r="BA22" s="657"/>
      <c r="BB22" s="657"/>
      <c r="BC22" s="657"/>
      <c r="BD22" s="657"/>
      <c r="BE22" s="657"/>
      <c r="BF22" s="67" t="s">
        <v>17</v>
      </c>
      <c r="BG22" s="64"/>
      <c r="BH22" s="64"/>
      <c r="BI22" s="64"/>
      <c r="BJ22" s="64"/>
      <c r="BK22" s="95"/>
      <c r="BL22" s="67" t="s">
        <v>17</v>
      </c>
      <c r="BM22" s="657"/>
      <c r="BN22" s="657"/>
      <c r="BO22" s="657"/>
      <c r="BP22" s="657"/>
      <c r="BQ22" s="788"/>
      <c r="BR22" s="96"/>
      <c r="BS22" s="96">
        <f t="shared" si="0"/>
        <v>0</v>
      </c>
      <c r="BT22" s="64"/>
    </row>
    <row r="23" spans="1:72" ht="27.6">
      <c r="A23" s="64" t="s">
        <v>2422</v>
      </c>
      <c r="B23" s="115" t="s">
        <v>2472</v>
      </c>
      <c r="C23" s="64" t="s">
        <v>2440</v>
      </c>
      <c r="D23" s="64" t="s">
        <v>2473</v>
      </c>
      <c r="E23" s="64" t="s">
        <v>4079</v>
      </c>
      <c r="F23" s="65"/>
      <c r="G23" s="651"/>
      <c r="H23" s="64" t="s">
        <v>2474</v>
      </c>
      <c r="I23" s="66"/>
      <c r="J23" s="66"/>
      <c r="K23" s="65">
        <f>RisikoFragen0a</f>
        <v>0</v>
      </c>
      <c r="L23" s="651"/>
      <c r="M23" s="64" t="s">
        <v>2474</v>
      </c>
      <c r="N23" s="64" t="s">
        <v>2472</v>
      </c>
      <c r="O23" s="64"/>
      <c r="P23" s="67" t="s">
        <v>2432</v>
      </c>
      <c r="Q23" s="64" t="str">
        <f ca="1">IF(OR(PolicenBeginn&lt;(TODAY()+3),PolicenBeginn&gt;(TODAY()+90)),Referral,Dunkelverarbeitung)</f>
        <v>Referral</v>
      </c>
      <c r="R23" s="64"/>
      <c r="S23" s="64"/>
      <c r="T23" s="64"/>
      <c r="U23" s="95"/>
      <c r="V23" s="67" t="s">
        <v>2432</v>
      </c>
      <c r="W23" s="64" t="str">
        <f ca="1">IF(PolicenBeginn&lt;(TODAY()+3),Referral,Dunkelverarbeitung)</f>
        <v>Referral</v>
      </c>
      <c r="X23" s="64"/>
      <c r="Y23" s="64"/>
      <c r="Z23" s="64"/>
      <c r="AA23" s="95"/>
      <c r="AB23" s="67" t="s">
        <v>2432</v>
      </c>
      <c r="AC23" s="64" t="str">
        <f ca="1">IF(OR(PolicenBeginn&lt;(TODAY()-30),PolicenBeginn&gt;(TODAY()+90)),Referral,Dunkelverarbeitung)</f>
        <v>Referral</v>
      </c>
      <c r="AD23" s="64"/>
      <c r="AE23" s="64"/>
      <c r="AF23" s="64"/>
      <c r="AG23" s="95"/>
      <c r="AH23" s="67" t="s">
        <v>2432</v>
      </c>
      <c r="AI23" s="66" t="str">
        <f ca="1">IF(OR(PolicenBeginn&lt;(TODAY()-7),PolicenBeginn&gt;(TODAY()+4*30)),Referral,Dunkelverarbeitung)</f>
        <v>Referral</v>
      </c>
      <c r="AJ23" s="64"/>
      <c r="AK23" s="64"/>
      <c r="AL23" s="64"/>
      <c r="AM23" s="95"/>
      <c r="AN23" s="67" t="s">
        <v>2432</v>
      </c>
      <c r="AO23" s="64" t="str">
        <f ca="1">IF(PolicenBeginn&lt;(TODAY()+3),Referral,Dunkelverarbeitung)</f>
        <v>Referral</v>
      </c>
      <c r="AP23" s="64"/>
      <c r="AQ23" s="64"/>
      <c r="AR23" s="66"/>
      <c r="AS23" s="66"/>
      <c r="AT23" s="67" t="s">
        <v>2432</v>
      </c>
      <c r="AU23" s="98" t="str">
        <f ca="1">IF(OR(AND(Vorversicherung=JaAntwort,PolicenBeginn&lt;(TODAY()-3*30)),AND(Vorversicherung=NeinAntwort,PolicenBeginn&lt;(TODAY()-2*30))),Referral,Dunkelverarbeitung)</f>
        <v>Dunkelverarbeitung</v>
      </c>
      <c r="AV23" s="64"/>
      <c r="AW23" s="64"/>
      <c r="AX23" s="64"/>
      <c r="AY23" s="64"/>
      <c r="AZ23" s="588" t="s">
        <v>2432</v>
      </c>
      <c r="BA23" s="657"/>
      <c r="BB23" s="657" t="str">
        <f ca="1">IF(OR(PolicenBeginn&lt;(TODAY()-3*30),PolicenBeginn&gt;(TODAY()+12*30)),"KO Trigger",Dunkelverarbeitung)</f>
        <v>KO Trigger</v>
      </c>
      <c r="BC23" s="657"/>
      <c r="BD23" s="657"/>
      <c r="BE23" s="657"/>
      <c r="BF23" s="67" t="s">
        <v>2432</v>
      </c>
      <c r="BG23" s="64" t="str">
        <f ca="1">IF(PolicenBeginn&gt;(EDATE(TODAY(),6)),Referral,Dunkelverarbeitung)</f>
        <v>Dunkelverarbeitung</v>
      </c>
      <c r="BH23" s="64"/>
      <c r="BI23" s="64"/>
      <c r="BJ23" s="64"/>
      <c r="BK23" s="95"/>
      <c r="BL23" s="67" t="s">
        <v>17</v>
      </c>
      <c r="BM23" s="657"/>
      <c r="BN23" s="657"/>
      <c r="BO23" s="657"/>
      <c r="BP23" s="657"/>
      <c r="BQ23" s="788"/>
      <c r="BR23" s="96" t="s">
        <v>2475</v>
      </c>
      <c r="BS23" s="96" t="str">
        <f t="shared" si="0"/>
        <v>Policenbeginn</v>
      </c>
      <c r="BT23" s="64"/>
    </row>
    <row r="24" spans="1:72" ht="27.6">
      <c r="A24" s="64" t="s">
        <v>2422</v>
      </c>
      <c r="B24" s="115" t="s">
        <v>2476</v>
      </c>
      <c r="C24" s="64" t="s">
        <v>2440</v>
      </c>
      <c r="D24" s="64" t="s">
        <v>2477</v>
      </c>
      <c r="E24" s="64"/>
      <c r="F24" s="65"/>
      <c r="G24" s="651"/>
      <c r="H24" s="64" t="s">
        <v>2474</v>
      </c>
      <c r="I24" s="66"/>
      <c r="J24" s="66"/>
      <c r="K24" s="65">
        <f>L24</f>
        <v>0</v>
      </c>
      <c r="L24" s="651"/>
      <c r="M24" s="64" t="s">
        <v>2474</v>
      </c>
      <c r="N24" s="64" t="s">
        <v>2476</v>
      </c>
      <c r="O24" s="64"/>
      <c r="P24" s="67" t="s">
        <v>2432</v>
      </c>
      <c r="Q24" s="64" t="str">
        <f>IF(RisikoFragen0b&gt;DATE(YEAR(PolicenBeginn)+1,MONTH(PolicenBeginn),DAY(PolicenBeginn)),"Referral",Dunkelverarbeitung)</f>
        <v>Dunkelverarbeitung</v>
      </c>
      <c r="R24" s="64"/>
      <c r="S24" s="64"/>
      <c r="T24" s="778" t="str">
        <f>IF(DAYS360(PolicenBeginn,PolicenAblauf)&gt;=30*18,"bdv-871:group-4","")</f>
        <v/>
      </c>
      <c r="U24" s="95"/>
      <c r="V24" s="67" t="s">
        <v>17</v>
      </c>
      <c r="W24" s="64"/>
      <c r="X24" s="64"/>
      <c r="Y24" s="64"/>
      <c r="Z24" s="109" t="str">
        <f>IF(DAYS360(PolicenBeginn,PolicenAblauf)&gt;=30*18,"bdv-811:group-4","")</f>
        <v/>
      </c>
      <c r="AA24" s="95"/>
      <c r="AB24" s="67" t="s">
        <v>2432</v>
      </c>
      <c r="AC24" s="64" t="str">
        <f>IF(OR(DAYS360(PolicenBeginn,PolicenAblauf)&lt;30*6,DAYS360(PolicenBeginn,PolicenAblauf)&gt;=30*18),"Referral",Dunkelverarbeitung)</f>
        <v>Referral</v>
      </c>
      <c r="AD24" s="64"/>
      <c r="AE24" s="64">
        <f>IF(DAYS360(PolicenBeginn,PolicenAblauf)&gt;=30*18,0.1,0)</f>
        <v>0</v>
      </c>
      <c r="AF24" s="109" t="str">
        <f>IF(DAYS360(PolicenBeginn,PolicenAblauf)&gt;=30*18,"bdv-1351:group-4","")</f>
        <v/>
      </c>
      <c r="AG24" s="95"/>
      <c r="AH24" s="67" t="s">
        <v>2432</v>
      </c>
      <c r="AI24" s="66" t="str">
        <f>IF(OR(DAYS360(PolicenBeginn,PolicenAblauf)&lt;30*9,DAYS360(PolicenBeginn,PolicenAblauf)&gt;30*24),Referral,Dunkelverarbeitung)</f>
        <v>Referral</v>
      </c>
      <c r="AJ24" s="64"/>
      <c r="AK24" s="64"/>
      <c r="AL24" s="109" t="str">
        <f>IF(DAYS360(PolicenBeginn,PolicenAblauf)&gt;=30*18,"axa_my:group-4","")</f>
        <v/>
      </c>
      <c r="AM24" s="95"/>
      <c r="AN24" s="67" t="s">
        <v>2432</v>
      </c>
      <c r="AO24" s="64"/>
      <c r="AP24" s="66" t="str">
        <f>IF(OR(PolicenAblauf&lt;DATE(YEAR(PolicenBeginn)+1,MONTH(PolicenBeginn),DAY(PolicenBeginn)),PolicenAblauf&gt;DATE(YEAR(PolicenBeginn),MONTH(PolicenBeginn)+24,DAY(PolicenBeginn))),"KO Trigger",Dunkelverarbeitung)</f>
        <v>KO Trigger</v>
      </c>
      <c r="AQ24" s="64"/>
      <c r="AR24" s="64" t="str">
        <f>IF(DAYS360(PolicenBeginn,PolicenAblauf)&gt;=30*18,"axa_my:group-4","")</f>
        <v/>
      </c>
      <c r="AS24" s="64"/>
      <c r="AT24" s="67" t="s">
        <v>2432</v>
      </c>
      <c r="AU24" s="98" t="str">
        <f>IF(DAYS360(PolicenBeginn,PolicenAblauf) &lt;= 14*30,Dunkelverarbeitung,Referral)</f>
        <v>Dunkelverarbeitung</v>
      </c>
      <c r="AV24" s="64"/>
      <c r="AW24" s="64"/>
      <c r="AX24" s="109" t="str">
        <f>IF(DAYS360(PolicenBeginn,PolicenAblauf)&gt;=30*18,"bdv-901:group-4","")</f>
        <v/>
      </c>
      <c r="AY24" s="64"/>
      <c r="AZ24" s="588" t="s">
        <v>2432</v>
      </c>
      <c r="BA24" s="657" t="str">
        <f>IF(DAYS360(PolicenBeginn,PolicenAblauf)&lt;=12*30,Dunkelverarbeitung,Referral)</f>
        <v>Dunkelverarbeitung</v>
      </c>
      <c r="BB24" s="657"/>
      <c r="BC24" s="657"/>
      <c r="BD24" s="657" t="str">
        <f>IF(DAYS360(PolicenBeginn,PolicenAblauf)&gt;=30*18,"mk-lfv-1:group-4","")</f>
        <v/>
      </c>
      <c r="BE24" s="657"/>
      <c r="BF24" s="67" t="s">
        <v>2432</v>
      </c>
      <c r="BG24" s="64" t="str">
        <f>IF(DAYS360(PolicenBeginn,PolicenAblauf)&lt;=12*30,Dunkelverarbeitung,Referral)</f>
        <v>Dunkelverarbeitung</v>
      </c>
      <c r="BH24" s="64"/>
      <c r="BI24" s="64"/>
      <c r="BJ24" s="1007" t="str">
        <f>IF(DAYS360(PolicenBeginn,PolicenAblauf)&gt;=30*18,"axa_my:group-4","")</f>
        <v/>
      </c>
      <c r="BK24" s="95"/>
      <c r="BL24" s="67" t="s">
        <v>2432</v>
      </c>
      <c r="BM24" s="657"/>
      <c r="BN24" s="657" t="str">
        <f>IF(DAYS360(PolicenBeginn,PolicenAblauf,TRUE)&lt;12*30,"KO Trigger",Dunkelverarbeitung)</f>
        <v>KO Trigger</v>
      </c>
      <c r="BO24" s="657"/>
      <c r="BP24" s="1007" t="str">
        <f>IF(DAYS360(PolicenBeginn,PolicenAblauf)&gt;=30*18,"ergo-lfv-1:group-4","")</f>
        <v/>
      </c>
      <c r="BQ24" s="788"/>
      <c r="BR24" s="96" t="s">
        <v>2478</v>
      </c>
      <c r="BS24" s="96" t="str">
        <f t="shared" si="0"/>
        <v>Policenende bzw. Laufzeit</v>
      </c>
      <c r="BT24" s="64"/>
    </row>
    <row r="25" spans="1:72" ht="12.75" customHeight="1">
      <c r="A25" s="64" t="s">
        <v>2422</v>
      </c>
      <c r="B25" s="115" t="s">
        <v>2479</v>
      </c>
      <c r="C25" s="64" t="s">
        <v>2440</v>
      </c>
      <c r="D25" s="64" t="s">
        <v>2480</v>
      </c>
      <c r="E25" s="64"/>
      <c r="F25" s="102">
        <f>giLimit1</f>
        <v>0</v>
      </c>
      <c r="G25" s="652"/>
      <c r="H25" s="64" t="s">
        <v>2442</v>
      </c>
      <c r="I25" s="97" t="s">
        <v>2481</v>
      </c>
      <c r="J25" s="103"/>
      <c r="K25" s="102">
        <f>RisikoFragen0c</f>
        <v>0</v>
      </c>
      <c r="L25" s="652"/>
      <c r="M25" s="64" t="s">
        <v>2442</v>
      </c>
      <c r="N25" s="64" t="s">
        <v>2479</v>
      </c>
      <c r="O25" s="64"/>
      <c r="P25" s="67" t="s">
        <v>17</v>
      </c>
      <c r="Q25" s="64"/>
      <c r="R25" s="64"/>
      <c r="S25" s="64"/>
      <c r="T25" s="64"/>
      <c r="U25" s="95"/>
      <c r="V25" s="64" t="s">
        <v>17</v>
      </c>
      <c r="W25" s="64"/>
      <c r="X25" s="64"/>
      <c r="Y25" s="64"/>
      <c r="Z25" s="64"/>
      <c r="AA25" s="95"/>
      <c r="AB25" s="64" t="s">
        <v>17</v>
      </c>
      <c r="AC25" s="64"/>
      <c r="AD25" s="64"/>
      <c r="AE25" s="64"/>
      <c r="AF25" s="64"/>
      <c r="AG25" s="95"/>
      <c r="AH25" s="67" t="s">
        <v>2482</v>
      </c>
      <c r="AI25" s="64"/>
      <c r="AJ25" s="64"/>
      <c r="AK25" s="64"/>
      <c r="AL25" s="64"/>
      <c r="AM25" s="95"/>
      <c r="AN25" s="67" t="s">
        <v>17</v>
      </c>
      <c r="AO25" s="64"/>
      <c r="AP25" s="64"/>
      <c r="AQ25" s="64"/>
      <c r="AR25" s="64"/>
      <c r="AS25" s="64"/>
      <c r="AT25" s="116" t="s">
        <v>2432</v>
      </c>
      <c r="AU25" s="117"/>
      <c r="AV25" s="117"/>
      <c r="AW25" s="64"/>
      <c r="AX25" s="64"/>
      <c r="AY25" s="64"/>
      <c r="AZ25" s="588" t="s">
        <v>2432</v>
      </c>
      <c r="BA25" s="657"/>
      <c r="BB25" s="657"/>
      <c r="BC25" s="657"/>
      <c r="BD25" s="657"/>
      <c r="BE25" s="657"/>
      <c r="BF25" s="779" t="s">
        <v>2432</v>
      </c>
      <c r="BG25" s="64"/>
      <c r="BH25" s="64"/>
      <c r="BI25" s="64"/>
      <c r="BJ25" s="64"/>
      <c r="BK25" s="95"/>
      <c r="BL25" s="779" t="s">
        <v>2432</v>
      </c>
      <c r="BM25" s="657"/>
      <c r="BN25" s="657"/>
      <c r="BO25" s="657"/>
      <c r="BP25" s="657"/>
      <c r="BQ25" s="788"/>
      <c r="BR25" s="96"/>
      <c r="BS25" s="96">
        <f t="shared" si="0"/>
        <v>0</v>
      </c>
      <c r="BT25" s="64"/>
    </row>
    <row r="26" spans="1:72" ht="12.75" customHeight="1">
      <c r="A26" s="64" t="s">
        <v>2422</v>
      </c>
      <c r="B26" s="115" t="s">
        <v>2483</v>
      </c>
      <c r="C26" s="64" t="s">
        <v>2440</v>
      </c>
      <c r="D26" s="64" t="s">
        <v>2484</v>
      </c>
      <c r="E26" s="64"/>
      <c r="F26" s="102">
        <f>giLimit2</f>
        <v>0</v>
      </c>
      <c r="G26" s="652"/>
      <c r="H26" s="64" t="s">
        <v>2442</v>
      </c>
      <c r="I26" s="97" t="s">
        <v>2485</v>
      </c>
      <c r="J26" s="103"/>
      <c r="K26" s="102">
        <f>RisikoFragen0d</f>
        <v>0</v>
      </c>
      <c r="L26" s="652"/>
      <c r="M26" s="64" t="s">
        <v>2442</v>
      </c>
      <c r="N26" s="64" t="s">
        <v>2483</v>
      </c>
      <c r="O26" s="64"/>
      <c r="P26" s="67" t="s">
        <v>17</v>
      </c>
      <c r="Q26" s="64"/>
      <c r="R26" s="64"/>
      <c r="S26" s="64"/>
      <c r="T26" s="64"/>
      <c r="U26" s="95"/>
      <c r="V26" s="64" t="s">
        <v>17</v>
      </c>
      <c r="W26" s="64"/>
      <c r="X26" s="64"/>
      <c r="Y26" s="64"/>
      <c r="Z26" s="64"/>
      <c r="AA26" s="95"/>
      <c r="AB26" s="64" t="s">
        <v>17</v>
      </c>
      <c r="AC26" s="64"/>
      <c r="AD26" s="64"/>
      <c r="AE26" s="64"/>
      <c r="AF26" s="64"/>
      <c r="AG26" s="95"/>
      <c r="AH26" s="67" t="s">
        <v>2482</v>
      </c>
      <c r="AI26" s="64"/>
      <c r="AJ26" s="64"/>
      <c r="AK26" s="64"/>
      <c r="AL26" s="64"/>
      <c r="AM26" s="95"/>
      <c r="AN26" s="67" t="s">
        <v>17</v>
      </c>
      <c r="AO26" s="64"/>
      <c r="AP26" s="64"/>
      <c r="AQ26" s="64"/>
      <c r="AR26" s="64"/>
      <c r="AS26" s="64"/>
      <c r="AT26" s="67" t="s">
        <v>2432</v>
      </c>
      <c r="AU26" s="117"/>
      <c r="AV26" s="117"/>
      <c r="AW26" s="64"/>
      <c r="AX26" s="64"/>
      <c r="AY26" s="64"/>
      <c r="AZ26" s="588" t="s">
        <v>2432</v>
      </c>
      <c r="BA26" s="657"/>
      <c r="BB26" s="657"/>
      <c r="BC26" s="657"/>
      <c r="BD26" s="657"/>
      <c r="BE26" s="657"/>
      <c r="BF26" s="779" t="s">
        <v>2432</v>
      </c>
      <c r="BG26" s="64"/>
      <c r="BH26" s="64"/>
      <c r="BI26" s="64"/>
      <c r="BJ26" s="64"/>
      <c r="BK26" s="95"/>
      <c r="BL26" s="779" t="s">
        <v>2432</v>
      </c>
      <c r="BM26" s="657"/>
      <c r="BN26" s="657"/>
      <c r="BO26" s="657"/>
      <c r="BP26" s="657"/>
      <c r="BQ26" s="788"/>
      <c r="BR26" s="96"/>
      <c r="BS26" s="96">
        <f t="shared" si="0"/>
        <v>0</v>
      </c>
      <c r="BT26" s="64"/>
    </row>
    <row r="27" spans="1:72" ht="12.75" customHeight="1">
      <c r="A27" s="64" t="s">
        <v>2422</v>
      </c>
      <c r="B27" s="115" t="s">
        <v>2486</v>
      </c>
      <c r="C27" s="64" t="s">
        <v>2440</v>
      </c>
      <c r="D27" s="64" t="s">
        <v>2487</v>
      </c>
      <c r="E27" s="64"/>
      <c r="F27" s="102">
        <f>giLimit3</f>
        <v>0</v>
      </c>
      <c r="G27" s="652"/>
      <c r="H27" s="64" t="s">
        <v>2442</v>
      </c>
      <c r="I27" s="97" t="s">
        <v>2488</v>
      </c>
      <c r="J27" s="103"/>
      <c r="K27" s="102">
        <f>RisikoFragen0e</f>
        <v>0</v>
      </c>
      <c r="L27" s="652"/>
      <c r="M27" s="64" t="s">
        <v>2442</v>
      </c>
      <c r="N27" s="64" t="s">
        <v>2486</v>
      </c>
      <c r="O27" s="64"/>
      <c r="P27" s="67" t="s">
        <v>17</v>
      </c>
      <c r="Q27" s="64"/>
      <c r="R27" s="64"/>
      <c r="S27" s="64"/>
      <c r="T27" s="64"/>
      <c r="U27" s="95"/>
      <c r="V27" s="64" t="s">
        <v>17</v>
      </c>
      <c r="W27" s="64"/>
      <c r="X27" s="64"/>
      <c r="Y27" s="64"/>
      <c r="Z27" s="64"/>
      <c r="AA27" s="95"/>
      <c r="AB27" s="64" t="s">
        <v>17</v>
      </c>
      <c r="AC27" s="64"/>
      <c r="AD27" s="64"/>
      <c r="AE27" s="64"/>
      <c r="AF27" s="64"/>
      <c r="AG27" s="95"/>
      <c r="AH27" s="67" t="s">
        <v>2482</v>
      </c>
      <c r="AI27" s="64"/>
      <c r="AJ27" s="64"/>
      <c r="AK27" s="64"/>
      <c r="AL27" s="64"/>
      <c r="AM27" s="95"/>
      <c r="AN27" s="67" t="s">
        <v>17</v>
      </c>
      <c r="AO27" s="64"/>
      <c r="AP27" s="64"/>
      <c r="AQ27" s="64"/>
      <c r="AR27" s="64"/>
      <c r="AS27" s="64"/>
      <c r="AT27" s="67" t="s">
        <v>2432</v>
      </c>
      <c r="AU27" s="117"/>
      <c r="AV27" s="117"/>
      <c r="AW27" s="64"/>
      <c r="AX27" s="64"/>
      <c r="AY27" s="64"/>
      <c r="AZ27" s="588" t="s">
        <v>2432</v>
      </c>
      <c r="BA27" s="657"/>
      <c r="BB27" s="657"/>
      <c r="BC27" s="657"/>
      <c r="BD27" s="657"/>
      <c r="BE27" s="657"/>
      <c r="BF27" s="779" t="s">
        <v>2432</v>
      </c>
      <c r="BG27" s="64"/>
      <c r="BH27" s="64"/>
      <c r="BI27" s="64"/>
      <c r="BJ27" s="64"/>
      <c r="BK27" s="95"/>
      <c r="BL27" s="779" t="s">
        <v>2432</v>
      </c>
      <c r="BM27" s="657"/>
      <c r="BN27" s="657"/>
      <c r="BO27" s="657"/>
      <c r="BP27" s="657"/>
      <c r="BQ27" s="788"/>
      <c r="BR27" s="96"/>
      <c r="BS27" s="96">
        <f t="shared" si="0"/>
        <v>0</v>
      </c>
      <c r="BT27" s="64"/>
    </row>
    <row r="28" spans="1:72" ht="41.4">
      <c r="A28" s="64" t="s">
        <v>2422</v>
      </c>
      <c r="B28" s="64" t="s">
        <v>2489</v>
      </c>
      <c r="C28" s="64" t="s">
        <v>2440</v>
      </c>
      <c r="D28" s="64" t="s">
        <v>2490</v>
      </c>
      <c r="E28" s="64"/>
      <c r="F28" s="67"/>
      <c r="H28" s="64" t="s">
        <v>2438</v>
      </c>
      <c r="I28" s="64"/>
      <c r="J28" s="64"/>
      <c r="K28" s="67" t="str">
        <f>IF(L28="YES","ja",IF(L28="NO","nein",""))</f>
        <v/>
      </c>
      <c r="M28" s="64" t="s">
        <v>2438</v>
      </c>
      <c r="N28" s="64" t="s">
        <v>2489</v>
      </c>
      <c r="O28" s="64"/>
      <c r="P28" s="67" t="s">
        <v>2432</v>
      </c>
      <c r="Q28" s="64" t="str">
        <f>IF(K28=JaAntwort,Referral,Dunkelverarbeitung)</f>
        <v>Dunkelverarbeitung</v>
      </c>
      <c r="R28" s="64"/>
      <c r="S28" s="64"/>
      <c r="T28" s="64"/>
      <c r="U28" s="95"/>
      <c r="V28" s="67" t="s">
        <v>2432</v>
      </c>
      <c r="W28" s="64" t="str">
        <f>IF(K28=JaAntwort,Referral,Dunkelverarbeitung)</f>
        <v>Dunkelverarbeitung</v>
      </c>
      <c r="X28" s="64"/>
      <c r="Y28" s="64"/>
      <c r="Z28" s="64"/>
      <c r="AA28" s="95"/>
      <c r="AB28" s="67" t="s">
        <v>2432</v>
      </c>
      <c r="AC28" s="64" t="str">
        <f>IF(K28=JaAntwort,Referral,Dunkelverarbeitung)</f>
        <v>Dunkelverarbeitung</v>
      </c>
      <c r="AD28" s="64"/>
      <c r="AE28" s="64"/>
      <c r="AF28" s="64"/>
      <c r="AG28" s="95"/>
      <c r="AH28" s="67" t="s">
        <v>2432</v>
      </c>
      <c r="AI28" s="64"/>
      <c r="AJ28" s="64" t="str">
        <f>IF(K28=JaAntwort,KO_Trigger,Dunkelverarbeitung)</f>
        <v>Dunkelverarbeitung</v>
      </c>
      <c r="AK28" s="64"/>
      <c r="AL28" s="64"/>
      <c r="AM28" s="95"/>
      <c r="AN28" s="67" t="s">
        <v>2432</v>
      </c>
      <c r="AO28" s="64" t="str">
        <f>IF(K28=JaAntwort,Referral,Dunkelverarbeitung)</f>
        <v>Dunkelverarbeitung</v>
      </c>
      <c r="AP28" s="64"/>
      <c r="AQ28" s="64"/>
      <c r="AR28" s="64"/>
      <c r="AS28" s="64"/>
      <c r="AT28" s="67" t="s">
        <v>2432</v>
      </c>
      <c r="AU28" s="64" t="str">
        <f t="shared" ref="AU28:AU33" si="1">IF(K28=JaAntwort,Referral,Dunkelverarbeitung)</f>
        <v>Dunkelverarbeitung</v>
      </c>
      <c r="AV28" s="64"/>
      <c r="AW28" s="64"/>
      <c r="AX28" s="64"/>
      <c r="AY28" s="64"/>
      <c r="AZ28" s="588" t="s">
        <v>2432</v>
      </c>
      <c r="BA28" s="657" t="str">
        <f>IF(K28=JaAntwort,Referral,Dunkelverarbeitung)</f>
        <v>Dunkelverarbeitung</v>
      </c>
      <c r="BB28" s="657"/>
      <c r="BC28" s="657"/>
      <c r="BD28" s="657"/>
      <c r="BE28" s="657"/>
      <c r="BF28" s="779" t="s">
        <v>2432</v>
      </c>
      <c r="BG28" s="64" t="str">
        <f>IF(K28=JaAntwort,Referral,Dunkelverarbeitung)</f>
        <v>Dunkelverarbeitung</v>
      </c>
      <c r="BH28" s="64"/>
      <c r="BI28" s="64"/>
      <c r="BJ28" s="64"/>
      <c r="BK28" s="95"/>
      <c r="BL28" s="779" t="s">
        <v>17</v>
      </c>
      <c r="BM28" s="64"/>
      <c r="BN28" s="657"/>
      <c r="BO28" s="657"/>
      <c r="BP28" s="657"/>
      <c r="BQ28" s="788"/>
      <c r="BR28" s="96" t="s">
        <v>2491</v>
      </c>
      <c r="BS28" s="96" t="str">
        <f t="shared" si="0"/>
        <v>Dem Unterzeichner sind Pflichtverletzungen bekannt, die zu einer Inanspruchnahme der gewünschten Deckung führen können.</v>
      </c>
      <c r="BT28" s="64"/>
    </row>
    <row r="29" spans="1:72" ht="12.75" customHeight="1">
      <c r="A29" s="64" t="s">
        <v>2422</v>
      </c>
      <c r="B29" s="64" t="s">
        <v>2492</v>
      </c>
      <c r="C29" s="64" t="s">
        <v>2440</v>
      </c>
      <c r="D29" s="64" t="s">
        <v>2493</v>
      </c>
      <c r="E29" s="64"/>
      <c r="F29" s="67"/>
      <c r="H29" s="64" t="s">
        <v>2438</v>
      </c>
      <c r="I29" s="64"/>
      <c r="J29" s="64"/>
      <c r="K29" s="67" t="str">
        <f>IF(L29="YES","ja",IF(L29="NO","nein",""))</f>
        <v/>
      </c>
      <c r="M29" s="64" t="s">
        <v>2438</v>
      </c>
      <c r="N29" s="64" t="s">
        <v>2492</v>
      </c>
      <c r="O29" s="64"/>
      <c r="P29" s="67" t="s">
        <v>2432</v>
      </c>
      <c r="Q29" s="64" t="str">
        <f>IF(K29=JaAntwort,Referral,Dunkelverarbeitung)</f>
        <v>Dunkelverarbeitung</v>
      </c>
      <c r="R29" s="64"/>
      <c r="S29" s="64"/>
      <c r="T29" s="64"/>
      <c r="U29" s="95"/>
      <c r="V29" s="67" t="s">
        <v>2432</v>
      </c>
      <c r="W29" s="64" t="str">
        <f>IF(K29=JaAntwort,Referral,Dunkelverarbeitung)</f>
        <v>Dunkelverarbeitung</v>
      </c>
      <c r="X29" s="64"/>
      <c r="Y29" s="64"/>
      <c r="Z29" s="64"/>
      <c r="AA29" s="95"/>
      <c r="AB29" s="67" t="s">
        <v>2432</v>
      </c>
      <c r="AC29" s="64" t="str">
        <f>IF(K29=JaAntwort,Referral,Dunkelverarbeitung)</f>
        <v>Dunkelverarbeitung</v>
      </c>
      <c r="AD29" s="64"/>
      <c r="AE29" s="64"/>
      <c r="AF29" s="64"/>
      <c r="AG29" s="95"/>
      <c r="AH29" s="67" t="s">
        <v>2432</v>
      </c>
      <c r="AI29" s="64" t="str">
        <f>IF((AND(K29=JaAntwort,Umsatz&gt;=100000000)),Referral,Dunkelverarbeitung)</f>
        <v>Dunkelverarbeitung</v>
      </c>
      <c r="AJ29" s="64" t="str">
        <f>IF(AND(K29=JaAntwort,Umsatz&lt;100000000),KO_Trigger,Dunkelverarbeitung)</f>
        <v>Dunkelverarbeitung</v>
      </c>
      <c r="AK29" s="64">
        <f>IF(AND(K29=JaAntwort,Umsatz&gt;=100000000),0.5,0)</f>
        <v>0</v>
      </c>
      <c r="AL29" s="64"/>
      <c r="AM29" s="95"/>
      <c r="AN29" s="67" t="s">
        <v>2432</v>
      </c>
      <c r="AO29" s="64" t="str">
        <f>IF(K29=JaAntwort,Referral,Dunkelverarbeitung)</f>
        <v>Dunkelverarbeitung</v>
      </c>
      <c r="AP29" s="64"/>
      <c r="AQ29" s="64"/>
      <c r="AR29" s="64"/>
      <c r="AS29" s="64"/>
      <c r="AT29" s="67" t="s">
        <v>2432</v>
      </c>
      <c r="AU29" s="64" t="str">
        <f t="shared" si="1"/>
        <v>Dunkelverarbeitung</v>
      </c>
      <c r="AV29" s="64"/>
      <c r="AW29" s="64"/>
      <c r="AX29" s="64"/>
      <c r="AY29" s="64"/>
      <c r="AZ29" s="588" t="s">
        <v>2432</v>
      </c>
      <c r="BA29" s="657" t="str">
        <f>IF(K29=JaAntwort,Referral,Dunkelverarbeitung)</f>
        <v>Dunkelverarbeitung</v>
      </c>
      <c r="BB29" s="657"/>
      <c r="BC29" s="657"/>
      <c r="BD29" s="657"/>
      <c r="BE29" s="657"/>
      <c r="BF29" s="779" t="s">
        <v>2432</v>
      </c>
      <c r="BG29" s="64" t="str">
        <f>IF(K29=JaAntwort,Referral,Dunkelverarbeitung)</f>
        <v>Dunkelverarbeitung</v>
      </c>
      <c r="BH29" s="64"/>
      <c r="BI29" s="64"/>
      <c r="BJ29" s="64"/>
      <c r="BK29" s="95"/>
      <c r="BL29" s="779" t="s">
        <v>2432</v>
      </c>
      <c r="BM29" s="64" t="str">
        <f>IF(K29=JaAntwort,Referral,Dunkelverarbeitung)</f>
        <v>Dunkelverarbeitung</v>
      </c>
      <c r="BN29" s="657"/>
      <c r="BO29" s="657"/>
      <c r="BP29" s="657"/>
      <c r="BQ29" s="788"/>
      <c r="BR29" s="96" t="s">
        <v>2494</v>
      </c>
      <c r="BS29" s="96" t="str">
        <f t="shared" si="0"/>
        <v>In der Vergangenheit sind Ansprüche gestellt worden, die unter die gewünschte Deckung fallen könnten.</v>
      </c>
      <c r="BT29" s="64"/>
    </row>
    <row r="30" spans="1:72" ht="12.75" customHeight="1">
      <c r="A30" s="64" t="s">
        <v>2422</v>
      </c>
      <c r="B30" s="64" t="s">
        <v>2495</v>
      </c>
      <c r="C30" s="64" t="s">
        <v>2440</v>
      </c>
      <c r="D30" s="64" t="s">
        <v>2496</v>
      </c>
      <c r="E30" s="64"/>
      <c r="F30" s="67"/>
      <c r="H30" s="64" t="s">
        <v>2438</v>
      </c>
      <c r="I30" s="64"/>
      <c r="J30" s="64"/>
      <c r="K30" s="67" t="str">
        <f>IF(L30="YES","ja",IF(L30="NO","nein",""))</f>
        <v/>
      </c>
      <c r="M30" s="64" t="s">
        <v>2438</v>
      </c>
      <c r="N30" s="64" t="s">
        <v>2495</v>
      </c>
      <c r="O30" s="64"/>
      <c r="P30" s="67" t="s">
        <v>2432</v>
      </c>
      <c r="Q30" s="64" t="str">
        <f>IF(K30=JaAntwort,Referral,Dunkelverarbeitung)</f>
        <v>Dunkelverarbeitung</v>
      </c>
      <c r="R30" s="64"/>
      <c r="S30" s="64"/>
      <c r="T30" s="64"/>
      <c r="U30" s="95"/>
      <c r="V30" s="67" t="s">
        <v>17</v>
      </c>
      <c r="W30" s="64"/>
      <c r="X30" s="64"/>
      <c r="Y30" s="64"/>
      <c r="Z30" s="64"/>
      <c r="AA30" s="95"/>
      <c r="AB30" s="67" t="s">
        <v>2432</v>
      </c>
      <c r="AC30" s="64" t="str">
        <f>IF(K30=JaAntwort,Referral,Dunkelverarbeitung)</f>
        <v>Dunkelverarbeitung</v>
      </c>
      <c r="AD30" s="64"/>
      <c r="AE30" s="64"/>
      <c r="AF30" s="64"/>
      <c r="AG30" s="95"/>
      <c r="AH30" s="67" t="s">
        <v>2432</v>
      </c>
      <c r="AI30" s="64" t="str">
        <f>IF((AND(K30=JaAntwort,Umsatz&gt;=100000000)),Referral,Dunkelverarbeitung)</f>
        <v>Dunkelverarbeitung</v>
      </c>
      <c r="AJ30" s="64" t="str">
        <f>IF(AND(K30=JaAntwort,Umsatz&lt;100000000),KO_Trigger,Dunkelverarbeitung)</f>
        <v>Dunkelverarbeitung</v>
      </c>
      <c r="AK30" s="64">
        <f>IF(AND(K30=JaAntwort,Umsatz&gt;=100000000),0.5,0)</f>
        <v>0</v>
      </c>
      <c r="AL30" s="64"/>
      <c r="AM30" s="95"/>
      <c r="AN30" s="67" t="s">
        <v>2432</v>
      </c>
      <c r="AO30" s="64" t="str">
        <f>IF(K30=JaAntwort,Referral,Dunkelverarbeitung)</f>
        <v>Dunkelverarbeitung</v>
      </c>
      <c r="AP30" s="64"/>
      <c r="AQ30" s="64"/>
      <c r="AR30" s="64"/>
      <c r="AS30" s="64"/>
      <c r="AT30" s="67" t="s">
        <v>2432</v>
      </c>
      <c r="AU30" s="64" t="str">
        <f t="shared" si="1"/>
        <v>Dunkelverarbeitung</v>
      </c>
      <c r="AV30" s="64"/>
      <c r="AW30" s="64"/>
      <c r="AX30" s="64"/>
      <c r="AY30" s="64"/>
      <c r="AZ30" s="588" t="s">
        <v>17</v>
      </c>
      <c r="BA30" s="657"/>
      <c r="BB30" s="657"/>
      <c r="BC30" s="657"/>
      <c r="BD30" s="657"/>
      <c r="BE30" s="657"/>
      <c r="BF30" s="779" t="s">
        <v>17</v>
      </c>
      <c r="BG30" s="64"/>
      <c r="BH30" s="64" t="str">
        <f>IF(K30=JaAntwort,"KO Trigger",Dunkelverarbeitung)</f>
        <v>Dunkelverarbeitung</v>
      </c>
      <c r="BI30" s="64"/>
      <c r="BJ30" s="64"/>
      <c r="BK30" s="95"/>
      <c r="BL30" s="779" t="s">
        <v>2432</v>
      </c>
      <c r="BM30" s="64" t="str">
        <f>IF(K30=JaAntwort,Referral,Dunkelverarbeitung)</f>
        <v>Dunkelverarbeitung</v>
      </c>
      <c r="BN30" s="657"/>
      <c r="BO30" s="657"/>
      <c r="BP30" s="657"/>
      <c r="BQ30" s="788"/>
      <c r="BR30" s="96" t="s">
        <v>2497</v>
      </c>
      <c r="BS30" s="96" t="str">
        <f t="shared" si="0"/>
        <v>In den vergangenen drei Jahren wurden geschäftsführende Organmitglieder im Streit abberufen.</v>
      </c>
      <c r="BT30" s="64"/>
    </row>
    <row r="31" spans="1:72" ht="12.75" customHeight="1">
      <c r="A31" s="64" t="s">
        <v>2422</v>
      </c>
      <c r="B31" s="64" t="s">
        <v>2498</v>
      </c>
      <c r="C31" s="64" t="s">
        <v>2440</v>
      </c>
      <c r="D31" s="64" t="s">
        <v>2499</v>
      </c>
      <c r="E31" s="64"/>
      <c r="F31" s="67"/>
      <c r="H31" s="64" t="s">
        <v>2438</v>
      </c>
      <c r="I31" s="64"/>
      <c r="J31" s="64"/>
      <c r="K31" s="67" t="str">
        <f>IF(L31="YES","ja",IF(L31="NO","nein",""))</f>
        <v/>
      </c>
      <c r="M31" s="64" t="s">
        <v>2438</v>
      </c>
      <c r="N31" s="64" t="s">
        <v>2498</v>
      </c>
      <c r="O31" s="64"/>
      <c r="P31" s="67" t="s">
        <v>2432</v>
      </c>
      <c r="Q31" s="64" t="str">
        <f>IF(AND(K31=JaAntwort,Vorversicherung=JaAntwort),Referral,Dunkelverarbeitung)</f>
        <v>Dunkelverarbeitung</v>
      </c>
      <c r="R31" s="64"/>
      <c r="S31" s="64"/>
      <c r="T31" s="64"/>
      <c r="U31" s="95"/>
      <c r="V31" s="67" t="s">
        <v>2432</v>
      </c>
      <c r="W31" s="64" t="s">
        <v>17</v>
      </c>
      <c r="X31" s="64"/>
      <c r="Y31" s="64" t="str">
        <f>IF(Neubeherrschung="ja",0.15,"")</f>
        <v/>
      </c>
      <c r="Z31" s="64"/>
      <c r="AA31" s="95"/>
      <c r="AB31" s="67" t="s">
        <v>2432</v>
      </c>
      <c r="AC31" s="64" t="str">
        <f>IF(K31=JaAntwort,Referral,Dunkelverarbeitung)</f>
        <v>Dunkelverarbeitung</v>
      </c>
      <c r="AD31" s="64"/>
      <c r="AE31" s="64"/>
      <c r="AF31" s="64"/>
      <c r="AG31" s="95"/>
      <c r="AH31" s="67" t="s">
        <v>17</v>
      </c>
      <c r="AI31" s="64"/>
      <c r="AJ31" s="64"/>
      <c r="AK31" s="64">
        <f>IF(K31=JaAntwort,0.2,0)</f>
        <v>0</v>
      </c>
      <c r="AL31" s="64"/>
      <c r="AM31" s="95"/>
      <c r="AN31" s="67" t="s">
        <v>17</v>
      </c>
      <c r="AO31" s="64"/>
      <c r="AP31" s="64"/>
      <c r="AQ31" s="64"/>
      <c r="AR31" s="64"/>
      <c r="AS31" s="64"/>
      <c r="AT31" s="67" t="s">
        <v>2432</v>
      </c>
      <c r="AU31" s="64" t="str">
        <f t="shared" si="1"/>
        <v>Dunkelverarbeitung</v>
      </c>
      <c r="AV31" s="64"/>
      <c r="AW31" s="64"/>
      <c r="AX31" s="64"/>
      <c r="AY31" s="64"/>
      <c r="AZ31" s="588" t="s">
        <v>17</v>
      </c>
      <c r="BA31" s="657"/>
      <c r="BB31" s="657"/>
      <c r="BC31" s="657"/>
      <c r="BD31" s="657"/>
      <c r="BE31" s="657"/>
      <c r="BF31" s="779" t="s">
        <v>2432</v>
      </c>
      <c r="BG31" s="64" t="str">
        <f>IF(K31=JaAntwort,Referral,Dunkelverarbeitung)</f>
        <v>Dunkelverarbeitung</v>
      </c>
      <c r="BH31" s="64"/>
      <c r="BI31" s="64"/>
      <c r="BJ31" s="64"/>
      <c r="BK31" s="95"/>
      <c r="BL31" s="779" t="s">
        <v>2432</v>
      </c>
      <c r="BM31" s="64" t="str">
        <f>IF(K31=JaAntwort,Referral,Dunkelverarbeitung)</f>
        <v>Dunkelverarbeitung</v>
      </c>
      <c r="BN31" s="657"/>
      <c r="BO31" s="657"/>
      <c r="BP31" s="657"/>
      <c r="BQ31" s="788"/>
      <c r="BR31" s="96" t="s">
        <v>2500</v>
      </c>
      <c r="BS31" s="96" t="str">
        <f t="shared" si="0"/>
        <v>Die Versicherungsnehmerin wurde innerhalb der vergangenen drei Jahre neu beherrscht.</v>
      </c>
      <c r="BT31" s="64"/>
    </row>
    <row r="32" spans="1:72" ht="12.75" customHeight="1">
      <c r="A32" s="64" t="s">
        <v>2422</v>
      </c>
      <c r="B32" s="64" t="s">
        <v>2501</v>
      </c>
      <c r="C32" s="64" t="s">
        <v>2440</v>
      </c>
      <c r="D32" s="64" t="s">
        <v>2502</v>
      </c>
      <c r="E32" s="64" t="s">
        <v>2503</v>
      </c>
      <c r="F32" s="67"/>
      <c r="G32" s="651"/>
      <c r="H32" s="64" t="s">
        <v>2474</v>
      </c>
      <c r="I32" s="64"/>
      <c r="J32" s="64"/>
      <c r="K32" s="118">
        <f>RisikoFragen21b</f>
        <v>0</v>
      </c>
      <c r="L32" s="651"/>
      <c r="M32" s="64" t="s">
        <v>2474</v>
      </c>
      <c r="N32" s="64" t="s">
        <v>2501</v>
      </c>
      <c r="O32" s="64"/>
      <c r="P32" s="67" t="s">
        <v>17</v>
      </c>
      <c r="Q32" s="64"/>
      <c r="R32" s="64"/>
      <c r="S32" s="64"/>
      <c r="T32" s="64"/>
      <c r="U32" s="95"/>
      <c r="V32" s="67" t="s">
        <v>17</v>
      </c>
      <c r="W32" s="64"/>
      <c r="X32" s="64"/>
      <c r="Y32" s="64"/>
      <c r="Z32" s="64"/>
      <c r="AA32" s="95"/>
      <c r="AB32" s="67" t="s">
        <v>17</v>
      </c>
      <c r="AC32" s="64"/>
      <c r="AD32" s="64"/>
      <c r="AE32" s="64"/>
      <c r="AF32" s="64"/>
      <c r="AG32" s="95"/>
      <c r="AH32" s="67" t="s">
        <v>17</v>
      </c>
      <c r="AI32" s="64"/>
      <c r="AJ32" s="64"/>
      <c r="AK32" s="106" t="str">
        <f ca="1">IF(TODAY()-365&lt;K32,0.2,"")</f>
        <v/>
      </c>
      <c r="AL32" s="64"/>
      <c r="AM32" s="95"/>
      <c r="AN32" s="67" t="s">
        <v>17</v>
      </c>
      <c r="AO32" s="64"/>
      <c r="AP32" s="64"/>
      <c r="AQ32" s="64"/>
      <c r="AR32" s="64"/>
      <c r="AS32" s="64"/>
      <c r="AT32" s="67" t="s">
        <v>2432</v>
      </c>
      <c r="AU32" s="64" t="str">
        <f t="shared" si="1"/>
        <v>Dunkelverarbeitung</v>
      </c>
      <c r="AV32" s="64"/>
      <c r="AW32" s="64"/>
      <c r="AX32" s="64"/>
      <c r="AY32" s="64"/>
      <c r="AZ32" s="588" t="s">
        <v>17</v>
      </c>
      <c r="BA32" s="657"/>
      <c r="BB32" s="657"/>
      <c r="BC32" s="657"/>
      <c r="BD32" s="657"/>
      <c r="BE32" s="657"/>
      <c r="BF32" s="779" t="s">
        <v>2432</v>
      </c>
      <c r="BG32" s="64" t="str">
        <f>IF(K32=JaAntwort,Referral,Dunkelverarbeitung)</f>
        <v>Dunkelverarbeitung</v>
      </c>
      <c r="BH32" s="64"/>
      <c r="BI32" s="64"/>
      <c r="BJ32" s="64"/>
      <c r="BK32" s="95"/>
      <c r="BL32" s="779" t="s">
        <v>17</v>
      </c>
      <c r="BM32" s="657"/>
      <c r="BN32" s="657"/>
      <c r="BO32" s="657"/>
      <c r="BP32" s="657"/>
      <c r="BQ32" s="788"/>
      <c r="BR32" s="96" t="s">
        <v>2504</v>
      </c>
      <c r="BS32" s="96" t="str">
        <f t="shared" si="0"/>
        <v>Neubeherrschung</v>
      </c>
      <c r="BT32" s="64"/>
    </row>
    <row r="33" spans="1:72" ht="12.75" customHeight="1">
      <c r="A33" s="64" t="s">
        <v>2422</v>
      </c>
      <c r="B33" s="64" t="s">
        <v>2505</v>
      </c>
      <c r="C33" s="64" t="s">
        <v>2440</v>
      </c>
      <c r="D33" s="64" t="s">
        <v>2506</v>
      </c>
      <c r="E33" s="64"/>
      <c r="F33" s="67"/>
      <c r="H33" s="64" t="s">
        <v>2438</v>
      </c>
      <c r="I33" s="64"/>
      <c r="J33" s="64"/>
      <c r="K33" s="67" t="str">
        <f>IF(L33="YES","ja",IF(L33="NO","nein",""))</f>
        <v/>
      </c>
      <c r="M33" s="64" t="s">
        <v>2438</v>
      </c>
      <c r="N33" s="64" t="s">
        <v>2505</v>
      </c>
      <c r="O33" s="64"/>
      <c r="P33" s="67" t="s">
        <v>2432</v>
      </c>
      <c r="Q33" s="64" t="str">
        <f>IF(K33=JaAntwort,Referral,Dunkelverarbeitung)</f>
        <v>Dunkelverarbeitung</v>
      </c>
      <c r="R33" s="64"/>
      <c r="S33" s="64"/>
      <c r="T33" s="64"/>
      <c r="U33" s="95"/>
      <c r="V33" s="67" t="s">
        <v>2432</v>
      </c>
      <c r="W33" s="64" t="str">
        <f>IF(K33=JaAntwort,Referral,Dunkelverarbeitung)</f>
        <v>Dunkelverarbeitung</v>
      </c>
      <c r="X33" s="64"/>
      <c r="Y33" s="64"/>
      <c r="Z33" s="64"/>
      <c r="AA33" s="95"/>
      <c r="AB33" s="67" t="s">
        <v>2432</v>
      </c>
      <c r="AC33" s="64" t="str">
        <f>IF(K33=JaAntwort,Referral,Dunkelverarbeitung)</f>
        <v>Dunkelverarbeitung</v>
      </c>
      <c r="AD33" s="64"/>
      <c r="AE33" s="64"/>
      <c r="AF33" s="64"/>
      <c r="AG33" s="95"/>
      <c r="AH33" s="67" t="s">
        <v>17</v>
      </c>
      <c r="AI33" s="64" t="str">
        <f>IF(K33=JaAntwort,Referral,Dunkelverarbeitung)</f>
        <v>Dunkelverarbeitung</v>
      </c>
      <c r="AJ33" s="64"/>
      <c r="AK33" s="64"/>
      <c r="AL33" s="66"/>
      <c r="AM33" s="95"/>
      <c r="AN33" s="67" t="s">
        <v>17</v>
      </c>
      <c r="AO33" s="64"/>
      <c r="AP33" s="64"/>
      <c r="AQ33" s="64"/>
      <c r="AR33" s="64"/>
      <c r="AS33" s="64"/>
      <c r="AT33" s="67" t="s">
        <v>2432</v>
      </c>
      <c r="AU33" s="64" t="str">
        <f t="shared" si="1"/>
        <v>Dunkelverarbeitung</v>
      </c>
      <c r="AV33" s="64"/>
      <c r="AW33" s="64"/>
      <c r="AX33" s="64"/>
      <c r="AY33" s="64"/>
      <c r="AZ33" s="588" t="s">
        <v>17</v>
      </c>
      <c r="BA33" s="657"/>
      <c r="BB33" s="657"/>
      <c r="BC33" s="657"/>
      <c r="BD33" s="657"/>
      <c r="BE33" s="657"/>
      <c r="BF33" s="779" t="s">
        <v>17</v>
      </c>
      <c r="BG33" s="64"/>
      <c r="BH33" s="64"/>
      <c r="BI33" s="64"/>
      <c r="BJ33" s="64"/>
      <c r="BK33" s="95"/>
      <c r="BL33" s="779" t="s">
        <v>2432</v>
      </c>
      <c r="BM33" s="64" t="str">
        <f>IF(K33=JaAntwort,Referral,Dunkelverarbeitung)</f>
        <v>Dunkelverarbeitung</v>
      </c>
      <c r="BN33" s="657"/>
      <c r="BO33" s="657"/>
      <c r="BP33" s="657"/>
      <c r="BQ33" s="788"/>
      <c r="BR33" s="96" t="s">
        <v>2507</v>
      </c>
      <c r="BS33" s="96" t="str">
        <f t="shared" si="0"/>
        <v>Innerhalb der vergangenen drei Jahre wurde die Kapitalstruktur der Versicherungsnehmerin geändert.</v>
      </c>
      <c r="BT33" s="64"/>
    </row>
    <row r="34" spans="1:72" ht="12.75" customHeight="1">
      <c r="A34" s="64" t="s">
        <v>2422</v>
      </c>
      <c r="B34" s="64" t="s">
        <v>2508</v>
      </c>
      <c r="C34" s="64" t="s">
        <v>2440</v>
      </c>
      <c r="D34" s="64" t="s">
        <v>2509</v>
      </c>
      <c r="E34" s="64"/>
      <c r="F34" s="67"/>
      <c r="G34" s="657"/>
      <c r="H34" s="64" t="s">
        <v>2438</v>
      </c>
      <c r="I34" s="64"/>
      <c r="J34" s="64"/>
      <c r="K34" s="67" t="str">
        <f>IF(RisikoFragen23a="YES","ja",IF(RisikoFragen23a="NO","nein",""))</f>
        <v/>
      </c>
      <c r="M34" s="64" t="s">
        <v>2438</v>
      </c>
      <c r="N34" s="64" t="s">
        <v>2508</v>
      </c>
      <c r="O34" s="64"/>
      <c r="P34" s="67" t="s">
        <v>17</v>
      </c>
      <c r="Q34" s="64"/>
      <c r="R34" s="64"/>
      <c r="S34" s="64"/>
      <c r="T34" s="64"/>
      <c r="U34" s="95"/>
      <c r="V34" s="67" t="s">
        <v>2432</v>
      </c>
      <c r="W34" s="64" t="str">
        <f>IF(K34=JaAntwort,Referral,Dunkelverarbeitung)</f>
        <v>Dunkelverarbeitung</v>
      </c>
      <c r="X34" s="64"/>
      <c r="Y34" s="64"/>
      <c r="Z34" s="64"/>
      <c r="AA34" s="95"/>
      <c r="AB34" s="67" t="s">
        <v>17</v>
      </c>
      <c r="AC34" s="64"/>
      <c r="AD34" s="64"/>
      <c r="AE34" s="64"/>
      <c r="AF34" s="64"/>
      <c r="AG34" s="95"/>
      <c r="AH34" s="67" t="s">
        <v>17</v>
      </c>
      <c r="AI34" s="64"/>
      <c r="AJ34" s="64"/>
      <c r="AK34" s="64">
        <f ca="1">IF(AND(K34=JaAntwort,DATEDIF(K38,TODAY(),"y")&gt;4),0.1,0)</f>
        <v>0</v>
      </c>
      <c r="AL34" s="64"/>
      <c r="AM34" s="95"/>
      <c r="AN34" s="67" t="s">
        <v>17</v>
      </c>
      <c r="AO34" s="64"/>
      <c r="AP34" s="64"/>
      <c r="AQ34" s="64"/>
      <c r="AR34" s="64"/>
      <c r="AS34" s="64"/>
      <c r="AT34" s="67" t="s">
        <v>17</v>
      </c>
      <c r="AU34" s="64"/>
      <c r="AV34" s="64"/>
      <c r="AW34" s="64"/>
      <c r="AX34" s="64"/>
      <c r="AY34" s="64"/>
      <c r="AZ34" s="588" t="s">
        <v>17</v>
      </c>
      <c r="BA34" s="657"/>
      <c r="BB34" s="657"/>
      <c r="BC34" s="657"/>
      <c r="BD34" s="657"/>
      <c r="BE34" s="657"/>
      <c r="BF34" s="67" t="s">
        <v>17</v>
      </c>
      <c r="BG34" s="64"/>
      <c r="BH34" s="64"/>
      <c r="BI34" s="64"/>
      <c r="BJ34" s="64"/>
      <c r="BK34" s="95"/>
      <c r="BL34" s="779" t="s">
        <v>2432</v>
      </c>
      <c r="BM34" s="64"/>
      <c r="BN34" s="657"/>
      <c r="BO34" s="657"/>
      <c r="BP34" s="950" t="str">
        <f>IF(K34=JaAntwort,"ergo_konti:group-4","")</f>
        <v/>
      </c>
      <c r="BQ34" s="788"/>
      <c r="BR34" s="96" t="s">
        <v>2510</v>
      </c>
      <c r="BS34" s="96" t="str">
        <f t="shared" si="0"/>
        <v>Es besteht oder bestand für zu versichernde Personen bereits eine D&amp;O Deckung im Sinne dieses Fragebogens.</v>
      </c>
      <c r="BT34" s="64"/>
    </row>
    <row r="35" spans="1:72" ht="12.75" customHeight="1">
      <c r="A35" s="64" t="s">
        <v>2422</v>
      </c>
      <c r="B35" s="64" t="s">
        <v>2511</v>
      </c>
      <c r="C35" s="64" t="s">
        <v>2440</v>
      </c>
      <c r="D35" s="64" t="s">
        <v>2512</v>
      </c>
      <c r="E35" s="64" t="s">
        <v>2512</v>
      </c>
      <c r="F35" s="67"/>
      <c r="G35" s="652"/>
      <c r="H35" s="64" t="s">
        <v>2426</v>
      </c>
      <c r="I35" s="64"/>
      <c r="J35" s="64"/>
      <c r="K35" s="951">
        <f>RisikoFragen23b</f>
        <v>0</v>
      </c>
      <c r="L35" s="652"/>
      <c r="M35" s="64" t="s">
        <v>2426</v>
      </c>
      <c r="N35" s="64" t="s">
        <v>2511</v>
      </c>
      <c r="O35" s="64"/>
      <c r="P35" s="67" t="s">
        <v>17</v>
      </c>
      <c r="Q35" s="64"/>
      <c r="R35" s="64"/>
      <c r="S35" s="64"/>
      <c r="T35" s="64"/>
      <c r="U35" s="95"/>
      <c r="V35" s="67" t="s">
        <v>17</v>
      </c>
      <c r="W35" s="64"/>
      <c r="X35" s="64"/>
      <c r="Y35" s="64"/>
      <c r="Z35" s="64"/>
      <c r="AA35" s="95"/>
      <c r="AB35" s="67" t="s">
        <v>17</v>
      </c>
      <c r="AC35" s="64"/>
      <c r="AD35" s="64"/>
      <c r="AE35" s="64"/>
      <c r="AF35" s="64"/>
      <c r="AG35" s="95"/>
      <c r="AH35" s="67" t="s">
        <v>17</v>
      </c>
      <c r="AI35" s="64"/>
      <c r="AJ35" s="64"/>
      <c r="AK35" s="64"/>
      <c r="AL35" s="64"/>
      <c r="AM35" s="95"/>
      <c r="AN35" s="67" t="s">
        <v>17</v>
      </c>
      <c r="AO35" s="64"/>
      <c r="AP35" s="64"/>
      <c r="AQ35" s="64"/>
      <c r="AR35" s="64"/>
      <c r="AS35" s="64"/>
      <c r="AT35" s="67" t="s">
        <v>2432</v>
      </c>
      <c r="AU35" s="952" t="str">
        <f>IF(K35 &gt; 7500000,Referral,Dunkelverarbeitung)</f>
        <v>Dunkelverarbeitung</v>
      </c>
      <c r="AV35" s="64"/>
      <c r="AW35" s="64"/>
      <c r="AX35" s="64"/>
      <c r="AY35" s="64"/>
      <c r="AZ35" s="588" t="s">
        <v>2432</v>
      </c>
      <c r="BA35" s="657"/>
      <c r="BB35" s="657"/>
      <c r="BC35" s="657"/>
      <c r="BD35" s="657"/>
      <c r="BE35" s="657"/>
      <c r="BF35" s="67" t="s">
        <v>17</v>
      </c>
      <c r="BG35" s="64"/>
      <c r="BH35" s="64"/>
      <c r="BI35" s="64"/>
      <c r="BJ35" s="64"/>
      <c r="BK35" s="95"/>
      <c r="BL35" s="779" t="s">
        <v>17</v>
      </c>
      <c r="BM35" s="657" t="str">
        <f>IF(K35&lt;=5000000,Dunkelverarbeitung,Referral)</f>
        <v>Dunkelverarbeitung</v>
      </c>
      <c r="BN35" s="657"/>
      <c r="BO35" s="657"/>
      <c r="BP35" s="657"/>
      <c r="BQ35" s="788"/>
      <c r="BR35" s="96" t="s">
        <v>2513</v>
      </c>
      <c r="BS35" s="96" t="str">
        <f t="shared" si="0"/>
        <v>Höhe der Versicherungssumme der Vorversicherung</v>
      </c>
      <c r="BT35" s="64"/>
    </row>
    <row r="36" spans="1:72" ht="12.75" customHeight="1">
      <c r="A36" s="64" t="s">
        <v>2422</v>
      </c>
      <c r="B36" s="64" t="s">
        <v>2514</v>
      </c>
      <c r="C36" s="64" t="s">
        <v>2440</v>
      </c>
      <c r="D36" s="64" t="s">
        <v>4081</v>
      </c>
      <c r="E36" s="64" t="s">
        <v>2515</v>
      </c>
      <c r="F36" s="67"/>
      <c r="H36" s="64" t="s">
        <v>2426</v>
      </c>
      <c r="I36" s="64"/>
      <c r="J36" s="64"/>
      <c r="K36" s="67" t="str">
        <f>IF(L36="YES","ja",IF(L36="NO","nein",""))</f>
        <v/>
      </c>
      <c r="M36" s="64" t="s">
        <v>2426</v>
      </c>
      <c r="N36" s="64" t="s">
        <v>2514</v>
      </c>
      <c r="O36" s="64"/>
      <c r="P36" s="67" t="s">
        <v>2432</v>
      </c>
      <c r="Q36" s="64" t="str">
        <f>IF(K36=JaAntwort,Referral,Dunkelverarbeitung)</f>
        <v>Dunkelverarbeitung</v>
      </c>
      <c r="R36" s="64"/>
      <c r="S36" s="64"/>
      <c r="T36" s="64"/>
      <c r="U36" s="95"/>
      <c r="V36" s="67" t="s">
        <v>17</v>
      </c>
      <c r="W36" s="64"/>
      <c r="X36" s="64"/>
      <c r="Y36" s="64"/>
      <c r="Z36" s="64"/>
      <c r="AA36" s="95"/>
      <c r="AB36" s="67" t="s">
        <v>2432</v>
      </c>
      <c r="AC36" s="64" t="str">
        <f>IF(K36=JaAntwort,Referral,Dunkelverarbeitung)</f>
        <v>Dunkelverarbeitung</v>
      </c>
      <c r="AD36" s="64"/>
      <c r="AE36" s="64"/>
      <c r="AF36" s="64"/>
      <c r="AG36" s="95"/>
      <c r="AH36" s="67" t="s">
        <v>2432</v>
      </c>
      <c r="AI36" s="64" t="str">
        <f>IF(K36=JaAntwort,Referral,Dunkelverarbeitung)</f>
        <v>Dunkelverarbeitung</v>
      </c>
      <c r="AJ36" s="64"/>
      <c r="AK36" s="64">
        <f>IF(K36=JaAntwort,0.1,0)</f>
        <v>0</v>
      </c>
      <c r="AL36" s="64"/>
      <c r="AM36" s="95"/>
      <c r="AN36" s="67" t="s">
        <v>2432</v>
      </c>
      <c r="AO36" s="64" t="str">
        <f>IF(K36=JaAntwort,Referral,Dunkelverarbeitung)</f>
        <v>Dunkelverarbeitung</v>
      </c>
      <c r="AP36" s="64"/>
      <c r="AQ36" s="64"/>
      <c r="AR36" s="64"/>
      <c r="AS36" s="64"/>
      <c r="AT36" s="67" t="s">
        <v>2432</v>
      </c>
      <c r="AU36" s="64" t="str">
        <f>IF(K36=JaAntwort,Referral,Dunkelverarbeitung)</f>
        <v>Dunkelverarbeitung</v>
      </c>
      <c r="AV36" s="64"/>
      <c r="AW36" s="64"/>
      <c r="AX36" s="64"/>
      <c r="AY36" s="64"/>
      <c r="AZ36" s="588" t="s">
        <v>2432</v>
      </c>
      <c r="BA36" s="657" t="str">
        <f>IF($K36=JaAntwort,Referral,Dunkelverarbeitung)</f>
        <v>Dunkelverarbeitung</v>
      </c>
      <c r="BB36" s="657"/>
      <c r="BC36" s="657"/>
      <c r="BD36" s="657"/>
      <c r="BE36" s="657"/>
      <c r="BF36" s="779" t="s">
        <v>2432</v>
      </c>
      <c r="BG36" s="64"/>
      <c r="BH36" s="64" t="str">
        <f>IF(K36=JaAntwort,"KO Trigger",Dunkelverarbeitung)</f>
        <v>Dunkelverarbeitung</v>
      </c>
      <c r="BI36" s="64"/>
      <c r="BJ36" s="64"/>
      <c r="BK36" s="95"/>
      <c r="BL36" s="779" t="s">
        <v>2432</v>
      </c>
      <c r="BM36" s="64" t="str">
        <f>IF(K36=JaAntwort,Referral,Dunkelverarbeitung)</f>
        <v>Dunkelverarbeitung</v>
      </c>
      <c r="BN36" s="657"/>
      <c r="BO36" s="657"/>
      <c r="BP36" s="657"/>
      <c r="BQ36" s="788"/>
      <c r="BR36" s="96" t="s">
        <v>2516</v>
      </c>
      <c r="BS36" s="96" t="str">
        <f t="shared" si="0"/>
        <v>Vorschäden</v>
      </c>
      <c r="BT36" s="64"/>
    </row>
    <row r="37" spans="1:72" ht="12.75" customHeight="1">
      <c r="A37" s="64" t="s">
        <v>2422</v>
      </c>
      <c r="B37" s="64" t="s">
        <v>2517</v>
      </c>
      <c r="C37" s="64" t="s">
        <v>2440</v>
      </c>
      <c r="D37" s="64" t="s">
        <v>2518</v>
      </c>
      <c r="E37" s="64" t="s">
        <v>2518</v>
      </c>
      <c r="F37" s="67"/>
      <c r="H37" s="64" t="s">
        <v>2426</v>
      </c>
      <c r="I37" s="64"/>
      <c r="J37" s="64"/>
      <c r="K37" s="67" t="str">
        <f>IF(L37="YES","ja",IF(L37="NO","nein",""))</f>
        <v/>
      </c>
      <c r="M37" s="64" t="s">
        <v>2426</v>
      </c>
      <c r="N37" s="64" t="s">
        <v>2517</v>
      </c>
      <c r="O37" s="64"/>
      <c r="P37" s="67" t="s">
        <v>17</v>
      </c>
      <c r="Q37" s="64"/>
      <c r="R37" s="64"/>
      <c r="S37" s="64"/>
      <c r="T37" s="64"/>
      <c r="U37" s="95"/>
      <c r="V37" s="67" t="s">
        <v>17</v>
      </c>
      <c r="W37" s="64"/>
      <c r="X37" s="64"/>
      <c r="Y37" s="64"/>
      <c r="Z37" s="64"/>
      <c r="AA37" s="95"/>
      <c r="AB37" s="67" t="s">
        <v>17</v>
      </c>
      <c r="AC37" s="64"/>
      <c r="AD37" s="64"/>
      <c r="AE37" s="64"/>
      <c r="AF37" s="64"/>
      <c r="AG37" s="95"/>
      <c r="AH37" s="67" t="s">
        <v>17</v>
      </c>
      <c r="AI37" s="64"/>
      <c r="AJ37" s="64"/>
      <c r="AK37" s="64"/>
      <c r="AL37" s="64"/>
      <c r="AM37" s="95"/>
      <c r="AN37" s="67" t="s">
        <v>17</v>
      </c>
      <c r="AO37" s="64"/>
      <c r="AP37" s="64"/>
      <c r="AQ37" s="64"/>
      <c r="AR37" s="64"/>
      <c r="AS37" s="64"/>
      <c r="AT37" s="67" t="s">
        <v>17</v>
      </c>
      <c r="AU37" s="64"/>
      <c r="AV37" s="64"/>
      <c r="AW37" s="64"/>
      <c r="AX37" s="64"/>
      <c r="AY37" s="64"/>
      <c r="AZ37" s="588" t="s">
        <v>2432</v>
      </c>
      <c r="BA37" s="657"/>
      <c r="BB37" s="657"/>
      <c r="BC37" s="657"/>
      <c r="BD37" s="657"/>
      <c r="BE37" s="657"/>
      <c r="BF37" s="67" t="s">
        <v>17</v>
      </c>
      <c r="BG37" s="64"/>
      <c r="BH37" s="64"/>
      <c r="BI37" s="64"/>
      <c r="BJ37" s="64"/>
      <c r="BK37" s="95"/>
      <c r="BL37" s="779" t="s">
        <v>17</v>
      </c>
      <c r="BM37" s="657"/>
      <c r="BN37" s="657"/>
      <c r="BO37" s="657"/>
      <c r="BP37" s="657"/>
      <c r="BQ37" s="788"/>
      <c r="BR37" s="96"/>
      <c r="BS37" s="96">
        <f t="shared" si="0"/>
        <v>0</v>
      </c>
      <c r="BT37" s="64"/>
    </row>
    <row r="38" spans="1:72" ht="12.75" customHeight="1">
      <c r="A38" s="64" t="s">
        <v>2422</v>
      </c>
      <c r="B38" s="64" t="s">
        <v>2519</v>
      </c>
      <c r="C38" s="64" t="s">
        <v>2440</v>
      </c>
      <c r="D38" s="64" t="s">
        <v>4080</v>
      </c>
      <c r="E38" s="64" t="s">
        <v>2520</v>
      </c>
      <c r="F38" s="67"/>
      <c r="G38" s="651"/>
      <c r="H38" s="64" t="s">
        <v>2474</v>
      </c>
      <c r="I38" s="64"/>
      <c r="J38" s="64"/>
      <c r="K38" s="65">
        <f>RisikoFragen23e</f>
        <v>0</v>
      </c>
      <c r="L38" s="651"/>
      <c r="M38" s="64" t="s">
        <v>2474</v>
      </c>
      <c r="N38" s="64" t="s">
        <v>2519</v>
      </c>
      <c r="O38" s="64"/>
      <c r="P38" s="67" t="s">
        <v>17</v>
      </c>
      <c r="Q38" s="64"/>
      <c r="R38" s="64"/>
      <c r="S38" s="64"/>
      <c r="T38" s="64"/>
      <c r="U38" s="95"/>
      <c r="V38" s="67" t="s">
        <v>17</v>
      </c>
      <c r="W38" s="64"/>
      <c r="X38" s="64"/>
      <c r="Y38" s="64"/>
      <c r="Z38" s="64"/>
      <c r="AA38" s="95"/>
      <c r="AB38" s="67" t="s">
        <v>17</v>
      </c>
      <c r="AC38" s="64"/>
      <c r="AD38" s="64"/>
      <c r="AE38" s="64"/>
      <c r="AF38" s="64"/>
      <c r="AG38" s="95"/>
      <c r="AH38" s="67" t="s">
        <v>17</v>
      </c>
      <c r="AI38" s="64"/>
      <c r="AJ38" s="64"/>
      <c r="AK38" s="657"/>
      <c r="AL38" s="64"/>
      <c r="AM38" s="95"/>
      <c r="AN38" s="67" t="s">
        <v>17</v>
      </c>
      <c r="AO38" s="64"/>
      <c r="AP38" s="64"/>
      <c r="AQ38" s="64"/>
      <c r="AR38" s="64"/>
      <c r="AS38" s="64"/>
      <c r="AT38" s="67" t="s">
        <v>17</v>
      </c>
      <c r="AU38" s="64"/>
      <c r="AV38" s="64"/>
      <c r="AW38" s="64"/>
      <c r="AX38" s="64"/>
      <c r="AY38" s="64"/>
      <c r="AZ38" s="588" t="s">
        <v>2432</v>
      </c>
      <c r="BA38" s="657"/>
      <c r="BB38" s="657"/>
      <c r="BC38" s="657"/>
      <c r="BD38" s="657"/>
      <c r="BE38" s="657"/>
      <c r="BF38" s="67" t="s">
        <v>17</v>
      </c>
      <c r="BG38" s="64"/>
      <c r="BH38" s="64"/>
      <c r="BI38" s="64"/>
      <c r="BJ38" s="64"/>
      <c r="BK38" s="95"/>
      <c r="BL38" s="779" t="s">
        <v>17</v>
      </c>
      <c r="BM38" s="657"/>
      <c r="BN38" s="657"/>
      <c r="BO38" s="657"/>
      <c r="BP38" s="657"/>
      <c r="BQ38" s="788"/>
      <c r="BR38" s="96" t="s">
        <v>4082</v>
      </c>
      <c r="BS38" s="96" t="str">
        <f t="shared" si="0"/>
        <v>Kontinuität von mehr als 5 Jahre angefragt</v>
      </c>
      <c r="BT38" s="64"/>
    </row>
    <row r="39" spans="1:72" ht="12.75" customHeight="1">
      <c r="A39" s="64" t="s">
        <v>2422</v>
      </c>
      <c r="B39" s="64" t="s">
        <v>2521</v>
      </c>
      <c r="C39" s="64" t="s">
        <v>2440</v>
      </c>
      <c r="D39" s="881" t="s">
        <v>2522</v>
      </c>
      <c r="E39" s="64" t="s">
        <v>2522</v>
      </c>
      <c r="F39" s="67"/>
      <c r="H39" s="64" t="s">
        <v>2438</v>
      </c>
      <c r="I39" s="64"/>
      <c r="J39" s="64"/>
      <c r="K39" s="67" t="str">
        <f>IF(RisikoFragenVorvertragExtendedReportingPeriod="YES","ja",IF(RisikoFragenVorvertragExtendedReportingPeriod="NO","nein",IF(RisikoFragenVorvertragExtendedReportingPeriod="UNKNOWN","unbekannt","")))</f>
        <v/>
      </c>
      <c r="M39" s="64" t="s">
        <v>2438</v>
      </c>
      <c r="N39" s="64" t="s">
        <v>2521</v>
      </c>
      <c r="O39" s="64"/>
      <c r="P39" s="67" t="s">
        <v>2432</v>
      </c>
      <c r="Q39" s="64" t="str">
        <f>IF(OR(K39=NeinAntwort, K39="unbekannt"),Referral,Dunkelverarbeitung)</f>
        <v>Dunkelverarbeitung</v>
      </c>
      <c r="R39" s="64"/>
      <c r="S39" s="64"/>
      <c r="T39" s="64"/>
      <c r="U39" s="95"/>
      <c r="V39" s="67" t="s">
        <v>17</v>
      </c>
      <c r="W39" s="64"/>
      <c r="X39" s="64"/>
      <c r="Y39" s="64"/>
      <c r="Z39" s="103"/>
      <c r="AA39" s="103"/>
      <c r="AB39" s="67" t="s">
        <v>2432</v>
      </c>
      <c r="AC39" s="64" t="str">
        <f>IF(OR(K39=NeinAntwort, K39="unbekannt"),Referral,Dunkelverarbeitung)</f>
        <v>Dunkelverarbeitung</v>
      </c>
      <c r="AD39" s="64"/>
      <c r="AE39" s="64"/>
      <c r="AF39" s="64"/>
      <c r="AG39" s="95"/>
      <c r="AH39" s="67" t="s">
        <v>2432</v>
      </c>
      <c r="AI39" s="64" t="str">
        <f>IF(K39="unbekannt",Referral,Dunkelverarbeitung)</f>
        <v>Dunkelverarbeitung</v>
      </c>
      <c r="AJ39" s="64"/>
      <c r="AK39" s="64"/>
      <c r="AL39" s="64"/>
      <c r="AM39" s="95"/>
      <c r="AN39" s="67" t="s">
        <v>2432</v>
      </c>
      <c r="AO39" s="64" t="str">
        <f>IF(OR(K39=NeinAntwort, K39="unbekannt"),Referral,Dunkelverarbeitung)</f>
        <v>Dunkelverarbeitung</v>
      </c>
      <c r="AP39" s="64"/>
      <c r="AQ39" s="64"/>
      <c r="AR39" s="64"/>
      <c r="AS39" s="64"/>
      <c r="AT39" s="67" t="s">
        <v>2432</v>
      </c>
      <c r="AU39" s="64" t="str">
        <f>IF(OR(K39=NeinAntwort, K39="unbekannt"),Referral,Dunkelverarbeitung)</f>
        <v>Dunkelverarbeitung</v>
      </c>
      <c r="AV39" s="64"/>
      <c r="AW39" s="64"/>
      <c r="AX39" s="64"/>
      <c r="AY39" s="64"/>
      <c r="AZ39" s="588" t="s">
        <v>2432</v>
      </c>
      <c r="BA39" s="657" t="str">
        <f>IF(OR(K39=NeinAntwort, K39="unbekannt"),Referral,Dunkelverarbeitung)</f>
        <v>Dunkelverarbeitung</v>
      </c>
      <c r="BB39" s="657"/>
      <c r="BC39" s="657"/>
      <c r="BD39" s="657"/>
      <c r="BE39" s="657"/>
      <c r="BF39" s="67" t="s">
        <v>17</v>
      </c>
      <c r="BG39" s="64"/>
      <c r="BH39" s="64"/>
      <c r="BI39" s="64"/>
      <c r="BJ39" s="64"/>
      <c r="BK39" s="95"/>
      <c r="BL39" s="779" t="s">
        <v>2432</v>
      </c>
      <c r="BM39" s="657" t="str">
        <f>IF(OR(K39=NeinAntwort, K39="unbekannt"),Referral,Dunkelverarbeitung)</f>
        <v>Dunkelverarbeitung</v>
      </c>
      <c r="BN39" s="657"/>
      <c r="BO39" s="657"/>
      <c r="BP39" s="657"/>
      <c r="BQ39" s="788"/>
      <c r="BR39" s="96" t="s">
        <v>2523</v>
      </c>
      <c r="BS39" s="96" t="str">
        <f t="shared" si="0"/>
        <v>Der Vorversicherer gewährt keine unverfallbare Nachmeldefrist von mindestens 24 Monaten.</v>
      </c>
      <c r="BT39" s="64"/>
    </row>
    <row r="40" spans="1:72" ht="12.75" customHeight="1">
      <c r="A40" s="64" t="s">
        <v>2422</v>
      </c>
      <c r="B40" s="64" t="s">
        <v>2524</v>
      </c>
      <c r="C40" s="64" t="s">
        <v>2440</v>
      </c>
      <c r="D40" s="64" t="s">
        <v>2525</v>
      </c>
      <c r="E40" s="64" t="s">
        <v>2525</v>
      </c>
      <c r="F40" s="67"/>
      <c r="H40" s="64" t="s">
        <v>2438</v>
      </c>
      <c r="I40" s="64"/>
      <c r="J40" s="64"/>
      <c r="K40" s="67" t="str">
        <f>IF(RisikoFragenVorvertragNoGapsInCoverage="YES","ja",IF(RisikoFragenVorvertragNoGapsInCoverage="NO","nein",""))</f>
        <v/>
      </c>
      <c r="M40" s="64" t="s">
        <v>2438</v>
      </c>
      <c r="N40" s="64" t="s">
        <v>2524</v>
      </c>
      <c r="O40" s="64"/>
      <c r="P40" s="67" t="s">
        <v>2432</v>
      </c>
      <c r="Q40" s="64" t="str">
        <f>IF(K40=NeinAntwort,Referral,Dunkelverarbeitung)</f>
        <v>Dunkelverarbeitung</v>
      </c>
      <c r="R40" s="64"/>
      <c r="S40" s="64"/>
      <c r="T40" s="64"/>
      <c r="U40" s="95"/>
      <c r="V40" s="67" t="s">
        <v>17</v>
      </c>
      <c r="W40" s="64"/>
      <c r="X40" s="64"/>
      <c r="Y40" s="64"/>
      <c r="Z40" s="103"/>
      <c r="AA40" s="103"/>
      <c r="AB40" s="67" t="s">
        <v>2432</v>
      </c>
      <c r="AC40" s="64" t="str">
        <f>IF(K40=NeinAntwort,Referral,Dunkelverarbeitung)</f>
        <v>Dunkelverarbeitung</v>
      </c>
      <c r="AD40" s="64"/>
      <c r="AE40" s="64" t="str">
        <f>IF(AND(RisikoFragen23a="YES",K40=JaAntwort),15%,"")</f>
        <v/>
      </c>
      <c r="AF40" s="64"/>
      <c r="AG40" s="95"/>
      <c r="AH40" s="67" t="s">
        <v>17</v>
      </c>
      <c r="AI40" s="64"/>
      <c r="AJ40" s="64"/>
      <c r="AK40" s="64"/>
      <c r="AL40" s="64"/>
      <c r="AM40" s="95"/>
      <c r="AN40" s="67" t="s">
        <v>2432</v>
      </c>
      <c r="AO40" s="64" t="str">
        <f>IF(K40=NeinAntwort,Referral,Dunkelverarbeitung)</f>
        <v>Dunkelverarbeitung</v>
      </c>
      <c r="AP40" s="64"/>
      <c r="AQ40" s="64"/>
      <c r="AR40" s="64"/>
      <c r="AS40" s="64"/>
      <c r="AT40" s="67" t="s">
        <v>2432</v>
      </c>
      <c r="AU40" s="64" t="str">
        <f>IF(K40=NeinAntwort,Referral,Dunkelverarbeitung)</f>
        <v>Dunkelverarbeitung</v>
      </c>
      <c r="AV40" s="64"/>
      <c r="AW40" s="64"/>
      <c r="AX40" s="64"/>
      <c r="AY40" s="64"/>
      <c r="AZ40" s="588" t="s">
        <v>2432</v>
      </c>
      <c r="BA40" s="657"/>
      <c r="BB40" s="657"/>
      <c r="BC40" s="657"/>
      <c r="BD40" s="657"/>
      <c r="BE40" s="657"/>
      <c r="BF40" s="67" t="s">
        <v>17</v>
      </c>
      <c r="BG40" s="64"/>
      <c r="BH40" s="64"/>
      <c r="BI40" s="64"/>
      <c r="BJ40" s="64"/>
      <c r="BK40" s="95"/>
      <c r="BL40" s="779" t="s">
        <v>17</v>
      </c>
      <c r="BM40" s="657"/>
      <c r="BN40" s="657"/>
      <c r="BO40" s="657"/>
      <c r="BP40" s="657"/>
      <c r="BQ40" s="788"/>
      <c r="BR40" s="96" t="s">
        <v>2526</v>
      </c>
      <c r="BS40" s="96" t="str">
        <f t="shared" si="0"/>
        <v>Der angefragte Vertrag schließt nicht ohne zeitliche Unterbrechung an den Vorvertrag an.</v>
      </c>
      <c r="BT40" s="64"/>
    </row>
    <row r="41" spans="1:72" ht="12.75" customHeight="1">
      <c r="A41" s="64" t="s">
        <v>2422</v>
      </c>
      <c r="B41" s="64" t="s">
        <v>2527</v>
      </c>
      <c r="C41" s="64" t="s">
        <v>2440</v>
      </c>
      <c r="D41" s="64" t="s">
        <v>2528</v>
      </c>
      <c r="E41" s="64" t="s">
        <v>2528</v>
      </c>
      <c r="F41" s="67"/>
      <c r="H41" s="64" t="s">
        <v>2438</v>
      </c>
      <c r="I41" s="64"/>
      <c r="J41" s="64"/>
      <c r="K41" s="67" t="str">
        <f>IF(RisikoFragenVorvertragClaimsForIncreasedLimit="YES","ja",IF(RisikoFragenVorvertragClaimsForIncreasedLimit="NO","nein",""))</f>
        <v/>
      </c>
      <c r="M41" s="64" t="s">
        <v>2438</v>
      </c>
      <c r="N41" s="64" t="s">
        <v>2527</v>
      </c>
      <c r="O41" s="64"/>
      <c r="P41" s="67" t="s">
        <v>17</v>
      </c>
      <c r="Q41" s="64"/>
      <c r="R41" s="64"/>
      <c r="S41" s="64"/>
      <c r="T41" s="64"/>
      <c r="U41" s="95"/>
      <c r="V41" s="67" t="s">
        <v>17</v>
      </c>
      <c r="W41" s="64"/>
      <c r="X41" s="64"/>
      <c r="Y41" s="64"/>
      <c r="Z41" s="103"/>
      <c r="AA41" s="103"/>
      <c r="AB41" s="67" t="s">
        <v>17</v>
      </c>
      <c r="AC41" s="64"/>
      <c r="AD41" s="64"/>
      <c r="AE41" s="64"/>
      <c r="AF41" s="64"/>
      <c r="AG41" s="95"/>
      <c r="AH41" s="657" t="s">
        <v>2432</v>
      </c>
      <c r="AI41" s="657"/>
      <c r="AJ41" s="657" t="str">
        <f>IF(K41=JaAntwort,KO_Trigger,Dunkelverarbeitung)</f>
        <v>Dunkelverarbeitung</v>
      </c>
      <c r="AK41" s="64"/>
      <c r="AL41" s="64"/>
      <c r="AM41" s="95"/>
      <c r="AN41" s="67" t="s">
        <v>17</v>
      </c>
      <c r="AO41" s="64"/>
      <c r="AP41" s="64"/>
      <c r="AQ41" s="64"/>
      <c r="AR41" s="64"/>
      <c r="AS41" s="64"/>
      <c r="AT41" s="67" t="s">
        <v>2432</v>
      </c>
      <c r="AU41" s="64" t="str">
        <f>IF(K41=JaAntwort,Referral,Dunkelverarbeitung)</f>
        <v>Dunkelverarbeitung</v>
      </c>
      <c r="AV41" s="64"/>
      <c r="AW41" s="64"/>
      <c r="AX41" s="64"/>
      <c r="AY41" s="64"/>
      <c r="AZ41" s="588" t="s">
        <v>2432</v>
      </c>
      <c r="BA41" s="657" t="str">
        <f>IF(K41=JaAntwort,Referral,Dunkelverarbeitung)</f>
        <v>Dunkelverarbeitung</v>
      </c>
      <c r="BB41" s="657"/>
      <c r="BC41" s="657"/>
      <c r="BD41" s="657"/>
      <c r="BE41" s="657"/>
      <c r="BF41" s="779" t="s">
        <v>2432</v>
      </c>
      <c r="BG41" s="64"/>
      <c r="BH41" s="64" t="str">
        <f>IF(K41=JaAntwort,"KO Trigger",Dunkelverarbeitung)</f>
        <v>Dunkelverarbeitung</v>
      </c>
      <c r="BI41" s="64"/>
      <c r="BJ41" s="64"/>
      <c r="BK41" s="95"/>
      <c r="BL41" s="779" t="s">
        <v>2432</v>
      </c>
      <c r="BM41" s="64" t="str">
        <f>IF(K41=JaAntwort,Referral,Dunkelverarbeitung)</f>
        <v>Dunkelverarbeitung</v>
      </c>
      <c r="BN41" s="657"/>
      <c r="BO41" s="657"/>
      <c r="BP41" s="657"/>
      <c r="BQ41" s="788"/>
      <c r="BR41" s="96" t="s">
        <v>2529</v>
      </c>
      <c r="BS41" s="96" t="str">
        <f t="shared" si="0"/>
        <v>Dem Unterzeichner sind Pflichtverletzungen bekannt, die zu einer Inanspruchnahme der gewünschten Deckung im Rahmen der erhöhten Deckungssumme führen können.</v>
      </c>
      <c r="BT41" s="64"/>
    </row>
    <row r="42" spans="1:72" ht="12.75" customHeight="1">
      <c r="A42" s="64" t="s">
        <v>2422</v>
      </c>
      <c r="B42" s="64" t="s">
        <v>2530</v>
      </c>
      <c r="C42" s="64" t="s">
        <v>2440</v>
      </c>
      <c r="D42" s="64" t="s">
        <v>2531</v>
      </c>
      <c r="E42" s="64" t="s">
        <v>2531</v>
      </c>
      <c r="F42" s="67"/>
      <c r="H42" s="64" t="s">
        <v>2426</v>
      </c>
      <c r="I42" s="64"/>
      <c r="J42" s="64"/>
      <c r="K42" s="67"/>
      <c r="M42" s="64" t="s">
        <v>2426</v>
      </c>
      <c r="N42" s="64" t="s">
        <v>2530</v>
      </c>
      <c r="O42" s="64"/>
      <c r="P42" s="67" t="s">
        <v>2432</v>
      </c>
      <c r="Q42" s="64" t="str">
        <f>IF(OR(L42="DUAL",L42="LIBERTYMUTUAL",L42="VHV",L42="RNV",L42="AVA",L42="ARCH",L42="CHANNEL",L42="EVEREST",L42="TRAVELER"),Referral,Dunkelverarbeitung)</f>
        <v>Dunkelverarbeitung</v>
      </c>
      <c r="R42" s="64"/>
      <c r="S42" s="64"/>
      <c r="T42" s="64"/>
      <c r="U42" s="95"/>
      <c r="V42" s="67" t="s">
        <v>17</v>
      </c>
      <c r="W42" s="64"/>
      <c r="X42" s="64"/>
      <c r="Y42" s="64"/>
      <c r="Z42" s="103"/>
      <c r="AA42" s="103"/>
      <c r="AB42" s="67" t="s">
        <v>2432</v>
      </c>
      <c r="AC42" s="64" t="str">
        <f>IF(OR(L42="BERKLEY",L42="CHUBBSE"),Referral,Dunkelverarbeitung)</f>
        <v>Dunkelverarbeitung</v>
      </c>
      <c r="AD42" s="64"/>
      <c r="AE42" s="64"/>
      <c r="AF42" s="64"/>
      <c r="AG42" s="95"/>
      <c r="AH42" s="67" t="s">
        <v>2432</v>
      </c>
      <c r="AI42" s="64" t="str">
        <f>IF(L42="NEWLINE",Referral,Dunkelverarbeitung)</f>
        <v>Dunkelverarbeitung</v>
      </c>
      <c r="AJ42" s="64"/>
      <c r="AK42" s="64"/>
      <c r="AL42" s="64"/>
      <c r="AM42" s="95"/>
      <c r="AN42" s="67" t="s">
        <v>2432</v>
      </c>
      <c r="AO42" s="64" t="str">
        <f>IF(OR(L42="AXACORP",L42="AXASA",L42="AXA",L42="CATLIN",L42="XL"),Referral,Dunkelverarbeitung)</f>
        <v>Dunkelverarbeitung</v>
      </c>
      <c r="AP42" s="64"/>
      <c r="AQ42" s="64"/>
      <c r="AR42" s="64"/>
      <c r="AS42" s="64"/>
      <c r="AT42" s="67" t="s">
        <v>2432</v>
      </c>
      <c r="AU42" s="119" t="str">
        <f>IF(OR(L42="WVAG"),Referral,Dunkelverarbeitung)</f>
        <v>Dunkelverarbeitung</v>
      </c>
      <c r="AV42" s="64"/>
      <c r="AW42" s="64"/>
      <c r="AX42" s="64"/>
      <c r="AY42" s="64"/>
      <c r="AZ42" s="588" t="s">
        <v>2432</v>
      </c>
      <c r="BA42" s="657" t="str">
        <f>IF(L42="markel",Referral,Dunkelverarbeitung)</f>
        <v>Dunkelverarbeitung</v>
      </c>
      <c r="BB42" s="657"/>
      <c r="BC42" s="657"/>
      <c r="BD42" s="657"/>
      <c r="BE42" s="657"/>
      <c r="BF42" s="67" t="s">
        <v>2432</v>
      </c>
      <c r="BG42" s="64" t="str">
        <f>IF(K42=JaAntwort,Referral,Dunkelverarbeitung)</f>
        <v>Dunkelverarbeitung</v>
      </c>
      <c r="BH42" s="64"/>
      <c r="BI42" s="64"/>
      <c r="BJ42" s="64"/>
      <c r="BK42" s="95"/>
      <c r="BL42" s="779" t="s">
        <v>17</v>
      </c>
      <c r="BM42" s="657"/>
      <c r="BN42" s="657"/>
      <c r="BO42" s="657"/>
      <c r="BP42" s="657"/>
      <c r="BQ42" s="788"/>
      <c r="BR42" s="96" t="s">
        <v>2531</v>
      </c>
      <c r="BS42" s="96" t="str">
        <f t="shared" si="0"/>
        <v>Vorversicherer</v>
      </c>
      <c r="BT42" s="64"/>
    </row>
    <row r="43" spans="1:72" ht="12.75" customHeight="1">
      <c r="A43" s="64" t="s">
        <v>2422</v>
      </c>
      <c r="B43" s="64" t="s">
        <v>2532</v>
      </c>
      <c r="C43" s="64" t="s">
        <v>2440</v>
      </c>
      <c r="D43" s="64" t="s">
        <v>2533</v>
      </c>
      <c r="E43" s="64"/>
      <c r="F43" s="67"/>
      <c r="H43" s="64" t="s">
        <v>2438</v>
      </c>
      <c r="I43" s="64"/>
      <c r="J43" s="64"/>
      <c r="K43" s="67" t="str">
        <f>IF(L43="YES","ja",IF(L43="NO","nein",""))</f>
        <v/>
      </c>
      <c r="M43" s="64" t="s">
        <v>2438</v>
      </c>
      <c r="N43" s="64" t="s">
        <v>2532</v>
      </c>
      <c r="O43" s="64"/>
      <c r="P43" s="67" t="s">
        <v>2432</v>
      </c>
      <c r="Q43" s="64" t="str">
        <f>IF(K43=JaAntwort,Referral,Dunkelverarbeitung)</f>
        <v>Dunkelverarbeitung</v>
      </c>
      <c r="R43" s="64"/>
      <c r="S43" s="64"/>
      <c r="T43" s="64"/>
      <c r="U43" s="95"/>
      <c r="V43" s="67" t="s">
        <v>2432</v>
      </c>
      <c r="W43" s="64"/>
      <c r="X43" s="64"/>
      <c r="Y43" s="64"/>
      <c r="Z43" s="103"/>
      <c r="AA43" s="103" t="str">
        <f>IF(K43=JaAntwort,5000000,"")</f>
        <v/>
      </c>
      <c r="AB43" s="67" t="s">
        <v>2432</v>
      </c>
      <c r="AC43" s="64" t="str">
        <f>IF(K43=JaAntwort,Referral,Dunkelverarbeitung)</f>
        <v>Dunkelverarbeitung</v>
      </c>
      <c r="AD43" s="64"/>
      <c r="AE43" s="64"/>
      <c r="AF43" s="64"/>
      <c r="AG43" s="95"/>
      <c r="AH43" s="67" t="s">
        <v>17</v>
      </c>
      <c r="AI43" s="64"/>
      <c r="AJ43" s="64"/>
      <c r="AK43" s="64"/>
      <c r="AL43" s="64"/>
      <c r="AM43" s="95"/>
      <c r="AN43" s="67" t="s">
        <v>17</v>
      </c>
      <c r="AO43" s="64"/>
      <c r="AP43" s="64"/>
      <c r="AQ43" s="64"/>
      <c r="AR43" s="64"/>
      <c r="AS43" s="64"/>
      <c r="AT43" s="67" t="s">
        <v>17</v>
      </c>
      <c r="AU43" s="64"/>
      <c r="AV43" s="64"/>
      <c r="AW43" s="64"/>
      <c r="AX43" s="64"/>
      <c r="AY43" s="64"/>
      <c r="AZ43" s="588" t="s">
        <v>17</v>
      </c>
      <c r="BA43" s="657"/>
      <c r="BB43" s="657"/>
      <c r="BC43" s="657"/>
      <c r="BD43" s="657"/>
      <c r="BE43" s="657"/>
      <c r="BF43" s="67" t="s">
        <v>2432</v>
      </c>
      <c r="BG43" s="64" t="str">
        <f>IF(K43=JaAntwort,Referral,Dunkelverarbeitung)</f>
        <v>Dunkelverarbeitung</v>
      </c>
      <c r="BH43" s="64"/>
      <c r="BI43" s="64"/>
      <c r="BJ43" s="64"/>
      <c r="BK43" s="95"/>
      <c r="BL43" s="779" t="s">
        <v>17</v>
      </c>
      <c r="BM43" s="657"/>
      <c r="BN43" s="657"/>
      <c r="BO43" s="657"/>
      <c r="BP43" s="657"/>
      <c r="BQ43" s="788"/>
      <c r="BR43" s="96" t="s">
        <v>2534</v>
      </c>
      <c r="BS43" s="96" t="str">
        <f t="shared" si="0"/>
        <v>Es gibt juristische Personen oder Gesellschaften, die direkt oder indirekt mehr als 50 % der Anteile der VN halten oder sie in sonstiger Weise beherrschen.</v>
      </c>
      <c r="BT43" s="64"/>
    </row>
    <row r="44" spans="1:72" ht="12.75" customHeight="1">
      <c r="A44" s="64" t="s">
        <v>2422</v>
      </c>
      <c r="B44" s="64" t="s">
        <v>2535</v>
      </c>
      <c r="C44" s="64" t="s">
        <v>2440</v>
      </c>
      <c r="D44" s="64" t="s">
        <v>3791</v>
      </c>
      <c r="E44" s="64"/>
      <c r="F44" s="67"/>
      <c r="H44" s="64" t="s">
        <v>2438</v>
      </c>
      <c r="I44" s="64"/>
      <c r="J44" s="64"/>
      <c r="K44" s="67" t="str">
        <f>IF(L44="YES","ja",IF(L44="NO","nein",""))</f>
        <v/>
      </c>
      <c r="M44" s="64" t="s">
        <v>2438</v>
      </c>
      <c r="N44" s="64" t="s">
        <v>2535</v>
      </c>
      <c r="O44" s="64"/>
      <c r="P44" s="67" t="s">
        <v>2432</v>
      </c>
      <c r="Q44" s="64" t="str">
        <f>IF(K44=JaAntwort,Referral,Dunkelverarbeitung)</f>
        <v>Dunkelverarbeitung</v>
      </c>
      <c r="R44" s="64"/>
      <c r="S44" s="64"/>
      <c r="T44" s="64"/>
      <c r="U44" s="95"/>
      <c r="V44" s="67" t="s">
        <v>17</v>
      </c>
      <c r="W44" s="64"/>
      <c r="X44" s="64"/>
      <c r="Y44" s="64"/>
      <c r="Z44" s="64"/>
      <c r="AA44" s="95"/>
      <c r="AB44" s="67" t="s">
        <v>2432</v>
      </c>
      <c r="AC44" s="64" t="str">
        <f>IF(K44=JaAntwort,Referral,Dunkelverarbeitung)</f>
        <v>Dunkelverarbeitung</v>
      </c>
      <c r="AD44" s="64"/>
      <c r="AE44" s="64"/>
      <c r="AF44" s="64"/>
      <c r="AG44" s="95"/>
      <c r="AH44" s="67" t="s">
        <v>2432</v>
      </c>
      <c r="AI44" s="64" t="str">
        <f>IF(K44=JaAntwort,Referral,Dunkelverarbeitung)</f>
        <v>Dunkelverarbeitung</v>
      </c>
      <c r="AJ44" s="64"/>
      <c r="AK44" s="64"/>
      <c r="AL44" s="64"/>
      <c r="AM44" s="95"/>
      <c r="AN44" s="67" t="s">
        <v>2432</v>
      </c>
      <c r="AO44" s="64" t="str">
        <f>IF(K44=JaAntwort,Referral,Dunkelverarbeitung)</f>
        <v>Dunkelverarbeitung</v>
      </c>
      <c r="AP44" s="64"/>
      <c r="AQ44" s="64" t="str">
        <f>IF(K44=JaAntwort,0.25,"")</f>
        <v/>
      </c>
      <c r="AR44" s="64"/>
      <c r="AS44" s="64"/>
      <c r="AT44" s="67" t="s">
        <v>2432</v>
      </c>
      <c r="AU44" s="64"/>
      <c r="AV44" s="100" t="str">
        <f>IF(K44=JaAntwort,"KO Trigger",Dunkelverarbeitung)</f>
        <v>Dunkelverarbeitung</v>
      </c>
      <c r="AW44" s="64"/>
      <c r="AX44" s="64"/>
      <c r="AY44" s="64"/>
      <c r="AZ44" s="588" t="s">
        <v>2432</v>
      </c>
      <c r="BA44" s="657" t="str">
        <f>IF(K44=JaAntwort,Referral,Dunkelverarbeitung)</f>
        <v>Dunkelverarbeitung</v>
      </c>
      <c r="BB44" s="657"/>
      <c r="BC44" s="657"/>
      <c r="BD44" s="657"/>
      <c r="BE44" s="657"/>
      <c r="BF44" s="67" t="s">
        <v>2432</v>
      </c>
      <c r="BG44" s="64"/>
      <c r="BH44" s="64" t="str">
        <f>IF(K44=JaAntwort,"KO Trigger",Dunkelverarbeitung)</f>
        <v>Dunkelverarbeitung</v>
      </c>
      <c r="BI44" s="64"/>
      <c r="BJ44" s="64"/>
      <c r="BK44" s="95"/>
      <c r="BL44" s="779" t="s">
        <v>2432</v>
      </c>
      <c r="BM44" s="64" t="str">
        <f>IF(K44=JaAntwort,Referral,Dunkelverarbeitung)</f>
        <v>Dunkelverarbeitung</v>
      </c>
      <c r="BN44" s="657"/>
      <c r="BO44" s="657"/>
      <c r="BP44" s="657"/>
      <c r="BQ44" s="788"/>
      <c r="BR44" s="96" t="s">
        <v>3792</v>
      </c>
      <c r="BS44" s="96" t="str">
        <f t="shared" si="0"/>
        <v>Anteile und/oder Anleihen der Versicherungsnehmerin, Tochtergesellschaften und/oder sonstiger mitzuversichernder Gesellschaften werden an einer Börse gehandelt.</v>
      </c>
      <c r="BT44" s="64"/>
    </row>
    <row r="45" spans="1:72" ht="12.75" customHeight="1">
      <c r="A45" s="64" t="s">
        <v>2422</v>
      </c>
      <c r="B45" s="64" t="s">
        <v>2536</v>
      </c>
      <c r="C45" s="64" t="s">
        <v>2440</v>
      </c>
      <c r="D45" s="64" t="s">
        <v>2537</v>
      </c>
      <c r="E45" s="64"/>
      <c r="F45" s="67"/>
      <c r="H45" s="64" t="s">
        <v>2438</v>
      </c>
      <c r="I45" s="64"/>
      <c r="J45" s="64"/>
      <c r="K45" s="67" t="str">
        <f>IF(L45="YES","ja",IF(L45="NO","nein",""))</f>
        <v/>
      </c>
      <c r="M45" s="64" t="s">
        <v>2438</v>
      </c>
      <c r="N45" s="64" t="s">
        <v>2536</v>
      </c>
      <c r="O45" s="64"/>
      <c r="P45" s="67" t="s">
        <v>2432</v>
      </c>
      <c r="Q45" s="64" t="str">
        <f>IF(K45=JaAntwort,Referral,Dunkelverarbeitung)</f>
        <v>Dunkelverarbeitung</v>
      </c>
      <c r="R45" s="64"/>
      <c r="S45" s="64"/>
      <c r="T45" s="64"/>
      <c r="U45" s="95"/>
      <c r="V45" s="67" t="s">
        <v>17</v>
      </c>
      <c r="W45" s="64"/>
      <c r="X45" s="64"/>
      <c r="Y45" s="64"/>
      <c r="Z45" s="64"/>
      <c r="AA45" s="95"/>
      <c r="AB45" s="67" t="s">
        <v>2432</v>
      </c>
      <c r="AC45" s="64" t="str">
        <f>IF(K45=JaAntwort,Referral,Dunkelverarbeitung)</f>
        <v>Dunkelverarbeitung</v>
      </c>
      <c r="AD45" s="64"/>
      <c r="AE45" s="64"/>
      <c r="AF45" s="64"/>
      <c r="AG45" s="95"/>
      <c r="AH45" s="67" t="s">
        <v>2432</v>
      </c>
      <c r="AI45" s="64" t="str">
        <f>IF(K45=JaAntwort,Referral,Dunkelverarbeitung)</f>
        <v>Dunkelverarbeitung</v>
      </c>
      <c r="AJ45" s="64"/>
      <c r="AK45" s="64"/>
      <c r="AL45" s="64"/>
      <c r="AM45" s="95"/>
      <c r="AN45" s="67" t="s">
        <v>2432</v>
      </c>
      <c r="AO45" s="64" t="str">
        <f>IF(K45=JaAntwort,Referral,Dunkelverarbeitung)</f>
        <v>Dunkelverarbeitung</v>
      </c>
      <c r="AP45" s="64"/>
      <c r="AQ45" s="64"/>
      <c r="AR45" s="64"/>
      <c r="AS45" s="64"/>
      <c r="AT45" s="67" t="s">
        <v>2432</v>
      </c>
      <c r="AU45" s="64" t="str">
        <f t="shared" ref="AU45:AU52" si="2">IF(K45=JaAntwort,Referral,Dunkelverarbeitung)</f>
        <v>Dunkelverarbeitung</v>
      </c>
      <c r="AV45" s="64"/>
      <c r="AW45" s="64"/>
      <c r="AX45" s="64"/>
      <c r="AY45" s="64"/>
      <c r="AZ45" s="588" t="s">
        <v>2432</v>
      </c>
      <c r="BA45" s="657" t="str">
        <f>IF(K45=JaAntwort,Referral,Dunkelverarbeitung)</f>
        <v>Dunkelverarbeitung</v>
      </c>
      <c r="BB45" s="657"/>
      <c r="BC45" s="657"/>
      <c r="BD45" s="657"/>
      <c r="BE45" s="657"/>
      <c r="BF45" s="67" t="s">
        <v>2432</v>
      </c>
      <c r="BG45" s="64" t="str">
        <f>IF(K45=JaAntwort,Referral,Dunkelverarbeitung)</f>
        <v>Dunkelverarbeitung</v>
      </c>
      <c r="BH45" s="64"/>
      <c r="BI45" s="64"/>
      <c r="BJ45" s="64"/>
      <c r="BK45" s="95"/>
      <c r="BL45" s="779" t="s">
        <v>2432</v>
      </c>
      <c r="BM45" s="64" t="str">
        <f>IF(K45=JaAntwort,Referral,Dunkelverarbeitung)</f>
        <v>Dunkelverarbeitung</v>
      </c>
      <c r="BN45" s="657"/>
      <c r="BO45" s="657"/>
      <c r="BP45" s="657"/>
      <c r="BQ45" s="788"/>
      <c r="BR45" s="96" t="s">
        <v>2538</v>
      </c>
      <c r="BS45" s="96" t="str">
        <f t="shared" si="0"/>
        <v>Es gibt Gesellschaften, die im jüngsten Geschäftsbericht der VN nicht konsolidiert sind, auf deren Organmitglieder sich der Versicherungsschutz aber dennoch erstrecken soll (z.B. Schwestergesellschaften, Joint Ventures, Pensionskassen).</v>
      </c>
      <c r="BT45" s="64"/>
    </row>
    <row r="46" spans="1:72" ht="12.75" customHeight="1">
      <c r="A46" s="64" t="s">
        <v>2422</v>
      </c>
      <c r="B46" s="64" t="s">
        <v>2539</v>
      </c>
      <c r="C46" s="64" t="s">
        <v>2440</v>
      </c>
      <c r="D46" s="64" t="s">
        <v>2540</v>
      </c>
      <c r="E46" s="64"/>
      <c r="F46" s="67"/>
      <c r="H46" s="64" t="s">
        <v>2438</v>
      </c>
      <c r="I46" s="64"/>
      <c r="J46" s="64"/>
      <c r="K46" s="67" t="str">
        <f>IF(L46="YES","ja",IF(L46="NO","nein",""))</f>
        <v/>
      </c>
      <c r="M46" s="64" t="s">
        <v>2438</v>
      </c>
      <c r="N46" s="64" t="s">
        <v>2539</v>
      </c>
      <c r="O46" s="64"/>
      <c r="P46" s="67" t="s">
        <v>2432</v>
      </c>
      <c r="Q46" s="64" t="str">
        <f>IF(K46=JaAntwort,Referral,Dunkelverarbeitung)</f>
        <v>Dunkelverarbeitung</v>
      </c>
      <c r="R46" s="64"/>
      <c r="S46" s="64"/>
      <c r="T46" s="64"/>
      <c r="U46" s="95"/>
      <c r="V46" s="67" t="s">
        <v>17</v>
      </c>
      <c r="W46" s="64"/>
      <c r="X46" s="64"/>
      <c r="Y46" s="64"/>
      <c r="Z46" s="64"/>
      <c r="AA46" s="95"/>
      <c r="AB46" s="67" t="s">
        <v>17</v>
      </c>
      <c r="AC46" s="64"/>
      <c r="AD46" s="64"/>
      <c r="AE46" s="64"/>
      <c r="AF46" s="64"/>
      <c r="AG46" s="95"/>
      <c r="AH46" s="67" t="s">
        <v>17</v>
      </c>
      <c r="AI46" s="64"/>
      <c r="AJ46" s="64"/>
      <c r="AK46" s="64"/>
      <c r="AL46" s="64"/>
      <c r="AM46" s="95"/>
      <c r="AN46" s="67" t="s">
        <v>17</v>
      </c>
      <c r="AO46" s="64"/>
      <c r="AP46" s="64"/>
      <c r="AQ46" s="64"/>
      <c r="AR46" s="64"/>
      <c r="AS46" s="64"/>
      <c r="AT46" s="67" t="s">
        <v>2432</v>
      </c>
      <c r="AU46" s="64" t="str">
        <f t="shared" si="2"/>
        <v>Dunkelverarbeitung</v>
      </c>
      <c r="AV46" s="64"/>
      <c r="AW46" s="64"/>
      <c r="AX46" s="64"/>
      <c r="AY46" s="64"/>
      <c r="AZ46" s="588" t="s">
        <v>17</v>
      </c>
      <c r="BA46" s="657"/>
      <c r="BB46" s="657"/>
      <c r="BC46" s="657"/>
      <c r="BD46" s="657"/>
      <c r="BE46" s="657"/>
      <c r="BF46" s="67" t="s">
        <v>2432</v>
      </c>
      <c r="BG46" s="64" t="str">
        <f>IF(K46=JaAntwort,Referral,Dunkelverarbeitung)</f>
        <v>Dunkelverarbeitung</v>
      </c>
      <c r="BH46" s="64"/>
      <c r="BI46" s="64"/>
      <c r="BJ46" s="64"/>
      <c r="BK46" s="95"/>
      <c r="BL46" s="779" t="s">
        <v>2432</v>
      </c>
      <c r="BM46" s="64" t="str">
        <f>IF(K46=JaAntwort,Referral,Dunkelverarbeitung)</f>
        <v>Dunkelverarbeitung</v>
      </c>
      <c r="BN46" s="657"/>
      <c r="BO46" s="657"/>
      <c r="BP46" s="657"/>
      <c r="BQ46" s="788"/>
      <c r="BR46" s="96" t="s">
        <v>2541</v>
      </c>
      <c r="BS46" s="96" t="str">
        <f t="shared" si="0"/>
        <v>Bei der VN, Tochtergesellschaften oder Gesellschaften auf denen sich der Versicherungsschutz erstrecken soll existieren Kontrollorgane (z.B. Aufsichtsrat, Beirat, Verwaltungsrat etc.).</v>
      </c>
      <c r="BT46" s="64"/>
    </row>
    <row r="47" spans="1:72" ht="12.75" customHeight="1">
      <c r="A47" s="64" t="s">
        <v>2422</v>
      </c>
      <c r="B47" s="64" t="s">
        <v>2542</v>
      </c>
      <c r="C47" s="64" t="s">
        <v>2440</v>
      </c>
      <c r="D47" s="64" t="s">
        <v>2543</v>
      </c>
      <c r="E47" s="64"/>
      <c r="F47" s="67"/>
      <c r="H47" s="64" t="s">
        <v>2438</v>
      </c>
      <c r="I47" s="64"/>
      <c r="J47" s="64"/>
      <c r="K47" s="67" t="str">
        <f>IF(L47="YES","ja",IF(L47="NO","nein",""))</f>
        <v/>
      </c>
      <c r="M47" s="64" t="s">
        <v>2438</v>
      </c>
      <c r="N47" s="64" t="s">
        <v>2542</v>
      </c>
      <c r="O47" s="64"/>
      <c r="P47" s="67" t="s">
        <v>2432</v>
      </c>
      <c r="Q47" s="64" t="str">
        <f>IF(K47=JaAntwort,Referral,Dunkelverarbeitung)</f>
        <v>Dunkelverarbeitung</v>
      </c>
      <c r="R47" s="64"/>
      <c r="S47" s="64"/>
      <c r="T47" s="64"/>
      <c r="U47" s="95"/>
      <c r="V47" s="67" t="s">
        <v>17</v>
      </c>
      <c r="W47" s="64"/>
      <c r="X47" s="64"/>
      <c r="Y47" s="64"/>
      <c r="Z47" s="64"/>
      <c r="AA47" s="95"/>
      <c r="AB47" s="67" t="s">
        <v>2432</v>
      </c>
      <c r="AC47" s="64" t="str">
        <f>IF(K47=JaAntwort,Referral,Dunkelverarbeitung)</f>
        <v>Dunkelverarbeitung</v>
      </c>
      <c r="AD47" s="64"/>
      <c r="AE47" s="64"/>
      <c r="AF47" s="64"/>
      <c r="AG47" s="95"/>
      <c r="AH47" s="67" t="s">
        <v>17</v>
      </c>
      <c r="AI47" s="64"/>
      <c r="AJ47" s="64"/>
      <c r="AK47" s="64"/>
      <c r="AL47" s="64"/>
      <c r="AM47" s="95"/>
      <c r="AN47" s="67" t="s">
        <v>17</v>
      </c>
      <c r="AO47" s="64"/>
      <c r="AP47" s="64"/>
      <c r="AQ47" s="64"/>
      <c r="AR47" s="64"/>
      <c r="AS47" s="64"/>
      <c r="AT47" s="67" t="s">
        <v>2432</v>
      </c>
      <c r="AU47" s="64" t="str">
        <f t="shared" si="2"/>
        <v>Dunkelverarbeitung</v>
      </c>
      <c r="AV47" s="64"/>
      <c r="AW47" s="64"/>
      <c r="AX47" s="64"/>
      <c r="AY47" s="64"/>
      <c r="AZ47" s="588" t="s">
        <v>17</v>
      </c>
      <c r="BA47" s="657"/>
      <c r="BB47" s="657"/>
      <c r="BC47" s="657"/>
      <c r="BD47" s="657"/>
      <c r="BE47" s="657"/>
      <c r="BF47" s="67" t="s">
        <v>2432</v>
      </c>
      <c r="BG47" s="64" t="str">
        <f>IF(K47=JaAntwort,Referral,Dunkelverarbeitung)</f>
        <v>Dunkelverarbeitung</v>
      </c>
      <c r="BH47" s="64"/>
      <c r="BI47" s="64"/>
      <c r="BJ47" s="64"/>
      <c r="BK47" s="95"/>
      <c r="BL47" s="779" t="s">
        <v>2432</v>
      </c>
      <c r="BM47" s="64" t="str">
        <f>IF(K47=JaAntwort,Referral,Dunkelverarbeitung)</f>
        <v>Dunkelverarbeitung</v>
      </c>
      <c r="BN47" s="657"/>
      <c r="BO47" s="657"/>
      <c r="BP47" s="657"/>
      <c r="BQ47" s="788"/>
      <c r="BR47" s="96" t="s">
        <v>2544</v>
      </c>
      <c r="BS47" s="96" t="str">
        <f t="shared" si="0"/>
        <v>Der Versicherungsschutz soll sich auch auf Funktionen erstrecken, die zu versichernde Personen bzw. Arbeitnehmer (auch ausgeschiedenen)  der VN oder einer Tochtergesellschaft als Mitglieder von Geschäftsführungs- oder Aufsichtsorganen bei gewinnorientierten Drittunternehmen  wahrnehmen.</v>
      </c>
      <c r="BT47" s="64"/>
    </row>
    <row r="48" spans="1:72" ht="12.75" customHeight="1">
      <c r="A48" s="64" t="s">
        <v>2422</v>
      </c>
      <c r="B48" s="64" t="s">
        <v>2545</v>
      </c>
      <c r="C48" s="64" t="s">
        <v>2440</v>
      </c>
      <c r="D48" s="64" t="s">
        <v>2502</v>
      </c>
      <c r="E48" s="64" t="s">
        <v>77</v>
      </c>
      <c r="F48" s="67"/>
      <c r="H48" s="64" t="s">
        <v>2430</v>
      </c>
      <c r="I48" s="64"/>
      <c r="J48" s="64"/>
      <c r="K48" s="67">
        <f>RisikoFragen27b</f>
        <v>0</v>
      </c>
      <c r="M48" s="64" t="s">
        <v>2430</v>
      </c>
      <c r="N48" s="64" t="s">
        <v>2545</v>
      </c>
      <c r="O48" s="64"/>
      <c r="P48" s="67" t="s">
        <v>17</v>
      </c>
      <c r="Q48" s="64"/>
      <c r="R48" s="64"/>
      <c r="S48" s="64"/>
      <c r="T48" s="64"/>
      <c r="U48" s="95"/>
      <c r="V48" s="67" t="s">
        <v>17</v>
      </c>
      <c r="W48" s="64"/>
      <c r="X48" s="64"/>
      <c r="Y48" s="64"/>
      <c r="Z48" s="64"/>
      <c r="AA48" s="95"/>
      <c r="AB48" s="67" t="s">
        <v>17</v>
      </c>
      <c r="AC48" s="64"/>
      <c r="AD48" s="64"/>
      <c r="AE48" s="64"/>
      <c r="AF48" s="64"/>
      <c r="AG48" s="95"/>
      <c r="AH48" s="67" t="s">
        <v>17</v>
      </c>
      <c r="AI48" s="64"/>
      <c r="AJ48" s="64"/>
      <c r="AK48" s="64"/>
      <c r="AL48" s="64"/>
      <c r="AM48" s="95"/>
      <c r="AN48" s="67" t="s">
        <v>17</v>
      </c>
      <c r="AO48" s="64"/>
      <c r="AP48" s="64"/>
      <c r="AQ48" s="64"/>
      <c r="AR48" s="64"/>
      <c r="AS48" s="64"/>
      <c r="AT48" s="67" t="s">
        <v>2432</v>
      </c>
      <c r="AU48" s="64"/>
      <c r="AV48" s="64"/>
      <c r="AW48" s="64"/>
      <c r="AX48" s="64"/>
      <c r="AY48" s="64"/>
      <c r="AZ48" s="588" t="s">
        <v>17</v>
      </c>
      <c r="BA48" s="657"/>
      <c r="BB48" s="657"/>
      <c r="BC48" s="657"/>
      <c r="BD48" s="657"/>
      <c r="BE48" s="657"/>
      <c r="BF48" s="67" t="s">
        <v>17</v>
      </c>
      <c r="BG48" s="64"/>
      <c r="BH48" s="64"/>
      <c r="BI48" s="64"/>
      <c r="BJ48" s="64"/>
      <c r="BK48" s="95"/>
      <c r="BL48" s="779" t="s">
        <v>17</v>
      </c>
      <c r="BM48" s="64"/>
      <c r="BN48" s="657"/>
      <c r="BO48" s="657"/>
      <c r="BP48" s="657"/>
      <c r="BQ48" s="788"/>
      <c r="BR48" s="96"/>
      <c r="BS48" s="96">
        <f t="shared" si="0"/>
        <v>0</v>
      </c>
      <c r="BT48" s="64"/>
    </row>
    <row r="49" spans="1:72" ht="12.75" customHeight="1">
      <c r="A49" s="64" t="s">
        <v>2422</v>
      </c>
      <c r="B49" s="64" t="s">
        <v>2546</v>
      </c>
      <c r="C49" s="64" t="s">
        <v>2440</v>
      </c>
      <c r="D49" s="64" t="s">
        <v>2502</v>
      </c>
      <c r="E49" s="64" t="s">
        <v>2547</v>
      </c>
      <c r="F49" s="67"/>
      <c r="H49" s="64" t="s">
        <v>2438</v>
      </c>
      <c r="I49" s="64"/>
      <c r="J49" s="64"/>
      <c r="K49" s="67" t="str">
        <f>IF(L49="YES","ja",IF(L49="NO","nein",""))</f>
        <v/>
      </c>
      <c r="M49" s="64" t="s">
        <v>2438</v>
      </c>
      <c r="N49" s="64" t="s">
        <v>2546</v>
      </c>
      <c r="O49" s="64"/>
      <c r="P49" s="67" t="s">
        <v>17</v>
      </c>
      <c r="Q49" s="64"/>
      <c r="R49" s="64"/>
      <c r="S49" s="64"/>
      <c r="T49" s="64"/>
      <c r="U49" s="95"/>
      <c r="V49" s="67" t="s">
        <v>17</v>
      </c>
      <c r="W49" s="64"/>
      <c r="X49" s="64"/>
      <c r="Y49" s="64"/>
      <c r="Z49" s="64"/>
      <c r="AA49" s="95"/>
      <c r="AB49" s="67" t="s">
        <v>17</v>
      </c>
      <c r="AC49" s="64"/>
      <c r="AD49" s="64"/>
      <c r="AE49" s="64"/>
      <c r="AF49" s="64"/>
      <c r="AG49" s="95"/>
      <c r="AH49" s="67" t="s">
        <v>17</v>
      </c>
      <c r="AI49" s="64"/>
      <c r="AJ49" s="64"/>
      <c r="AK49" s="64"/>
      <c r="AL49" s="64"/>
      <c r="AM49" s="95"/>
      <c r="AN49" s="67" t="s">
        <v>17</v>
      </c>
      <c r="AO49" s="64"/>
      <c r="AP49" s="64"/>
      <c r="AQ49" s="64"/>
      <c r="AR49" s="64"/>
      <c r="AS49" s="64"/>
      <c r="AT49" s="67" t="s">
        <v>2432</v>
      </c>
      <c r="AU49" s="64" t="str">
        <f t="shared" si="2"/>
        <v>Dunkelverarbeitung</v>
      </c>
      <c r="AV49" s="64"/>
      <c r="AW49" s="64"/>
      <c r="AX49" s="64"/>
      <c r="AY49" s="64"/>
      <c r="AZ49" s="588" t="s">
        <v>17</v>
      </c>
      <c r="BA49" s="657"/>
      <c r="BB49" s="657"/>
      <c r="BC49" s="657"/>
      <c r="BD49" s="657"/>
      <c r="BE49" s="657"/>
      <c r="BF49" s="67" t="s">
        <v>17</v>
      </c>
      <c r="BG49" s="64"/>
      <c r="BH49" s="64"/>
      <c r="BI49" s="64"/>
      <c r="BJ49" s="64"/>
      <c r="BK49" s="95"/>
      <c r="BL49" s="779" t="s">
        <v>17</v>
      </c>
      <c r="BM49" s="64"/>
      <c r="BN49" s="657"/>
      <c r="BO49" s="657"/>
      <c r="BP49" s="657"/>
      <c r="BQ49" s="788"/>
      <c r="BR49" s="96" t="s">
        <v>2548</v>
      </c>
      <c r="BS49" s="96" t="str">
        <f t="shared" si="0"/>
        <v>Mandate: Fremdmandate</v>
      </c>
      <c r="BT49" s="64"/>
    </row>
    <row r="50" spans="1:72" ht="12.75" customHeight="1">
      <c r="A50" s="64" t="s">
        <v>2422</v>
      </c>
      <c r="B50" s="64" t="s">
        <v>2549</v>
      </c>
      <c r="C50" s="64" t="s">
        <v>2440</v>
      </c>
      <c r="D50" s="64" t="s">
        <v>2502</v>
      </c>
      <c r="E50" s="64" t="s">
        <v>2550</v>
      </c>
      <c r="F50" s="67"/>
      <c r="H50" s="64" t="s">
        <v>2438</v>
      </c>
      <c r="I50" s="64"/>
      <c r="J50" s="64"/>
      <c r="K50" s="67" t="str">
        <f>IF(L50="YES","ja",IF(L50="NO","nein",""))</f>
        <v/>
      </c>
      <c r="M50" s="64" t="s">
        <v>2438</v>
      </c>
      <c r="N50" s="64" t="s">
        <v>2549</v>
      </c>
      <c r="O50" s="64"/>
      <c r="P50" s="67" t="s">
        <v>17</v>
      </c>
      <c r="Q50" s="64"/>
      <c r="R50" s="64"/>
      <c r="S50" s="64"/>
      <c r="T50" s="64"/>
      <c r="U50" s="95"/>
      <c r="V50" s="67" t="s">
        <v>17</v>
      </c>
      <c r="W50" s="64"/>
      <c r="X50" s="64"/>
      <c r="Y50" s="64"/>
      <c r="Z50" s="64"/>
      <c r="AA50" s="95"/>
      <c r="AB50" s="67" t="s">
        <v>17</v>
      </c>
      <c r="AC50" s="64"/>
      <c r="AD50" s="64"/>
      <c r="AE50" s="64"/>
      <c r="AF50" s="64"/>
      <c r="AG50" s="95"/>
      <c r="AH50" s="67" t="s">
        <v>2432</v>
      </c>
      <c r="AI50" s="64" t="str">
        <f>IF(K50=NeinAntwort,Referral,Dunkelverarbeitung)</f>
        <v>Dunkelverarbeitung</v>
      </c>
      <c r="AJ50" s="64"/>
      <c r="AK50" s="64"/>
      <c r="AL50" s="64"/>
      <c r="AM50" s="95"/>
      <c r="AN50" s="67" t="s">
        <v>17</v>
      </c>
      <c r="AO50" s="64"/>
      <c r="AP50" s="64"/>
      <c r="AQ50" s="64"/>
      <c r="AR50" s="64"/>
      <c r="AS50" s="64"/>
      <c r="AT50" s="67" t="s">
        <v>2432</v>
      </c>
      <c r="AU50" s="64" t="str">
        <f t="shared" si="2"/>
        <v>Dunkelverarbeitung</v>
      </c>
      <c r="AV50" s="64"/>
      <c r="AW50" s="64"/>
      <c r="AX50" s="64"/>
      <c r="AY50" s="64"/>
      <c r="AZ50" s="588" t="s">
        <v>17</v>
      </c>
      <c r="BA50" s="657"/>
      <c r="BB50" s="657"/>
      <c r="BC50" s="657"/>
      <c r="BD50" s="657"/>
      <c r="BE50" s="657"/>
      <c r="BF50" s="67" t="s">
        <v>17</v>
      </c>
      <c r="BG50" s="64"/>
      <c r="BH50" s="64"/>
      <c r="BI50" s="64"/>
      <c r="BJ50" s="64"/>
      <c r="BK50" s="95"/>
      <c r="BL50" s="779" t="s">
        <v>2432</v>
      </c>
      <c r="BM50" s="64" t="str">
        <f>IF(K50=JaAntwort,Referral,Dunkelverarbeitung)</f>
        <v>Dunkelverarbeitung</v>
      </c>
      <c r="BN50" s="657"/>
      <c r="BO50" s="657"/>
      <c r="BP50" s="657"/>
      <c r="BQ50" s="788"/>
      <c r="BR50" s="96" t="s">
        <v>2551</v>
      </c>
      <c r="BS50" s="96" t="str">
        <f t="shared" si="0"/>
        <v>Mandate: Die Wahrnehmung erfolgt im Interesse, auf Veranlassung, Wunsch oder Weisung der Versicherungsnehmerin oder einer Tochtergesellschaft.</v>
      </c>
      <c r="BT50" s="64"/>
    </row>
    <row r="51" spans="1:72" ht="12.75" customHeight="1">
      <c r="A51" s="64" t="s">
        <v>2422</v>
      </c>
      <c r="B51" s="64" t="s">
        <v>2552</v>
      </c>
      <c r="C51" s="64" t="s">
        <v>2440</v>
      </c>
      <c r="D51" s="64" t="s">
        <v>2502</v>
      </c>
      <c r="E51" s="64" t="s">
        <v>2553</v>
      </c>
      <c r="F51" s="67"/>
      <c r="H51" s="64" t="s">
        <v>2438</v>
      </c>
      <c r="I51" s="64"/>
      <c r="J51" s="64"/>
      <c r="K51" s="67" t="str">
        <f>IF(L51="YES","ja",IF(L51="NO","nein",""))</f>
        <v/>
      </c>
      <c r="M51" s="64" t="s">
        <v>2438</v>
      </c>
      <c r="N51" s="64" t="s">
        <v>2552</v>
      </c>
      <c r="O51" s="64"/>
      <c r="P51" s="67" t="s">
        <v>17</v>
      </c>
      <c r="Q51" s="64"/>
      <c r="R51" s="64"/>
      <c r="S51" s="64"/>
      <c r="T51" s="64"/>
      <c r="U51" s="95"/>
      <c r="V51" s="67" t="s">
        <v>17</v>
      </c>
      <c r="W51" s="64"/>
      <c r="X51" s="64"/>
      <c r="Y51" s="64"/>
      <c r="Z51" s="64"/>
      <c r="AA51" s="95"/>
      <c r="AB51" s="67" t="s">
        <v>17</v>
      </c>
      <c r="AC51" s="64"/>
      <c r="AD51" s="64"/>
      <c r="AE51" s="64"/>
      <c r="AF51" s="64"/>
      <c r="AG51" s="95"/>
      <c r="AH51" s="67" t="s">
        <v>2432</v>
      </c>
      <c r="AI51" s="64" t="str">
        <f>IF(K51=JaAntwort,Referral,Dunkelverarbeitung)</f>
        <v>Dunkelverarbeitung</v>
      </c>
      <c r="AJ51" s="64"/>
      <c r="AK51" s="64"/>
      <c r="AL51" s="64"/>
      <c r="AM51" s="95"/>
      <c r="AN51" s="67" t="s">
        <v>17</v>
      </c>
      <c r="AO51" s="64"/>
      <c r="AP51" s="64"/>
      <c r="AQ51" s="64"/>
      <c r="AR51" s="64"/>
      <c r="AS51" s="64"/>
      <c r="AT51" s="67" t="s">
        <v>2432</v>
      </c>
      <c r="AU51" s="64" t="str">
        <f t="shared" si="2"/>
        <v>Dunkelverarbeitung</v>
      </c>
      <c r="AV51" s="64"/>
      <c r="AW51" s="64"/>
      <c r="AX51" s="64"/>
      <c r="AY51" s="64"/>
      <c r="AZ51" s="588" t="s">
        <v>2432</v>
      </c>
      <c r="BA51" s="657" t="str">
        <f>IF(K51=JaAntwort,Referral,Dunkelverarbeitung)</f>
        <v>Dunkelverarbeitung</v>
      </c>
      <c r="BB51" s="657"/>
      <c r="BC51" s="657"/>
      <c r="BD51" s="657"/>
      <c r="BE51" s="657"/>
      <c r="BF51" s="67" t="s">
        <v>17</v>
      </c>
      <c r="BG51" s="64"/>
      <c r="BH51" s="64"/>
      <c r="BI51" s="64"/>
      <c r="BJ51" s="64"/>
      <c r="BK51" s="95"/>
      <c r="BL51" s="779" t="s">
        <v>2432</v>
      </c>
      <c r="BM51" s="64" t="str">
        <f>IF(K51=JaAntwort,Referral,Dunkelverarbeitung)</f>
        <v>Dunkelverarbeitung</v>
      </c>
      <c r="BN51" s="657"/>
      <c r="BO51" s="657"/>
      <c r="BP51" s="657"/>
      <c r="BQ51" s="788"/>
      <c r="BR51" s="96" t="s">
        <v>2554</v>
      </c>
      <c r="BS51" s="96" t="str">
        <f t="shared" si="0"/>
        <v>Mandate: Es handel sich bei den Gesellschaften um börsennotierten Gesellschaften, Finanzdienstleistungsinsttitute (§1 Absatz 1a KWF), Gesellschaften mit Sitz oder Registrierung in den U.S.A, oder Gesellschaften, deren Wertpapiere an einer Börse in den U.S.A. gehandelt werden, einschließlich ADRs und Private Placement.</v>
      </c>
      <c r="BT51" s="64"/>
    </row>
    <row r="52" spans="1:72" ht="12.75" customHeight="1">
      <c r="A52" s="64" t="s">
        <v>2422</v>
      </c>
      <c r="B52" s="64" t="s">
        <v>2555</v>
      </c>
      <c r="C52" s="64" t="s">
        <v>2440</v>
      </c>
      <c r="D52" s="64" t="s">
        <v>2556</v>
      </c>
      <c r="E52" s="64"/>
      <c r="F52" s="67"/>
      <c r="H52" s="64" t="s">
        <v>2438</v>
      </c>
      <c r="I52" s="64"/>
      <c r="J52" s="64"/>
      <c r="K52" s="67" t="str">
        <f>IF(L52="YES","ja",IF(L52="NO","nein",""))</f>
        <v/>
      </c>
      <c r="M52" s="64" t="s">
        <v>2438</v>
      </c>
      <c r="N52" s="64" t="s">
        <v>2555</v>
      </c>
      <c r="O52" s="64"/>
      <c r="P52" s="67" t="s">
        <v>2432</v>
      </c>
      <c r="Q52" s="64" t="str">
        <f>IF(K52=JaAntwort,Referral,Dunkelverarbeitung)</f>
        <v>Dunkelverarbeitung</v>
      </c>
      <c r="R52" s="64"/>
      <c r="S52" s="64"/>
      <c r="T52" s="64"/>
      <c r="U52" s="95"/>
      <c r="V52" s="67" t="s">
        <v>2432</v>
      </c>
      <c r="W52" s="64"/>
      <c r="X52" s="64"/>
      <c r="Y52" s="64" t="str">
        <f>IF(K52="ja",0.15,"")</f>
        <v/>
      </c>
      <c r="Z52" s="64"/>
      <c r="AA52" s="95"/>
      <c r="AB52" s="67" t="s">
        <v>2432</v>
      </c>
      <c r="AC52" s="64" t="str">
        <f>IF(K52=JaAntwort,Referral,Dunkelverarbeitung)</f>
        <v>Dunkelverarbeitung</v>
      </c>
      <c r="AD52" s="64"/>
      <c r="AE52" s="64"/>
      <c r="AF52" s="64"/>
      <c r="AG52" s="95"/>
      <c r="AH52" s="67" t="s">
        <v>2432</v>
      </c>
      <c r="AI52" s="64" t="str">
        <f>IF(K52=JaAntwort,Referral,Dunkelverarbeitung)</f>
        <v>Dunkelverarbeitung</v>
      </c>
      <c r="AJ52" s="64"/>
      <c r="AK52" s="64">
        <f>IF(K52=JaAntwort,0.1,0)</f>
        <v>0</v>
      </c>
      <c r="AL52" s="64" t="str">
        <f>IF(K52=JaAntwort,"us-selbstbehalt:group-4","")</f>
        <v/>
      </c>
      <c r="AM52" s="95"/>
      <c r="AN52" s="67" t="s">
        <v>17</v>
      </c>
      <c r="AO52" s="64"/>
      <c r="AP52" s="64"/>
      <c r="AQ52" s="64"/>
      <c r="AR52" s="64"/>
      <c r="AS52" s="64"/>
      <c r="AT52" s="67" t="s">
        <v>2432</v>
      </c>
      <c r="AU52" s="64" t="str">
        <f t="shared" si="2"/>
        <v>Dunkelverarbeitung</v>
      </c>
      <c r="AV52" s="64"/>
      <c r="AW52" s="64"/>
      <c r="AX52" s="64"/>
      <c r="AY52" s="64"/>
      <c r="AZ52" s="588" t="s">
        <v>2432</v>
      </c>
      <c r="BA52" s="657" t="str">
        <f>IF(K52=JaAntwort,Referral,Dunkelverarbeitung)</f>
        <v>Dunkelverarbeitung</v>
      </c>
      <c r="BB52" s="657"/>
      <c r="BC52" s="657"/>
      <c r="BD52" s="657"/>
      <c r="BE52" s="657"/>
      <c r="BF52" s="67" t="s">
        <v>2432</v>
      </c>
      <c r="BG52" s="64" t="str">
        <f>IF(K52=JaAntwort,Referral,Dunkelverarbeitung)</f>
        <v>Dunkelverarbeitung</v>
      </c>
      <c r="BH52" s="64"/>
      <c r="BI52" s="64"/>
      <c r="BJ52" s="64"/>
      <c r="BK52" s="95"/>
      <c r="BL52" s="779" t="s">
        <v>17</v>
      </c>
      <c r="BM52" s="657"/>
      <c r="BN52" s="657"/>
      <c r="BO52" s="657"/>
      <c r="BP52" s="657"/>
      <c r="BQ52" s="788"/>
      <c r="BR52" s="96" t="s">
        <v>2557</v>
      </c>
      <c r="BS52" s="96" t="str">
        <f t="shared" si="0"/>
        <v>Es existieren Tochtergesellschaften in den USA oder Kanada.</v>
      </c>
      <c r="BT52" s="64"/>
    </row>
    <row r="53" spans="1:72" ht="27.6">
      <c r="A53" s="64" t="s">
        <v>2422</v>
      </c>
      <c r="B53" s="64" t="s">
        <v>2558</v>
      </c>
      <c r="C53" s="64" t="s">
        <v>2440</v>
      </c>
      <c r="D53" s="64" t="s">
        <v>2559</v>
      </c>
      <c r="E53" s="64"/>
      <c r="F53" s="102"/>
      <c r="G53" s="653"/>
      <c r="H53" s="64" t="s">
        <v>2442</v>
      </c>
      <c r="I53" s="103"/>
      <c r="J53" s="103"/>
      <c r="K53" s="102">
        <f>RisikoFragen32</f>
        <v>0</v>
      </c>
      <c r="L53" s="653"/>
      <c r="M53" s="64" t="s">
        <v>2442</v>
      </c>
      <c r="N53" s="64" t="s">
        <v>2558</v>
      </c>
      <c r="O53" s="64"/>
      <c r="P53" s="67" t="s">
        <v>2432</v>
      </c>
      <c r="Q53" s="64" t="str">
        <f>IF(K53&lt;0,Referral,Dunkelverarbeitung)</f>
        <v>Dunkelverarbeitung</v>
      </c>
      <c r="R53" s="64"/>
      <c r="S53" s="64"/>
      <c r="T53" s="64"/>
      <c r="U53" s="95"/>
      <c r="V53" s="67" t="s">
        <v>17</v>
      </c>
      <c r="W53" s="64"/>
      <c r="X53" s="64"/>
      <c r="Y53" s="64"/>
      <c r="Z53" s="64"/>
      <c r="AA53" s="95"/>
      <c r="AB53" s="67" t="s">
        <v>2432</v>
      </c>
      <c r="AC53" s="64" t="str">
        <f>IF(OR(RisikoFragen35 * 15% &lt;= K53),Dunkelverarbeitung,Referral)</f>
        <v>Dunkelverarbeitung</v>
      </c>
      <c r="AD53" s="64"/>
      <c r="AE53" s="64"/>
      <c r="AF53" s="64"/>
      <c r="AG53" s="95"/>
      <c r="AH53" s="67" t="s">
        <v>2432</v>
      </c>
      <c r="AI53" s="64" t="str">
        <f>IF(AND(Gesellschaftsform="Unternehmen",OR(NewlineEigenkapitalquote&lt;=0.05,K53&lt;25000)),Referral,Dunkelverarbeitung)</f>
        <v>Dunkelverarbeitung</v>
      </c>
      <c r="AJ53" s="64"/>
      <c r="AK53" s="64">
        <f>IF(NewlineEigenkapitalquote&gt;=0.2,-0.1,0)</f>
        <v>0</v>
      </c>
      <c r="AL53" s="64"/>
      <c r="AM53" s="95"/>
      <c r="AN53" s="67" t="s">
        <v>2432</v>
      </c>
      <c r="AO53" s="64" t="str">
        <f>IF(Bilanzsumme * 17% &lt;= K53,Dunkelverarbeitung,Referral)</f>
        <v>Dunkelverarbeitung</v>
      </c>
      <c r="AP53" s="64" t="str">
        <f>IF(K53&lt;0,KO_Trigger,Dunkelverarbeitung)</f>
        <v>Dunkelverarbeitung</v>
      </c>
      <c r="AQ53" s="64"/>
      <c r="AR53" s="64"/>
      <c r="AS53" s="64"/>
      <c r="AT53" s="67" t="s">
        <v>2432</v>
      </c>
      <c r="AU53" s="64" t="str">
        <f>IF(AND(Gesellschaftsform="Verein", Vereinsvermögen &lt;= 50000000), Dunkelverarbeitung, IF(OR(RisikoFragen32&lt;0,WVAGEigenkapitalquote&lt;0.1),Referral,Dunkelverarbeitung))</f>
        <v>Referral</v>
      </c>
      <c r="AV53" s="64"/>
      <c r="AW53" s="64"/>
      <c r="AX53" s="64"/>
      <c r="AY53" s="64"/>
      <c r="AZ53" s="588" t="s">
        <v>2432</v>
      </c>
      <c r="BA53" s="657"/>
      <c r="BB53" s="657" t="str">
        <f>IF(AND(RisikoFragen32&lt;&gt;"",K53&lt;=0),KO_Trigger,Dunkelverarbeitung)</f>
        <v>Dunkelverarbeitung</v>
      </c>
      <c r="BC53" s="657"/>
      <c r="BD53" s="657"/>
      <c r="BE53" s="657"/>
      <c r="BF53" s="67" t="s">
        <v>2432</v>
      </c>
      <c r="BG53" s="64" t="str">
        <f>IF(K53&lt;0,Referral,Dunkelverarbeitung)</f>
        <v>Dunkelverarbeitung</v>
      </c>
      <c r="BH53" s="64" t="str">
        <f>IFERROR(IF(K53/K56&lt;0.2,"KO Trigger",Dunkelverarbeitung),"Fehler in Berechnung")</f>
        <v>Fehler in Berechnung</v>
      </c>
      <c r="BI53" s="64"/>
      <c r="BJ53" s="64"/>
      <c r="BK53" s="95"/>
      <c r="BL53" s="779" t="s">
        <v>2432</v>
      </c>
      <c r="BM53" s="657" t="str">
        <f>IFERROR(IF(AND(K53/K56&lt;0.2,K53/K56&gt;=0.1),Referral,Dunkelverarbeitung),"Fehler in Berechnung")</f>
        <v>Fehler in Berechnung</v>
      </c>
      <c r="BN53" s="657" t="str">
        <f>IFERROR(IF(K53/K56&lt;0.1,"KO Trigger",Dunkelverarbeitung),"Fehler in Berechnung")</f>
        <v>Fehler in Berechnung</v>
      </c>
      <c r="BO53" s="657"/>
      <c r="BP53" s="657"/>
      <c r="BQ53" s="788"/>
      <c r="BR53" s="96" t="s">
        <v>2560</v>
      </c>
      <c r="BS53" s="96" t="s">
        <v>4086</v>
      </c>
      <c r="BT53" s="64"/>
    </row>
    <row r="54" spans="1:72" ht="12.75" customHeight="1">
      <c r="A54" s="64" t="s">
        <v>2422</v>
      </c>
      <c r="B54" s="64" t="s">
        <v>2561</v>
      </c>
      <c r="C54" s="64" t="s">
        <v>2440</v>
      </c>
      <c r="D54" s="64" t="s">
        <v>2562</v>
      </c>
      <c r="E54" s="64"/>
      <c r="F54" s="102"/>
      <c r="G54" s="653"/>
      <c r="H54" s="64" t="s">
        <v>2442</v>
      </c>
      <c r="I54" s="103"/>
      <c r="J54" s="103"/>
      <c r="K54" s="102"/>
      <c r="L54" s="653"/>
      <c r="M54" s="64" t="s">
        <v>2442</v>
      </c>
      <c r="N54" s="64" t="s">
        <v>2561</v>
      </c>
      <c r="O54" s="64"/>
      <c r="P54" s="67"/>
      <c r="Q54" s="64"/>
      <c r="R54" s="64"/>
      <c r="S54" s="64"/>
      <c r="T54" s="64"/>
      <c r="U54" s="95"/>
      <c r="V54" s="67"/>
      <c r="W54" s="64"/>
      <c r="X54" s="64"/>
      <c r="Y54" s="64"/>
      <c r="Z54" s="64"/>
      <c r="AA54" s="95"/>
      <c r="AB54" s="67"/>
      <c r="AC54" s="64"/>
      <c r="AD54" s="64"/>
      <c r="AE54" s="64"/>
      <c r="AF54" s="64"/>
      <c r="AG54" s="95"/>
      <c r="AH54" s="67"/>
      <c r="AI54" s="64"/>
      <c r="AJ54" s="64"/>
      <c r="AK54" s="64"/>
      <c r="AL54" s="64"/>
      <c r="AM54" s="95"/>
      <c r="AN54" s="67"/>
      <c r="AO54" s="64"/>
      <c r="AP54" s="64"/>
      <c r="AQ54" s="64"/>
      <c r="AR54" s="64"/>
      <c r="AS54" s="64"/>
      <c r="AT54" s="67" t="s">
        <v>17</v>
      </c>
      <c r="AU54" s="64"/>
      <c r="AV54" s="64"/>
      <c r="AW54" s="64"/>
      <c r="AX54" s="64"/>
      <c r="AY54" s="64"/>
      <c r="AZ54" s="588" t="s">
        <v>2432</v>
      </c>
      <c r="BA54" s="657" t="str">
        <f>IF(K54&lt;0,Referral,Dunkelverarbeitung)</f>
        <v>Dunkelverarbeitung</v>
      </c>
      <c r="BB54" s="657"/>
      <c r="BC54" s="657"/>
      <c r="BD54" s="657"/>
      <c r="BE54" s="657"/>
      <c r="BF54" s="67" t="s">
        <v>17</v>
      </c>
      <c r="BG54" s="64"/>
      <c r="BH54" s="64"/>
      <c r="BI54" s="64"/>
      <c r="BJ54" s="64"/>
      <c r="BK54" s="95"/>
      <c r="BL54" s="779" t="s">
        <v>17</v>
      </c>
      <c r="BM54" s="657"/>
      <c r="BN54" s="657"/>
      <c r="BO54" s="657"/>
      <c r="BP54" s="657"/>
      <c r="BQ54" s="788"/>
      <c r="BR54" s="96" t="s">
        <v>2697</v>
      </c>
      <c r="BS54" s="96" t="str">
        <f t="shared" si="0"/>
        <v>EBIT</v>
      </c>
      <c r="BT54" s="64"/>
    </row>
    <row r="55" spans="1:72" ht="12.75" customHeight="1">
      <c r="A55" s="64" t="s">
        <v>2422</v>
      </c>
      <c r="B55" s="64" t="s">
        <v>2563</v>
      </c>
      <c r="C55" s="64" t="s">
        <v>2440</v>
      </c>
      <c r="D55" s="64" t="s">
        <v>2564</v>
      </c>
      <c r="E55" s="64"/>
      <c r="F55" s="102"/>
      <c r="G55" s="653"/>
      <c r="H55" s="64" t="s">
        <v>2442</v>
      </c>
      <c r="I55" s="103"/>
      <c r="J55" s="103"/>
      <c r="K55" s="102">
        <f>RisikoFragen34</f>
        <v>0</v>
      </c>
      <c r="L55" s="653"/>
      <c r="M55" s="64" t="s">
        <v>2442</v>
      </c>
      <c r="N55" s="64" t="s">
        <v>2563</v>
      </c>
      <c r="O55" s="64"/>
      <c r="P55" s="67" t="s">
        <v>2432</v>
      </c>
      <c r="Q55" s="64" t="str">
        <f>IF(K55&lt;0,Referral,Dunkelverarbeitung)</f>
        <v>Dunkelverarbeitung</v>
      </c>
      <c r="R55" s="64"/>
      <c r="S55" s="64"/>
      <c r="T55" s="64"/>
      <c r="U55" s="95"/>
      <c r="V55" s="67" t="s">
        <v>17</v>
      </c>
      <c r="W55" s="64"/>
      <c r="X55" s="64"/>
      <c r="Y55" s="64"/>
      <c r="Z55" s="64"/>
      <c r="AA55" s="95"/>
      <c r="AB55" s="67" t="s">
        <v>2432</v>
      </c>
      <c r="AC55" s="64" t="str">
        <f>IF(AND(K55&lt;=0,L55&lt;&gt;""),Referral,Dunkelverarbeitung)</f>
        <v>Dunkelverarbeitung</v>
      </c>
      <c r="AD55" s="64"/>
      <c r="AE55" s="64"/>
      <c r="AF55" s="64"/>
      <c r="AG55" s="95"/>
      <c r="AH55" s="67" t="s">
        <v>2432</v>
      </c>
      <c r="AI55" s="64" t="str">
        <f>IF(AND(K55&lt;=0,L55&lt;&gt;""),Referral,Dunkelverarbeitung)</f>
        <v>Dunkelverarbeitung</v>
      </c>
      <c r="AJ55" s="64"/>
      <c r="AK55" s="64">
        <f>IF(K55&lt;0,0.15,0)</f>
        <v>0</v>
      </c>
      <c r="AL55" s="64"/>
      <c r="AM55" s="95"/>
      <c r="AN55" s="67" t="s">
        <v>2432</v>
      </c>
      <c r="AP55" s="64" t="str">
        <f>IF(K55&lt;0,KO_Trigger,Dunkelverarbeitung)</f>
        <v>Dunkelverarbeitung</v>
      </c>
      <c r="AQ55" s="64"/>
      <c r="AR55" s="64"/>
      <c r="AS55" s="64"/>
      <c r="AT55" s="67" t="s">
        <v>2432</v>
      </c>
      <c r="AU55" s="120" t="str">
        <f>IF(K55&lt;0,Referral,Dunkelverarbeitung)</f>
        <v>Dunkelverarbeitung</v>
      </c>
      <c r="AV55" s="64"/>
      <c r="AW55" s="64"/>
      <c r="AX55" s="64"/>
      <c r="AY55" s="64"/>
      <c r="AZ55" s="588" t="s">
        <v>2432</v>
      </c>
      <c r="BA55" s="657" t="str">
        <f>IF(K55&lt;0,Referral,Dunkelverarbeitung)</f>
        <v>Dunkelverarbeitung</v>
      </c>
      <c r="BB55" s="657"/>
      <c r="BC55" s="657"/>
      <c r="BD55" s="657"/>
      <c r="BE55" s="657"/>
      <c r="BF55" s="67" t="s">
        <v>2432</v>
      </c>
      <c r="BG55" s="64" t="str">
        <f>IF(K55&lt;0,Referral,Dunkelverarbeitung)</f>
        <v>Dunkelverarbeitung</v>
      </c>
      <c r="BH55" s="64"/>
      <c r="BI55" s="64"/>
      <c r="BJ55" s="64"/>
      <c r="BK55" s="95"/>
      <c r="BL55" s="779" t="s">
        <v>2432</v>
      </c>
      <c r="BM55" s="64" t="str">
        <f>IF(K55&lt;0,Referral,Dunkelverarbeitung)</f>
        <v>Dunkelverarbeitung</v>
      </c>
      <c r="BN55" s="657"/>
      <c r="BO55" s="657"/>
      <c r="BP55" s="657"/>
      <c r="BQ55" s="788"/>
      <c r="BR55" s="96" t="s">
        <v>4087</v>
      </c>
      <c r="BS55" s="96" t="str">
        <f t="shared" si="0"/>
        <v>(negatives) Jahresergebnis</v>
      </c>
      <c r="BT55" s="64"/>
    </row>
    <row r="56" spans="1:72" ht="12.75" customHeight="1">
      <c r="A56" s="64" t="s">
        <v>2422</v>
      </c>
      <c r="B56" s="64" t="s">
        <v>2566</v>
      </c>
      <c r="C56" s="64" t="s">
        <v>2440</v>
      </c>
      <c r="D56" s="64" t="s">
        <v>2567</v>
      </c>
      <c r="E56" s="64"/>
      <c r="F56" s="102">
        <f>G56</f>
        <v>0</v>
      </c>
      <c r="G56" s="653"/>
      <c r="H56" s="64" t="s">
        <v>2442</v>
      </c>
      <c r="I56" s="103"/>
      <c r="J56" s="103"/>
      <c r="K56" s="102">
        <f>RisikoFragen35</f>
        <v>0</v>
      </c>
      <c r="L56" s="653"/>
      <c r="M56" s="64" t="s">
        <v>2442</v>
      </c>
      <c r="N56" s="64" t="s">
        <v>2566</v>
      </c>
      <c r="O56" s="64"/>
      <c r="P56" s="67" t="s">
        <v>17</v>
      </c>
      <c r="Q56" s="64"/>
      <c r="R56" s="64"/>
      <c r="S56" s="64"/>
      <c r="T56" s="64"/>
      <c r="U56" s="95"/>
      <c r="V56" s="67" t="s">
        <v>17</v>
      </c>
      <c r="W56" s="64"/>
      <c r="X56" s="64"/>
      <c r="Y56" s="64"/>
      <c r="Z56" s="64"/>
      <c r="AA56" s="95"/>
      <c r="AB56" s="67" t="s">
        <v>2432</v>
      </c>
      <c r="AC56" s="64" t="str">
        <f>IF(K56&gt;250000000,Referral,Dunkelverarbeitung)</f>
        <v>Dunkelverarbeitung</v>
      </c>
      <c r="AD56" s="64"/>
      <c r="AE56" s="64"/>
      <c r="AF56" s="64"/>
      <c r="AG56" s="95"/>
      <c r="AH56" s="67" t="s">
        <v>2432</v>
      </c>
      <c r="AI56" s="64" t="str">
        <f>IF(K56&gt;200000000,Referral,Dunkelverarbeitung)</f>
        <v>Dunkelverarbeitung</v>
      </c>
      <c r="AJ56" s="64"/>
      <c r="AK56" s="64"/>
      <c r="AL56" s="64"/>
      <c r="AM56" s="95"/>
      <c r="AN56" s="67" t="s">
        <v>2432</v>
      </c>
      <c r="AO56" s="64" t="str">
        <f>IF(Außenumsatz * 20% &lt;= K56,Dunkelverarbeitung,Referral)</f>
        <v>Dunkelverarbeitung</v>
      </c>
      <c r="AP56" s="64"/>
      <c r="AQ56" s="64"/>
      <c r="AR56" s="64"/>
      <c r="AS56" s="64"/>
      <c r="AT56" s="67" t="s">
        <v>17</v>
      </c>
      <c r="AU56" s="120"/>
      <c r="AV56" s="64"/>
      <c r="AW56" s="64"/>
      <c r="AX56" s="64"/>
      <c r="AY56" s="64"/>
      <c r="AZ56" s="588" t="s">
        <v>2432</v>
      </c>
      <c r="BA56" s="657" t="str">
        <f>IF(K56&gt;500000000,Referral,Dunkelverarbeitung)</f>
        <v>Dunkelverarbeitung</v>
      </c>
      <c r="BB56" s="657"/>
      <c r="BC56" s="657"/>
      <c r="BD56" s="657"/>
      <c r="BE56" s="657"/>
      <c r="BF56" s="67" t="s">
        <v>17</v>
      </c>
      <c r="BG56" s="64"/>
      <c r="BH56" s="64"/>
      <c r="BI56" s="64"/>
      <c r="BJ56" s="64"/>
      <c r="BK56" s="95"/>
      <c r="BL56" s="779" t="s">
        <v>17</v>
      </c>
      <c r="BM56" s="657"/>
      <c r="BN56" s="657"/>
      <c r="BO56" s="657"/>
      <c r="BP56" s="657"/>
      <c r="BQ56" s="788"/>
      <c r="BR56" s="96" t="s">
        <v>2568</v>
      </c>
      <c r="BS56" s="96" t="str">
        <f t="shared" si="0"/>
        <v>Bilanzsumme</v>
      </c>
      <c r="BT56" s="64"/>
    </row>
    <row r="57" spans="1:72" s="874" customFormat="1" ht="12.75" customHeight="1">
      <c r="A57" s="868" t="s">
        <v>2422</v>
      </c>
      <c r="B57" s="868" t="s">
        <v>2569</v>
      </c>
      <c r="C57" s="868" t="s">
        <v>2440</v>
      </c>
      <c r="D57" s="868" t="s">
        <v>2570</v>
      </c>
      <c r="E57" s="868"/>
      <c r="F57" s="869">
        <f>MAX(giNonStartupRevenue,giStartupRevenue)</f>
        <v>0</v>
      </c>
      <c r="G57" s="866"/>
      <c r="H57" s="868" t="s">
        <v>2442</v>
      </c>
      <c r="I57" s="870" t="s">
        <v>2571</v>
      </c>
      <c r="J57" s="871"/>
      <c r="K57" s="869">
        <f>MAX(RisikoFragen36a,RisikoFragenStartUp142)</f>
        <v>0</v>
      </c>
      <c r="L57" s="866"/>
      <c r="M57" s="868" t="s">
        <v>2442</v>
      </c>
      <c r="N57" s="868" t="s">
        <v>2569</v>
      </c>
      <c r="O57" s="868"/>
      <c r="P57" s="872" t="s">
        <v>17</v>
      </c>
      <c r="Q57" s="868"/>
      <c r="R57" s="868" t="str">
        <f>IF(Außenumsatz &gt; dual_MaxUmsatz, "KO Trigger", Dunkelverarbeitung)</f>
        <v>Dunkelverarbeitung</v>
      </c>
      <c r="S57" s="868"/>
      <c r="T57" s="868"/>
      <c r="U57" s="873"/>
      <c r="V57" s="872" t="s">
        <v>17</v>
      </c>
      <c r="X57" s="868" t="str">
        <f>IF(Außenumsatz &gt; aig_MaxUmsatz, "KO Trigger", Dunkelverarbeitung)</f>
        <v>Dunkelverarbeitung</v>
      </c>
      <c r="Y57" s="868"/>
      <c r="Z57" s="868"/>
      <c r="AA57" s="873"/>
      <c r="AB57" s="872" t="s">
        <v>2432</v>
      </c>
      <c r="AC57" s="868"/>
      <c r="AD57" s="868" t="str">
        <f>IF(Außenumsatz&gt;berkley_MaxUmsatz,"KO Trigger",Dunkelverarbeitung)</f>
        <v>Dunkelverarbeitung</v>
      </c>
      <c r="AE57" s="868"/>
      <c r="AF57" s="868"/>
      <c r="AG57" s="873"/>
      <c r="AH57" s="872" t="s">
        <v>2432</v>
      </c>
      <c r="AI57" s="868"/>
      <c r="AJ57" s="868" t="str">
        <f>IF(Außenumsatz&gt;newline_MaxUmsatz,"KO Trigger",Dunkelverarbeitung)</f>
        <v>Dunkelverarbeitung</v>
      </c>
      <c r="AK57" s="868"/>
      <c r="AL57" s="868"/>
      <c r="AM57" s="95"/>
      <c r="AN57" s="872" t="s">
        <v>17</v>
      </c>
      <c r="AO57" s="868"/>
      <c r="AP57" s="868" t="str">
        <f>IF(Außenumsatz &gt; axa_MaxUmsatz, "KO Trigger", Dunkelverarbeitung)</f>
        <v>Dunkelverarbeitung</v>
      </c>
      <c r="AQ57" s="868"/>
      <c r="AR57" s="875"/>
      <c r="AS57" s="868"/>
      <c r="AT57" s="872" t="s">
        <v>2432</v>
      </c>
      <c r="AV57" s="868" t="str">
        <f>IF(Außenumsatz&gt;wvag_MaxUmsatz,"KO Trigger",Dunkelverarbeitung)</f>
        <v>Dunkelverarbeitung</v>
      </c>
      <c r="AW57" s="868"/>
      <c r="AX57" s="868"/>
      <c r="AY57" s="868"/>
      <c r="AZ57" s="876" t="s">
        <v>2432</v>
      </c>
      <c r="BA57" s="877"/>
      <c r="BB57" s="877" t="str">
        <f>IF(Außenumsatz&gt;markel_MaxUmsatz,"KO Trigger",Dunkelverarbeitung)</f>
        <v>Dunkelverarbeitung</v>
      </c>
      <c r="BC57" s="877"/>
      <c r="BD57" s="877"/>
      <c r="BE57" s="877"/>
      <c r="BF57" s="872" t="s">
        <v>17</v>
      </c>
      <c r="BG57" s="868"/>
      <c r="BH57" s="868" t="str">
        <f>IF(Außenumsatz &gt; liberty_MaxUmsatz, "KO Trigger", Dunkelverarbeitung)</f>
        <v>Dunkelverarbeitung</v>
      </c>
      <c r="BI57" s="868"/>
      <c r="BJ57" s="868"/>
      <c r="BK57" s="873"/>
      <c r="BL57" s="878" t="s">
        <v>17</v>
      </c>
      <c r="BM57" s="877"/>
      <c r="BN57" s="877" t="str">
        <f>IF(Außenumsatz &gt; ergo_MaxUmsatz, "KO Trigger", Dunkelverarbeitung)</f>
        <v>Dunkelverarbeitung</v>
      </c>
      <c r="BO57" s="877"/>
      <c r="BP57" s="877"/>
      <c r="BQ57" s="879"/>
      <c r="BR57" s="96" t="s">
        <v>3820</v>
      </c>
      <c r="BS57" s="96" t="str">
        <f t="shared" si="0"/>
        <v>Der letzte konsolidierte Umsatz der Versicherungsnehmerin liegt über der maximalen Höhe des hinterlegten Tarifes.</v>
      </c>
      <c r="BT57" s="868"/>
    </row>
    <row r="58" spans="1:72" ht="12.75" customHeight="1">
      <c r="A58" s="64" t="s">
        <v>2422</v>
      </c>
      <c r="B58" s="64" t="s">
        <v>2573</v>
      </c>
      <c r="C58" s="64" t="s">
        <v>2440</v>
      </c>
      <c r="D58" s="64" t="s">
        <v>2574</v>
      </c>
      <c r="E58" s="64"/>
      <c r="F58" s="102"/>
      <c r="G58" s="653"/>
      <c r="H58" s="64" t="s">
        <v>2442</v>
      </c>
      <c r="I58" s="97" t="s">
        <v>2575</v>
      </c>
      <c r="J58" s="103"/>
      <c r="K58" s="102"/>
      <c r="L58" s="653"/>
      <c r="M58" s="64" t="s">
        <v>2442</v>
      </c>
      <c r="N58" s="64" t="s">
        <v>2573</v>
      </c>
      <c r="O58" s="64"/>
      <c r="P58" s="67" t="s">
        <v>17</v>
      </c>
      <c r="Q58" s="64"/>
      <c r="R58" s="64"/>
      <c r="S58" s="64"/>
      <c r="T58" s="64"/>
      <c r="U58" s="95"/>
      <c r="V58" s="67" t="s">
        <v>17</v>
      </c>
      <c r="W58" s="64"/>
      <c r="X58" s="64"/>
      <c r="Y58" s="64"/>
      <c r="Z58" s="64"/>
      <c r="AA58" s="95"/>
      <c r="AB58" s="67" t="s">
        <v>2432</v>
      </c>
      <c r="AC58" s="64" t="str">
        <f>IF(K58&gt;250000000,Referral,Dunkelverarbeitung)</f>
        <v>Dunkelverarbeitung</v>
      </c>
      <c r="AD58" s="64"/>
      <c r="AE58" s="64"/>
      <c r="AF58" s="64"/>
      <c r="AG58" s="95"/>
      <c r="AH58" s="67" t="s">
        <v>2432</v>
      </c>
      <c r="AI58" s="64"/>
      <c r="AJ58" s="64" t="str">
        <f>IF(Außenumsatz&gt;newline_MaxUmsatz,"KO Trigger",Dunkelverarbeitung)</f>
        <v>Dunkelverarbeitung</v>
      </c>
      <c r="AK58" s="64"/>
      <c r="AL58" s="64"/>
      <c r="AM58" s="95"/>
      <c r="AN58" s="67" t="s">
        <v>17</v>
      </c>
      <c r="AO58" s="64"/>
      <c r="AP58" s="64"/>
      <c r="AQ58" s="64"/>
      <c r="AR58" s="64"/>
      <c r="AS58" s="64"/>
      <c r="AT58" s="67" t="s">
        <v>17</v>
      </c>
      <c r="AU58" s="64"/>
      <c r="AV58" s="64"/>
      <c r="AW58" s="64"/>
      <c r="AX58" s="64"/>
      <c r="AY58" s="64"/>
      <c r="AZ58" s="588" t="s">
        <v>2432</v>
      </c>
      <c r="BA58" s="657" t="str">
        <f>IF(K58&gt;250000000,Referral,Dunkelverarbeitung)</f>
        <v>Dunkelverarbeitung</v>
      </c>
      <c r="BB58" s="657"/>
      <c r="BC58" s="657"/>
      <c r="BD58" s="657"/>
      <c r="BE58" s="657"/>
      <c r="BF58" s="67" t="s">
        <v>17</v>
      </c>
      <c r="BG58" s="64"/>
      <c r="BH58" s="64"/>
      <c r="BI58" s="64"/>
      <c r="BJ58" s="64"/>
      <c r="BK58" s="95"/>
      <c r="BL58" s="779" t="s">
        <v>17</v>
      </c>
      <c r="BM58" s="657"/>
      <c r="BN58" s="657"/>
      <c r="BO58" s="657"/>
      <c r="BP58" s="657"/>
      <c r="BQ58" s="788"/>
      <c r="BR58" s="96" t="s">
        <v>2572</v>
      </c>
      <c r="BS58" s="96" t="str">
        <f t="shared" si="0"/>
        <v>Außenumsatz</v>
      </c>
      <c r="BT58" s="64"/>
    </row>
    <row r="59" spans="1:72" ht="12.75" customHeight="1">
      <c r="A59" s="64" t="s">
        <v>2422</v>
      </c>
      <c r="B59" s="64" t="s">
        <v>2576</v>
      </c>
      <c r="C59" s="64" t="s">
        <v>2440</v>
      </c>
      <c r="D59" s="64" t="s">
        <v>2577</v>
      </c>
      <c r="E59" s="64"/>
      <c r="F59" s="102"/>
      <c r="G59" s="653"/>
      <c r="H59" s="64" t="s">
        <v>2442</v>
      </c>
      <c r="I59" s="103"/>
      <c r="J59" s="103"/>
      <c r="K59" s="102">
        <f>RisikoFragen37</f>
        <v>0</v>
      </c>
      <c r="L59" s="653"/>
      <c r="M59" s="64" t="s">
        <v>2442</v>
      </c>
      <c r="N59" s="64" t="s">
        <v>2576</v>
      </c>
      <c r="O59" s="64"/>
      <c r="P59" s="67" t="s">
        <v>17</v>
      </c>
      <c r="Q59" s="64"/>
      <c r="R59" s="64"/>
      <c r="S59" s="64"/>
      <c r="T59" s="64"/>
      <c r="U59" s="95"/>
      <c r="V59" s="67" t="s">
        <v>17</v>
      </c>
      <c r="W59" s="64"/>
      <c r="X59" s="64"/>
      <c r="Y59" s="64"/>
      <c r="Z59" s="64"/>
      <c r="AA59" s="95"/>
      <c r="AB59" s="67" t="s">
        <v>17</v>
      </c>
      <c r="AC59" s="64"/>
      <c r="AD59" s="64"/>
      <c r="AE59" s="64"/>
      <c r="AF59" s="64"/>
      <c r="AG59" s="95"/>
      <c r="AH59" s="67" t="s">
        <v>17</v>
      </c>
      <c r="AI59" s="64"/>
      <c r="AJ59" s="64"/>
      <c r="AK59" s="64"/>
      <c r="AL59" s="64"/>
      <c r="AM59" s="95"/>
      <c r="AN59" s="67" t="s">
        <v>17</v>
      </c>
      <c r="AO59" s="64"/>
      <c r="AP59" s="64"/>
      <c r="AQ59" s="64"/>
      <c r="AR59" s="64"/>
      <c r="AS59" s="64"/>
      <c r="AT59" s="67" t="s">
        <v>17</v>
      </c>
      <c r="AU59" s="64"/>
      <c r="AV59" s="64"/>
      <c r="AW59" s="64"/>
      <c r="AX59" s="64"/>
      <c r="AY59" s="64"/>
      <c r="AZ59" s="588" t="s">
        <v>17</v>
      </c>
      <c r="BA59" s="657"/>
      <c r="BB59" s="657"/>
      <c r="BC59" s="657"/>
      <c r="BD59" s="657"/>
      <c r="BE59" s="657"/>
      <c r="BF59" s="67" t="s">
        <v>17</v>
      </c>
      <c r="BG59" s="64"/>
      <c r="BH59" s="64"/>
      <c r="BI59" s="64"/>
      <c r="BJ59" s="64"/>
      <c r="BK59" s="95"/>
      <c r="BL59" s="779" t="s">
        <v>17</v>
      </c>
      <c r="BM59" s="657"/>
      <c r="BN59" s="657"/>
      <c r="BO59" s="657"/>
      <c r="BP59" s="657"/>
      <c r="BQ59" s="788"/>
      <c r="BR59" s="96"/>
      <c r="BS59" s="96">
        <f t="shared" si="0"/>
        <v>0</v>
      </c>
      <c r="BT59" s="64"/>
    </row>
    <row r="60" spans="1:72" ht="12.75" customHeight="1">
      <c r="A60" s="64" t="s">
        <v>2422</v>
      </c>
      <c r="B60" s="64" t="s">
        <v>2578</v>
      </c>
      <c r="C60" s="64" t="s">
        <v>2440</v>
      </c>
      <c r="D60" s="64" t="s">
        <v>2579</v>
      </c>
      <c r="E60" s="64"/>
      <c r="F60" s="67"/>
      <c r="H60" s="64" t="s">
        <v>2438</v>
      </c>
      <c r="I60" s="64"/>
      <c r="J60" s="64"/>
      <c r="K60" s="67" t="str">
        <f t="shared" ref="K60:K74" si="3">IF(L60="YES","ja",IF(L60="NO","nein",""))</f>
        <v/>
      </c>
      <c r="M60" s="64" t="s">
        <v>2438</v>
      </c>
      <c r="N60" s="64" t="s">
        <v>2578</v>
      </c>
      <c r="O60" s="64"/>
      <c r="P60" s="67" t="s">
        <v>2432</v>
      </c>
      <c r="Q60" s="121" t="str">
        <f>IF(K60=NeinAntwort,Referral,Dunkelverarbeitung)</f>
        <v>Dunkelverarbeitung</v>
      </c>
      <c r="R60" s="64"/>
      <c r="S60" s="64"/>
      <c r="T60" s="64"/>
      <c r="U60" s="95"/>
      <c r="V60" s="67" t="s">
        <v>17</v>
      </c>
      <c r="W60" s="64"/>
      <c r="X60" s="64"/>
      <c r="Y60" s="64"/>
      <c r="Z60" s="64"/>
      <c r="AA60" s="95"/>
      <c r="AB60" s="67" t="s">
        <v>2432</v>
      </c>
      <c r="AC60" s="64" t="str">
        <f>IF(K60=NeinAntwort,Referral,Dunkelverarbeitung)</f>
        <v>Dunkelverarbeitung</v>
      </c>
      <c r="AD60" s="64"/>
      <c r="AE60" s="64"/>
      <c r="AF60" s="64"/>
      <c r="AG60" s="95"/>
      <c r="AH60" s="67" t="s">
        <v>2432</v>
      </c>
      <c r="AI60" s="64" t="str">
        <f>IF(K60=NeinAntwort,Referral,Dunkelverarbeitung)</f>
        <v>Dunkelverarbeitung</v>
      </c>
      <c r="AJ60" s="64"/>
      <c r="AK60" s="64">
        <f>IF(K60=NeinAntwort,0.15,0)</f>
        <v>0</v>
      </c>
      <c r="AL60" s="64"/>
      <c r="AM60" s="95"/>
      <c r="AN60" s="67" t="s">
        <v>2432</v>
      </c>
      <c r="AO60" s="64" t="str">
        <f>IF(K60=NeinAntwort,Referral,Dunkelverarbeitung)</f>
        <v>Dunkelverarbeitung</v>
      </c>
      <c r="AP60" s="64"/>
      <c r="AQ60" s="64"/>
      <c r="AR60" s="64"/>
      <c r="AS60" s="64"/>
      <c r="AT60" s="67" t="s">
        <v>2432</v>
      </c>
      <c r="AU60" s="64" t="str">
        <f>IF(K60=NeinAntwort,Referral,Dunkelverarbeitung)</f>
        <v>Dunkelverarbeitung</v>
      </c>
      <c r="AV60" s="64"/>
      <c r="AW60" s="64"/>
      <c r="AX60" s="64"/>
      <c r="AY60" s="64"/>
      <c r="AZ60" s="588" t="s">
        <v>2432</v>
      </c>
      <c r="BA60" s="657" t="str">
        <f>IF(K60=NeinAntwort,Referral,Dunkelverarbeitung)</f>
        <v>Dunkelverarbeitung</v>
      </c>
      <c r="BB60" s="657"/>
      <c r="BC60" s="657"/>
      <c r="BD60" s="657"/>
      <c r="BE60" s="657"/>
      <c r="BF60" s="67" t="s">
        <v>17</v>
      </c>
      <c r="BG60" s="64" t="str">
        <f>IF(K60=NeinAntwort,Referral,Dunkelverarbeitung)</f>
        <v>Dunkelverarbeitung</v>
      </c>
      <c r="BH60" s="64"/>
      <c r="BI60" s="64"/>
      <c r="BJ60" s="64"/>
      <c r="BK60" s="95"/>
      <c r="BL60" s="779" t="s">
        <v>2432</v>
      </c>
      <c r="BM60" s="64" t="str">
        <f>IF(K60=NeinAntwort,Referral,Dunkelverarbeitung)</f>
        <v>Dunkelverarbeitung</v>
      </c>
      <c r="BN60" s="657"/>
      <c r="BO60" s="657"/>
      <c r="BP60" s="657"/>
      <c r="BQ60" s="788"/>
      <c r="BR60" s="96" t="s">
        <v>2580</v>
      </c>
      <c r="BS60" s="96" t="str">
        <f t="shared" si="0"/>
        <v>Umlaufvermögen und kurzfristige Verbindlichkeiten</v>
      </c>
      <c r="BT60" s="64"/>
    </row>
    <row r="61" spans="1:72" ht="55.2">
      <c r="A61" s="64" t="s">
        <v>2422</v>
      </c>
      <c r="B61" s="64" t="s">
        <v>2581</v>
      </c>
      <c r="C61" s="64" t="s">
        <v>2582</v>
      </c>
      <c r="D61" s="64" t="s">
        <v>3793</v>
      </c>
      <c r="E61" s="64"/>
      <c r="F61" s="67"/>
      <c r="H61" s="64" t="s">
        <v>2438</v>
      </c>
      <c r="I61" s="64"/>
      <c r="J61" s="64"/>
      <c r="K61" s="67" t="str">
        <f t="shared" si="3"/>
        <v/>
      </c>
      <c r="M61" s="64" t="s">
        <v>2438</v>
      </c>
      <c r="N61" s="64" t="s">
        <v>2581</v>
      </c>
      <c r="O61" s="64"/>
      <c r="P61" s="67" t="s">
        <v>17</v>
      </c>
      <c r="Q61" s="64"/>
      <c r="R61" s="64"/>
      <c r="S61" s="64"/>
      <c r="T61" s="64"/>
      <c r="U61" s="95"/>
      <c r="V61" s="67" t="s">
        <v>17</v>
      </c>
      <c r="W61" s="64"/>
      <c r="X61" s="64"/>
      <c r="Y61" s="64"/>
      <c r="Z61" s="64"/>
      <c r="AA61" s="95"/>
      <c r="AB61" s="67" t="s">
        <v>2432</v>
      </c>
      <c r="AC61" s="64" t="str">
        <f t="shared" ref="AC61:AC68" si="4">IF(K61=JaAntwort,Referral,Dunkelverarbeitung)</f>
        <v>Dunkelverarbeitung</v>
      </c>
      <c r="AD61" s="64"/>
      <c r="AE61" s="64"/>
      <c r="AF61" s="64"/>
      <c r="AG61" s="95"/>
      <c r="AH61" s="67" t="s">
        <v>2432</v>
      </c>
      <c r="AI61" s="64" t="str">
        <f t="shared" ref="AI61:AI71" si="5">IF(K61=JaAntwort,Referral,Dunkelverarbeitung)</f>
        <v>Dunkelverarbeitung</v>
      </c>
      <c r="AJ61" s="64"/>
      <c r="AK61" s="64"/>
      <c r="AL61" s="64"/>
      <c r="AM61" s="95"/>
      <c r="AN61" s="67" t="s">
        <v>2432</v>
      </c>
      <c r="AO61" s="64" t="str">
        <f>IF(K61=JaAntwort,Referral,Dunkelverarbeitung)</f>
        <v>Dunkelverarbeitung</v>
      </c>
      <c r="AP61" s="64"/>
      <c r="AQ61" s="64"/>
      <c r="AR61" s="64"/>
      <c r="AS61" s="64"/>
      <c r="AT61" s="67" t="s">
        <v>2432</v>
      </c>
      <c r="AU61" s="64"/>
      <c r="AV61" s="64" t="str">
        <f>IF(K61=JaAntwort,"KO Trigger",Dunkelverarbeitung)</f>
        <v>Dunkelverarbeitung</v>
      </c>
      <c r="AW61" s="64"/>
      <c r="AX61" s="64"/>
      <c r="AY61" s="64"/>
      <c r="AZ61" s="588" t="s">
        <v>2432</v>
      </c>
      <c r="BA61" s="657" t="str">
        <f>IF(K61=JaAntwort,Referral,Dunkelverarbeitung)</f>
        <v>Dunkelverarbeitung</v>
      </c>
      <c r="BB61" s="657"/>
      <c r="BC61" s="657"/>
      <c r="BD61" s="657"/>
      <c r="BE61" s="657"/>
      <c r="BF61" s="67" t="s">
        <v>2432</v>
      </c>
      <c r="BG61" s="64"/>
      <c r="BH61" s="64" t="str">
        <f>IF(K61=JaAntwort,"KO Trigger",Dunkelverarbeitung)</f>
        <v>Dunkelverarbeitung</v>
      </c>
      <c r="BI61" s="64"/>
      <c r="BJ61" s="64"/>
      <c r="BK61" s="95"/>
      <c r="BL61" s="779" t="s">
        <v>2432</v>
      </c>
      <c r="BM61" s="64" t="str">
        <f>IF(K61=JaAntwort,Referral,Dunkelverarbeitung)</f>
        <v>Dunkelverarbeitung</v>
      </c>
      <c r="BN61" s="657"/>
      <c r="BO61" s="657"/>
      <c r="BP61" s="657"/>
      <c r="BQ61" s="788"/>
      <c r="BR61" s="96" t="s">
        <v>3794</v>
      </c>
      <c r="BS61" s="96" t="str">
        <f t="shared" si="0"/>
        <v xml:space="preserve">Anteile und/oder Anleihen der Versicherungsnehmerin, Tochtergesellschaften und/oder sonstiger mitzuversichernder Gesellschaften werden an einer Börse gehandelt.
</v>
      </c>
      <c r="BT61" s="64"/>
    </row>
    <row r="62" spans="1:72" ht="12.75" customHeight="1">
      <c r="A62" s="64" t="s">
        <v>2422</v>
      </c>
      <c r="B62" s="64" t="s">
        <v>2583</v>
      </c>
      <c r="C62" s="64" t="s">
        <v>2582</v>
      </c>
      <c r="D62" s="64" t="s">
        <v>3813</v>
      </c>
      <c r="E62" s="64"/>
      <c r="F62" s="67"/>
      <c r="H62" s="64" t="s">
        <v>2438</v>
      </c>
      <c r="I62" s="64"/>
      <c r="J62" s="64"/>
      <c r="K62" s="67" t="str">
        <f t="shared" si="3"/>
        <v/>
      </c>
      <c r="M62" s="64" t="s">
        <v>2438</v>
      </c>
      <c r="N62" s="64" t="s">
        <v>2583</v>
      </c>
      <c r="O62" s="64"/>
      <c r="P62" s="67" t="s">
        <v>17</v>
      </c>
      <c r="Q62" s="64"/>
      <c r="R62" s="64"/>
      <c r="S62" s="64"/>
      <c r="T62" s="64"/>
      <c r="U62" s="95"/>
      <c r="V62" s="67" t="s">
        <v>17</v>
      </c>
      <c r="W62" s="64"/>
      <c r="X62" s="64"/>
      <c r="Y62" s="64"/>
      <c r="Z62" s="64"/>
      <c r="AA62" s="95"/>
      <c r="AB62" s="67" t="s">
        <v>2432</v>
      </c>
      <c r="AC62" s="64" t="str">
        <f t="shared" si="4"/>
        <v>Dunkelverarbeitung</v>
      </c>
      <c r="AD62" s="64"/>
      <c r="AE62" s="64"/>
      <c r="AF62" s="64"/>
      <c r="AG62" s="95"/>
      <c r="AH62" s="67" t="s">
        <v>2432</v>
      </c>
      <c r="AI62" s="64" t="str">
        <f t="shared" si="5"/>
        <v>Dunkelverarbeitung</v>
      </c>
      <c r="AJ62" s="64"/>
      <c r="AK62" s="64"/>
      <c r="AL62" s="64"/>
      <c r="AM62" s="95"/>
      <c r="AN62" s="67" t="s">
        <v>2432</v>
      </c>
      <c r="AO62" s="64"/>
      <c r="AP62" s="112" t="str">
        <f>IF(K62=JaAntwort,"KO Trigger",Dunkelverarbeitung)</f>
        <v>Dunkelverarbeitung</v>
      </c>
      <c r="AQ62" s="64"/>
      <c r="AR62" s="64"/>
      <c r="AS62" s="64"/>
      <c r="AT62" s="67" t="s">
        <v>2432</v>
      </c>
      <c r="AU62" s="64"/>
      <c r="AV62" s="64" t="str">
        <f>IF(K62=JaAntwort,"KO Trigger",Dunkelverarbeitung)</f>
        <v>Dunkelverarbeitung</v>
      </c>
      <c r="AW62" s="64"/>
      <c r="AX62" s="64"/>
      <c r="AY62" s="64"/>
      <c r="AZ62" s="588" t="s">
        <v>2432</v>
      </c>
      <c r="BA62" s="657" t="str">
        <f>IF(K62=JaAntwort,Referral,Dunkelverarbeitung)</f>
        <v>Dunkelverarbeitung</v>
      </c>
      <c r="BB62" s="657"/>
      <c r="BC62" s="657"/>
      <c r="BD62" s="657"/>
      <c r="BE62" s="657"/>
      <c r="BF62" s="67" t="s">
        <v>2432</v>
      </c>
      <c r="BG62" s="64"/>
      <c r="BH62" s="64" t="str">
        <f>IF(K62=JaAntwort,"KO Trigger",Dunkelverarbeitung)</f>
        <v>Dunkelverarbeitung</v>
      </c>
      <c r="BI62" s="64"/>
      <c r="BJ62" s="64"/>
      <c r="BK62" s="95"/>
      <c r="BL62" s="779" t="s">
        <v>2432</v>
      </c>
      <c r="BM62" s="64" t="str">
        <f>IF(K62=JaAntwort,Referral,Dunkelverarbeitung)</f>
        <v>Dunkelverarbeitung</v>
      </c>
      <c r="BN62" s="657"/>
      <c r="BO62" s="657"/>
      <c r="BP62" s="657"/>
      <c r="BQ62" s="788"/>
      <c r="BR62" s="96" t="s">
        <v>3795</v>
      </c>
      <c r="BS62" s="96" t="str">
        <f t="shared" si="0"/>
        <v>Die Versicherungsnehmerin ist ein Kreditinstitut oder ein Finanzdienstleistungsinstitut im Sinne von § 1 Abs. 1 und 1a KWG (Kreditwesengesetz) oder ein Wertpapierinstitute im Sinne von § 2 WpIG (Wertpapierinstitutsgesetz).</v>
      </c>
      <c r="BT62" s="64"/>
    </row>
    <row r="63" spans="1:72" ht="12.75" customHeight="1">
      <c r="A63" s="64" t="s">
        <v>2422</v>
      </c>
      <c r="B63" s="64" t="s">
        <v>2584</v>
      </c>
      <c r="C63" s="64" t="s">
        <v>2582</v>
      </c>
      <c r="D63" s="64" t="s">
        <v>7</v>
      </c>
      <c r="E63" s="64"/>
      <c r="F63" s="67"/>
      <c r="H63" s="64" t="s">
        <v>2438</v>
      </c>
      <c r="I63" s="64"/>
      <c r="J63" s="64"/>
      <c r="K63" s="67" t="str">
        <f t="shared" si="3"/>
        <v/>
      </c>
      <c r="M63" s="64" t="s">
        <v>2438</v>
      </c>
      <c r="N63" s="64" t="s">
        <v>2584</v>
      </c>
      <c r="O63" s="64"/>
      <c r="P63" s="67" t="s">
        <v>17</v>
      </c>
      <c r="Q63" s="64"/>
      <c r="R63" s="64"/>
      <c r="S63" s="64"/>
      <c r="T63" s="64"/>
      <c r="U63" s="95"/>
      <c r="V63" s="67" t="s">
        <v>17</v>
      </c>
      <c r="W63" s="64"/>
      <c r="X63" s="64"/>
      <c r="Y63" s="64"/>
      <c r="Z63" s="64"/>
      <c r="AA63" s="95"/>
      <c r="AB63" s="67" t="s">
        <v>2432</v>
      </c>
      <c r="AC63" s="64" t="str">
        <f>IF(K63=JaAntwort,Referral,Dunkelverarbeitung)</f>
        <v>Dunkelverarbeitung</v>
      </c>
      <c r="AD63" s="64"/>
      <c r="AE63" s="64"/>
      <c r="AF63" s="64"/>
      <c r="AG63" s="95"/>
      <c r="AH63" s="67" t="s">
        <v>2432</v>
      </c>
      <c r="AI63" s="64" t="str">
        <f t="shared" si="5"/>
        <v>Dunkelverarbeitung</v>
      </c>
      <c r="AJ63" s="64"/>
      <c r="AK63" s="64"/>
      <c r="AL63" s="64"/>
      <c r="AM63" s="95"/>
      <c r="AN63" s="67" t="s">
        <v>2432</v>
      </c>
      <c r="AO63" s="64" t="str">
        <f>IF(K63=JaAntwort,Referral,Dunkelverarbeitung)</f>
        <v>Dunkelverarbeitung</v>
      </c>
      <c r="AP63" s="64"/>
      <c r="AQ63" s="64"/>
      <c r="AR63" s="64"/>
      <c r="AS63" s="64"/>
      <c r="AT63" s="67" t="s">
        <v>2432</v>
      </c>
      <c r="AU63" s="64"/>
      <c r="AV63" s="64" t="str">
        <f>IF(K63=JaAntwort,"KO Trigger",Dunkelverarbeitung)</f>
        <v>Dunkelverarbeitung</v>
      </c>
      <c r="AW63" s="64"/>
      <c r="AX63" s="64"/>
      <c r="AY63" s="64"/>
      <c r="AZ63" s="588" t="s">
        <v>2432</v>
      </c>
      <c r="BA63" s="657" t="str">
        <f>IF(K63=JaAntwort,Referral,Dunkelverarbeitung)</f>
        <v>Dunkelverarbeitung</v>
      </c>
      <c r="BB63" s="657"/>
      <c r="BC63" s="657"/>
      <c r="BD63" s="657"/>
      <c r="BE63" s="657"/>
      <c r="BF63" s="67" t="s">
        <v>2432</v>
      </c>
      <c r="BG63" s="657" t="str">
        <f>IF(K63=JaAntwort,Referral,Dunkelverarbeitung)</f>
        <v>Dunkelverarbeitung</v>
      </c>
      <c r="BH63" s="64"/>
      <c r="BI63" s="64"/>
      <c r="BJ63" s="64"/>
      <c r="BK63" s="95"/>
      <c r="BL63" s="779" t="s">
        <v>2432</v>
      </c>
      <c r="BM63" s="64" t="str">
        <f>IF(K63=JaAntwort,Referral,Dunkelverarbeitung)</f>
        <v>Dunkelverarbeitung</v>
      </c>
      <c r="BN63" s="657"/>
      <c r="BO63" s="657"/>
      <c r="BP63" s="657"/>
      <c r="BQ63" s="788"/>
      <c r="BR63" s="96" t="s">
        <v>2585</v>
      </c>
      <c r="BS63" s="96" t="str">
        <f t="shared" si="0"/>
        <v>Deckungssumme mehr als 10 Mio. EUR</v>
      </c>
      <c r="BT63" s="64"/>
    </row>
    <row r="64" spans="1:72" ht="12.75" customHeight="1">
      <c r="A64" s="64" t="s">
        <v>2422</v>
      </c>
      <c r="B64" s="64" t="s">
        <v>2586</v>
      </c>
      <c r="C64" s="64" t="s">
        <v>2582</v>
      </c>
      <c r="D64" s="64" t="s">
        <v>2587</v>
      </c>
      <c r="E64" s="64"/>
      <c r="F64" s="67"/>
      <c r="H64" s="64" t="s">
        <v>2438</v>
      </c>
      <c r="I64" s="64"/>
      <c r="J64" s="64"/>
      <c r="K64" s="67" t="str">
        <f t="shared" si="3"/>
        <v/>
      </c>
      <c r="M64" s="64" t="s">
        <v>2438</v>
      </c>
      <c r="N64" s="64" t="s">
        <v>2586</v>
      </c>
      <c r="O64" s="64"/>
      <c r="P64" s="67" t="s">
        <v>17</v>
      </c>
      <c r="Q64" s="64"/>
      <c r="R64" s="64"/>
      <c r="S64" s="64"/>
      <c r="T64" s="64"/>
      <c r="U64" s="95"/>
      <c r="V64" s="67" t="s">
        <v>17</v>
      </c>
      <c r="W64" s="64"/>
      <c r="X64" s="64"/>
      <c r="Y64" s="64"/>
      <c r="Z64" s="64"/>
      <c r="AA64" s="95"/>
      <c r="AB64" s="67" t="s">
        <v>2432</v>
      </c>
      <c r="AC64" s="64" t="str">
        <f t="shared" si="4"/>
        <v>Dunkelverarbeitung</v>
      </c>
      <c r="AD64" s="64"/>
      <c r="AE64" s="64"/>
      <c r="AF64" s="64"/>
      <c r="AG64" s="95"/>
      <c r="AH64" s="67" t="s">
        <v>2432</v>
      </c>
      <c r="AI64" s="64" t="str">
        <f t="shared" si="5"/>
        <v>Dunkelverarbeitung</v>
      </c>
      <c r="AJ64" s="64"/>
      <c r="AK64" s="64"/>
      <c r="AL64" s="64"/>
      <c r="AM64" s="95"/>
      <c r="AN64" s="67" t="s">
        <v>2432</v>
      </c>
      <c r="AO64" s="64"/>
      <c r="AP64" s="64" t="str">
        <f>IF(K64=JaAntwort,"KO Trigger",Dunkelverarbeitung)</f>
        <v>Dunkelverarbeitung</v>
      </c>
      <c r="AQ64" s="64"/>
      <c r="AR64" s="64"/>
      <c r="AS64" s="64"/>
      <c r="AT64" s="67" t="s">
        <v>2432</v>
      </c>
      <c r="AU64" s="64"/>
      <c r="AV64" s="64" t="str">
        <f>IF(K64=JaAntwort,"KO Trigger",Dunkelverarbeitung)</f>
        <v>Dunkelverarbeitung</v>
      </c>
      <c r="AW64" s="64"/>
      <c r="AX64" s="64"/>
      <c r="AY64" s="64"/>
      <c r="AZ64" s="588" t="s">
        <v>2432</v>
      </c>
      <c r="BA64" s="657" t="str">
        <f>IF(K64=JaAntwort,Referral,Dunkelverarbeitung)</f>
        <v>Dunkelverarbeitung</v>
      </c>
      <c r="BB64" s="657"/>
      <c r="BC64" s="657"/>
      <c r="BD64" s="657"/>
      <c r="BE64" s="657"/>
      <c r="BF64" s="67" t="s">
        <v>2432</v>
      </c>
      <c r="BG64" s="64"/>
      <c r="BH64" s="64" t="str">
        <f>IF(K64=JaAntwort,"KO Trigger",Dunkelverarbeitung)</f>
        <v>Dunkelverarbeitung</v>
      </c>
      <c r="BI64" s="64"/>
      <c r="BJ64" s="64"/>
      <c r="BK64" s="95"/>
      <c r="BL64" s="779" t="s">
        <v>2432</v>
      </c>
      <c r="BM64" s="64"/>
      <c r="BN64" s="64" t="str">
        <f>IF(K64=JaAntwort,"KO Trigger",Dunkelverarbeitung)</f>
        <v>Dunkelverarbeitung</v>
      </c>
      <c r="BO64" s="657"/>
      <c r="BP64" s="657"/>
      <c r="BQ64" s="788"/>
      <c r="BR64" s="96" t="s">
        <v>2588</v>
      </c>
      <c r="BS64" s="96" t="str">
        <f t="shared" si="0"/>
        <v>Die Versicherungsnehmerin ist eine Gewerkschaft oder ein Spitzenverband.</v>
      </c>
      <c r="BT64" s="64"/>
    </row>
    <row r="65" spans="1:72" s="883" customFormat="1" ht="12.75" customHeight="1">
      <c r="A65" s="881" t="s">
        <v>2422</v>
      </c>
      <c r="B65" s="881" t="s">
        <v>2589</v>
      </c>
      <c r="C65" s="881" t="s">
        <v>2582</v>
      </c>
      <c r="D65" s="881" t="s">
        <v>72</v>
      </c>
      <c r="E65" s="881"/>
      <c r="F65" s="882"/>
      <c r="H65" s="881" t="s">
        <v>2438</v>
      </c>
      <c r="I65" s="881"/>
      <c r="J65" s="881"/>
      <c r="K65" s="882" t="str">
        <f t="shared" si="3"/>
        <v/>
      </c>
      <c r="M65" s="881" t="s">
        <v>2438</v>
      </c>
      <c r="N65" s="881" t="s">
        <v>2589</v>
      </c>
      <c r="O65" s="881"/>
      <c r="P65" s="882" t="s">
        <v>17</v>
      </c>
      <c r="Q65" s="881"/>
      <c r="R65" s="881"/>
      <c r="S65" s="881"/>
      <c r="T65" s="881"/>
      <c r="U65" s="884"/>
      <c r="V65" s="882" t="s">
        <v>17</v>
      </c>
      <c r="W65" s="881"/>
      <c r="X65" s="881"/>
      <c r="Y65" s="881"/>
      <c r="Z65" s="881"/>
      <c r="AA65" s="884"/>
      <c r="AB65" s="882" t="s">
        <v>17</v>
      </c>
      <c r="AC65" s="881"/>
      <c r="AD65" s="881"/>
      <c r="AE65" s="881"/>
      <c r="AF65" s="881"/>
      <c r="AG65" s="884"/>
      <c r="AH65" s="67" t="s">
        <v>17</v>
      </c>
      <c r="AI65" s="64"/>
      <c r="AJ65" s="881"/>
      <c r="AK65" s="881"/>
      <c r="AL65" s="881"/>
      <c r="AM65" s="95"/>
      <c r="AN65" s="882" t="s">
        <v>17</v>
      </c>
      <c r="AO65" s="881"/>
      <c r="AP65" s="881"/>
      <c r="AQ65" s="881"/>
      <c r="AR65" s="881"/>
      <c r="AS65" s="881"/>
      <c r="AT65" s="882" t="s">
        <v>17</v>
      </c>
      <c r="AU65" s="881"/>
      <c r="AV65" s="881"/>
      <c r="AW65" s="881"/>
      <c r="AX65" s="881"/>
      <c r="AY65" s="881"/>
      <c r="AZ65" s="882" t="s">
        <v>17</v>
      </c>
      <c r="BA65" s="885"/>
      <c r="BB65" s="885"/>
      <c r="BC65" s="885"/>
      <c r="BD65" s="885"/>
      <c r="BE65" s="885"/>
      <c r="BF65" s="882" t="s">
        <v>17</v>
      </c>
      <c r="BG65" s="885"/>
      <c r="BH65" s="881"/>
      <c r="BI65" s="881"/>
      <c r="BJ65" s="881"/>
      <c r="BK65" s="884"/>
      <c r="BL65" s="886" t="s">
        <v>17</v>
      </c>
      <c r="BM65" s="885"/>
      <c r="BN65" s="885"/>
      <c r="BO65" s="885"/>
      <c r="BP65" s="885"/>
      <c r="BQ65" s="887"/>
      <c r="BR65" s="888" t="s">
        <v>2590</v>
      </c>
      <c r="BS65" s="888" t="str">
        <f t="shared" si="0"/>
        <v>Der letzte konsolidierte Umsatz der Versicherungsnehmerin liegt über EUR 150 Mio. EUR.</v>
      </c>
      <c r="BT65" s="881"/>
    </row>
    <row r="66" spans="1:72" ht="12.75" customHeight="1">
      <c r="A66" s="64" t="s">
        <v>2422</v>
      </c>
      <c r="B66" s="64" t="s">
        <v>2591</v>
      </c>
      <c r="C66" s="64" t="s">
        <v>2582</v>
      </c>
      <c r="D66" s="64" t="s">
        <v>2592</v>
      </c>
      <c r="E66" s="64"/>
      <c r="F66" s="67"/>
      <c r="H66" s="64" t="s">
        <v>2438</v>
      </c>
      <c r="I66" s="64"/>
      <c r="J66" s="64"/>
      <c r="K66" s="67" t="str">
        <f t="shared" si="3"/>
        <v/>
      </c>
      <c r="M66" s="64" t="s">
        <v>2438</v>
      </c>
      <c r="N66" s="64" t="s">
        <v>2591</v>
      </c>
      <c r="O66" s="64"/>
      <c r="P66" s="67" t="s">
        <v>17</v>
      </c>
      <c r="Q66" s="64"/>
      <c r="R66" s="64"/>
      <c r="S66" s="64"/>
      <c r="T66" s="64"/>
      <c r="U66" s="95"/>
      <c r="V66" s="67" t="s">
        <v>17</v>
      </c>
      <c r="W66" s="64"/>
      <c r="X66" s="64"/>
      <c r="Y66" s="64"/>
      <c r="Z66" s="64"/>
      <c r="AA66" s="95"/>
      <c r="AB66" s="67" t="s">
        <v>2432</v>
      </c>
      <c r="AC66" s="64" t="str">
        <f t="shared" si="4"/>
        <v>Dunkelverarbeitung</v>
      </c>
      <c r="AD66" s="64"/>
      <c r="AE66" s="64"/>
      <c r="AF66" s="64"/>
      <c r="AG66" s="95"/>
      <c r="AH66" s="67" t="s">
        <v>2432</v>
      </c>
      <c r="AI66" s="64" t="str">
        <f t="shared" si="5"/>
        <v>Dunkelverarbeitung</v>
      </c>
      <c r="AJ66" s="64"/>
      <c r="AK66" s="64"/>
      <c r="AL66" s="64"/>
      <c r="AM66" s="95"/>
      <c r="AN66" s="67" t="s">
        <v>17</v>
      </c>
      <c r="AO66" s="64"/>
      <c r="AP66" s="64"/>
      <c r="AQ66" s="64"/>
      <c r="AR66" s="64"/>
      <c r="AS66" s="64"/>
      <c r="AT66" s="67" t="s">
        <v>17</v>
      </c>
      <c r="AU66" s="64" t="str">
        <f>IF(K66=JaAntwort,Referral,Dunkelverarbeitung)</f>
        <v>Dunkelverarbeitung</v>
      </c>
      <c r="AV66" s="64"/>
      <c r="AW66" s="64"/>
      <c r="AX66" s="64"/>
      <c r="AY66" s="64"/>
      <c r="AZ66" s="588" t="s">
        <v>2432</v>
      </c>
      <c r="BA66" s="657" t="str">
        <f>IF(K66=JaAntwort,Referral,Dunkelverarbeitung)</f>
        <v>Dunkelverarbeitung</v>
      </c>
      <c r="BB66" s="657"/>
      <c r="BC66" s="657"/>
      <c r="BD66" s="657"/>
      <c r="BE66" s="657"/>
      <c r="BF66" s="67" t="s">
        <v>2432</v>
      </c>
      <c r="BG66" s="64"/>
      <c r="BH66" s="64" t="str">
        <f t="shared" ref="BH66:BH73" si="6">IF(K66=JaAntwort,"KO Trigger",Dunkelverarbeitung)</f>
        <v>Dunkelverarbeitung</v>
      </c>
      <c r="BI66" s="64"/>
      <c r="BJ66" s="64"/>
      <c r="BK66" s="95"/>
      <c r="BL66" s="779" t="s">
        <v>17</v>
      </c>
      <c r="BM66" s="657"/>
      <c r="BN66" s="657"/>
      <c r="BO66" s="657"/>
      <c r="BP66" s="657"/>
      <c r="BQ66" s="788"/>
      <c r="BR66" s="96" t="s">
        <v>2593</v>
      </c>
      <c r="BS66" s="96" t="str">
        <f t="shared" si="0"/>
        <v>Die Versicherungsnehmerin wurde in den vergangenen zwei Jahren gegründet.</v>
      </c>
      <c r="BT66" s="64"/>
    </row>
    <row r="67" spans="1:72" ht="12.75" customHeight="1">
      <c r="A67" s="64" t="s">
        <v>2422</v>
      </c>
      <c r="B67" s="64" t="s">
        <v>2594</v>
      </c>
      <c r="C67" s="64" t="s">
        <v>2582</v>
      </c>
      <c r="D67" s="64" t="s">
        <v>2595</v>
      </c>
      <c r="E67" s="64"/>
      <c r="F67" s="67"/>
      <c r="H67" s="64" t="s">
        <v>2438</v>
      </c>
      <c r="I67" s="64"/>
      <c r="J67" s="64"/>
      <c r="K67" s="67" t="str">
        <f t="shared" si="3"/>
        <v/>
      </c>
      <c r="M67" s="64" t="s">
        <v>2438</v>
      </c>
      <c r="N67" s="64" t="s">
        <v>2594</v>
      </c>
      <c r="O67" s="64"/>
      <c r="P67" s="67" t="s">
        <v>2432</v>
      </c>
      <c r="Q67" s="64" t="str">
        <f>IF(K67=JaAntwort,Referral,Dunkelverarbeitung)</f>
        <v>Dunkelverarbeitung</v>
      </c>
      <c r="R67" s="64"/>
      <c r="S67" s="64"/>
      <c r="T67" s="64"/>
      <c r="U67" s="95"/>
      <c r="V67" s="67" t="s">
        <v>2432</v>
      </c>
      <c r="W67" s="64" t="str">
        <f>IF(K67=JaAntwort,Referral,Dunkelverarbeitung)</f>
        <v>Dunkelverarbeitung</v>
      </c>
      <c r="X67" s="64"/>
      <c r="Y67" s="64"/>
      <c r="Z67" s="64"/>
      <c r="AA67" s="95"/>
      <c r="AB67" s="67" t="s">
        <v>2432</v>
      </c>
      <c r="AC67" s="64" t="str">
        <f t="shared" si="4"/>
        <v>Dunkelverarbeitung</v>
      </c>
      <c r="AD67" s="64"/>
      <c r="AE67" s="64"/>
      <c r="AF67" s="64"/>
      <c r="AG67" s="95"/>
      <c r="AH67" s="67" t="s">
        <v>2432</v>
      </c>
      <c r="AI67" s="64"/>
      <c r="AJ67" s="64" t="str">
        <f>(IF(K67=JaAntwort,"KO Trigger",Dunkelverarbeitung))</f>
        <v>Dunkelverarbeitung</v>
      </c>
      <c r="AK67" s="64"/>
      <c r="AL67" s="64"/>
      <c r="AM67" s="95"/>
      <c r="AN67" s="67" t="s">
        <v>2432</v>
      </c>
      <c r="AO67" s="64"/>
      <c r="AP67" s="64" t="str">
        <f>IF(K67=JaAntwort,"KO Trigger",Dunkelverarbeitung)</f>
        <v>Dunkelverarbeitung</v>
      </c>
      <c r="AQ67" s="64"/>
      <c r="AR67" s="64"/>
      <c r="AS67" s="64"/>
      <c r="AT67" s="67" t="s">
        <v>2432</v>
      </c>
      <c r="AU67" s="64" t="str">
        <f>IF(K67=JaAntwort,Referral,Dunkelverarbeitung)</f>
        <v>Dunkelverarbeitung</v>
      </c>
      <c r="AV67" s="64"/>
      <c r="AW67" s="64"/>
      <c r="AX67" s="64"/>
      <c r="AY67" s="64"/>
      <c r="AZ67" s="588" t="s">
        <v>2432</v>
      </c>
      <c r="BA67" s="657"/>
      <c r="BB67" s="657" t="str">
        <f>IF(K67=JaAntwort,"KO Trigger",Dunkelverarbeitung)</f>
        <v>Dunkelverarbeitung</v>
      </c>
      <c r="BC67" s="657"/>
      <c r="BD67" s="657"/>
      <c r="BE67" s="657"/>
      <c r="BF67" s="67" t="s">
        <v>2432</v>
      </c>
      <c r="BG67" s="64"/>
      <c r="BH67" s="64" t="str">
        <f t="shared" si="6"/>
        <v>Dunkelverarbeitung</v>
      </c>
      <c r="BI67" s="64"/>
      <c r="BJ67" s="64"/>
      <c r="BK67" s="95"/>
      <c r="BL67" s="779" t="s">
        <v>2432</v>
      </c>
      <c r="BM67" s="64" t="str">
        <f>IF(K67=JaAntwort,Referral,Dunkelverarbeitung)</f>
        <v>Dunkelverarbeitung</v>
      </c>
      <c r="BN67" s="657"/>
      <c r="BO67" s="657"/>
      <c r="BP67" s="657"/>
      <c r="BQ67" s="788"/>
      <c r="BR67" s="96" t="s">
        <v>2596</v>
      </c>
      <c r="BS67" s="96" t="str">
        <f t="shared" si="0"/>
        <v>Die Versicherungsnehmerin und/oder eine Tochtergesellschaft befindet sich in einem Insolvenzverfahren.</v>
      </c>
      <c r="BT67" s="64"/>
    </row>
    <row r="68" spans="1:72" ht="89.7" customHeight="1">
      <c r="A68" s="64" t="s">
        <v>2422</v>
      </c>
      <c r="B68" s="64" t="s">
        <v>2597</v>
      </c>
      <c r="C68" s="64" t="s">
        <v>2582</v>
      </c>
      <c r="D68" s="64" t="s">
        <v>2598</v>
      </c>
      <c r="E68" s="64"/>
      <c r="F68" s="67"/>
      <c r="H68" s="64" t="s">
        <v>2438</v>
      </c>
      <c r="I68" s="64"/>
      <c r="J68" s="64"/>
      <c r="K68" s="67" t="str">
        <f t="shared" si="3"/>
        <v/>
      </c>
      <c r="M68" s="64" t="s">
        <v>2438</v>
      </c>
      <c r="N68" s="64" t="s">
        <v>2597</v>
      </c>
      <c r="O68" s="64"/>
      <c r="P68" s="67" t="s">
        <v>17</v>
      </c>
      <c r="Q68" s="64"/>
      <c r="R68" s="64"/>
      <c r="S68" s="64"/>
      <c r="T68" s="64"/>
      <c r="U68" s="95"/>
      <c r="V68" s="67" t="s">
        <v>2432</v>
      </c>
      <c r="W68" s="64" t="str">
        <f>IF(K68=JaAntwort,Referral,Dunkelverarbeitung)</f>
        <v>Dunkelverarbeitung</v>
      </c>
      <c r="X68" s="64"/>
      <c r="Y68" s="64"/>
      <c r="Z68" s="64"/>
      <c r="AA68" s="95"/>
      <c r="AB68" s="67" t="s">
        <v>2432</v>
      </c>
      <c r="AC68" s="64" t="str">
        <f t="shared" si="4"/>
        <v>Dunkelverarbeitung</v>
      </c>
      <c r="AD68" s="64"/>
      <c r="AE68" s="64"/>
      <c r="AF68" s="64"/>
      <c r="AG68" s="95"/>
      <c r="AH68" s="67" t="s">
        <v>2432</v>
      </c>
      <c r="AI68" s="64" t="str">
        <f t="shared" si="5"/>
        <v>Dunkelverarbeitung</v>
      </c>
      <c r="AJ68" s="64"/>
      <c r="AK68" s="64"/>
      <c r="AL68" s="64"/>
      <c r="AM68" s="95"/>
      <c r="AN68" s="67" t="s">
        <v>2432</v>
      </c>
      <c r="AO68" s="64" t="str">
        <f>IF(K68=JaAntwort,Referral,Dunkelverarbeitung)</f>
        <v>Dunkelverarbeitung</v>
      </c>
      <c r="AP68" s="64"/>
      <c r="AQ68" s="64"/>
      <c r="AR68" s="64"/>
      <c r="AS68" s="64"/>
      <c r="AT68" s="67" t="s">
        <v>2432</v>
      </c>
      <c r="AU68" s="64" t="str">
        <f>IF(K68=JaAntwort,Referral,Dunkelverarbeitung)</f>
        <v>Dunkelverarbeitung</v>
      </c>
      <c r="AV68" s="64"/>
      <c r="AW68" s="64"/>
      <c r="AX68" s="64"/>
      <c r="AY68" s="64"/>
      <c r="AZ68" s="588" t="s">
        <v>2432</v>
      </c>
      <c r="BA68" s="657" t="str">
        <f>IF(K68=JaAntwort,Referral,Dunkelverarbeitung)</f>
        <v>Dunkelverarbeitung</v>
      </c>
      <c r="BB68" s="657"/>
      <c r="BC68" s="657"/>
      <c r="BD68" s="657"/>
      <c r="BE68" s="657"/>
      <c r="BF68" s="67" t="s">
        <v>2432</v>
      </c>
      <c r="BG68" s="64"/>
      <c r="BH68" s="64" t="str">
        <f t="shared" si="6"/>
        <v>Dunkelverarbeitung</v>
      </c>
      <c r="BI68" s="64"/>
      <c r="BJ68" s="64"/>
      <c r="BK68" s="95"/>
      <c r="BL68" s="779" t="s">
        <v>2432</v>
      </c>
      <c r="BM68" s="64" t="str">
        <f>IF(K68=JaAntwort,Referral,Dunkelverarbeitung)</f>
        <v>Dunkelverarbeitung</v>
      </c>
      <c r="BN68" s="657"/>
      <c r="BO68" s="657"/>
      <c r="BP68" s="657"/>
      <c r="BQ68" s="788"/>
      <c r="BR68" s="96" t="s">
        <v>2599</v>
      </c>
      <c r="BS68" s="96" t="str">
        <f t="shared" si="0"/>
        <v>Es wurde der Bestätigungsvermerk im aktuellen Geschäftsbericht nicht oder nur eingeschränkt erteilt.</v>
      </c>
      <c r="BT68" s="64"/>
    </row>
    <row r="69" spans="1:72" ht="89.7" customHeight="1">
      <c r="A69" s="64" t="s">
        <v>2422</v>
      </c>
      <c r="B69" s="64" t="s">
        <v>2600</v>
      </c>
      <c r="C69" s="64" t="s">
        <v>2582</v>
      </c>
      <c r="D69" s="64" t="s">
        <v>2601</v>
      </c>
      <c r="E69" s="64"/>
      <c r="F69" s="67"/>
      <c r="H69" s="64" t="s">
        <v>2438</v>
      </c>
      <c r="I69" s="64"/>
      <c r="J69" s="64"/>
      <c r="K69" s="67" t="str">
        <f t="shared" si="3"/>
        <v/>
      </c>
      <c r="M69" s="64" t="s">
        <v>2438</v>
      </c>
      <c r="N69" s="64" t="s">
        <v>2600</v>
      </c>
      <c r="O69" s="64"/>
      <c r="P69" s="67" t="s">
        <v>17</v>
      </c>
      <c r="Q69" s="64"/>
      <c r="R69" s="64"/>
      <c r="S69" s="64"/>
      <c r="T69" s="64"/>
      <c r="U69" s="95"/>
      <c r="V69" s="67" t="s">
        <v>2432</v>
      </c>
      <c r="W69" s="64" t="str">
        <f>IF(K69=JaAntwort,Referral,Dunkelverarbeitung)</f>
        <v>Dunkelverarbeitung</v>
      </c>
      <c r="X69" s="64"/>
      <c r="Y69" s="64"/>
      <c r="Z69" s="64"/>
      <c r="AA69" s="95"/>
      <c r="AB69" s="67" t="s">
        <v>2432</v>
      </c>
      <c r="AC69" s="64"/>
      <c r="AD69" s="64" t="str">
        <f>IF(K69=JaAntwort,"KO Trigger",Dunkelverarbeitung)</f>
        <v>Dunkelverarbeitung</v>
      </c>
      <c r="AE69" s="64"/>
      <c r="AF69" s="64"/>
      <c r="AG69" s="95"/>
      <c r="AH69" s="67" t="s">
        <v>2432</v>
      </c>
      <c r="AI69" s="64"/>
      <c r="AJ69" s="64" t="str">
        <f>(IF(K69=JaAntwort,"KO Trigger",Dunkelverarbeitung))</f>
        <v>Dunkelverarbeitung</v>
      </c>
      <c r="AK69" s="64"/>
      <c r="AL69" s="64"/>
      <c r="AM69" s="95"/>
      <c r="AN69" s="67" t="s">
        <v>2432</v>
      </c>
      <c r="AO69" s="64" t="str">
        <f>IF(K69=JaAntwort,Referral,Dunkelverarbeitung)</f>
        <v>Dunkelverarbeitung</v>
      </c>
      <c r="AP69" s="64"/>
      <c r="AQ69" s="64"/>
      <c r="AR69" s="64"/>
      <c r="AS69" s="64"/>
      <c r="AT69" s="67" t="s">
        <v>17</v>
      </c>
      <c r="AU69" s="64"/>
      <c r="AV69" s="64" t="str">
        <f>IF(K69=JaAntwort,"KO Trigger",Dunkelverarbeitung)</f>
        <v>Dunkelverarbeitung</v>
      </c>
      <c r="AW69" s="64"/>
      <c r="AX69" s="64"/>
      <c r="AY69" s="64"/>
      <c r="AZ69" s="588" t="s">
        <v>2432</v>
      </c>
      <c r="BA69" s="657"/>
      <c r="BB69" s="657" t="str">
        <f>IF(K69=JaAntwort,"KO Trigger",Dunkelverarbeitung)</f>
        <v>Dunkelverarbeitung</v>
      </c>
      <c r="BC69" s="657"/>
      <c r="BD69" s="657"/>
      <c r="BE69" s="657"/>
      <c r="BF69" s="67" t="s">
        <v>2432</v>
      </c>
      <c r="BG69" s="64"/>
      <c r="BH69" s="64" t="str">
        <f t="shared" si="6"/>
        <v>Dunkelverarbeitung</v>
      </c>
      <c r="BI69" s="64"/>
      <c r="BJ69" s="64"/>
      <c r="BK69" s="95"/>
      <c r="BL69" s="779" t="s">
        <v>2432</v>
      </c>
      <c r="BM69" s="657"/>
      <c r="BN69" s="64" t="str">
        <f>IF(K69=JaAntwort,"KO Trigger",Dunkelverarbeitung)</f>
        <v>Dunkelverarbeitung</v>
      </c>
      <c r="BO69" s="657"/>
      <c r="BP69" s="657"/>
      <c r="BQ69" s="788"/>
      <c r="BR69" s="96" t="s">
        <v>2602</v>
      </c>
      <c r="BS69" s="96" t="str">
        <f t="shared" si="0"/>
        <v>Negatives Eigenkapital</v>
      </c>
      <c r="BT69" s="64"/>
    </row>
    <row r="70" spans="1:72" ht="12.75" customHeight="1">
      <c r="A70" s="64" t="s">
        <v>2422</v>
      </c>
      <c r="B70" s="64" t="s">
        <v>2603</v>
      </c>
      <c r="C70" s="64" t="s">
        <v>2582</v>
      </c>
      <c r="D70" s="64" t="s">
        <v>2604</v>
      </c>
      <c r="E70" s="64"/>
      <c r="F70" s="67"/>
      <c r="H70" s="64" t="s">
        <v>2438</v>
      </c>
      <c r="I70" s="64"/>
      <c r="J70" s="64"/>
      <c r="K70" s="67" t="str">
        <f t="shared" si="3"/>
        <v/>
      </c>
      <c r="M70" s="64" t="s">
        <v>2438</v>
      </c>
      <c r="N70" s="64" t="s">
        <v>2603</v>
      </c>
      <c r="O70" s="64"/>
      <c r="P70" s="67" t="s">
        <v>17</v>
      </c>
      <c r="Q70" s="64"/>
      <c r="R70" s="64"/>
      <c r="S70" s="64"/>
      <c r="T70" s="64"/>
      <c r="U70" s="95"/>
      <c r="V70" s="67" t="s">
        <v>17</v>
      </c>
      <c r="W70" s="64"/>
      <c r="X70" s="64"/>
      <c r="Y70" s="64"/>
      <c r="Z70" s="64"/>
      <c r="AA70" s="95"/>
      <c r="AB70" s="67" t="s">
        <v>17</v>
      </c>
      <c r="AC70" s="64"/>
      <c r="AD70" s="64"/>
      <c r="AE70" s="64"/>
      <c r="AF70" s="64"/>
      <c r="AG70" s="95"/>
      <c r="AH70" s="67" t="s">
        <v>2432</v>
      </c>
      <c r="AI70" s="64" t="str">
        <f t="shared" si="5"/>
        <v>Dunkelverarbeitung</v>
      </c>
      <c r="AJ70" s="64"/>
      <c r="AK70" s="64">
        <f>IF(K70=JaAntwort,0.15,0)</f>
        <v>0</v>
      </c>
      <c r="AL70" s="64"/>
      <c r="AM70" s="95"/>
      <c r="AN70" s="67" t="s">
        <v>2432</v>
      </c>
      <c r="AO70" s="64" t="str">
        <f>IF(K70=JaAntwort,Referral,Dunkelverarbeitung)</f>
        <v>Dunkelverarbeitung</v>
      </c>
      <c r="AP70" s="64"/>
      <c r="AQ70" s="64"/>
      <c r="AR70" s="64"/>
      <c r="AS70" s="64"/>
      <c r="AT70" s="67" t="s">
        <v>17</v>
      </c>
      <c r="AU70" s="64" t="str">
        <f>IF(K70=JaAntwort,Referral,Dunkelverarbeitung)</f>
        <v>Dunkelverarbeitung</v>
      </c>
      <c r="AV70" s="64"/>
      <c r="AW70" s="64"/>
      <c r="AX70" s="64"/>
      <c r="AY70" s="64"/>
      <c r="AZ70" s="588" t="s">
        <v>2432</v>
      </c>
      <c r="BA70" s="657" t="str">
        <f>IF(K70=JaAntwort,Referral,Dunkelverarbeitung)</f>
        <v>Dunkelverarbeitung</v>
      </c>
      <c r="BB70" s="657"/>
      <c r="BC70" s="657"/>
      <c r="BD70" s="657"/>
      <c r="BE70" s="657"/>
      <c r="BF70" s="67" t="s">
        <v>2432</v>
      </c>
      <c r="BG70" s="64"/>
      <c r="BH70" s="64" t="str">
        <f t="shared" si="6"/>
        <v>Dunkelverarbeitung</v>
      </c>
      <c r="BI70" s="64"/>
      <c r="BJ70" s="64"/>
      <c r="BK70" s="95"/>
      <c r="BL70" s="779" t="s">
        <v>2432</v>
      </c>
      <c r="BM70" s="64" t="str">
        <f>IF(K70=JaAntwort,Referral,Dunkelverarbeitung)</f>
        <v>Dunkelverarbeitung</v>
      </c>
      <c r="BN70" s="657"/>
      <c r="BO70" s="657"/>
      <c r="BP70" s="657"/>
      <c r="BQ70" s="788"/>
      <c r="BR70" s="96" t="s">
        <v>2605</v>
      </c>
      <c r="BS70" s="96" t="str">
        <f t="shared" si="0"/>
        <v>Negatives Jahresergebnis</v>
      </c>
      <c r="BT70" s="64"/>
    </row>
    <row r="71" spans="1:72" ht="140.25" customHeight="1">
      <c r="A71" s="64" t="s">
        <v>2422</v>
      </c>
      <c r="B71" s="64" t="s">
        <v>2606</v>
      </c>
      <c r="C71" s="64" t="s">
        <v>2607</v>
      </c>
      <c r="D71" s="64" t="s">
        <v>2608</v>
      </c>
      <c r="E71" s="64"/>
      <c r="F71" s="67"/>
      <c r="H71" s="64" t="s">
        <v>2438</v>
      </c>
      <c r="I71" s="64"/>
      <c r="J71" s="64"/>
      <c r="K71" s="67" t="str">
        <f t="shared" si="3"/>
        <v/>
      </c>
      <c r="M71" s="64" t="s">
        <v>2438</v>
      </c>
      <c r="N71" s="64" t="s">
        <v>2606</v>
      </c>
      <c r="O71" s="64"/>
      <c r="P71" s="67" t="s">
        <v>2432</v>
      </c>
      <c r="Q71" s="64" t="str">
        <f>IF(K71=JaAntwort,Referral,Dunkelverarbeitung)</f>
        <v>Dunkelverarbeitung</v>
      </c>
      <c r="R71" s="64"/>
      <c r="S71" s="64"/>
      <c r="T71" s="64"/>
      <c r="U71" s="95"/>
      <c r="V71" s="67" t="s">
        <v>17</v>
      </c>
      <c r="W71" s="64"/>
      <c r="X71" s="64"/>
      <c r="Y71" s="64"/>
      <c r="Z71" s="64"/>
      <c r="AA71" s="95"/>
      <c r="AB71" s="67" t="s">
        <v>2432</v>
      </c>
      <c r="AC71" s="64" t="str">
        <f>IF(K71=JaAntwort,Referral,Dunkelverarbeitung)</f>
        <v>Dunkelverarbeitung</v>
      </c>
      <c r="AD71" s="64"/>
      <c r="AE71" s="64"/>
      <c r="AF71" s="64"/>
      <c r="AG71" s="95"/>
      <c r="AH71" s="67" t="s">
        <v>2432</v>
      </c>
      <c r="AI71" s="64" t="str">
        <f t="shared" si="5"/>
        <v>Dunkelverarbeitung</v>
      </c>
      <c r="AJ71" s="64"/>
      <c r="AK71" s="64">
        <f>IF(K71=JaAntwort,0.25,0)</f>
        <v>0</v>
      </c>
      <c r="AL71" s="64"/>
      <c r="AM71" s="95"/>
      <c r="AN71" s="67" t="s">
        <v>17</v>
      </c>
      <c r="AO71" s="64"/>
      <c r="AP71" s="64"/>
      <c r="AQ71" s="64"/>
      <c r="AR71" s="64"/>
      <c r="AS71" s="64"/>
      <c r="AT71" s="67" t="s">
        <v>2432</v>
      </c>
      <c r="AU71" s="64" t="str">
        <f>IF(K71=JaAntwort,Referral,Dunkelverarbeitung)</f>
        <v>Dunkelverarbeitung</v>
      </c>
      <c r="AV71" s="64"/>
      <c r="AW71" s="64"/>
      <c r="AX71" s="64"/>
      <c r="AY71" s="64"/>
      <c r="AZ71" s="588" t="s">
        <v>2432</v>
      </c>
      <c r="BA71" s="657" t="str">
        <f>IF(K71=JaAntwort,Referral,Dunkelverarbeitung)</f>
        <v>Dunkelverarbeitung</v>
      </c>
      <c r="BB71" s="657"/>
      <c r="BC71" s="657"/>
      <c r="BD71" s="657"/>
      <c r="BE71" s="657"/>
      <c r="BF71" s="67" t="s">
        <v>2432</v>
      </c>
      <c r="BG71" s="64"/>
      <c r="BH71" s="64" t="str">
        <f t="shared" si="6"/>
        <v>Dunkelverarbeitung</v>
      </c>
      <c r="BI71" s="64"/>
      <c r="BJ71" s="64"/>
      <c r="BK71" s="95"/>
      <c r="BL71" s="779" t="s">
        <v>2432</v>
      </c>
      <c r="BM71" s="64" t="str">
        <f>IF(K71=JaAntwort,Referral,Dunkelverarbeitung)</f>
        <v>Dunkelverarbeitung</v>
      </c>
      <c r="BN71" s="657"/>
      <c r="BO71" s="657"/>
      <c r="BP71" s="657"/>
      <c r="BQ71" s="788"/>
      <c r="BR71" s="96" t="s">
        <v>2609</v>
      </c>
      <c r="BS71" s="96" t="str">
        <f t="shared" si="0"/>
        <v>In den nächsten 2 Jahren sind Fusionen geplant oder es ist eine Fremdbeherrschung der Versicherungsnehmerin möglich.</v>
      </c>
      <c r="BT71" s="64"/>
    </row>
    <row r="72" spans="1:72" ht="102.45" customHeight="1">
      <c r="A72" s="64" t="s">
        <v>2422</v>
      </c>
      <c r="B72" s="64" t="s">
        <v>2610</v>
      </c>
      <c r="C72" s="64" t="s">
        <v>2607</v>
      </c>
      <c r="D72" s="64" t="s">
        <v>2611</v>
      </c>
      <c r="E72" s="64"/>
      <c r="F72" s="67"/>
      <c r="H72" s="64" t="s">
        <v>2438</v>
      </c>
      <c r="I72" s="64"/>
      <c r="J72" s="64"/>
      <c r="K72" s="67" t="str">
        <f t="shared" si="3"/>
        <v/>
      </c>
      <c r="M72" s="64" t="s">
        <v>2438</v>
      </c>
      <c r="N72" s="64" t="s">
        <v>2610</v>
      </c>
      <c r="O72" s="64"/>
      <c r="P72" s="67" t="s">
        <v>2432</v>
      </c>
      <c r="Q72" s="64" t="str">
        <f>IF(K72=JaAntwort,Referral,Dunkelverarbeitung)</f>
        <v>Dunkelverarbeitung</v>
      </c>
      <c r="R72" s="64"/>
      <c r="S72" s="64"/>
      <c r="T72" s="64"/>
      <c r="U72" s="95"/>
      <c r="V72" s="67" t="s">
        <v>17</v>
      </c>
      <c r="W72" s="64"/>
      <c r="X72" s="64"/>
      <c r="Y72" s="64"/>
      <c r="Z72" s="64"/>
      <c r="AA72" s="95"/>
      <c r="AB72" s="67" t="s">
        <v>17</v>
      </c>
      <c r="AC72" s="64"/>
      <c r="AD72" s="64"/>
      <c r="AE72" s="64"/>
      <c r="AF72" s="64"/>
      <c r="AG72" s="95"/>
      <c r="AH72" s="67" t="s">
        <v>17</v>
      </c>
      <c r="AI72" s="64"/>
      <c r="AJ72" s="64"/>
      <c r="AK72" s="64"/>
      <c r="AL72" s="64"/>
      <c r="AM72" s="95"/>
      <c r="AN72" s="67" t="s">
        <v>17</v>
      </c>
      <c r="AO72" s="64"/>
      <c r="AP72" s="64"/>
      <c r="AQ72" s="64"/>
      <c r="AR72" s="64"/>
      <c r="AS72" s="64"/>
      <c r="AT72" s="67" t="s">
        <v>2432</v>
      </c>
      <c r="AU72" s="64" t="str">
        <f>IF(K72=JaAntwort,Referral,Dunkelverarbeitung)</f>
        <v>Dunkelverarbeitung</v>
      </c>
      <c r="AV72" s="64"/>
      <c r="AW72" s="64"/>
      <c r="AX72" s="64"/>
      <c r="AY72" s="64"/>
      <c r="AZ72" s="588" t="s">
        <v>2432</v>
      </c>
      <c r="BA72" s="657" t="str">
        <f>IF(K72=JaAntwort,Referral,Dunkelverarbeitung)</f>
        <v>Dunkelverarbeitung</v>
      </c>
      <c r="BB72" s="657"/>
      <c r="BC72" s="657"/>
      <c r="BD72" s="657"/>
      <c r="BE72" s="657"/>
      <c r="BF72" s="67" t="s">
        <v>2432</v>
      </c>
      <c r="BG72" s="64"/>
      <c r="BH72" s="64" t="str">
        <f t="shared" si="6"/>
        <v>Dunkelverarbeitung</v>
      </c>
      <c r="BI72" s="64"/>
      <c r="BJ72" s="64"/>
      <c r="BK72" s="95"/>
      <c r="BL72" s="779" t="s">
        <v>2432</v>
      </c>
      <c r="BM72" s="64" t="str">
        <f>IF(K72=JaAntwort,Referral,Dunkelverarbeitung)</f>
        <v>Dunkelverarbeitung</v>
      </c>
      <c r="BN72" s="657"/>
      <c r="BO72" s="657"/>
      <c r="BP72" s="657"/>
      <c r="BQ72" s="788"/>
      <c r="BR72" s="96" t="s">
        <v>2612</v>
      </c>
      <c r="BS72" s="96" t="str">
        <f t="shared" si="0"/>
        <v>Es hat eine Versicherungsgesellschaft einen Antrag auf diese Deckungsform abgelehnt.</v>
      </c>
      <c r="BT72" s="64"/>
    </row>
    <row r="73" spans="1:72" ht="89.7" customHeight="1">
      <c r="A73" s="64" t="s">
        <v>2422</v>
      </c>
      <c r="B73" s="64" t="s">
        <v>2613</v>
      </c>
      <c r="C73" s="64" t="s">
        <v>2607</v>
      </c>
      <c r="D73" s="64" t="s">
        <v>2614</v>
      </c>
      <c r="E73" s="64"/>
      <c r="F73" s="67"/>
      <c r="H73" s="64" t="s">
        <v>2438</v>
      </c>
      <c r="I73" s="64"/>
      <c r="J73" s="64"/>
      <c r="K73" s="67" t="str">
        <f t="shared" si="3"/>
        <v/>
      </c>
      <c r="M73" s="64" t="s">
        <v>2438</v>
      </c>
      <c r="N73" s="64" t="s">
        <v>2613</v>
      </c>
      <c r="O73" s="64"/>
      <c r="P73" s="67" t="s">
        <v>2432</v>
      </c>
      <c r="Q73" s="64" t="str">
        <f>IF(K73=JaAntwort,Referral,Dunkelverarbeitung)</f>
        <v>Dunkelverarbeitung</v>
      </c>
      <c r="R73" s="64"/>
      <c r="S73" s="64"/>
      <c r="T73" s="64"/>
      <c r="U73" s="95"/>
      <c r="V73" s="67" t="s">
        <v>17</v>
      </c>
      <c r="W73" s="64"/>
      <c r="X73" s="64"/>
      <c r="Y73" s="64"/>
      <c r="Z73" s="64"/>
      <c r="AA73" s="95"/>
      <c r="AB73" s="67" t="s">
        <v>2432</v>
      </c>
      <c r="AC73" s="64" t="str">
        <f>IF(K73=JaAntwort,Referral,Dunkelverarbeitung)</f>
        <v>Dunkelverarbeitung</v>
      </c>
      <c r="AD73" s="64"/>
      <c r="AE73" s="64"/>
      <c r="AF73" s="64"/>
      <c r="AG73" s="95"/>
      <c r="AH73" s="67" t="s">
        <v>17</v>
      </c>
      <c r="AI73" s="64"/>
      <c r="AJ73" s="64"/>
      <c r="AK73" s="64"/>
      <c r="AL73" s="64"/>
      <c r="AM73" s="95"/>
      <c r="AN73" s="67" t="s">
        <v>17</v>
      </c>
      <c r="AO73" s="64"/>
      <c r="AP73" s="64"/>
      <c r="AQ73" s="64"/>
      <c r="AR73" s="64"/>
      <c r="AS73" s="64"/>
      <c r="AT73" s="67" t="s">
        <v>2432</v>
      </c>
      <c r="AU73" s="64" t="str">
        <f>IF(K73=JaAntwort,Referral,Dunkelverarbeitung)</f>
        <v>Dunkelverarbeitung</v>
      </c>
      <c r="AV73" s="64"/>
      <c r="AW73" s="64"/>
      <c r="AX73" s="64"/>
      <c r="AY73" s="64"/>
      <c r="AZ73" s="588" t="s">
        <v>2432</v>
      </c>
      <c r="BA73" s="657" t="str">
        <f>IF(K73=JaAntwort,Referral,Dunkelverarbeitung)</f>
        <v>Dunkelverarbeitung</v>
      </c>
      <c r="BB73" s="657"/>
      <c r="BC73" s="657"/>
      <c r="BD73" s="657"/>
      <c r="BE73" s="657"/>
      <c r="BF73" s="67" t="s">
        <v>2432</v>
      </c>
      <c r="BG73" s="64"/>
      <c r="BH73" s="64" t="str">
        <f t="shared" si="6"/>
        <v>Dunkelverarbeitung</v>
      </c>
      <c r="BI73" s="64"/>
      <c r="BJ73" s="64"/>
      <c r="BK73" s="95"/>
      <c r="BL73" s="779" t="s">
        <v>2432</v>
      </c>
      <c r="BM73" s="64" t="str">
        <f>IF(K73=JaAntwort,Referral,Dunkelverarbeitung)</f>
        <v>Dunkelverarbeitung</v>
      </c>
      <c r="BN73" s="657"/>
      <c r="BO73" s="657"/>
      <c r="BP73" s="657"/>
      <c r="BQ73" s="788"/>
      <c r="BR73" s="96" t="s">
        <v>2615</v>
      </c>
      <c r="BS73" s="96" t="str">
        <f t="shared" si="0"/>
        <v>Es hat eine Versicherungsgesellschaft eine bestehende Police gekündigt oder deren Verlängerung abgelehnt.</v>
      </c>
      <c r="BT73" s="64"/>
    </row>
    <row r="74" spans="1:72" ht="63.75" customHeight="1">
      <c r="A74" s="64" t="s">
        <v>2422</v>
      </c>
      <c r="B74" s="64" t="s">
        <v>2616</v>
      </c>
      <c r="C74" s="64" t="s">
        <v>2440</v>
      </c>
      <c r="D74" s="64" t="s">
        <v>2617</v>
      </c>
      <c r="E74" s="64"/>
      <c r="F74" s="67"/>
      <c r="H74" s="64" t="s">
        <v>2426</v>
      </c>
      <c r="I74" s="64"/>
      <c r="J74" s="64"/>
      <c r="K74" s="67" t="str">
        <f t="shared" si="3"/>
        <v/>
      </c>
      <c r="M74" s="64" t="s">
        <v>2426</v>
      </c>
      <c r="N74" s="64" t="s">
        <v>2616</v>
      </c>
      <c r="O74" s="64"/>
      <c r="P74" s="67" t="s">
        <v>17</v>
      </c>
      <c r="Q74" s="64"/>
      <c r="R74" s="64"/>
      <c r="S74" s="64"/>
      <c r="T74" s="64"/>
      <c r="U74" s="95"/>
      <c r="V74" s="67" t="s">
        <v>17</v>
      </c>
      <c r="W74" s="64"/>
      <c r="X74" s="64"/>
      <c r="Y74" s="64"/>
      <c r="Z74" s="64"/>
      <c r="AA74" s="95"/>
      <c r="AB74" s="67" t="s">
        <v>2432</v>
      </c>
      <c r="AC74" s="64" t="str">
        <f>IF(K74=JaAntwort,Referral,Dunkelverarbeitung)</f>
        <v>Dunkelverarbeitung</v>
      </c>
      <c r="AD74" s="64"/>
      <c r="AE74" s="64"/>
      <c r="AF74" s="64"/>
      <c r="AG74" s="95"/>
      <c r="AH74" s="67" t="s">
        <v>2432</v>
      </c>
      <c r="AI74" s="64" t="str">
        <f>IF(K74&lt;&gt;"",Referral,Dunkelverarbeitung)</f>
        <v>Dunkelverarbeitung</v>
      </c>
      <c r="AJ74" s="64"/>
      <c r="AK74" s="64"/>
      <c r="AL74" s="64"/>
      <c r="AM74" s="95"/>
      <c r="AN74" s="67" t="s">
        <v>17</v>
      </c>
      <c r="AO74" s="64"/>
      <c r="AP74" s="64"/>
      <c r="AQ74" s="64"/>
      <c r="AR74" s="64"/>
      <c r="AS74" s="64"/>
      <c r="AT74" s="116" t="s">
        <v>2432</v>
      </c>
      <c r="AU74" s="122" t="str">
        <f>IF(K74&gt; JaAntwort, Referral, Dunkelverarbeitung)</f>
        <v>Dunkelverarbeitung</v>
      </c>
      <c r="AV74" s="64"/>
      <c r="AW74" s="64"/>
      <c r="AX74" s="64"/>
      <c r="AY74" s="64"/>
      <c r="AZ74" s="588" t="s">
        <v>17</v>
      </c>
      <c r="BA74" s="657"/>
      <c r="BB74" s="657"/>
      <c r="BC74" s="657"/>
      <c r="BD74" s="657"/>
      <c r="BE74" s="657"/>
      <c r="BF74" s="67" t="s">
        <v>2432</v>
      </c>
      <c r="BG74" s="64"/>
      <c r="BH74" s="64"/>
      <c r="BI74" s="64"/>
      <c r="BJ74" s="64"/>
      <c r="BK74" s="95"/>
      <c r="BL74" s="779" t="s">
        <v>2432</v>
      </c>
      <c r="BM74" s="657"/>
      <c r="BN74" s="657"/>
      <c r="BO74" s="657"/>
      <c r="BP74" s="657"/>
      <c r="BQ74" s="788"/>
      <c r="BR74" s="96" t="s">
        <v>2617</v>
      </c>
      <c r="BS74" s="96" t="str">
        <f t="shared" si="0"/>
        <v>Anzahl aller mitversicherte Unternehmen und Personen</v>
      </c>
      <c r="BT74" s="64"/>
    </row>
    <row r="75" spans="1:72" ht="63.75" customHeight="1">
      <c r="A75" s="64" t="s">
        <v>2422</v>
      </c>
      <c r="B75" s="64" t="s">
        <v>2618</v>
      </c>
      <c r="C75" s="64" t="s">
        <v>2440</v>
      </c>
      <c r="D75" s="64" t="s">
        <v>2619</v>
      </c>
      <c r="E75" s="64"/>
      <c r="F75" s="67"/>
      <c r="H75" s="64" t="s">
        <v>2474</v>
      </c>
      <c r="I75" s="64"/>
      <c r="J75" s="64"/>
      <c r="K75" s="67"/>
      <c r="M75" s="64" t="s">
        <v>2474</v>
      </c>
      <c r="N75" s="64" t="s">
        <v>2618</v>
      </c>
      <c r="O75" s="64"/>
      <c r="P75" s="67" t="s">
        <v>17</v>
      </c>
      <c r="Q75" s="64"/>
      <c r="R75" s="64"/>
      <c r="S75" s="64"/>
      <c r="T75" s="64"/>
      <c r="U75" s="95"/>
      <c r="V75" s="67" t="s">
        <v>17</v>
      </c>
      <c r="W75" s="64"/>
      <c r="X75" s="64"/>
      <c r="Y75" s="64"/>
      <c r="Z75" s="64"/>
      <c r="AA75" s="95"/>
      <c r="AB75" s="67" t="s">
        <v>17</v>
      </c>
      <c r="AC75" s="64"/>
      <c r="AD75" s="64"/>
      <c r="AE75" s="64"/>
      <c r="AF75" s="64"/>
      <c r="AG75" s="95"/>
      <c r="AH75" s="67" t="s">
        <v>17</v>
      </c>
      <c r="AI75" s="64"/>
      <c r="AJ75" s="64"/>
      <c r="AK75" s="64"/>
      <c r="AL75" s="64"/>
      <c r="AM75" s="95"/>
      <c r="AN75" s="67" t="s">
        <v>17</v>
      </c>
      <c r="AO75" s="64"/>
      <c r="AP75" s="64"/>
      <c r="AQ75" s="64"/>
      <c r="AR75" s="64"/>
      <c r="AS75" s="64"/>
      <c r="AT75" s="67" t="s">
        <v>17</v>
      </c>
      <c r="AU75" s="64"/>
      <c r="AV75" s="64"/>
      <c r="AW75" s="64"/>
      <c r="AX75" s="64"/>
      <c r="AY75" s="64"/>
      <c r="AZ75" s="588" t="s">
        <v>17</v>
      </c>
      <c r="BA75" s="657"/>
      <c r="BB75" s="657"/>
      <c r="BC75" s="657"/>
      <c r="BD75" s="657"/>
      <c r="BE75" s="657"/>
      <c r="BF75" s="67" t="s">
        <v>17</v>
      </c>
      <c r="BG75" s="64"/>
      <c r="BH75" s="64"/>
      <c r="BI75" s="64"/>
      <c r="BJ75" s="64"/>
      <c r="BK75" s="95"/>
      <c r="BL75" s="779" t="s">
        <v>17</v>
      </c>
      <c r="BM75" s="657"/>
      <c r="BN75" s="657"/>
      <c r="BO75" s="657"/>
      <c r="BP75" s="657"/>
      <c r="BQ75" s="788"/>
      <c r="BR75" s="96"/>
      <c r="BS75" s="96">
        <f t="shared" si="0"/>
        <v>0</v>
      </c>
      <c r="BT75" s="64"/>
    </row>
    <row r="76" spans="1:72" ht="63.75" customHeight="1">
      <c r="A76" s="64" t="s">
        <v>2422</v>
      </c>
      <c r="B76" s="64" t="s">
        <v>2620</v>
      </c>
      <c r="C76" s="64" t="s">
        <v>2440</v>
      </c>
      <c r="D76" s="64" t="s">
        <v>2621</v>
      </c>
      <c r="E76" s="64"/>
      <c r="F76" s="67"/>
      <c r="H76" s="64" t="s">
        <v>2442</v>
      </c>
      <c r="I76" s="64"/>
      <c r="J76" s="64"/>
      <c r="K76" s="67"/>
      <c r="M76" s="64" t="s">
        <v>2442</v>
      </c>
      <c r="N76" s="64" t="s">
        <v>2620</v>
      </c>
      <c r="O76" s="64"/>
      <c r="P76" s="67" t="s">
        <v>17</v>
      </c>
      <c r="Q76" s="64"/>
      <c r="R76" s="64"/>
      <c r="S76" s="64"/>
      <c r="T76" s="64"/>
      <c r="U76" s="95"/>
      <c r="V76" s="67" t="s">
        <v>17</v>
      </c>
      <c r="W76" s="64"/>
      <c r="X76" s="64"/>
      <c r="Y76" s="64"/>
      <c r="Z76" s="64"/>
      <c r="AA76" s="95"/>
      <c r="AB76" s="67" t="s">
        <v>17</v>
      </c>
      <c r="AC76" s="64"/>
      <c r="AD76" s="64"/>
      <c r="AE76" s="64"/>
      <c r="AF76" s="64"/>
      <c r="AG76" s="95"/>
      <c r="AH76" s="67" t="s">
        <v>17</v>
      </c>
      <c r="AI76" s="64"/>
      <c r="AJ76" s="64"/>
      <c r="AK76" s="64"/>
      <c r="AL76" s="64"/>
      <c r="AM76" s="95"/>
      <c r="AN76" s="67" t="s">
        <v>17</v>
      </c>
      <c r="AO76" s="64"/>
      <c r="AP76" s="64"/>
      <c r="AQ76" s="64"/>
      <c r="AR76" s="64"/>
      <c r="AS76" s="64"/>
      <c r="AT76" s="67" t="s">
        <v>17</v>
      </c>
      <c r="AU76" s="64"/>
      <c r="AV76" s="64"/>
      <c r="AW76" s="64"/>
      <c r="AX76" s="64"/>
      <c r="AY76" s="64"/>
      <c r="AZ76" s="588" t="s">
        <v>17</v>
      </c>
      <c r="BA76" s="657"/>
      <c r="BB76" s="657"/>
      <c r="BC76" s="657"/>
      <c r="BD76" s="657"/>
      <c r="BE76" s="657"/>
      <c r="BF76" s="67" t="s">
        <v>17</v>
      </c>
      <c r="BG76" s="64"/>
      <c r="BH76" s="64"/>
      <c r="BI76" s="64"/>
      <c r="BJ76" s="64"/>
      <c r="BK76" s="95"/>
      <c r="BL76" s="779" t="s">
        <v>17</v>
      </c>
      <c r="BM76" s="657"/>
      <c r="BN76" s="657"/>
      <c r="BO76" s="657"/>
      <c r="BP76" s="657"/>
      <c r="BQ76" s="788"/>
      <c r="BR76" s="96"/>
      <c r="BS76" s="96">
        <f t="shared" si="0"/>
        <v>0</v>
      </c>
      <c r="BT76" s="64"/>
    </row>
    <row r="77" spans="1:72" ht="63.75" customHeight="1">
      <c r="A77" s="64" t="s">
        <v>2422</v>
      </c>
      <c r="B77" s="64" t="s">
        <v>2622</v>
      </c>
      <c r="C77" s="64" t="s">
        <v>2440</v>
      </c>
      <c r="D77" s="64" t="s">
        <v>2623</v>
      </c>
      <c r="E77" s="64"/>
      <c r="F77" s="67"/>
      <c r="H77" s="64" t="s">
        <v>2426</v>
      </c>
      <c r="I77" s="64"/>
      <c r="J77" s="64"/>
      <c r="K77" s="67"/>
      <c r="M77" s="64" t="s">
        <v>2426</v>
      </c>
      <c r="N77" s="64" t="s">
        <v>2622</v>
      </c>
      <c r="O77" s="64"/>
      <c r="P77" s="67" t="s">
        <v>17</v>
      </c>
      <c r="Q77" s="64"/>
      <c r="R77" s="64"/>
      <c r="S77" s="64"/>
      <c r="T77" s="64"/>
      <c r="U77" s="95"/>
      <c r="V77" s="67" t="s">
        <v>17</v>
      </c>
      <c r="W77" s="64"/>
      <c r="X77" s="64"/>
      <c r="Y77" s="64"/>
      <c r="Z77" s="64"/>
      <c r="AA77" s="95"/>
      <c r="AB77" s="67" t="s">
        <v>17</v>
      </c>
      <c r="AC77" s="64"/>
      <c r="AD77" s="64"/>
      <c r="AE77" s="64"/>
      <c r="AF77" s="64"/>
      <c r="AG77" s="95"/>
      <c r="AH77" s="67" t="s">
        <v>17</v>
      </c>
      <c r="AI77" s="64"/>
      <c r="AJ77" s="64"/>
      <c r="AK77" s="64"/>
      <c r="AL77" s="64"/>
      <c r="AM77" s="95"/>
      <c r="AN77" s="67" t="s">
        <v>17</v>
      </c>
      <c r="AO77" s="64"/>
      <c r="AP77" s="64"/>
      <c r="AQ77" s="64"/>
      <c r="AR77" s="64"/>
      <c r="AS77" s="64"/>
      <c r="AT77" s="67" t="s">
        <v>17</v>
      </c>
      <c r="AU77" s="64"/>
      <c r="AV77" s="64"/>
      <c r="AW77" s="64"/>
      <c r="AX77" s="64"/>
      <c r="AY77" s="64"/>
      <c r="AZ77" s="588" t="s">
        <v>17</v>
      </c>
      <c r="BA77" s="657"/>
      <c r="BB77" s="657"/>
      <c r="BC77" s="657"/>
      <c r="BD77" s="657"/>
      <c r="BE77" s="657"/>
      <c r="BF77" s="67" t="s">
        <v>17</v>
      </c>
      <c r="BG77" s="64"/>
      <c r="BH77" s="64"/>
      <c r="BI77" s="64"/>
      <c r="BJ77" s="64"/>
      <c r="BK77" s="95"/>
      <c r="BL77" s="779" t="s">
        <v>17</v>
      </c>
      <c r="BM77" s="657"/>
      <c r="BN77" s="657"/>
      <c r="BO77" s="657"/>
      <c r="BP77" s="657"/>
      <c r="BQ77" s="788"/>
      <c r="BR77" s="96"/>
      <c r="BS77" s="96">
        <f t="shared" si="0"/>
        <v>0</v>
      </c>
      <c r="BT77" s="64"/>
    </row>
    <row r="78" spans="1:72" ht="63.75" customHeight="1">
      <c r="A78" s="64" t="s">
        <v>2422</v>
      </c>
      <c r="B78" s="64" t="s">
        <v>2624</v>
      </c>
      <c r="C78" s="64" t="s">
        <v>2440</v>
      </c>
      <c r="D78" s="64" t="s">
        <v>2625</v>
      </c>
      <c r="E78" s="64"/>
      <c r="F78" s="67"/>
      <c r="H78" s="64" t="s">
        <v>2426</v>
      </c>
      <c r="I78" s="64"/>
      <c r="J78" s="64"/>
      <c r="K78" s="67"/>
      <c r="M78" s="64" t="s">
        <v>2426</v>
      </c>
      <c r="N78" s="64" t="s">
        <v>2624</v>
      </c>
      <c r="O78" s="64"/>
      <c r="P78" s="67" t="s">
        <v>17</v>
      </c>
      <c r="Q78" s="64"/>
      <c r="R78" s="64"/>
      <c r="S78" s="64"/>
      <c r="T78" s="64"/>
      <c r="U78" s="95"/>
      <c r="V78" s="67" t="s">
        <v>17</v>
      </c>
      <c r="W78" s="64"/>
      <c r="X78" s="64"/>
      <c r="Y78" s="64"/>
      <c r="Z78" s="64"/>
      <c r="AA78" s="95"/>
      <c r="AB78" s="67" t="s">
        <v>17</v>
      </c>
      <c r="AC78" s="64"/>
      <c r="AD78" s="64"/>
      <c r="AE78" s="64"/>
      <c r="AF78" s="64"/>
      <c r="AG78" s="95"/>
      <c r="AH78" s="67" t="s">
        <v>17</v>
      </c>
      <c r="AI78" s="64"/>
      <c r="AJ78" s="64"/>
      <c r="AK78" s="64"/>
      <c r="AL78" s="64"/>
      <c r="AM78" s="95"/>
      <c r="AN78" s="67" t="s">
        <v>17</v>
      </c>
      <c r="AO78" s="64"/>
      <c r="AP78" s="64"/>
      <c r="AQ78" s="64"/>
      <c r="AR78" s="64"/>
      <c r="AS78" s="64"/>
      <c r="AT78" s="67" t="s">
        <v>17</v>
      </c>
      <c r="AU78" s="64"/>
      <c r="AV78" s="64"/>
      <c r="AW78" s="64"/>
      <c r="AX78" s="64"/>
      <c r="AY78" s="64"/>
      <c r="AZ78" s="588" t="s">
        <v>17</v>
      </c>
      <c r="BA78" s="657"/>
      <c r="BB78" s="657"/>
      <c r="BC78" s="657"/>
      <c r="BD78" s="657"/>
      <c r="BE78" s="657"/>
      <c r="BF78" s="67" t="s">
        <v>17</v>
      </c>
      <c r="BG78" s="64"/>
      <c r="BH78" s="64"/>
      <c r="BI78" s="64"/>
      <c r="BJ78" s="64"/>
      <c r="BK78" s="95"/>
      <c r="BL78" s="779" t="s">
        <v>17</v>
      </c>
      <c r="BM78" s="657"/>
      <c r="BN78" s="657"/>
      <c r="BO78" s="657"/>
      <c r="BP78" s="657"/>
      <c r="BQ78" s="788"/>
      <c r="BR78" s="96"/>
      <c r="BS78" s="96">
        <f t="shared" si="0"/>
        <v>0</v>
      </c>
      <c r="BT78" s="64"/>
    </row>
    <row r="79" spans="1:72" ht="12.75" customHeight="1">
      <c r="A79" s="64" t="s">
        <v>2422</v>
      </c>
      <c r="B79" s="64" t="s">
        <v>2626</v>
      </c>
      <c r="C79" s="64" t="s">
        <v>2440</v>
      </c>
      <c r="D79" s="64" t="s">
        <v>2627</v>
      </c>
      <c r="E79" s="64"/>
      <c r="F79" s="67"/>
      <c r="H79" s="64" t="s">
        <v>2426</v>
      </c>
      <c r="I79" s="64"/>
      <c r="J79" s="64"/>
      <c r="K79" s="67"/>
      <c r="M79" s="64" t="s">
        <v>2426</v>
      </c>
      <c r="N79" s="64" t="s">
        <v>2626</v>
      </c>
      <c r="O79" s="64"/>
      <c r="P79" s="67" t="s">
        <v>17</v>
      </c>
      <c r="Q79" s="64"/>
      <c r="R79" s="64"/>
      <c r="S79" s="64"/>
      <c r="T79" s="64"/>
      <c r="U79" s="95"/>
      <c r="V79" s="67" t="s">
        <v>17</v>
      </c>
      <c r="W79" s="64"/>
      <c r="X79" s="64"/>
      <c r="Y79" s="64"/>
      <c r="Z79" s="64"/>
      <c r="AA79" s="95"/>
      <c r="AB79" s="67" t="s">
        <v>17</v>
      </c>
      <c r="AC79" s="64"/>
      <c r="AD79" s="64"/>
      <c r="AE79" s="64"/>
      <c r="AF79" s="64"/>
      <c r="AG79" s="95"/>
      <c r="AH79" s="67" t="s">
        <v>17</v>
      </c>
      <c r="AI79" s="64"/>
      <c r="AJ79" s="64"/>
      <c r="AK79" s="64"/>
      <c r="AL79" s="64"/>
      <c r="AM79" s="95"/>
      <c r="AN79" s="67" t="s">
        <v>17</v>
      </c>
      <c r="AO79" s="64"/>
      <c r="AP79" s="64"/>
      <c r="AQ79" s="64"/>
      <c r="AR79" s="64"/>
      <c r="AS79" s="64"/>
      <c r="AT79" s="67" t="s">
        <v>2432</v>
      </c>
      <c r="AU79" s="122" t="str">
        <f>IF(K79&gt; JaAntwort, Referral, Dunkelverarbeitung)</f>
        <v>Dunkelverarbeitung</v>
      </c>
      <c r="AV79" s="64"/>
      <c r="AW79" s="64"/>
      <c r="AX79" s="64"/>
      <c r="AY79" s="64"/>
      <c r="AZ79" s="588" t="s">
        <v>17</v>
      </c>
      <c r="BA79" s="657"/>
      <c r="BB79" s="657"/>
      <c r="BC79" s="657"/>
      <c r="BD79" s="657"/>
      <c r="BE79" s="657"/>
      <c r="BF79" s="67" t="s">
        <v>17</v>
      </c>
      <c r="BG79" s="64"/>
      <c r="BH79" s="64"/>
      <c r="BI79" s="64"/>
      <c r="BJ79" s="64"/>
      <c r="BK79" s="95"/>
      <c r="BL79" s="779" t="s">
        <v>2432</v>
      </c>
      <c r="BM79" s="657"/>
      <c r="BN79" s="657"/>
      <c r="BO79" s="657"/>
      <c r="BP79" s="657"/>
      <c r="BQ79" s="788"/>
      <c r="BR79" s="96"/>
      <c r="BS79" s="96">
        <f t="shared" si="0"/>
        <v>0</v>
      </c>
      <c r="BT79" s="64"/>
    </row>
    <row r="80" spans="1:72" ht="12.75" customHeight="1">
      <c r="A80" s="64" t="s">
        <v>2422</v>
      </c>
      <c r="B80" s="64" t="s">
        <v>2628</v>
      </c>
      <c r="C80" s="64" t="s">
        <v>2440</v>
      </c>
      <c r="D80" s="64" t="s">
        <v>2629</v>
      </c>
      <c r="E80" s="64"/>
      <c r="F80" s="67"/>
      <c r="H80" s="64" t="s">
        <v>2426</v>
      </c>
      <c r="I80" s="64"/>
      <c r="J80" s="64"/>
      <c r="K80" s="67"/>
      <c r="M80" s="64" t="s">
        <v>2426</v>
      </c>
      <c r="N80" s="64" t="s">
        <v>2628</v>
      </c>
      <c r="O80" s="64"/>
      <c r="P80" s="67" t="s">
        <v>17</v>
      </c>
      <c r="Q80" s="64"/>
      <c r="R80" s="64"/>
      <c r="S80" s="64"/>
      <c r="T80" s="64"/>
      <c r="U80" s="95"/>
      <c r="V80" s="67" t="s">
        <v>17</v>
      </c>
      <c r="W80" s="64"/>
      <c r="X80" s="64"/>
      <c r="Y80" s="64"/>
      <c r="Z80" s="64"/>
      <c r="AA80" s="95"/>
      <c r="AB80" s="67" t="s">
        <v>2432</v>
      </c>
      <c r="AC80" s="64" t="str">
        <f>IF(K80=JaAntwort,Referral,Dunkelverarbeitung)</f>
        <v>Dunkelverarbeitung</v>
      </c>
      <c r="AD80" s="64"/>
      <c r="AE80" s="64"/>
      <c r="AF80" s="64"/>
      <c r="AG80" s="95"/>
      <c r="AH80" s="67" t="s">
        <v>17</v>
      </c>
      <c r="AI80" s="64"/>
      <c r="AJ80" s="64"/>
      <c r="AK80" s="64"/>
      <c r="AL80" s="64"/>
      <c r="AM80" s="95"/>
      <c r="AN80" s="67" t="s">
        <v>17</v>
      </c>
      <c r="AO80" s="64"/>
      <c r="AP80" s="64"/>
      <c r="AQ80" s="64"/>
      <c r="AR80" s="64"/>
      <c r="AS80" s="64"/>
      <c r="AT80" s="67" t="s">
        <v>2432</v>
      </c>
      <c r="AU80" s="122" t="str">
        <f>IF(K80&gt; JaAntwort, Referral, Dunkelverarbeitung)</f>
        <v>Dunkelverarbeitung</v>
      </c>
      <c r="AV80" s="64"/>
      <c r="AW80" s="64"/>
      <c r="AX80" s="64"/>
      <c r="AY80" s="64"/>
      <c r="AZ80" s="588" t="s">
        <v>17</v>
      </c>
      <c r="BA80" s="657"/>
      <c r="BB80" s="657"/>
      <c r="BC80" s="657"/>
      <c r="BD80" s="657"/>
      <c r="BE80" s="657"/>
      <c r="BF80" s="67" t="s">
        <v>17</v>
      </c>
      <c r="BG80" s="64"/>
      <c r="BH80" s="64"/>
      <c r="BI80" s="64"/>
      <c r="BJ80" s="64"/>
      <c r="BK80" s="95"/>
      <c r="BL80" s="779" t="s">
        <v>2432</v>
      </c>
      <c r="BM80" s="657"/>
      <c r="BN80" s="657"/>
      <c r="BO80" s="657"/>
      <c r="BP80" s="657"/>
      <c r="BQ80" s="788"/>
      <c r="BR80" s="96" t="s">
        <v>2629</v>
      </c>
      <c r="BS80" s="96" t="str">
        <f t="shared" si="0"/>
        <v>Mitversicherte Personen</v>
      </c>
      <c r="BT80" s="64"/>
    </row>
    <row r="81" spans="1:72" ht="12.75" customHeight="1">
      <c r="A81" s="64" t="s">
        <v>2422</v>
      </c>
      <c r="B81" s="64" t="s">
        <v>2630</v>
      </c>
      <c r="C81" s="64" t="s">
        <v>2440</v>
      </c>
      <c r="D81" s="64" t="s">
        <v>2619</v>
      </c>
      <c r="E81" s="64"/>
      <c r="F81" s="67"/>
      <c r="H81" s="64" t="s">
        <v>2474</v>
      </c>
      <c r="I81" s="64"/>
      <c r="J81" s="64"/>
      <c r="K81" s="67"/>
      <c r="M81" s="64" t="s">
        <v>2474</v>
      </c>
      <c r="N81" s="64" t="s">
        <v>2630</v>
      </c>
      <c r="O81" s="64"/>
      <c r="P81" s="67" t="s">
        <v>17</v>
      </c>
      <c r="Q81" s="64"/>
      <c r="R81" s="64"/>
      <c r="S81" s="64"/>
      <c r="T81" s="64"/>
      <c r="U81" s="95"/>
      <c r="V81" s="67" t="s">
        <v>17</v>
      </c>
      <c r="W81" s="64"/>
      <c r="X81" s="64"/>
      <c r="Y81" s="64"/>
      <c r="Z81" s="64"/>
      <c r="AA81" s="95"/>
      <c r="AB81" s="67" t="s">
        <v>17</v>
      </c>
      <c r="AC81" s="64"/>
      <c r="AD81" s="64"/>
      <c r="AE81" s="64"/>
      <c r="AF81" s="64"/>
      <c r="AG81" s="95"/>
      <c r="AH81" s="67" t="s">
        <v>17</v>
      </c>
      <c r="AI81" s="64"/>
      <c r="AJ81" s="64"/>
      <c r="AK81" s="64"/>
      <c r="AL81" s="64"/>
      <c r="AM81" s="95"/>
      <c r="AN81" s="67" t="s">
        <v>17</v>
      </c>
      <c r="AO81" s="64"/>
      <c r="AP81" s="64"/>
      <c r="AQ81" s="64"/>
      <c r="AR81" s="64"/>
      <c r="AS81" s="64"/>
      <c r="AT81" s="67" t="s">
        <v>17</v>
      </c>
      <c r="AU81" s="64"/>
      <c r="AV81" s="64"/>
      <c r="AW81" s="64"/>
      <c r="AX81" s="64"/>
      <c r="AY81" s="64"/>
      <c r="AZ81" s="588" t="s">
        <v>17</v>
      </c>
      <c r="BA81" s="657"/>
      <c r="BB81" s="657"/>
      <c r="BC81" s="657"/>
      <c r="BD81" s="657"/>
      <c r="BE81" s="657"/>
      <c r="BF81" s="67" t="s">
        <v>17</v>
      </c>
      <c r="BG81" s="64"/>
      <c r="BH81" s="64"/>
      <c r="BI81" s="64"/>
      <c r="BJ81" s="64"/>
      <c r="BK81" s="95"/>
      <c r="BL81" s="779" t="s">
        <v>17</v>
      </c>
      <c r="BM81" s="657"/>
      <c r="BN81" s="657"/>
      <c r="BO81" s="657"/>
      <c r="BP81" s="657"/>
      <c r="BQ81" s="788"/>
      <c r="BR81" s="96"/>
      <c r="BS81" s="96">
        <f t="shared" si="0"/>
        <v>0</v>
      </c>
      <c r="BT81" s="64"/>
    </row>
    <row r="82" spans="1:72" ht="12.75" customHeight="1">
      <c r="A82" s="64" t="s">
        <v>2422</v>
      </c>
      <c r="B82" s="64" t="s">
        <v>2631</v>
      </c>
      <c r="C82" s="64" t="s">
        <v>2440</v>
      </c>
      <c r="D82" s="64" t="s">
        <v>2632</v>
      </c>
      <c r="E82" s="64"/>
      <c r="F82" s="67"/>
      <c r="H82" s="64" t="s">
        <v>2442</v>
      </c>
      <c r="I82" s="64"/>
      <c r="J82" s="64"/>
      <c r="K82" s="67"/>
      <c r="M82" s="64" t="s">
        <v>2442</v>
      </c>
      <c r="N82" s="64" t="s">
        <v>2631</v>
      </c>
      <c r="O82" s="64"/>
      <c r="P82" s="67" t="s">
        <v>17</v>
      </c>
      <c r="Q82" s="64"/>
      <c r="R82" s="64"/>
      <c r="S82" s="64"/>
      <c r="T82" s="64"/>
      <c r="U82" s="95"/>
      <c r="V82" s="67" t="s">
        <v>17</v>
      </c>
      <c r="W82" s="64"/>
      <c r="X82" s="64"/>
      <c r="Y82" s="64"/>
      <c r="Z82" s="64"/>
      <c r="AA82" s="95"/>
      <c r="AB82" s="67" t="s">
        <v>17</v>
      </c>
      <c r="AC82" s="64"/>
      <c r="AD82" s="64"/>
      <c r="AE82" s="64"/>
      <c r="AF82" s="64"/>
      <c r="AG82" s="95"/>
      <c r="AH82" s="67" t="s">
        <v>17</v>
      </c>
      <c r="AI82" s="64"/>
      <c r="AJ82" s="64"/>
      <c r="AK82" s="64"/>
      <c r="AL82" s="64"/>
      <c r="AM82" s="95"/>
      <c r="AN82" s="67" t="s">
        <v>17</v>
      </c>
      <c r="AO82" s="64"/>
      <c r="AP82" s="64"/>
      <c r="AQ82" s="64"/>
      <c r="AR82" s="64"/>
      <c r="AS82" s="64"/>
      <c r="AT82" s="67" t="s">
        <v>17</v>
      </c>
      <c r="AU82" s="64"/>
      <c r="AV82" s="64"/>
      <c r="AW82" s="64"/>
      <c r="AX82" s="64"/>
      <c r="AY82" s="64"/>
      <c r="AZ82" s="588" t="s">
        <v>17</v>
      </c>
      <c r="BA82" s="657"/>
      <c r="BB82" s="657"/>
      <c r="BC82" s="657"/>
      <c r="BD82" s="657"/>
      <c r="BE82" s="657"/>
      <c r="BF82" s="67" t="s">
        <v>17</v>
      </c>
      <c r="BG82" s="64"/>
      <c r="BH82" s="64"/>
      <c r="BI82" s="64"/>
      <c r="BJ82" s="64"/>
      <c r="BK82" s="95"/>
      <c r="BL82" s="779" t="s">
        <v>17</v>
      </c>
      <c r="BM82" s="657"/>
      <c r="BN82" s="657"/>
      <c r="BO82" s="657"/>
      <c r="BP82" s="657"/>
      <c r="BQ82" s="788"/>
      <c r="BR82" s="96"/>
      <c r="BS82" s="96">
        <f t="shared" si="0"/>
        <v>0</v>
      </c>
      <c r="BT82" s="64"/>
    </row>
    <row r="83" spans="1:72" ht="12.75" customHeight="1">
      <c r="A83" s="64" t="s">
        <v>2422</v>
      </c>
      <c r="B83" s="64" t="s">
        <v>2633</v>
      </c>
      <c r="C83" s="64" t="s">
        <v>2440</v>
      </c>
      <c r="D83" s="64" t="s">
        <v>2634</v>
      </c>
      <c r="E83" s="64"/>
      <c r="F83" s="67"/>
      <c r="H83" s="64" t="s">
        <v>2426</v>
      </c>
      <c r="I83" s="64"/>
      <c r="J83" s="64"/>
      <c r="K83" s="67"/>
      <c r="M83" s="64" t="s">
        <v>2426</v>
      </c>
      <c r="N83" s="64" t="s">
        <v>2633</v>
      </c>
      <c r="O83" s="64"/>
      <c r="P83" s="67" t="s">
        <v>17</v>
      </c>
      <c r="Q83" s="64"/>
      <c r="R83" s="64"/>
      <c r="S83" s="64"/>
      <c r="T83" s="64"/>
      <c r="U83" s="95"/>
      <c r="V83" s="67" t="s">
        <v>17</v>
      </c>
      <c r="W83" s="64"/>
      <c r="X83" s="64"/>
      <c r="Y83" s="64"/>
      <c r="Z83" s="64"/>
      <c r="AA83" s="95"/>
      <c r="AB83" s="67" t="s">
        <v>17</v>
      </c>
      <c r="AC83" s="64"/>
      <c r="AD83" s="64"/>
      <c r="AE83" s="64"/>
      <c r="AF83" s="64"/>
      <c r="AG83" s="95"/>
      <c r="AH83" s="67" t="s">
        <v>17</v>
      </c>
      <c r="AI83" s="64"/>
      <c r="AJ83" s="64"/>
      <c r="AK83" s="64"/>
      <c r="AL83" s="64"/>
      <c r="AM83" s="95"/>
      <c r="AN83" s="67" t="s">
        <v>17</v>
      </c>
      <c r="AO83" s="64"/>
      <c r="AP83" s="64"/>
      <c r="AQ83" s="64"/>
      <c r="AR83" s="64"/>
      <c r="AS83" s="64"/>
      <c r="AT83" s="67" t="s">
        <v>17</v>
      </c>
      <c r="AU83" s="64"/>
      <c r="AV83" s="64"/>
      <c r="AW83" s="64"/>
      <c r="AX83" s="64"/>
      <c r="AY83" s="64"/>
      <c r="AZ83" s="588" t="s">
        <v>17</v>
      </c>
      <c r="BA83" s="657"/>
      <c r="BB83" s="657"/>
      <c r="BC83" s="657"/>
      <c r="BD83" s="657"/>
      <c r="BE83" s="657"/>
      <c r="BF83" s="67" t="s">
        <v>17</v>
      </c>
      <c r="BG83" s="64"/>
      <c r="BH83" s="64"/>
      <c r="BI83" s="64"/>
      <c r="BJ83" s="64"/>
      <c r="BK83" s="95"/>
      <c r="BL83" s="779" t="s">
        <v>17</v>
      </c>
      <c r="BM83" s="657"/>
      <c r="BN83" s="657"/>
      <c r="BO83" s="657"/>
      <c r="BP83" s="657"/>
      <c r="BQ83" s="788"/>
      <c r="BR83" s="96"/>
      <c r="BS83" s="96">
        <f t="shared" si="0"/>
        <v>0</v>
      </c>
      <c r="BT83" s="64"/>
    </row>
    <row r="84" spans="1:72" ht="12.75" customHeight="1">
      <c r="A84" s="64" t="s">
        <v>2422</v>
      </c>
      <c r="B84" s="64" t="s">
        <v>2635</v>
      </c>
      <c r="C84" s="64" t="s">
        <v>2440</v>
      </c>
      <c r="D84" s="64" t="s">
        <v>2625</v>
      </c>
      <c r="E84" s="64"/>
      <c r="F84" s="67"/>
      <c r="H84" s="64" t="s">
        <v>2426</v>
      </c>
      <c r="I84" s="64"/>
      <c r="J84" s="64"/>
      <c r="K84" s="67"/>
      <c r="M84" s="64" t="s">
        <v>2426</v>
      </c>
      <c r="N84" s="64" t="s">
        <v>2635</v>
      </c>
      <c r="O84" s="64"/>
      <c r="P84" s="67" t="s">
        <v>17</v>
      </c>
      <c r="Q84" s="64"/>
      <c r="R84" s="64"/>
      <c r="S84" s="64"/>
      <c r="T84" s="64"/>
      <c r="U84" s="95"/>
      <c r="V84" s="67" t="s">
        <v>17</v>
      </c>
      <c r="W84" s="64"/>
      <c r="X84" s="64"/>
      <c r="Y84" s="64"/>
      <c r="Z84" s="64"/>
      <c r="AA84" s="95"/>
      <c r="AB84" s="67" t="s">
        <v>17</v>
      </c>
      <c r="AC84" s="64"/>
      <c r="AD84" s="64"/>
      <c r="AE84" s="64"/>
      <c r="AF84" s="64"/>
      <c r="AG84" s="95"/>
      <c r="AH84" s="67" t="s">
        <v>17</v>
      </c>
      <c r="AI84" s="64"/>
      <c r="AJ84" s="64"/>
      <c r="AK84" s="64"/>
      <c r="AL84" s="64"/>
      <c r="AM84" s="95"/>
      <c r="AN84" s="67" t="s">
        <v>17</v>
      </c>
      <c r="AO84" s="64"/>
      <c r="AP84" s="64"/>
      <c r="AQ84" s="64"/>
      <c r="AR84" s="64"/>
      <c r="AS84" s="64"/>
      <c r="AT84" s="67" t="s">
        <v>17</v>
      </c>
      <c r="AU84" s="64"/>
      <c r="AV84" s="64"/>
      <c r="AW84" s="64"/>
      <c r="AX84" s="64"/>
      <c r="AY84" s="64"/>
      <c r="AZ84" s="588" t="s">
        <v>17</v>
      </c>
      <c r="BA84" s="657"/>
      <c r="BB84" s="657"/>
      <c r="BC84" s="657"/>
      <c r="BD84" s="657"/>
      <c r="BE84" s="657"/>
      <c r="BF84" s="67" t="s">
        <v>17</v>
      </c>
      <c r="BG84" s="64"/>
      <c r="BH84" s="64"/>
      <c r="BI84" s="64"/>
      <c r="BJ84" s="64"/>
      <c r="BK84" s="95"/>
      <c r="BL84" s="779" t="s">
        <v>17</v>
      </c>
      <c r="BM84" s="657"/>
      <c r="BN84" s="657"/>
      <c r="BO84" s="657"/>
      <c r="BP84" s="657"/>
      <c r="BQ84" s="788"/>
      <c r="BR84" s="96"/>
      <c r="BS84" s="96">
        <f t="shared" si="0"/>
        <v>0</v>
      </c>
      <c r="BT84" s="64"/>
    </row>
    <row r="85" spans="1:72" ht="12.75" customHeight="1">
      <c r="A85" s="64" t="s">
        <v>2422</v>
      </c>
      <c r="B85" s="64" t="s">
        <v>2636</v>
      </c>
      <c r="C85" s="64" t="s">
        <v>2440</v>
      </c>
      <c r="D85" s="64" t="s">
        <v>2637</v>
      </c>
      <c r="E85" s="64"/>
      <c r="F85" s="67"/>
      <c r="H85" s="64" t="s">
        <v>2426</v>
      </c>
      <c r="I85" s="64"/>
      <c r="J85" s="64"/>
      <c r="K85" s="67"/>
      <c r="M85" s="64" t="s">
        <v>2426</v>
      </c>
      <c r="N85" s="64" t="s">
        <v>2636</v>
      </c>
      <c r="O85" s="64"/>
      <c r="P85" s="67" t="s">
        <v>17</v>
      </c>
      <c r="Q85" s="64"/>
      <c r="R85" s="64"/>
      <c r="S85" s="64"/>
      <c r="T85" s="64"/>
      <c r="U85" s="95"/>
      <c r="V85" s="67" t="s">
        <v>17</v>
      </c>
      <c r="W85" s="64"/>
      <c r="X85" s="64"/>
      <c r="Y85" s="64"/>
      <c r="Z85" s="64"/>
      <c r="AA85" s="95"/>
      <c r="AB85" s="67" t="s">
        <v>17</v>
      </c>
      <c r="AC85" s="64"/>
      <c r="AD85" s="64"/>
      <c r="AE85" s="64"/>
      <c r="AF85" s="64"/>
      <c r="AG85" s="95"/>
      <c r="AH85" s="67" t="s">
        <v>17</v>
      </c>
      <c r="AI85" s="64"/>
      <c r="AJ85" s="64"/>
      <c r="AK85" s="64"/>
      <c r="AL85" s="64"/>
      <c r="AM85" s="95"/>
      <c r="AN85" s="67" t="s">
        <v>17</v>
      </c>
      <c r="AO85" s="64"/>
      <c r="AP85" s="64"/>
      <c r="AQ85" s="64"/>
      <c r="AR85" s="64"/>
      <c r="AS85" s="64"/>
      <c r="AT85" s="67" t="s">
        <v>17</v>
      </c>
      <c r="AU85" s="64"/>
      <c r="AV85" s="64"/>
      <c r="AW85" s="64"/>
      <c r="AX85" s="64"/>
      <c r="AY85" s="64"/>
      <c r="AZ85" s="588" t="s">
        <v>17</v>
      </c>
      <c r="BA85" s="657"/>
      <c r="BB85" s="657"/>
      <c r="BC85" s="657"/>
      <c r="BD85" s="657"/>
      <c r="BE85" s="657"/>
      <c r="BF85" s="67" t="s">
        <v>17</v>
      </c>
      <c r="BG85" s="64"/>
      <c r="BH85" s="64"/>
      <c r="BI85" s="64"/>
      <c r="BJ85" s="64"/>
      <c r="BK85" s="95"/>
      <c r="BL85" s="779" t="s">
        <v>17</v>
      </c>
      <c r="BM85" s="657"/>
      <c r="BN85" s="657"/>
      <c r="BO85" s="657"/>
      <c r="BP85" s="657"/>
      <c r="BQ85" s="788"/>
      <c r="BR85" s="96"/>
      <c r="BS85" s="96">
        <f t="shared" si="0"/>
        <v>0</v>
      </c>
      <c r="BT85" s="64"/>
    </row>
    <row r="86" spans="1:72" ht="12.75" customHeight="1">
      <c r="A86" s="64" t="s">
        <v>2422</v>
      </c>
      <c r="B86" s="64" t="s">
        <v>2638</v>
      </c>
      <c r="C86" s="64" t="s">
        <v>2440</v>
      </c>
      <c r="D86" s="64" t="s">
        <v>2639</v>
      </c>
      <c r="E86" s="64"/>
      <c r="F86" s="67"/>
      <c r="H86" s="64" t="s">
        <v>2438</v>
      </c>
      <c r="I86" s="64"/>
      <c r="J86" s="64"/>
      <c r="K86" s="67" t="str">
        <f t="shared" ref="K86:K91" si="7">IF(L86="YES","ja",IF(L86="NO","nein",""))</f>
        <v/>
      </c>
      <c r="M86" s="64" t="s">
        <v>2438</v>
      </c>
      <c r="N86" s="64" t="s">
        <v>2638</v>
      </c>
      <c r="O86" s="64"/>
      <c r="P86" s="67" t="s">
        <v>17</v>
      </c>
      <c r="Q86" s="64"/>
      <c r="R86" s="64"/>
      <c r="S86" s="64"/>
      <c r="T86" s="64"/>
      <c r="U86" s="95"/>
      <c r="V86" s="67" t="s">
        <v>17</v>
      </c>
      <c r="W86" s="64"/>
      <c r="X86" s="64"/>
      <c r="Y86" s="64"/>
      <c r="Z86" s="64"/>
      <c r="AA86" s="95"/>
      <c r="AB86" s="67" t="s">
        <v>17</v>
      </c>
      <c r="AC86" s="64"/>
      <c r="AD86" s="64"/>
      <c r="AE86" s="64"/>
      <c r="AF86" s="64"/>
      <c r="AG86" s="95"/>
      <c r="AH86" s="67" t="s">
        <v>17</v>
      </c>
      <c r="AI86" s="64"/>
      <c r="AJ86" s="64"/>
      <c r="AK86" s="64"/>
      <c r="AL86" s="64"/>
      <c r="AM86" s="95"/>
      <c r="AN86" s="67" t="s">
        <v>17</v>
      </c>
      <c r="AO86" s="64"/>
      <c r="AP86" s="64"/>
      <c r="AQ86" s="64"/>
      <c r="AR86" s="64"/>
      <c r="AS86" s="64"/>
      <c r="AT86" s="67" t="s">
        <v>17</v>
      </c>
      <c r="AU86" s="64"/>
      <c r="AV86" s="64"/>
      <c r="AW86" s="64"/>
      <c r="AX86" s="64"/>
      <c r="AY86" s="64"/>
      <c r="AZ86" s="588" t="s">
        <v>17</v>
      </c>
      <c r="BA86" s="657"/>
      <c r="BB86" s="657"/>
      <c r="BC86" s="657"/>
      <c r="BD86" s="657"/>
      <c r="BE86" s="657"/>
      <c r="BF86" s="67" t="s">
        <v>17</v>
      </c>
      <c r="BG86" s="64"/>
      <c r="BH86" s="64"/>
      <c r="BI86" s="64"/>
      <c r="BJ86" s="64"/>
      <c r="BK86" s="95"/>
      <c r="BL86" s="779" t="s">
        <v>17</v>
      </c>
      <c r="BM86" s="657"/>
      <c r="BN86" s="657"/>
      <c r="BO86" s="657"/>
      <c r="BP86" s="657"/>
      <c r="BQ86" s="788"/>
      <c r="BR86" s="96"/>
      <c r="BS86" s="96">
        <f t="shared" si="0"/>
        <v>0</v>
      </c>
      <c r="BT86" s="64"/>
    </row>
    <row r="87" spans="1:72" ht="12.75" customHeight="1">
      <c r="A87" s="64" t="s">
        <v>2422</v>
      </c>
      <c r="B87" s="64" t="s">
        <v>2640</v>
      </c>
      <c r="C87" s="64" t="s">
        <v>2446</v>
      </c>
      <c r="D87" s="64" t="s">
        <v>2641</v>
      </c>
      <c r="E87" s="64"/>
      <c r="F87" s="67"/>
      <c r="H87" s="64" t="s">
        <v>2438</v>
      </c>
      <c r="I87" s="64"/>
      <c r="J87" s="64"/>
      <c r="K87" s="67" t="str">
        <f t="shared" si="7"/>
        <v/>
      </c>
      <c r="M87" s="64" t="s">
        <v>2438</v>
      </c>
      <c r="N87" s="64" t="s">
        <v>2640</v>
      </c>
      <c r="O87" s="64"/>
      <c r="P87" s="67" t="s">
        <v>17</v>
      </c>
      <c r="Q87" s="64"/>
      <c r="R87" s="64"/>
      <c r="S87" s="64"/>
      <c r="T87" s="64"/>
      <c r="U87" s="95"/>
      <c r="V87" s="67" t="s">
        <v>17</v>
      </c>
      <c r="W87" s="64"/>
      <c r="X87" s="64"/>
      <c r="Y87" s="64"/>
      <c r="Z87" s="64"/>
      <c r="AA87" s="95"/>
      <c r="AB87" s="67" t="s">
        <v>17</v>
      </c>
      <c r="AC87" s="64"/>
      <c r="AD87" s="64"/>
      <c r="AE87" s="64"/>
      <c r="AF87" s="64"/>
      <c r="AG87" s="95"/>
      <c r="AH87" s="67" t="s">
        <v>17</v>
      </c>
      <c r="AI87" s="64"/>
      <c r="AJ87" s="64"/>
      <c r="AK87" s="64"/>
      <c r="AL87" s="64"/>
      <c r="AM87" s="95"/>
      <c r="AN87" s="67" t="s">
        <v>17</v>
      </c>
      <c r="AO87" s="64"/>
      <c r="AP87" s="64"/>
      <c r="AQ87" s="64"/>
      <c r="AR87" s="64"/>
      <c r="AS87" s="64"/>
      <c r="AT87" s="67" t="s">
        <v>17</v>
      </c>
      <c r="AU87" s="64"/>
      <c r="AV87" s="64"/>
      <c r="AW87" s="64"/>
      <c r="AX87" s="64"/>
      <c r="AY87" s="64"/>
      <c r="AZ87" s="588" t="s">
        <v>17</v>
      </c>
      <c r="BA87" s="657"/>
      <c r="BB87" s="657"/>
      <c r="BC87" s="657"/>
      <c r="BD87" s="657"/>
      <c r="BE87" s="657"/>
      <c r="BF87" s="67" t="s">
        <v>17</v>
      </c>
      <c r="BG87" s="64"/>
      <c r="BH87" s="64"/>
      <c r="BI87" s="64"/>
      <c r="BJ87" s="64"/>
      <c r="BK87" s="95"/>
      <c r="BL87" s="779" t="s">
        <v>17</v>
      </c>
      <c r="BM87" s="657"/>
      <c r="BN87" s="657"/>
      <c r="BO87" s="657"/>
      <c r="BP87" s="657"/>
      <c r="BQ87" s="788"/>
      <c r="BR87" s="96"/>
      <c r="BS87" s="96">
        <f t="shared" si="0"/>
        <v>0</v>
      </c>
      <c r="BT87" s="64"/>
    </row>
    <row r="88" spans="1:72" ht="12.75" customHeight="1">
      <c r="A88" s="64" t="s">
        <v>2422</v>
      </c>
      <c r="B88" s="64" t="s">
        <v>2642</v>
      </c>
      <c r="C88" s="64" t="s">
        <v>2446</v>
      </c>
      <c r="D88" s="64" t="s">
        <v>2643</v>
      </c>
      <c r="E88" s="64"/>
      <c r="F88" s="67"/>
      <c r="H88" s="64" t="s">
        <v>2438</v>
      </c>
      <c r="I88" s="64"/>
      <c r="J88" s="64"/>
      <c r="K88" s="67" t="str">
        <f t="shared" si="7"/>
        <v/>
      </c>
      <c r="M88" s="64" t="s">
        <v>2438</v>
      </c>
      <c r="N88" s="64" t="s">
        <v>2642</v>
      </c>
      <c r="O88" s="64"/>
      <c r="P88" s="67" t="s">
        <v>2432</v>
      </c>
      <c r="Q88" s="64" t="str">
        <f>IF(K88=NeinAntwort,Referral,Dunkelverarbeitung)</f>
        <v>Dunkelverarbeitung</v>
      </c>
      <c r="R88" s="64"/>
      <c r="S88" s="64"/>
      <c r="T88" s="64"/>
      <c r="U88" s="64"/>
      <c r="V88" s="67" t="s">
        <v>17</v>
      </c>
      <c r="W88" s="64"/>
      <c r="X88" s="64"/>
      <c r="Y88" s="64"/>
      <c r="Z88" s="64"/>
      <c r="AA88" s="95"/>
      <c r="AB88" s="67" t="s">
        <v>2432</v>
      </c>
      <c r="AC88" s="64" t="str">
        <f>IF(K88=NeinAntwort,Referral,Dunkelverarbeitung)</f>
        <v>Dunkelverarbeitung</v>
      </c>
      <c r="AD88" s="64"/>
      <c r="AE88" s="64"/>
      <c r="AF88" s="64"/>
      <c r="AG88" s="95"/>
      <c r="AH88" s="67" t="s">
        <v>2432</v>
      </c>
      <c r="AJ88" s="64" t="str">
        <f>IF(K88=NeinAntwort,"KO Trigger",Dunkelverarbeitung)</f>
        <v>Dunkelverarbeitung</v>
      </c>
      <c r="AK88" s="64"/>
      <c r="AL88" s="64"/>
      <c r="AM88" s="95"/>
      <c r="AN88" s="67" t="s">
        <v>2432</v>
      </c>
      <c r="AO88" s="64" t="str">
        <f>IF(K88=NeinAntwort,Referral,Dunkelverarbeitung)</f>
        <v>Dunkelverarbeitung</v>
      </c>
      <c r="AP88" s="64"/>
      <c r="AQ88" s="64"/>
      <c r="AR88" s="64"/>
      <c r="AS88" s="64"/>
      <c r="AT88" s="67" t="s">
        <v>2432</v>
      </c>
      <c r="AU88" s="64"/>
      <c r="AV88" s="64" t="str">
        <f>IF(K88=NeinAntwort,"KO Trigger",Dunkelverarbeitung)</f>
        <v>Dunkelverarbeitung</v>
      </c>
      <c r="AW88" s="64"/>
      <c r="AX88" s="64"/>
      <c r="AY88" s="64"/>
      <c r="AZ88" s="588" t="s">
        <v>2432</v>
      </c>
      <c r="BA88" s="657" t="str">
        <f>IF(K88=NeinAntwort,Referral,Dunkelverarbeitung)</f>
        <v>Dunkelverarbeitung</v>
      </c>
      <c r="BB88" s="657"/>
      <c r="BC88" s="657"/>
      <c r="BD88" s="657"/>
      <c r="BE88" s="657"/>
      <c r="BF88" s="67" t="s">
        <v>2432</v>
      </c>
      <c r="BG88" s="64"/>
      <c r="BH88" s="64" t="str">
        <f>IF(K88=NeinAntwort,"KO Trigger",Dunkelverarbeitung)</f>
        <v>Dunkelverarbeitung</v>
      </c>
      <c r="BI88" s="64"/>
      <c r="BJ88" s="64"/>
      <c r="BK88" s="95"/>
      <c r="BL88" s="67" t="s">
        <v>2432</v>
      </c>
      <c r="BM88" s="657"/>
      <c r="BN88" s="64" t="str">
        <f>IF(K88=NeinAntwort,"KO Trigger",Dunkelverarbeitung)</f>
        <v>Dunkelverarbeitung</v>
      </c>
      <c r="BO88" s="657"/>
      <c r="BP88" s="657"/>
      <c r="BQ88" s="788"/>
      <c r="BR88" s="96" t="s">
        <v>2602</v>
      </c>
      <c r="BS88" s="96" t="str">
        <f t="shared" si="0"/>
        <v>Negatives Eigenkapital</v>
      </c>
      <c r="BT88" s="64"/>
    </row>
    <row r="89" spans="1:72" ht="12.75" customHeight="1">
      <c r="A89" s="64" t="s">
        <v>2422</v>
      </c>
      <c r="B89" s="64" t="s">
        <v>2644</v>
      </c>
      <c r="C89" s="64" t="s">
        <v>2446</v>
      </c>
      <c r="D89" s="64" t="s">
        <v>2645</v>
      </c>
      <c r="E89" s="64"/>
      <c r="F89" s="67"/>
      <c r="H89" s="64" t="s">
        <v>2438</v>
      </c>
      <c r="I89" s="64"/>
      <c r="J89" s="64"/>
      <c r="K89" s="67" t="str">
        <f t="shared" si="7"/>
        <v/>
      </c>
      <c r="M89" s="64" t="s">
        <v>2438</v>
      </c>
      <c r="N89" s="64" t="s">
        <v>2644</v>
      </c>
      <c r="O89" s="64"/>
      <c r="P89" s="67" t="s">
        <v>2432</v>
      </c>
      <c r="Q89" s="64" t="str">
        <f>IF(K89=JaAntwort,Referral,Dunkelverarbeitung)</f>
        <v>Dunkelverarbeitung</v>
      </c>
      <c r="R89" s="64"/>
      <c r="S89" s="64"/>
      <c r="T89" s="64"/>
      <c r="U89" s="95"/>
      <c r="V89" s="67" t="s">
        <v>17</v>
      </c>
      <c r="W89" s="64"/>
      <c r="X89" s="64"/>
      <c r="Y89" s="64"/>
      <c r="Z89" s="64"/>
      <c r="AA89" s="95"/>
      <c r="AB89" s="67" t="s">
        <v>2432</v>
      </c>
      <c r="AC89" s="64" t="str">
        <f>IF(K89=JaAntwort,Referral,Dunkelverarbeitung)</f>
        <v>Dunkelverarbeitung</v>
      </c>
      <c r="AD89" s="64"/>
      <c r="AE89" s="64"/>
      <c r="AF89" s="64"/>
      <c r="AG89" s="95"/>
      <c r="AH89" s="67" t="s">
        <v>2432</v>
      </c>
      <c r="AI89" s="64" t="str">
        <f>IF(K89=JaAntwort,Referral,Dunkelverarbeitung)</f>
        <v>Dunkelverarbeitung</v>
      </c>
      <c r="AJ89" s="64"/>
      <c r="AK89" s="64"/>
      <c r="AL89" s="64"/>
      <c r="AM89" s="95"/>
      <c r="AN89" s="67" t="s">
        <v>2432</v>
      </c>
      <c r="AO89" s="64" t="str">
        <f>IF(K89=JaAntwort,Referral,Dunkelverarbeitung)</f>
        <v>Dunkelverarbeitung</v>
      </c>
      <c r="AP89" s="64"/>
      <c r="AQ89" s="64"/>
      <c r="AR89" s="64"/>
      <c r="AS89" s="64"/>
      <c r="AT89" s="67" t="s">
        <v>2432</v>
      </c>
      <c r="AU89" s="64" t="str">
        <f>IF(K89=JaAntwort,Referral,Dunkelverarbeitung)</f>
        <v>Dunkelverarbeitung</v>
      </c>
      <c r="AV89" s="64"/>
      <c r="AW89" s="64"/>
      <c r="AX89" s="64"/>
      <c r="AY89" s="64"/>
      <c r="AZ89" s="588" t="s">
        <v>2432</v>
      </c>
      <c r="BA89" s="657" t="str">
        <f>IF(K89=JaAntwort,Referral,Dunkelverarbeitung)</f>
        <v>Dunkelverarbeitung</v>
      </c>
      <c r="BB89" s="657"/>
      <c r="BC89" s="657"/>
      <c r="BD89" s="657" t="s">
        <v>3729</v>
      </c>
      <c r="BE89" s="657"/>
      <c r="BF89" s="67" t="s">
        <v>2432</v>
      </c>
      <c r="BG89" s="64"/>
      <c r="BH89" s="64" t="str">
        <f>IF(K89=JaAntwort,"KO Trigger",Dunkelverarbeitung)</f>
        <v>Dunkelverarbeitung</v>
      </c>
      <c r="BI89" s="64"/>
      <c r="BJ89" s="64"/>
      <c r="BK89" s="95"/>
      <c r="BL89" s="67" t="s">
        <v>2432</v>
      </c>
      <c r="BM89" s="64" t="str">
        <f>IF(K89=JaAntwort,Referral,Dunkelverarbeitung)</f>
        <v>Dunkelverarbeitung</v>
      </c>
      <c r="BN89" s="657"/>
      <c r="BO89" s="657"/>
      <c r="BP89" s="657"/>
      <c r="BQ89" s="788"/>
      <c r="BR89" s="96" t="s">
        <v>3775</v>
      </c>
      <c r="BS89" s="96" t="str">
        <f t="shared" si="0"/>
        <v>Der satzungsmäßige oder tatsächliche Zweck der VN besteht in der Familienvermögenverwaltung, der Erbringung von rechts-, steuerberatenden oder wirtschaftsprüfenden Dienstleistungen, der Verwaltung von Vermögen oder Kassen zur Altersversorge oder Gewinnerzielung.</v>
      </c>
      <c r="BT89" s="64"/>
    </row>
    <row r="90" spans="1:72" ht="12.75" customHeight="1">
      <c r="A90" s="64" t="s">
        <v>2422</v>
      </c>
      <c r="B90" s="64" t="s">
        <v>2646</v>
      </c>
      <c r="C90" s="64" t="s">
        <v>2446</v>
      </c>
      <c r="D90" s="64" t="s">
        <v>2647</v>
      </c>
      <c r="E90" s="64"/>
      <c r="F90" s="67"/>
      <c r="H90" s="64" t="s">
        <v>2438</v>
      </c>
      <c r="I90" s="64"/>
      <c r="J90" s="64"/>
      <c r="K90" s="67" t="str">
        <f t="shared" si="7"/>
        <v/>
      </c>
      <c r="M90" s="64" t="s">
        <v>2438</v>
      </c>
      <c r="N90" s="64" t="s">
        <v>2646</v>
      </c>
      <c r="O90" s="64"/>
      <c r="P90" s="67" t="s">
        <v>2432</v>
      </c>
      <c r="Q90" s="64" t="str">
        <f>IF(K90=NeinAntwort,Referral,Dunkelverarbeitung)</f>
        <v>Dunkelverarbeitung</v>
      </c>
      <c r="R90" s="64"/>
      <c r="S90" s="64"/>
      <c r="T90" s="64"/>
      <c r="U90" s="95"/>
      <c r="V90" s="67" t="s">
        <v>17</v>
      </c>
      <c r="W90" s="64"/>
      <c r="X90" s="64"/>
      <c r="Y90" s="64"/>
      <c r="Z90" s="64"/>
      <c r="AA90" s="95"/>
      <c r="AB90" s="67" t="s">
        <v>17</v>
      </c>
      <c r="AC90" s="64"/>
      <c r="AD90" s="64"/>
      <c r="AE90" s="64"/>
      <c r="AF90" s="64"/>
      <c r="AG90" s="95"/>
      <c r="AH90" s="67" t="s">
        <v>2432</v>
      </c>
      <c r="AI90" s="64"/>
      <c r="AJ90" s="64" t="str">
        <f>IF(K90=NeinAntwort,"KO Trigger",Dunkelverarbeitung)</f>
        <v>Dunkelverarbeitung</v>
      </c>
      <c r="AK90" s="64"/>
      <c r="AL90" s="64"/>
      <c r="AM90" s="95"/>
      <c r="AN90" s="67" t="s">
        <v>2432</v>
      </c>
      <c r="AO90" s="64" t="str">
        <f>IF(K90=NeinAntwort,Referral,Dunkelverarbeitung)</f>
        <v>Dunkelverarbeitung</v>
      </c>
      <c r="AP90" s="64"/>
      <c r="AQ90" s="64"/>
      <c r="AR90" s="64"/>
      <c r="AS90" s="64"/>
      <c r="AT90" s="67" t="s">
        <v>17</v>
      </c>
      <c r="AU90" s="64" t="str">
        <f>IF(K90=NeinAntwort,Referral,Dunkelverarbeitung)</f>
        <v>Dunkelverarbeitung</v>
      </c>
      <c r="AV90" s="64"/>
      <c r="AW90" s="64"/>
      <c r="AX90" s="64"/>
      <c r="AY90" s="64"/>
      <c r="AZ90" s="588" t="s">
        <v>17</v>
      </c>
      <c r="BA90" s="657"/>
      <c r="BB90" s="657"/>
      <c r="BC90" s="657"/>
      <c r="BD90" s="657"/>
      <c r="BE90" s="657"/>
      <c r="BF90" s="67" t="s">
        <v>2432</v>
      </c>
      <c r="BG90" s="64"/>
      <c r="BH90" s="64" t="str">
        <f>IF(K90=NeinAntwort,"KO Trigger",Dunkelverarbeitung)</f>
        <v>Dunkelverarbeitung</v>
      </c>
      <c r="BI90" s="64"/>
      <c r="BJ90" s="64"/>
      <c r="BK90" s="95"/>
      <c r="BL90" s="67" t="s">
        <v>2432</v>
      </c>
      <c r="BM90" s="657"/>
      <c r="BN90" s="64" t="str">
        <f>IF(K90=NeinAntwort,"KO Trigger",Dunkelverarbeitung)</f>
        <v>Dunkelverarbeitung</v>
      </c>
      <c r="BO90" s="657"/>
      <c r="BP90" s="657"/>
      <c r="BQ90" s="788"/>
      <c r="BR90" s="96" t="s">
        <v>3776</v>
      </c>
      <c r="BS90" s="96" t="str">
        <f t="shared" si="0"/>
        <v>Die Rechnungslegung der VN erfolgt nicht nach den für sie geltenden gesetzlichen Bestimmungen.</v>
      </c>
      <c r="BT90" s="64"/>
    </row>
    <row r="91" spans="1:72" ht="12.75" customHeight="1">
      <c r="A91" s="64" t="s">
        <v>2422</v>
      </c>
      <c r="B91" s="64" t="s">
        <v>2648</v>
      </c>
      <c r="C91" s="64" t="s">
        <v>2446</v>
      </c>
      <c r="D91" s="64" t="s">
        <v>2649</v>
      </c>
      <c r="E91" s="64"/>
      <c r="F91" s="67"/>
      <c r="H91" s="64" t="s">
        <v>2438</v>
      </c>
      <c r="I91" s="64"/>
      <c r="J91" s="64"/>
      <c r="K91" s="67" t="str">
        <f t="shared" si="7"/>
        <v/>
      </c>
      <c r="M91" s="64" t="s">
        <v>2438</v>
      </c>
      <c r="N91" s="64" t="s">
        <v>2648</v>
      </c>
      <c r="O91" s="64"/>
      <c r="P91" s="67" t="s">
        <v>2432</v>
      </c>
      <c r="Q91" s="64" t="str">
        <f>IF( AND(K91=NeinAntwort,OR(K8="gGMBH",K8="e.V.",K8="Stiftung döR")),Referral,Dunkelverarbeitung)</f>
        <v>Dunkelverarbeitung</v>
      </c>
      <c r="R91" s="64"/>
      <c r="S91" s="64"/>
      <c r="T91" s="64"/>
      <c r="U91" s="95"/>
      <c r="V91" s="67" t="s">
        <v>17</v>
      </c>
      <c r="W91" s="123" t="str">
        <f>IF( AND(K91=NeinAntwort,OR(K8="gGMBH",K8="e.V.",K8="Stiftung döR")),Referral,Dunkelverarbeitung)</f>
        <v>Dunkelverarbeitung</v>
      </c>
      <c r="X91" s="64"/>
      <c r="Y91" s="64"/>
      <c r="Z91" s="64"/>
      <c r="AA91" s="95"/>
      <c r="AB91" s="67" t="s">
        <v>17</v>
      </c>
      <c r="AC91" s="64" t="str">
        <f>IF( AND(K91=NeinAntwort,OR(K8="gGMBH",K8="e.V.",K8="Stiftung döR")),Referral,Dunkelverarbeitung)</f>
        <v>Dunkelverarbeitung</v>
      </c>
      <c r="AD91" s="64"/>
      <c r="AE91" s="64"/>
      <c r="AF91" s="64"/>
      <c r="AG91" s="95"/>
      <c r="AH91" s="67" t="s">
        <v>17</v>
      </c>
      <c r="AI91" s="64" t="str">
        <f>IF(K91=NeinAntwort,Referral,Dunkelverarbeitung)</f>
        <v>Dunkelverarbeitung</v>
      </c>
      <c r="AJ91" s="64"/>
      <c r="AK91" s="64"/>
      <c r="AL91" s="64"/>
      <c r="AM91" s="95"/>
      <c r="AN91" s="67" t="s">
        <v>2432</v>
      </c>
      <c r="AO91" s="64" t="str">
        <f>IF( AND(K91=NeinAntwort,OR(K8="gGMBH",K8="e.V.",K8="Stiftung döR")),Referral,Dunkelverarbeitung)</f>
        <v>Dunkelverarbeitung</v>
      </c>
      <c r="AP91" s="64"/>
      <c r="AQ91" s="64"/>
      <c r="AR91" s="64"/>
      <c r="AS91" s="64"/>
      <c r="AT91" s="67" t="s">
        <v>17</v>
      </c>
      <c r="AU91" s="64"/>
      <c r="AV91" s="64"/>
      <c r="AW91" s="64"/>
      <c r="AX91" s="64"/>
      <c r="AY91" s="64"/>
      <c r="AZ91" s="588" t="s">
        <v>17</v>
      </c>
      <c r="BA91" s="657"/>
      <c r="BB91" s="657"/>
      <c r="BC91" s="657"/>
      <c r="BD91" s="657"/>
      <c r="BE91" s="657"/>
      <c r="BF91" s="67" t="s">
        <v>2432</v>
      </c>
      <c r="BG91" s="64"/>
      <c r="BH91" s="64" t="str">
        <f>IF(K91=NeinAntwort,"KO Trigger",Dunkelverarbeitung)</f>
        <v>Dunkelverarbeitung</v>
      </c>
      <c r="BI91" s="64"/>
      <c r="BJ91" s="64"/>
      <c r="BK91" s="95"/>
      <c r="BL91" s="67" t="s">
        <v>2432</v>
      </c>
      <c r="BM91" s="64" t="str">
        <f>IF(K91=NeinAntwort,Referral,Dunkelverarbeitung)</f>
        <v>Dunkelverarbeitung</v>
      </c>
      <c r="BN91" s="657"/>
      <c r="BO91" s="657"/>
      <c r="BP91" s="657"/>
      <c r="BQ91" s="788"/>
      <c r="BR91" s="96" t="s">
        <v>2650</v>
      </c>
      <c r="BS91" s="96" t="str">
        <f t="shared" si="0"/>
        <v>Die VN ist nicht seit mehr als drei Jahren mit dem gleichen Zweck tätig.</v>
      </c>
      <c r="BT91" s="64"/>
    </row>
    <row r="92" spans="1:72" ht="12.75" customHeight="1">
      <c r="A92" s="64" t="s">
        <v>2422</v>
      </c>
      <c r="B92" s="64" t="s">
        <v>2651</v>
      </c>
      <c r="C92" s="64" t="s">
        <v>2652</v>
      </c>
      <c r="D92" s="64" t="s">
        <v>2653</v>
      </c>
      <c r="E92" s="64"/>
      <c r="F92" s="67"/>
      <c r="H92" s="64" t="s">
        <v>2442</v>
      </c>
      <c r="I92" s="64"/>
      <c r="J92" s="64"/>
      <c r="K92" s="67"/>
      <c r="M92" s="64" t="s">
        <v>2442</v>
      </c>
      <c r="N92" s="64" t="s">
        <v>2651</v>
      </c>
      <c r="O92" s="64"/>
      <c r="P92" s="67" t="s">
        <v>17</v>
      </c>
      <c r="Q92" s="64"/>
      <c r="R92" s="64"/>
      <c r="S92" s="64"/>
      <c r="T92" s="64"/>
      <c r="U92" s="95"/>
      <c r="V92" s="67" t="s">
        <v>17</v>
      </c>
      <c r="W92" s="64"/>
      <c r="X92" s="64"/>
      <c r="Y92" s="64"/>
      <c r="Z92" s="64"/>
      <c r="AA92" s="95"/>
      <c r="AB92" s="67" t="s">
        <v>2432</v>
      </c>
      <c r="AC92" s="64" t="str">
        <f>IF(K92&lt;&gt;"",Referral,Dunkelverarbeitung)</f>
        <v>Dunkelverarbeitung</v>
      </c>
      <c r="AD92" s="64"/>
      <c r="AE92" s="64"/>
      <c r="AF92" s="64"/>
      <c r="AG92" s="95"/>
      <c r="AH92" s="67" t="s">
        <v>17</v>
      </c>
      <c r="AI92" s="64"/>
      <c r="AJ92" s="64"/>
      <c r="AK92" s="64"/>
      <c r="AL92" s="64"/>
      <c r="AM92" s="95"/>
      <c r="AN92" s="67" t="s">
        <v>17</v>
      </c>
      <c r="AO92" s="64"/>
      <c r="AP92" s="64"/>
      <c r="AQ92" s="64"/>
      <c r="AR92" s="64"/>
      <c r="AS92" s="64"/>
      <c r="AT92" s="67" t="s">
        <v>17</v>
      </c>
      <c r="AU92" s="64"/>
      <c r="AV92" s="64"/>
      <c r="AW92" s="64"/>
      <c r="AX92" s="64"/>
      <c r="AY92" s="64"/>
      <c r="AZ92" s="588" t="s">
        <v>17</v>
      </c>
      <c r="BA92" s="657"/>
      <c r="BB92" s="657"/>
      <c r="BC92" s="657"/>
      <c r="BD92" s="657"/>
      <c r="BE92" s="657"/>
      <c r="BF92" s="67" t="s">
        <v>17</v>
      </c>
      <c r="BG92" s="64"/>
      <c r="BH92" s="64"/>
      <c r="BI92" s="64"/>
      <c r="BJ92" s="64"/>
      <c r="BK92" s="95"/>
      <c r="BL92" s="67" t="s">
        <v>2432</v>
      </c>
      <c r="BM92" s="657" t="str">
        <f>IF(K92&lt;&gt;"",Referral,Dunkelverarbeitung)</f>
        <v>Dunkelverarbeitung</v>
      </c>
      <c r="BN92" s="657"/>
      <c r="BO92" s="657"/>
      <c r="BP92" s="657"/>
      <c r="BQ92" s="788"/>
      <c r="BR92" s="96" t="s">
        <v>2654</v>
      </c>
      <c r="BS92" s="96" t="str">
        <f t="shared" si="0"/>
        <v>Aktiva aller Beteiligungsgesellschaften/ Tochtergesellschaften in Nordamerika</v>
      </c>
      <c r="BT92" s="64"/>
    </row>
    <row r="93" spans="1:72" ht="12.75" customHeight="1">
      <c r="A93" s="64" t="s">
        <v>2422</v>
      </c>
      <c r="B93" s="64" t="s">
        <v>2655</v>
      </c>
      <c r="C93" s="64" t="s">
        <v>2652</v>
      </c>
      <c r="D93" s="64" t="s">
        <v>2656</v>
      </c>
      <c r="E93" s="64"/>
      <c r="F93" s="67"/>
      <c r="H93" s="64" t="s">
        <v>2442</v>
      </c>
      <c r="I93" s="64"/>
      <c r="J93" s="64"/>
      <c r="K93" s="67"/>
      <c r="M93" s="64" t="s">
        <v>2442</v>
      </c>
      <c r="N93" s="64" t="s">
        <v>2655</v>
      </c>
      <c r="O93" s="64"/>
      <c r="P93" s="67" t="s">
        <v>17</v>
      </c>
      <c r="Q93" s="64"/>
      <c r="R93" s="64"/>
      <c r="S93" s="64"/>
      <c r="T93" s="64"/>
      <c r="U93" s="95"/>
      <c r="V93" s="67" t="s">
        <v>17</v>
      </c>
      <c r="W93" s="64"/>
      <c r="X93" s="64"/>
      <c r="Y93" s="64"/>
      <c r="Z93" s="64"/>
      <c r="AA93" s="95"/>
      <c r="AB93" s="67" t="s">
        <v>2432</v>
      </c>
      <c r="AC93" s="64" t="str">
        <f>IF(K93&lt;&gt;"",Referral,Dunkelverarbeitung)</f>
        <v>Dunkelverarbeitung</v>
      </c>
      <c r="AD93" s="64"/>
      <c r="AE93" s="64"/>
      <c r="AF93" s="64"/>
      <c r="AG93" s="95"/>
      <c r="AH93" s="67" t="s">
        <v>17</v>
      </c>
      <c r="AI93" s="64"/>
      <c r="AJ93" s="64"/>
      <c r="AK93" s="64"/>
      <c r="AL93" s="64"/>
      <c r="AM93" s="95"/>
      <c r="AN93" s="67" t="s">
        <v>17</v>
      </c>
      <c r="AO93" s="64"/>
      <c r="AP93" s="64"/>
      <c r="AQ93" s="64"/>
      <c r="AR93" s="64"/>
      <c r="AS93" s="64"/>
      <c r="AT93" s="67" t="s">
        <v>17</v>
      </c>
      <c r="AU93" s="64"/>
      <c r="AV93" s="64"/>
      <c r="AW93" s="64"/>
      <c r="AX93" s="64"/>
      <c r="AY93" s="64"/>
      <c r="AZ93" s="588" t="s">
        <v>17</v>
      </c>
      <c r="BA93" s="657"/>
      <c r="BB93" s="657"/>
      <c r="BC93" s="657"/>
      <c r="BD93" s="657"/>
      <c r="BE93" s="657"/>
      <c r="BF93" s="67" t="s">
        <v>17</v>
      </c>
      <c r="BG93" s="64"/>
      <c r="BH93" s="64"/>
      <c r="BI93" s="64"/>
      <c r="BJ93" s="64"/>
      <c r="BK93" s="95"/>
      <c r="BL93" s="67" t="s">
        <v>2432</v>
      </c>
      <c r="BM93" s="657" t="str">
        <f>IF(K93&lt;&gt;"",Referral,Dunkelverarbeitung)</f>
        <v>Dunkelverarbeitung</v>
      </c>
      <c r="BN93" s="657"/>
      <c r="BO93" s="657"/>
      <c r="BP93" s="657"/>
      <c r="BQ93" s="788"/>
      <c r="BR93" s="96" t="s">
        <v>2657</v>
      </c>
      <c r="BS93" s="96" t="str">
        <f t="shared" si="0"/>
        <v>Mitarbeiter in Nordamerika</v>
      </c>
      <c r="BT93" s="64"/>
    </row>
    <row r="94" spans="1:72" ht="12.75" customHeight="1">
      <c r="A94" s="64" t="s">
        <v>2422</v>
      </c>
      <c r="B94" s="64" t="s">
        <v>2658</v>
      </c>
      <c r="C94" s="64" t="s">
        <v>2652</v>
      </c>
      <c r="D94" s="64" t="s">
        <v>2659</v>
      </c>
      <c r="E94" s="64"/>
      <c r="F94" s="67"/>
      <c r="H94" s="64" t="s">
        <v>2426</v>
      </c>
      <c r="I94" s="64"/>
      <c r="J94" s="64"/>
      <c r="K94" s="67"/>
      <c r="M94" s="64" t="s">
        <v>2426</v>
      </c>
      <c r="N94" s="64" t="s">
        <v>2658</v>
      </c>
      <c r="O94" s="64"/>
      <c r="P94" s="67" t="s">
        <v>17</v>
      </c>
      <c r="Q94" s="64"/>
      <c r="R94" s="64"/>
      <c r="S94" s="64"/>
      <c r="T94" s="64"/>
      <c r="U94" s="95"/>
      <c r="V94" s="67" t="s">
        <v>17</v>
      </c>
      <c r="W94" s="64"/>
      <c r="X94" s="64"/>
      <c r="Y94" s="64"/>
      <c r="Z94" s="64"/>
      <c r="AA94" s="95"/>
      <c r="AB94" s="67" t="s">
        <v>2432</v>
      </c>
      <c r="AC94" s="64" t="str">
        <f>IF(K94&lt;&gt;"",Referral,Dunkelverarbeitung)</f>
        <v>Dunkelverarbeitung</v>
      </c>
      <c r="AD94" s="64"/>
      <c r="AE94" s="64"/>
      <c r="AF94" s="64"/>
      <c r="AG94" s="95"/>
      <c r="AH94" s="67" t="s">
        <v>17</v>
      </c>
      <c r="AI94" s="64"/>
      <c r="AJ94" s="64"/>
      <c r="AK94" s="64"/>
      <c r="AL94" s="64"/>
      <c r="AM94" s="95"/>
      <c r="AN94" s="67" t="s">
        <v>17</v>
      </c>
      <c r="AO94" s="64"/>
      <c r="AP94" s="64"/>
      <c r="AQ94" s="64"/>
      <c r="AR94" s="64"/>
      <c r="AS94" s="64"/>
      <c r="AT94" s="67" t="s">
        <v>17</v>
      </c>
      <c r="AU94" s="64"/>
      <c r="AV94" s="64"/>
      <c r="AW94" s="64"/>
      <c r="AX94" s="64"/>
      <c r="AY94" s="64"/>
      <c r="AZ94" s="588" t="s">
        <v>17</v>
      </c>
      <c r="BA94" s="657"/>
      <c r="BB94" s="657"/>
      <c r="BC94" s="657"/>
      <c r="BD94" s="657"/>
      <c r="BE94" s="657"/>
      <c r="BF94" s="67" t="s">
        <v>17</v>
      </c>
      <c r="BG94" s="64"/>
      <c r="BH94" s="64"/>
      <c r="BI94" s="64"/>
      <c r="BJ94" s="64"/>
      <c r="BK94" s="95"/>
      <c r="BL94" s="67" t="s">
        <v>2432</v>
      </c>
      <c r="BM94" s="657" t="str">
        <f>IF(K94&lt;&gt;"",Referral,Dunkelverarbeitung)</f>
        <v>Dunkelverarbeitung</v>
      </c>
      <c r="BN94" s="657"/>
      <c r="BO94" s="657"/>
      <c r="BP94" s="657"/>
      <c r="BQ94" s="788"/>
      <c r="BR94" s="96" t="s">
        <v>2660</v>
      </c>
      <c r="BS94" s="96" t="str">
        <f t="shared" si="0"/>
        <v>Beteiligungsgesellschaften/Tochtergesellschaften in Nordamerika</v>
      </c>
      <c r="BT94" s="64"/>
    </row>
    <row r="95" spans="1:72" ht="12.75" customHeight="1">
      <c r="A95" s="64" t="s">
        <v>2422</v>
      </c>
      <c r="B95" s="64" t="s">
        <v>2661</v>
      </c>
      <c r="C95" s="64" t="s">
        <v>2652</v>
      </c>
      <c r="D95" s="64" t="s">
        <v>2662</v>
      </c>
      <c r="E95" s="64"/>
      <c r="F95" s="67"/>
      <c r="H95" s="64" t="s">
        <v>2663</v>
      </c>
      <c r="I95" s="64"/>
      <c r="J95" s="64"/>
      <c r="K95" s="67"/>
      <c r="M95" s="64" t="s">
        <v>2663</v>
      </c>
      <c r="N95" s="64" t="s">
        <v>2661</v>
      </c>
      <c r="O95" s="64"/>
      <c r="P95" s="67" t="s">
        <v>17</v>
      </c>
      <c r="Q95" s="64"/>
      <c r="R95" s="64"/>
      <c r="S95" s="64"/>
      <c r="T95" s="64"/>
      <c r="U95" s="95"/>
      <c r="V95" s="67" t="s">
        <v>17</v>
      </c>
      <c r="W95" s="64"/>
      <c r="X95" s="64"/>
      <c r="Y95" s="64"/>
      <c r="Z95" s="64"/>
      <c r="AA95" s="95"/>
      <c r="AB95" s="67" t="s">
        <v>2432</v>
      </c>
      <c r="AC95" s="64" t="str">
        <f>IF(K95&lt;&gt;"",Referral,Dunkelverarbeitung)</f>
        <v>Dunkelverarbeitung</v>
      </c>
      <c r="AD95" s="64"/>
      <c r="AE95" s="64"/>
      <c r="AF95" s="64"/>
      <c r="AG95" s="95"/>
      <c r="AH95" s="67" t="s">
        <v>17</v>
      </c>
      <c r="AI95" s="64"/>
      <c r="AJ95" s="64"/>
      <c r="AK95" s="64"/>
      <c r="AL95" s="64"/>
      <c r="AM95" s="95"/>
      <c r="AN95" s="67" t="s">
        <v>17</v>
      </c>
      <c r="AO95" s="64"/>
      <c r="AP95" s="64"/>
      <c r="AQ95" s="64"/>
      <c r="AR95" s="64"/>
      <c r="AS95" s="64"/>
      <c r="AT95" s="67" t="s">
        <v>17</v>
      </c>
      <c r="AU95" s="64"/>
      <c r="AV95" s="64"/>
      <c r="AW95" s="64"/>
      <c r="AX95" s="64"/>
      <c r="AY95" s="64"/>
      <c r="AZ95" s="588" t="s">
        <v>17</v>
      </c>
      <c r="BA95" s="657"/>
      <c r="BB95" s="657"/>
      <c r="BC95" s="657"/>
      <c r="BD95" s="657"/>
      <c r="BE95" s="657"/>
      <c r="BF95" s="67" t="s">
        <v>17</v>
      </c>
      <c r="BG95" s="64"/>
      <c r="BH95" s="64"/>
      <c r="BI95" s="64"/>
      <c r="BJ95" s="64"/>
      <c r="BK95" s="95"/>
      <c r="BL95" s="67" t="s">
        <v>2432</v>
      </c>
      <c r="BM95" s="657" t="str">
        <f>IF(K95&lt;&gt;"",Referral,Dunkelverarbeitung)</f>
        <v>Dunkelverarbeitung</v>
      </c>
      <c r="BN95" s="657"/>
      <c r="BO95" s="657"/>
      <c r="BP95" s="657"/>
      <c r="BQ95" s="788"/>
      <c r="BR95" s="96" t="s">
        <v>2660</v>
      </c>
      <c r="BS95" s="96" t="str">
        <f t="shared" si="0"/>
        <v>Beteiligungsgesellschaften/Tochtergesellschaften in Nordamerika</v>
      </c>
      <c r="BT95" s="64"/>
    </row>
    <row r="96" spans="1:72" ht="12.75" customHeight="1">
      <c r="A96" s="64" t="s">
        <v>2422</v>
      </c>
      <c r="B96" s="64" t="s">
        <v>2664</v>
      </c>
      <c r="C96" s="64" t="s">
        <v>2652</v>
      </c>
      <c r="D96" s="64" t="s">
        <v>2665</v>
      </c>
      <c r="E96" s="64"/>
      <c r="F96" s="67"/>
      <c r="H96" s="64" t="s">
        <v>2426</v>
      </c>
      <c r="I96" s="64"/>
      <c r="J96" s="64"/>
      <c r="K96" s="67"/>
      <c r="M96" s="64" t="s">
        <v>2426</v>
      </c>
      <c r="N96" s="64" t="s">
        <v>2664</v>
      </c>
      <c r="O96" s="64"/>
      <c r="P96" s="67" t="s">
        <v>17</v>
      </c>
      <c r="Q96" s="64"/>
      <c r="R96" s="64"/>
      <c r="S96" s="64"/>
      <c r="T96" s="64"/>
      <c r="U96" s="95"/>
      <c r="V96" s="67" t="s">
        <v>17</v>
      </c>
      <c r="W96" s="64"/>
      <c r="X96" s="64"/>
      <c r="Y96" s="64"/>
      <c r="Z96" s="64"/>
      <c r="AA96" s="95"/>
      <c r="AB96" s="67" t="s">
        <v>17</v>
      </c>
      <c r="AC96" s="64"/>
      <c r="AD96" s="64"/>
      <c r="AE96" s="64"/>
      <c r="AF96" s="64"/>
      <c r="AG96" s="95"/>
      <c r="AH96" s="67" t="s">
        <v>17</v>
      </c>
      <c r="AI96" s="64"/>
      <c r="AJ96" s="64"/>
      <c r="AK96" s="64"/>
      <c r="AL96" s="64"/>
      <c r="AM96" s="95"/>
      <c r="AN96" s="67" t="s">
        <v>17</v>
      </c>
      <c r="AO96" s="64"/>
      <c r="AP96" s="64"/>
      <c r="AQ96" s="64"/>
      <c r="AR96" s="64"/>
      <c r="AS96" s="64"/>
      <c r="AT96" s="67" t="s">
        <v>17</v>
      </c>
      <c r="AU96" s="64"/>
      <c r="AV96" s="64"/>
      <c r="AW96" s="64"/>
      <c r="AX96" s="64"/>
      <c r="AY96" s="64"/>
      <c r="AZ96" s="588" t="s">
        <v>17</v>
      </c>
      <c r="BA96" s="657"/>
      <c r="BB96" s="657"/>
      <c r="BC96" s="657"/>
      <c r="BD96" s="657"/>
      <c r="BE96" s="657"/>
      <c r="BF96" s="67" t="s">
        <v>17</v>
      </c>
      <c r="BG96" s="64"/>
      <c r="BH96" s="64"/>
      <c r="BI96" s="64"/>
      <c r="BJ96" s="64"/>
      <c r="BK96" s="95"/>
      <c r="BL96" s="67" t="s">
        <v>2432</v>
      </c>
      <c r="BM96" s="657" t="str">
        <f>IF(K96&lt;&gt;"",Referral,Dunkelverarbeitung)</f>
        <v>Dunkelverarbeitung</v>
      </c>
      <c r="BN96" s="657"/>
      <c r="BO96" s="657"/>
      <c r="BP96" s="657"/>
      <c r="BQ96" s="788"/>
      <c r="BR96" s="96" t="s">
        <v>2660</v>
      </c>
      <c r="BS96" s="96" t="str">
        <f t="shared" si="0"/>
        <v>Beteiligungsgesellschaften/Tochtergesellschaften in Nordamerika</v>
      </c>
      <c r="BT96" s="64"/>
    </row>
    <row r="97" spans="1:72" ht="12.75" customHeight="1">
      <c r="A97" s="64" t="s">
        <v>2422</v>
      </c>
      <c r="B97" s="64" t="s">
        <v>2666</v>
      </c>
      <c r="C97" s="64" t="s">
        <v>2652</v>
      </c>
      <c r="D97" s="64" t="s">
        <v>2667</v>
      </c>
      <c r="E97" s="64"/>
      <c r="F97" s="67"/>
      <c r="H97" s="64" t="s">
        <v>2438</v>
      </c>
      <c r="I97" s="64"/>
      <c r="J97" s="64"/>
      <c r="K97" s="67">
        <f>RisikoFragenUSACAN111</f>
        <v>0</v>
      </c>
      <c r="M97" s="64" t="s">
        <v>2438</v>
      </c>
      <c r="N97" s="64" t="s">
        <v>2666</v>
      </c>
      <c r="O97" s="64"/>
      <c r="P97" s="67" t="s">
        <v>17</v>
      </c>
      <c r="Q97" s="64"/>
      <c r="R97" s="64"/>
      <c r="S97" s="64"/>
      <c r="T97" s="64"/>
      <c r="U97" s="95"/>
      <c r="V97" s="67" t="s">
        <v>17</v>
      </c>
      <c r="W97" s="64"/>
      <c r="X97" s="64"/>
      <c r="Y97" s="64"/>
      <c r="Z97" s="64"/>
      <c r="AA97" s="95"/>
      <c r="AB97" s="67" t="s">
        <v>17</v>
      </c>
      <c r="AC97" s="64"/>
      <c r="AD97" s="64"/>
      <c r="AE97" s="64"/>
      <c r="AF97" s="64"/>
      <c r="AG97" s="95"/>
      <c r="AH97" s="67" t="s">
        <v>2432</v>
      </c>
      <c r="AI97" s="64"/>
      <c r="AJ97" s="64" t="str">
        <f>IF(K97=JaAntwort,"KO Trigger",Dunkelverarbeitung)</f>
        <v>Dunkelverarbeitung</v>
      </c>
      <c r="AK97" s="64"/>
      <c r="AL97" s="64"/>
      <c r="AM97" s="95"/>
      <c r="AN97" s="67" t="s">
        <v>2432</v>
      </c>
      <c r="AO97" s="64"/>
      <c r="AP97" s="64" t="str">
        <f>IF(K97=JaAntwort,"KO Trigger",Dunkelverarbeitung)</f>
        <v>Dunkelverarbeitung</v>
      </c>
      <c r="AQ97" s="64"/>
      <c r="AR97" s="64"/>
      <c r="AS97" s="64"/>
      <c r="AT97" s="67" t="s">
        <v>2432</v>
      </c>
      <c r="AU97" s="64" t="str">
        <f t="shared" ref="AU97:AU100" si="8">IF(K97=JaAntwort,Referral,Dunkelverarbeitung)</f>
        <v>Dunkelverarbeitung</v>
      </c>
      <c r="AV97" s="64"/>
      <c r="AW97" s="64"/>
      <c r="AX97" s="64"/>
      <c r="AY97" s="64"/>
      <c r="AZ97" s="588" t="s">
        <v>17</v>
      </c>
      <c r="BA97" s="657"/>
      <c r="BB97" s="657"/>
      <c r="BC97" s="657"/>
      <c r="BD97" s="657"/>
      <c r="BE97" s="657"/>
      <c r="BF97" s="67" t="s">
        <v>17</v>
      </c>
      <c r="BG97" s="64"/>
      <c r="BH97" s="64"/>
      <c r="BI97" s="64"/>
      <c r="BJ97" s="64"/>
      <c r="BK97" s="95"/>
      <c r="BL97" s="67" t="s">
        <v>2432</v>
      </c>
      <c r="BM97" s="657" t="str">
        <f t="shared" ref="BM97:BM102" si="9">IF(K97=JaAntwort,Referral,Dunkelverarbeitung)</f>
        <v>Dunkelverarbeitung</v>
      </c>
      <c r="BN97" s="657"/>
      <c r="BO97" s="657"/>
      <c r="BP97" s="657"/>
      <c r="BQ97" s="788"/>
      <c r="BR97" s="96" t="s">
        <v>2668</v>
      </c>
      <c r="BS97" s="96" t="str">
        <f t="shared" si="0"/>
        <v>Nordamerika: Börsennotierung: Wann wurde zuletzt angeboten/aufgelegt?</v>
      </c>
      <c r="BT97" s="64"/>
    </row>
    <row r="98" spans="1:72" ht="12.75" customHeight="1">
      <c r="A98" s="64" t="s">
        <v>2422</v>
      </c>
      <c r="B98" s="64" t="s">
        <v>2669</v>
      </c>
      <c r="C98" s="64" t="s">
        <v>2652</v>
      </c>
      <c r="D98" s="64" t="s">
        <v>2670</v>
      </c>
      <c r="E98" s="64"/>
      <c r="F98" s="67"/>
      <c r="H98" s="64" t="s">
        <v>2438</v>
      </c>
      <c r="I98" s="64"/>
      <c r="J98" s="64"/>
      <c r="K98" s="67"/>
      <c r="M98" s="64" t="s">
        <v>2438</v>
      </c>
      <c r="N98" s="64" t="s">
        <v>2669</v>
      </c>
      <c r="O98" s="64"/>
      <c r="P98" s="67" t="s">
        <v>17</v>
      </c>
      <c r="Q98" s="64"/>
      <c r="R98" s="64"/>
      <c r="S98" s="64"/>
      <c r="T98" s="64"/>
      <c r="U98" s="95"/>
      <c r="V98" s="67" t="s">
        <v>17</v>
      </c>
      <c r="W98" s="64"/>
      <c r="X98" s="64"/>
      <c r="Y98" s="64"/>
      <c r="Z98" s="64"/>
      <c r="AA98" s="95"/>
      <c r="AB98" s="67" t="s">
        <v>17</v>
      </c>
      <c r="AC98" s="64"/>
      <c r="AD98" s="64"/>
      <c r="AE98" s="64"/>
      <c r="AF98" s="64"/>
      <c r="AG98" s="95"/>
      <c r="AH98" s="67" t="s">
        <v>17</v>
      </c>
      <c r="AI98" s="64"/>
      <c r="AJ98" s="64"/>
      <c r="AK98" s="64"/>
      <c r="AL98" s="64"/>
      <c r="AM98" s="95"/>
      <c r="AN98" s="67" t="s">
        <v>17</v>
      </c>
      <c r="AO98" s="64"/>
      <c r="AP98" s="64"/>
      <c r="AQ98" s="64"/>
      <c r="AR98" s="64"/>
      <c r="AS98" s="64"/>
      <c r="AT98" s="67" t="s">
        <v>2432</v>
      </c>
      <c r="AU98" s="64" t="str">
        <f t="shared" si="8"/>
        <v>Dunkelverarbeitung</v>
      </c>
      <c r="AV98" s="64"/>
      <c r="AW98" s="64"/>
      <c r="AX98" s="64"/>
      <c r="AY98" s="64"/>
      <c r="AZ98" s="588" t="s">
        <v>17</v>
      </c>
      <c r="BA98" s="657"/>
      <c r="BB98" s="657"/>
      <c r="BC98" s="657"/>
      <c r="BD98" s="657"/>
      <c r="BE98" s="657"/>
      <c r="BF98" s="67" t="s">
        <v>17</v>
      </c>
      <c r="BG98" s="64"/>
      <c r="BH98" s="64"/>
      <c r="BI98" s="64"/>
      <c r="BJ98" s="64"/>
      <c r="BK98" s="95"/>
      <c r="BL98" s="67" t="s">
        <v>2432</v>
      </c>
      <c r="BM98" s="657" t="str">
        <f t="shared" si="9"/>
        <v>Dunkelverarbeitung</v>
      </c>
      <c r="BN98" s="657"/>
      <c r="BO98" s="657"/>
      <c r="BP98" s="657"/>
      <c r="BQ98" s="788"/>
      <c r="BR98" s="96" t="s">
        <v>2671</v>
      </c>
      <c r="BS98" s="96" t="str">
        <f t="shared" si="0"/>
        <v>Unterlag das Angebot dem "The United States Security Act of 1933"/"The Securities Exchange Act of 1934"</v>
      </c>
      <c r="BT98" s="64"/>
    </row>
    <row r="99" spans="1:72" ht="12.75" customHeight="1">
      <c r="A99" s="64" t="s">
        <v>2422</v>
      </c>
      <c r="B99" s="64" t="s">
        <v>2672</v>
      </c>
      <c r="C99" s="64" t="s">
        <v>2652</v>
      </c>
      <c r="D99" s="64" t="s">
        <v>2673</v>
      </c>
      <c r="E99" s="64"/>
      <c r="F99" s="67"/>
      <c r="H99" s="64" t="s">
        <v>2438</v>
      </c>
      <c r="I99" s="64"/>
      <c r="J99" s="64"/>
      <c r="K99" s="67" t="str">
        <f>IF(RisikoFragenUSACAN113="YES",JaAntwort,IF(RisikoFragenUSACAN113="NO",NeinAntwort,""))</f>
        <v/>
      </c>
      <c r="M99" s="64" t="s">
        <v>2438</v>
      </c>
      <c r="N99" s="64" t="s">
        <v>2672</v>
      </c>
      <c r="O99" s="64"/>
      <c r="P99" s="67" t="s">
        <v>17</v>
      </c>
      <c r="Q99" s="64"/>
      <c r="R99" s="64"/>
      <c r="S99" s="64"/>
      <c r="T99" s="64"/>
      <c r="U99" s="95"/>
      <c r="V99" s="67" t="s">
        <v>17</v>
      </c>
      <c r="W99" s="64"/>
      <c r="X99" s="64"/>
      <c r="Y99" s="64"/>
      <c r="Z99" s="64"/>
      <c r="AA99" s="95"/>
      <c r="AB99" s="67" t="s">
        <v>2432</v>
      </c>
      <c r="AC99" s="64" t="str">
        <f>IF(K99&lt;&gt;"",Referral,Dunkelverarbeitung)</f>
        <v>Dunkelverarbeitung</v>
      </c>
      <c r="AD99" s="64"/>
      <c r="AE99" s="64"/>
      <c r="AF99" s="64"/>
      <c r="AG99" s="95"/>
      <c r="AH99" s="67" t="s">
        <v>2432</v>
      </c>
      <c r="AI99" s="64" t="str">
        <f>IF(K99=JaAntwort,Referral,Dunkelverarbeitung)</f>
        <v>Dunkelverarbeitung</v>
      </c>
      <c r="AJ99" s="64"/>
      <c r="AK99" s="64"/>
      <c r="AL99" s="64"/>
      <c r="AM99" s="95"/>
      <c r="AN99" s="67" t="s">
        <v>2432</v>
      </c>
      <c r="AO99" s="64" t="str">
        <f>IF(K99=JaAntwort,Referral,Dunkelverarbeitung)</f>
        <v>Dunkelverarbeitung</v>
      </c>
      <c r="AP99" s="64"/>
      <c r="AQ99" s="64"/>
      <c r="AR99" s="64"/>
      <c r="AS99" s="64"/>
      <c r="AT99" s="67" t="s">
        <v>2432</v>
      </c>
      <c r="AU99" s="64" t="str">
        <f t="shared" si="8"/>
        <v>Dunkelverarbeitung</v>
      </c>
      <c r="AV99" s="64"/>
      <c r="AW99" s="64"/>
      <c r="AX99" s="64"/>
      <c r="AY99" s="64"/>
      <c r="AZ99" s="588" t="s">
        <v>2432</v>
      </c>
      <c r="BA99" s="657" t="str">
        <f>IF(K99=JaAntwort,Referral,Dunkelverarbeitung)</f>
        <v>Dunkelverarbeitung</v>
      </c>
      <c r="BB99" s="657"/>
      <c r="BC99" s="657"/>
      <c r="BD99" s="657"/>
      <c r="BE99" s="657"/>
      <c r="BF99" s="67" t="s">
        <v>17</v>
      </c>
      <c r="BG99" s="64"/>
      <c r="BH99" s="64"/>
      <c r="BI99" s="64"/>
      <c r="BJ99" s="64"/>
      <c r="BK99" s="95"/>
      <c r="BL99" s="67" t="s">
        <v>2432</v>
      </c>
      <c r="BM99" s="657" t="str">
        <f t="shared" si="9"/>
        <v>Dunkelverarbeitung</v>
      </c>
      <c r="BN99" s="657"/>
      <c r="BO99" s="657"/>
      <c r="BP99" s="657"/>
      <c r="BQ99" s="788"/>
      <c r="BR99" s="96" t="s">
        <v>2674</v>
      </c>
      <c r="BS99" s="96" t="str">
        <f t="shared" si="0"/>
        <v>Nordamerika: Anteile der Gesellschaft werden in Form von ADRs (American Despository Receipts) gehandelt</v>
      </c>
      <c r="BT99" s="64"/>
    </row>
    <row r="100" spans="1:72" ht="102.45" customHeight="1">
      <c r="A100" s="64" t="s">
        <v>2422</v>
      </c>
      <c r="B100" s="64" t="s">
        <v>2675</v>
      </c>
      <c r="C100" s="64" t="s">
        <v>2652</v>
      </c>
      <c r="D100" s="64" t="s">
        <v>2676</v>
      </c>
      <c r="E100" s="64"/>
      <c r="F100" s="67"/>
      <c r="H100" s="64" t="s">
        <v>2438</v>
      </c>
      <c r="I100" s="64"/>
      <c r="J100" s="64"/>
      <c r="K100" s="67" t="str">
        <f>IF(RisikoFragenUSACAN114="YES",JaAntwort,IF(RisikoFragenUSACAN114="NO",NeinAntwort,""))</f>
        <v/>
      </c>
      <c r="M100" s="64" t="s">
        <v>2438</v>
      </c>
      <c r="N100" s="64" t="s">
        <v>2675</v>
      </c>
      <c r="O100" s="64"/>
      <c r="P100" s="67" t="s">
        <v>17</v>
      </c>
      <c r="Q100" s="64"/>
      <c r="R100" s="64"/>
      <c r="S100" s="64"/>
      <c r="T100" s="64"/>
      <c r="U100" s="95"/>
      <c r="V100" s="67" t="s">
        <v>17</v>
      </c>
      <c r="W100" s="64"/>
      <c r="X100" s="64"/>
      <c r="Y100" s="64"/>
      <c r="Z100" s="64"/>
      <c r="AA100" s="95"/>
      <c r="AB100" s="67" t="s">
        <v>2432</v>
      </c>
      <c r="AC100" s="64" t="str">
        <f>IF(K100&lt;&gt;"",Referral,Dunkelverarbeitung)</f>
        <v>Dunkelverarbeitung</v>
      </c>
      <c r="AD100" s="64"/>
      <c r="AE100" s="64"/>
      <c r="AF100" s="64"/>
      <c r="AG100" s="95"/>
      <c r="AH100" s="67" t="s">
        <v>17</v>
      </c>
      <c r="AI100" s="64"/>
      <c r="AJ100" s="64"/>
      <c r="AK100" s="64"/>
      <c r="AL100" s="64"/>
      <c r="AM100" s="95"/>
      <c r="AN100" s="67" t="s">
        <v>2432</v>
      </c>
      <c r="AO100" s="64" t="str">
        <f>IF(K100=JaAntwort,Referral,Dunkelverarbeitung)</f>
        <v>Dunkelverarbeitung</v>
      </c>
      <c r="AP100" s="64"/>
      <c r="AQ100" s="64"/>
      <c r="AR100" s="64"/>
      <c r="AS100" s="64"/>
      <c r="AT100" s="67" t="s">
        <v>2432</v>
      </c>
      <c r="AU100" s="64" t="str">
        <f t="shared" si="8"/>
        <v>Dunkelverarbeitung</v>
      </c>
      <c r="AV100" s="64"/>
      <c r="AW100" s="64"/>
      <c r="AX100" s="64"/>
      <c r="AY100" s="64"/>
      <c r="AZ100" s="588" t="s">
        <v>2432</v>
      </c>
      <c r="BA100" s="777" t="str">
        <f>IF(K100=JaAntwort,Referral,Dunkelverarbeitung)</f>
        <v>Dunkelverarbeitung</v>
      </c>
      <c r="BB100" s="657"/>
      <c r="BC100" s="657"/>
      <c r="BD100" s="657"/>
      <c r="BE100" s="657"/>
      <c r="BF100" s="67" t="s">
        <v>17</v>
      </c>
      <c r="BG100" s="64"/>
      <c r="BH100" s="64"/>
      <c r="BI100" s="64"/>
      <c r="BJ100" s="64"/>
      <c r="BK100" s="95"/>
      <c r="BL100" s="67" t="s">
        <v>2432</v>
      </c>
      <c r="BM100" s="657" t="str">
        <f t="shared" si="9"/>
        <v>Dunkelverarbeitung</v>
      </c>
      <c r="BN100" s="657"/>
      <c r="BO100" s="657"/>
      <c r="BP100" s="657"/>
      <c r="BQ100" s="788"/>
      <c r="BR100" s="96" t="s">
        <v>2677</v>
      </c>
      <c r="BS100" s="96" t="str">
        <f t="shared" si="0"/>
        <v>Nordamerika: letzten 20 F-Meldung an die US-Aufsichtsbehörde</v>
      </c>
      <c r="BT100" s="64"/>
    </row>
    <row r="101" spans="1:72" ht="12.75" customHeight="1">
      <c r="A101" s="64" t="s">
        <v>2422</v>
      </c>
      <c r="B101" s="115" t="s">
        <v>2678</v>
      </c>
      <c r="C101" s="64" t="s">
        <v>2679</v>
      </c>
      <c r="D101" s="64" t="s">
        <v>2680</v>
      </c>
      <c r="E101" s="64"/>
      <c r="F101" s="67"/>
      <c r="H101" s="64" t="s">
        <v>2438</v>
      </c>
      <c r="I101" s="64"/>
      <c r="J101" s="64"/>
      <c r="K101" s="67" t="str">
        <f>IF(L101="YES","ja",IF(L101="NO","nein",""))</f>
        <v/>
      </c>
      <c r="M101" s="64" t="s">
        <v>2438</v>
      </c>
      <c r="N101" s="64" t="s">
        <v>2678</v>
      </c>
      <c r="O101" s="64"/>
      <c r="P101" s="67" t="s">
        <v>17</v>
      </c>
      <c r="Q101" s="64"/>
      <c r="R101" s="64"/>
      <c r="S101" s="64"/>
      <c r="T101" s="64"/>
      <c r="U101" s="95"/>
      <c r="V101" s="67" t="s">
        <v>17</v>
      </c>
      <c r="W101" s="64"/>
      <c r="X101" s="64"/>
      <c r="Y101" s="64"/>
      <c r="Z101" s="64"/>
      <c r="AA101" s="95"/>
      <c r="AB101" s="67" t="s">
        <v>2432</v>
      </c>
      <c r="AC101" s="64" t="str">
        <f>IF(K101=JaAntwort,Referral,Dunkelverarbeitung)</f>
        <v>Dunkelverarbeitung</v>
      </c>
      <c r="AD101" s="64"/>
      <c r="AE101" s="64"/>
      <c r="AF101" s="64"/>
      <c r="AG101" s="95"/>
      <c r="AH101" s="67" t="s">
        <v>2432</v>
      </c>
      <c r="AI101" s="64" t="str">
        <f>IF(K101=JaAntwort,Referral,Dunkelverarbeitung)</f>
        <v>Dunkelverarbeitung</v>
      </c>
      <c r="AJ101" s="64"/>
      <c r="AK101" s="64"/>
      <c r="AL101" s="64"/>
      <c r="AM101" s="95"/>
      <c r="AN101" s="67" t="s">
        <v>2432</v>
      </c>
      <c r="AO101" s="64"/>
      <c r="AP101" s="64" t="str">
        <f>IF(K101=JaAntwort,"KO Trigger",Dunkelverarbeitung)</f>
        <v>Dunkelverarbeitung</v>
      </c>
      <c r="AQ101" s="64"/>
      <c r="AR101" s="64"/>
      <c r="AS101" s="64"/>
      <c r="AT101" s="67" t="s">
        <v>2432</v>
      </c>
      <c r="AU101" s="64"/>
      <c r="AV101" s="64" t="str">
        <f>IF(K101=JaAntwort,"KO Trigger",Dunkelverarbeitung)</f>
        <v>Dunkelverarbeitung</v>
      </c>
      <c r="AW101" s="64"/>
      <c r="AX101" s="64"/>
      <c r="AY101" s="64"/>
      <c r="AZ101" s="588" t="s">
        <v>2432</v>
      </c>
      <c r="BA101" s="657" t="str">
        <f>IF(K101=JaAntwort,Referral,Dunkelverarbeitung)</f>
        <v>Dunkelverarbeitung</v>
      </c>
      <c r="BB101" s="657"/>
      <c r="BC101" s="657"/>
      <c r="BD101" s="657"/>
      <c r="BE101" s="657"/>
      <c r="BF101" s="67" t="s">
        <v>2432</v>
      </c>
      <c r="BG101" s="64"/>
      <c r="BH101" s="64" t="str">
        <f>IF(K101=JaAntwort,"KO Trigger",Dunkelverarbeitung)</f>
        <v>Dunkelverarbeitung</v>
      </c>
      <c r="BI101" s="64"/>
      <c r="BJ101" s="64"/>
      <c r="BK101" s="95"/>
      <c r="BL101" s="67" t="s">
        <v>2432</v>
      </c>
      <c r="BM101" s="657" t="str">
        <f t="shared" si="9"/>
        <v>Dunkelverarbeitung</v>
      </c>
      <c r="BN101" s="657"/>
      <c r="BO101" s="657"/>
      <c r="BP101" s="657"/>
      <c r="BQ101" s="788"/>
      <c r="BR101" s="96" t="s">
        <v>2681</v>
      </c>
      <c r="BS101" s="96" t="str">
        <f t="shared" si="0"/>
        <v>Die Versicherungsnehmerin ist als Bank, Sparkasse, Factorer, Versorgungswerk, Krankenkasse, Beteiligungsgesellschaft, Fond, Finanzinvestor, Vermögensverwalter oder Versicherer tätig.</v>
      </c>
      <c r="BT101" s="64"/>
    </row>
    <row r="102" spans="1:72" ht="12.75" customHeight="1">
      <c r="A102" s="64" t="s">
        <v>2422</v>
      </c>
      <c r="B102" s="115" t="s">
        <v>2682</v>
      </c>
      <c r="C102" s="64" t="s">
        <v>2679</v>
      </c>
      <c r="D102" s="64" t="s">
        <v>2683</v>
      </c>
      <c r="E102" s="64"/>
      <c r="F102" s="67"/>
      <c r="H102" s="64" t="s">
        <v>2438</v>
      </c>
      <c r="I102" s="64"/>
      <c r="J102" s="64"/>
      <c r="K102" s="102">
        <f>RisikoFragenAXAFacility115b</f>
        <v>0</v>
      </c>
      <c r="M102" s="64" t="s">
        <v>2438</v>
      </c>
      <c r="N102" s="64" t="s">
        <v>2682</v>
      </c>
      <c r="O102" s="64"/>
      <c r="P102" s="67" t="s">
        <v>17</v>
      </c>
      <c r="Q102" s="64"/>
      <c r="R102" s="64"/>
      <c r="S102" s="64"/>
      <c r="T102" s="64"/>
      <c r="U102" s="95"/>
      <c r="V102" s="67" t="s">
        <v>17</v>
      </c>
      <c r="W102" s="64"/>
      <c r="X102" s="64"/>
      <c r="Y102" s="64"/>
      <c r="Z102" s="64"/>
      <c r="AA102" s="95"/>
      <c r="AB102" s="67" t="s">
        <v>17</v>
      </c>
      <c r="AC102" s="64"/>
      <c r="AD102" s="64"/>
      <c r="AE102" s="64"/>
      <c r="AF102" s="64"/>
      <c r="AG102" s="95"/>
      <c r="AH102" s="67" t="s">
        <v>2432</v>
      </c>
      <c r="AI102" s="64" t="str">
        <f>IF(K102&gt;100000000,Referral,Dunkelverarbeitung)</f>
        <v>Dunkelverarbeitung</v>
      </c>
      <c r="AJ102" s="64"/>
      <c r="AK102" s="64"/>
      <c r="AL102" s="64"/>
      <c r="AM102" s="95"/>
      <c r="AN102" s="67" t="s">
        <v>2432</v>
      </c>
      <c r="AO102" s="64" t="str">
        <f>IF(K102&gt;1000000000,Referral,Dunkelverarbeitung)</f>
        <v>Dunkelverarbeitung</v>
      </c>
      <c r="AP102" s="64"/>
      <c r="AQ102" s="64"/>
      <c r="AR102" s="64"/>
      <c r="AS102" s="64"/>
      <c r="AT102" s="67" t="s">
        <v>2432</v>
      </c>
      <c r="AU102" s="64"/>
      <c r="AV102" s="64" t="str">
        <f>IF(K102=JaAntwort,"KO Trigger",Dunkelverarbeitung)</f>
        <v>Dunkelverarbeitung</v>
      </c>
      <c r="AW102" s="64"/>
      <c r="AX102" s="64"/>
      <c r="AY102" s="64"/>
      <c r="AZ102" s="588" t="s">
        <v>2432</v>
      </c>
      <c r="BA102" s="657" t="str">
        <f>IF(K102=JaAntwort,Referral,Dunkelverarbeitung)</f>
        <v>Dunkelverarbeitung</v>
      </c>
      <c r="BB102" s="657"/>
      <c r="BC102" s="657"/>
      <c r="BD102" s="657"/>
      <c r="BE102" s="657"/>
      <c r="BF102" s="67" t="s">
        <v>2432</v>
      </c>
      <c r="BG102" s="64"/>
      <c r="BH102" s="64" t="str">
        <f>IF(K102=JaAntwort,"KO Trigger",Dunkelverarbeitung)</f>
        <v>Dunkelverarbeitung</v>
      </c>
      <c r="BI102" s="64"/>
      <c r="BJ102" s="64"/>
      <c r="BK102" s="95"/>
      <c r="BL102" s="67" t="s">
        <v>2432</v>
      </c>
      <c r="BM102" s="657" t="str">
        <f t="shared" si="9"/>
        <v>Dunkelverarbeitung</v>
      </c>
      <c r="BN102" s="657"/>
      <c r="BO102" s="657"/>
      <c r="BP102" s="657"/>
      <c r="BQ102" s="788"/>
      <c r="BR102" s="96" t="s">
        <v>2684</v>
      </c>
      <c r="BS102" s="96" t="str">
        <f t="shared" si="0"/>
        <v>Der Gesamt-Umsatz im letzten abgeschlossenen Geschäftsjahr betrugmehr als EUR 1 Mrd. EUR.</v>
      </c>
      <c r="BT102" s="64"/>
    </row>
    <row r="103" spans="1:72" ht="12.75" customHeight="1">
      <c r="A103" s="64" t="s">
        <v>2422</v>
      </c>
      <c r="B103" s="115" t="s">
        <v>2685</v>
      </c>
      <c r="C103" s="64" t="s">
        <v>2679</v>
      </c>
      <c r="D103" s="64" t="s">
        <v>2686</v>
      </c>
      <c r="E103" s="64"/>
      <c r="F103" s="67"/>
      <c r="H103" s="64" t="s">
        <v>2438</v>
      </c>
      <c r="I103" s="64"/>
      <c r="J103" s="64"/>
      <c r="K103" s="67" t="str">
        <f>IF(RisikoFragenAXAFacility116a="YES",JaAntwort,IF(RisikoFragenAXAFacility116a="NO",NeinAntwort,""))</f>
        <v/>
      </c>
      <c r="M103" s="64" t="s">
        <v>2438</v>
      </c>
      <c r="N103" s="64" t="s">
        <v>2685</v>
      </c>
      <c r="O103" s="64"/>
      <c r="P103" s="67" t="s">
        <v>17</v>
      </c>
      <c r="Q103" s="64"/>
      <c r="R103" s="64"/>
      <c r="S103" s="64"/>
      <c r="T103" s="64"/>
      <c r="U103" s="95"/>
      <c r="V103" s="67" t="s">
        <v>17</v>
      </c>
      <c r="W103" s="64"/>
      <c r="X103" s="64"/>
      <c r="Y103" s="64"/>
      <c r="Z103" s="64"/>
      <c r="AA103" s="95"/>
      <c r="AB103" s="67" t="s">
        <v>17</v>
      </c>
      <c r="AC103" s="64"/>
      <c r="AD103" s="64"/>
      <c r="AE103" s="64"/>
      <c r="AF103" s="64"/>
      <c r="AG103" s="95"/>
      <c r="AH103" s="67" t="s">
        <v>17</v>
      </c>
      <c r="AI103" s="64"/>
      <c r="AJ103" s="64"/>
      <c r="AK103" s="64"/>
      <c r="AL103" s="64"/>
      <c r="AM103" s="95"/>
      <c r="AN103" s="67" t="s">
        <v>2432</v>
      </c>
      <c r="AO103" s="64" t="str">
        <f>IF(K103=NeinAntwort,Referral,Dunkelverarbeitung)</f>
        <v>Dunkelverarbeitung</v>
      </c>
      <c r="AP103" s="64"/>
      <c r="AQ103" s="64"/>
      <c r="AR103" s="64"/>
      <c r="AS103" s="64"/>
      <c r="AT103" s="67" t="s">
        <v>17</v>
      </c>
      <c r="AU103" s="64"/>
      <c r="AV103" s="64"/>
      <c r="AW103" s="64"/>
      <c r="AX103" s="64"/>
      <c r="AY103" s="64"/>
      <c r="AZ103" s="588" t="s">
        <v>17</v>
      </c>
      <c r="BA103" s="657"/>
      <c r="BB103" s="657"/>
      <c r="BC103" s="657"/>
      <c r="BD103" s="657"/>
      <c r="BE103" s="657"/>
      <c r="BF103" s="67" t="s">
        <v>2432</v>
      </c>
      <c r="BG103" s="64"/>
      <c r="BH103" s="64" t="str">
        <f>IF(K103=NeinAntwort,"KO Trigger",Dunkelverarbeitung)</f>
        <v>Dunkelverarbeitung</v>
      </c>
      <c r="BI103" s="64"/>
      <c r="BJ103" s="64"/>
      <c r="BK103" s="95"/>
      <c r="BL103" s="67" t="s">
        <v>2432</v>
      </c>
      <c r="BM103" s="657" t="str">
        <f>IF(K103=NeinAntwort,Referral,Dunkelverarbeitung)</f>
        <v>Dunkelverarbeitung</v>
      </c>
      <c r="BN103" s="657"/>
      <c r="BO103" s="657"/>
      <c r="BP103" s="657"/>
      <c r="BQ103" s="788"/>
      <c r="BR103" s="96" t="s">
        <v>2687</v>
      </c>
      <c r="BS103" s="96" t="str">
        <f t="shared" si="0"/>
        <v>Die Eigenkapitalquote betrug in den letzten beiden Geschäftsjahren nicht mindestens 20 %.</v>
      </c>
      <c r="BT103" s="64"/>
    </row>
    <row r="104" spans="1:72" ht="12.75" customHeight="1">
      <c r="A104" s="64" t="s">
        <v>2422</v>
      </c>
      <c r="B104" s="115" t="s">
        <v>2688</v>
      </c>
      <c r="C104" s="64" t="s">
        <v>2679</v>
      </c>
      <c r="D104" s="64" t="s">
        <v>2689</v>
      </c>
      <c r="E104" s="64"/>
      <c r="F104" s="67"/>
      <c r="H104" s="64" t="s">
        <v>2442</v>
      </c>
      <c r="I104" s="64"/>
      <c r="J104" s="64"/>
      <c r="K104" s="67"/>
      <c r="M104" s="64" t="s">
        <v>2442</v>
      </c>
      <c r="N104" s="64" t="s">
        <v>2688</v>
      </c>
      <c r="O104" s="64"/>
      <c r="P104" s="67" t="s">
        <v>17</v>
      </c>
      <c r="Q104" s="64"/>
      <c r="R104" s="64"/>
      <c r="S104" s="64"/>
      <c r="T104" s="64"/>
      <c r="U104" s="95"/>
      <c r="V104" s="67" t="s">
        <v>17</v>
      </c>
      <c r="W104" s="64"/>
      <c r="X104" s="64"/>
      <c r="Y104" s="64"/>
      <c r="Z104" s="64"/>
      <c r="AA104" s="95"/>
      <c r="AB104" s="67" t="s">
        <v>17</v>
      </c>
      <c r="AC104" s="64"/>
      <c r="AD104" s="64"/>
      <c r="AE104" s="64"/>
      <c r="AF104" s="64"/>
      <c r="AG104" s="95"/>
      <c r="AH104" s="67" t="s">
        <v>17</v>
      </c>
      <c r="AI104" s="64"/>
      <c r="AJ104" s="64"/>
      <c r="AK104" s="64"/>
      <c r="AL104" s="64"/>
      <c r="AM104" s="95"/>
      <c r="AN104" s="67" t="s">
        <v>17</v>
      </c>
      <c r="AO104" s="64"/>
      <c r="AP104" s="64"/>
      <c r="AQ104" s="64"/>
      <c r="AR104" s="64"/>
      <c r="AS104" s="64"/>
      <c r="AT104" s="67" t="s">
        <v>17</v>
      </c>
      <c r="AU104" s="64"/>
      <c r="AV104" s="64"/>
      <c r="AW104" s="64"/>
      <c r="AX104" s="64"/>
      <c r="AY104" s="64"/>
      <c r="AZ104" s="588" t="s">
        <v>17</v>
      </c>
      <c r="BA104" s="657"/>
      <c r="BB104" s="657"/>
      <c r="BC104" s="657"/>
      <c r="BD104" s="657"/>
      <c r="BE104" s="657"/>
      <c r="BF104" s="67" t="s">
        <v>2432</v>
      </c>
      <c r="BG104" s="64"/>
      <c r="BH104" s="64" t="str">
        <f>IF(AND(K104&lt;&gt;"",K104&lt;1),"KO Trigger",Dunkelverarbeitung)</f>
        <v>Dunkelverarbeitung</v>
      </c>
      <c r="BI104" s="64"/>
      <c r="BJ104" s="64"/>
      <c r="BK104" s="95"/>
      <c r="BL104" s="779" t="s">
        <v>17</v>
      </c>
      <c r="BM104" s="657"/>
      <c r="BN104" s="657"/>
      <c r="BO104" s="657"/>
      <c r="BP104" s="657"/>
      <c r="BQ104" s="788"/>
      <c r="BR104" s="96" t="s">
        <v>2689</v>
      </c>
      <c r="BS104" s="96" t="str">
        <f t="shared" si="0"/>
        <v>Eigenkapitalquote</v>
      </c>
      <c r="BT104" s="64"/>
    </row>
    <row r="105" spans="1:72" ht="12.75" customHeight="1">
      <c r="A105" s="64" t="s">
        <v>2422</v>
      </c>
      <c r="B105" s="115" t="s">
        <v>2690</v>
      </c>
      <c r="C105" s="64" t="s">
        <v>2679</v>
      </c>
      <c r="D105" s="64" t="s">
        <v>2691</v>
      </c>
      <c r="E105" s="64"/>
      <c r="F105" s="67"/>
      <c r="H105" s="64" t="s">
        <v>2442</v>
      </c>
      <c r="I105" s="64"/>
      <c r="J105" s="64"/>
      <c r="K105" s="67"/>
      <c r="M105" s="64" t="s">
        <v>2442</v>
      </c>
      <c r="N105" s="64" t="s">
        <v>2690</v>
      </c>
      <c r="O105" s="64"/>
      <c r="P105" s="67" t="s">
        <v>17</v>
      </c>
      <c r="Q105" s="64"/>
      <c r="R105" s="64"/>
      <c r="S105" s="64"/>
      <c r="T105" s="64"/>
      <c r="U105" s="95"/>
      <c r="V105" s="67" t="s">
        <v>17</v>
      </c>
      <c r="W105" s="64"/>
      <c r="X105" s="64"/>
      <c r="Y105" s="64"/>
      <c r="Z105" s="64"/>
      <c r="AA105" s="95"/>
      <c r="AB105" s="67" t="s">
        <v>17</v>
      </c>
      <c r="AC105" s="64"/>
      <c r="AD105" s="64"/>
      <c r="AE105" s="64"/>
      <c r="AF105" s="64"/>
      <c r="AG105" s="95"/>
      <c r="AH105" s="67" t="s">
        <v>17</v>
      </c>
      <c r="AI105" s="64"/>
      <c r="AJ105" s="64"/>
      <c r="AK105" s="64"/>
      <c r="AL105" s="64"/>
      <c r="AM105" s="95"/>
      <c r="AN105" s="67" t="s">
        <v>17</v>
      </c>
      <c r="AO105" s="64"/>
      <c r="AP105" s="64"/>
      <c r="AQ105" s="64"/>
      <c r="AR105" s="64"/>
      <c r="AS105" s="64"/>
      <c r="AT105" s="67" t="s">
        <v>17</v>
      </c>
      <c r="AU105" s="64"/>
      <c r="AV105" s="64"/>
      <c r="AW105" s="64"/>
      <c r="AX105" s="64"/>
      <c r="AY105" s="64"/>
      <c r="AZ105" s="588" t="s">
        <v>17</v>
      </c>
      <c r="BA105" s="657"/>
      <c r="BB105" s="657"/>
      <c r="BC105" s="657"/>
      <c r="BD105" s="657"/>
      <c r="BE105" s="657"/>
      <c r="BF105" s="67" t="s">
        <v>17</v>
      </c>
      <c r="BG105" s="64"/>
      <c r="BH105" s="64"/>
      <c r="BI105" s="64"/>
      <c r="BJ105" s="64"/>
      <c r="BK105" s="95"/>
      <c r="BL105" s="779" t="s">
        <v>17</v>
      </c>
      <c r="BM105" s="657"/>
      <c r="BN105" s="657"/>
      <c r="BO105" s="657"/>
      <c r="BP105" s="657"/>
      <c r="BQ105" s="788"/>
      <c r="BR105" s="96"/>
      <c r="BS105" s="96">
        <f t="shared" si="0"/>
        <v>0</v>
      </c>
      <c r="BT105" s="64"/>
    </row>
    <row r="106" spans="1:72" ht="12.75" customHeight="1">
      <c r="A106" s="64" t="s">
        <v>2422</v>
      </c>
      <c r="B106" s="115" t="s">
        <v>2692</v>
      </c>
      <c r="C106" s="64" t="s">
        <v>2679</v>
      </c>
      <c r="D106" s="64" t="s">
        <v>2689</v>
      </c>
      <c r="E106" s="64"/>
      <c r="F106" s="67"/>
      <c r="H106" s="64" t="s">
        <v>2442</v>
      </c>
      <c r="I106" s="64"/>
      <c r="J106" s="64"/>
      <c r="K106" s="67"/>
      <c r="M106" s="64" t="s">
        <v>2442</v>
      </c>
      <c r="N106" s="64" t="s">
        <v>2692</v>
      </c>
      <c r="O106" s="64"/>
      <c r="P106" s="67" t="s">
        <v>17</v>
      </c>
      <c r="Q106" s="64"/>
      <c r="R106" s="64"/>
      <c r="S106" s="64"/>
      <c r="T106" s="64"/>
      <c r="U106" s="95"/>
      <c r="V106" s="67" t="s">
        <v>17</v>
      </c>
      <c r="W106" s="64"/>
      <c r="X106" s="64"/>
      <c r="Y106" s="64"/>
      <c r="Z106" s="64"/>
      <c r="AA106" s="95"/>
      <c r="AB106" s="67" t="s">
        <v>17</v>
      </c>
      <c r="AC106" s="64"/>
      <c r="AD106" s="64"/>
      <c r="AE106" s="64"/>
      <c r="AF106" s="64"/>
      <c r="AG106" s="95"/>
      <c r="AH106" s="67" t="s">
        <v>17</v>
      </c>
      <c r="AI106" s="64"/>
      <c r="AJ106" s="64"/>
      <c r="AK106" s="64"/>
      <c r="AL106" s="64"/>
      <c r="AM106" s="95"/>
      <c r="AN106" s="67" t="s">
        <v>17</v>
      </c>
      <c r="AO106" s="64"/>
      <c r="AP106" s="64"/>
      <c r="AQ106" s="64"/>
      <c r="AR106" s="64"/>
      <c r="AS106" s="64"/>
      <c r="AT106" s="67" t="s">
        <v>17</v>
      </c>
      <c r="AU106" s="64"/>
      <c r="AV106" s="64"/>
      <c r="AW106" s="64"/>
      <c r="AX106" s="64"/>
      <c r="AY106" s="64"/>
      <c r="AZ106" s="588" t="s">
        <v>17</v>
      </c>
      <c r="BA106" s="657"/>
      <c r="BB106" s="657"/>
      <c r="BC106" s="657"/>
      <c r="BD106" s="657"/>
      <c r="BE106" s="657"/>
      <c r="BF106" s="67" t="s">
        <v>2432</v>
      </c>
      <c r="BG106" s="64"/>
      <c r="BH106" s="64" t="str">
        <f>IF(AND(K106&lt;&gt;"",K106&lt;1),"KO Trigger",Dunkelverarbeitung)</f>
        <v>Dunkelverarbeitung</v>
      </c>
      <c r="BI106" s="64"/>
      <c r="BJ106" s="64"/>
      <c r="BK106" s="95"/>
      <c r="BL106" s="779" t="s">
        <v>17</v>
      </c>
      <c r="BM106" s="657"/>
      <c r="BN106" s="657"/>
      <c r="BO106" s="657"/>
      <c r="BP106" s="657"/>
      <c r="BQ106" s="788"/>
      <c r="BR106" s="96" t="s">
        <v>2689</v>
      </c>
      <c r="BS106" s="96" t="str">
        <f t="shared" si="0"/>
        <v>Eigenkapitalquote</v>
      </c>
      <c r="BT106" s="64"/>
    </row>
    <row r="107" spans="1:72" ht="12.75" customHeight="1">
      <c r="A107" s="64" t="s">
        <v>2422</v>
      </c>
      <c r="B107" s="115" t="s">
        <v>2693</v>
      </c>
      <c r="C107" s="64" t="s">
        <v>2679</v>
      </c>
      <c r="D107" s="64" t="s">
        <v>2691</v>
      </c>
      <c r="E107" s="64"/>
      <c r="F107" s="67"/>
      <c r="H107" s="64" t="s">
        <v>2442</v>
      </c>
      <c r="I107" s="64"/>
      <c r="J107" s="64"/>
      <c r="K107" s="67"/>
      <c r="M107" s="64" t="s">
        <v>2442</v>
      </c>
      <c r="N107" s="64" t="s">
        <v>2693</v>
      </c>
      <c r="O107" s="64"/>
      <c r="P107" s="67" t="s">
        <v>17</v>
      </c>
      <c r="Q107" s="64"/>
      <c r="R107" s="64"/>
      <c r="S107" s="64"/>
      <c r="T107" s="64"/>
      <c r="U107" s="95"/>
      <c r="V107" s="67" t="s">
        <v>17</v>
      </c>
      <c r="W107" s="64"/>
      <c r="X107" s="64"/>
      <c r="Y107" s="64"/>
      <c r="Z107" s="64"/>
      <c r="AA107" s="95"/>
      <c r="AB107" s="67" t="s">
        <v>17</v>
      </c>
      <c r="AC107" s="64"/>
      <c r="AD107" s="64"/>
      <c r="AE107" s="64"/>
      <c r="AF107" s="64"/>
      <c r="AG107" s="95"/>
      <c r="AH107" s="67" t="s">
        <v>17</v>
      </c>
      <c r="AI107" s="64"/>
      <c r="AJ107" s="64"/>
      <c r="AK107" s="64"/>
      <c r="AL107" s="64"/>
      <c r="AM107" s="95"/>
      <c r="AN107" s="67" t="s">
        <v>17</v>
      </c>
      <c r="AO107" s="64"/>
      <c r="AP107" s="64"/>
      <c r="AQ107" s="64"/>
      <c r="AR107" s="64"/>
      <c r="AS107" s="64"/>
      <c r="AT107" s="67" t="s">
        <v>17</v>
      </c>
      <c r="AU107" s="64"/>
      <c r="AV107" s="64"/>
      <c r="AW107" s="64"/>
      <c r="AX107" s="64"/>
      <c r="AY107" s="64"/>
      <c r="AZ107" s="588" t="s">
        <v>17</v>
      </c>
      <c r="BA107" s="657"/>
      <c r="BB107" s="657"/>
      <c r="BC107" s="657"/>
      <c r="BD107" s="657"/>
      <c r="BE107" s="657"/>
      <c r="BF107" s="67" t="s">
        <v>17</v>
      </c>
      <c r="BG107" s="64"/>
      <c r="BH107" s="64"/>
      <c r="BI107" s="64"/>
      <c r="BJ107" s="64"/>
      <c r="BK107" s="95"/>
      <c r="BL107" s="779" t="s">
        <v>17</v>
      </c>
      <c r="BM107" s="657"/>
      <c r="BN107" s="657"/>
      <c r="BO107" s="657"/>
      <c r="BP107" s="657"/>
      <c r="BQ107" s="788"/>
      <c r="BR107" s="96"/>
      <c r="BS107" s="96">
        <f t="shared" si="0"/>
        <v>0</v>
      </c>
      <c r="BT107" s="64"/>
    </row>
    <row r="108" spans="1:72" ht="12.75" customHeight="1">
      <c r="A108" s="64" t="s">
        <v>2422</v>
      </c>
      <c r="B108" s="115" t="s">
        <v>2694</v>
      </c>
      <c r="C108" s="64" t="s">
        <v>2679</v>
      </c>
      <c r="D108" s="64" t="s">
        <v>2695</v>
      </c>
      <c r="E108" s="64"/>
      <c r="F108" s="67"/>
      <c r="H108" s="64" t="s">
        <v>2438</v>
      </c>
      <c r="I108" s="64"/>
      <c r="J108" s="64"/>
      <c r="K108" s="67" t="str">
        <f>IF(L108="YES","ja",IF(L108="NO","nein",""))</f>
        <v/>
      </c>
      <c r="M108" s="64" t="s">
        <v>2438</v>
      </c>
      <c r="N108" s="64" t="s">
        <v>2694</v>
      </c>
      <c r="O108" s="64"/>
      <c r="P108" s="67" t="s">
        <v>17</v>
      </c>
      <c r="Q108" s="64"/>
      <c r="R108" s="64"/>
      <c r="S108" s="64"/>
      <c r="T108" s="64"/>
      <c r="U108" s="95"/>
      <c r="V108" s="67" t="s">
        <v>17</v>
      </c>
      <c r="W108" s="64"/>
      <c r="X108" s="64"/>
      <c r="Y108" s="64"/>
      <c r="Z108" s="64"/>
      <c r="AA108" s="95"/>
      <c r="AB108" s="67" t="s">
        <v>17</v>
      </c>
      <c r="AC108" s="64"/>
      <c r="AD108" s="64"/>
      <c r="AE108" s="64"/>
      <c r="AF108" s="64"/>
      <c r="AG108" s="95"/>
      <c r="AH108" s="67" t="s">
        <v>17</v>
      </c>
      <c r="AI108" s="64"/>
      <c r="AJ108" s="64"/>
      <c r="AK108" s="64"/>
      <c r="AL108" s="64"/>
      <c r="AM108" s="95"/>
      <c r="AN108" s="67" t="s">
        <v>17</v>
      </c>
      <c r="AO108" s="64"/>
      <c r="AP108" s="64"/>
      <c r="AQ108" s="64"/>
      <c r="AR108" s="64"/>
      <c r="AS108" s="64"/>
      <c r="AT108" s="67" t="s">
        <v>17</v>
      </c>
      <c r="AU108" s="64"/>
      <c r="AV108" s="64"/>
      <c r="AW108" s="64"/>
      <c r="AX108" s="64"/>
      <c r="AY108" s="64"/>
      <c r="AZ108" s="588" t="s">
        <v>2432</v>
      </c>
      <c r="BA108" s="657" t="str">
        <f>IF(K108=NeinAntwort,Referral,Dunkelverarbeitung)</f>
        <v>Dunkelverarbeitung</v>
      </c>
      <c r="BB108" s="657"/>
      <c r="BC108" s="657"/>
      <c r="BD108" s="657"/>
      <c r="BE108" s="657"/>
      <c r="BF108" s="67" t="s">
        <v>2432</v>
      </c>
      <c r="BG108" s="64"/>
      <c r="BH108" s="64" t="str">
        <f>IF(K108=NeinAntwort,"KO Trigger",Dunkelverarbeitung)</f>
        <v>Dunkelverarbeitung</v>
      </c>
      <c r="BI108" s="64"/>
      <c r="BJ108" s="64"/>
      <c r="BK108" s="95"/>
      <c r="BL108" s="779" t="s">
        <v>17</v>
      </c>
      <c r="BM108" s="657"/>
      <c r="BN108" s="657"/>
      <c r="BO108" s="657"/>
      <c r="BP108" s="657"/>
      <c r="BQ108" s="788"/>
      <c r="BR108" s="96" t="s">
        <v>3736</v>
      </c>
      <c r="BS108" s="96" t="str">
        <f t="shared" si="0"/>
        <v>negatives EBIT</v>
      </c>
      <c r="BT108" s="64"/>
    </row>
    <row r="109" spans="1:72" ht="12.75" customHeight="1">
      <c r="A109" s="64" t="s">
        <v>2422</v>
      </c>
      <c r="B109" s="115" t="s">
        <v>2696</v>
      </c>
      <c r="C109" s="64" t="s">
        <v>2679</v>
      </c>
      <c r="D109" s="64" t="s">
        <v>2697</v>
      </c>
      <c r="E109" s="64"/>
      <c r="F109" s="67"/>
      <c r="H109" s="64" t="s">
        <v>2442</v>
      </c>
      <c r="I109" s="64"/>
      <c r="J109" s="64"/>
      <c r="K109" s="67"/>
      <c r="M109" s="64" t="s">
        <v>2442</v>
      </c>
      <c r="N109" s="64" t="s">
        <v>2696</v>
      </c>
      <c r="O109" s="64"/>
      <c r="P109" s="67" t="s">
        <v>17</v>
      </c>
      <c r="Q109" s="64"/>
      <c r="R109" s="64"/>
      <c r="S109" s="64"/>
      <c r="T109" s="64"/>
      <c r="U109" s="95"/>
      <c r="V109" s="67" t="s">
        <v>17</v>
      </c>
      <c r="W109" s="64"/>
      <c r="X109" s="64"/>
      <c r="Y109" s="64"/>
      <c r="Z109" s="64"/>
      <c r="AA109" s="95"/>
      <c r="AB109" s="67" t="s">
        <v>17</v>
      </c>
      <c r="AC109" s="64"/>
      <c r="AD109" s="64"/>
      <c r="AE109" s="64"/>
      <c r="AF109" s="64"/>
      <c r="AG109" s="95"/>
      <c r="AH109" s="67" t="s">
        <v>17</v>
      </c>
      <c r="AI109" s="64"/>
      <c r="AJ109" s="64"/>
      <c r="AK109" s="64"/>
      <c r="AL109" s="64"/>
      <c r="AM109" s="95"/>
      <c r="AN109" s="67" t="s">
        <v>17</v>
      </c>
      <c r="AO109" s="64"/>
      <c r="AP109" s="64"/>
      <c r="AQ109" s="64"/>
      <c r="AR109" s="64"/>
      <c r="AS109" s="64"/>
      <c r="AT109" s="67" t="s">
        <v>17</v>
      </c>
      <c r="AU109" s="64"/>
      <c r="AV109" s="64"/>
      <c r="AW109" s="64"/>
      <c r="AX109" s="64"/>
      <c r="AY109" s="64"/>
      <c r="AZ109" s="588" t="s">
        <v>2432</v>
      </c>
      <c r="BA109" s="657" t="str">
        <f>IF(K109&lt;0,Referral,Dunkelverarbeitung)</f>
        <v>Dunkelverarbeitung</v>
      </c>
      <c r="BB109" s="657"/>
      <c r="BC109" s="657"/>
      <c r="BD109" s="657"/>
      <c r="BE109" s="657"/>
      <c r="BF109" s="67"/>
      <c r="BG109" s="64"/>
      <c r="BH109" s="64"/>
      <c r="BI109" s="64"/>
      <c r="BJ109" s="64"/>
      <c r="BK109" s="95"/>
      <c r="BL109" s="779" t="s">
        <v>17</v>
      </c>
      <c r="BM109" s="657"/>
      <c r="BN109" s="657"/>
      <c r="BO109" s="657"/>
      <c r="BP109" s="657"/>
      <c r="BQ109" s="788"/>
      <c r="BR109" s="96" t="s">
        <v>3736</v>
      </c>
      <c r="BS109" s="96" t="str">
        <f t="shared" si="0"/>
        <v>negatives EBIT</v>
      </c>
      <c r="BT109" s="64"/>
    </row>
    <row r="110" spans="1:72" ht="12.75" customHeight="1">
      <c r="A110" s="64" t="s">
        <v>2422</v>
      </c>
      <c r="B110" s="115" t="s">
        <v>2698</v>
      </c>
      <c r="C110" s="64" t="s">
        <v>2679</v>
      </c>
      <c r="D110" s="64" t="s">
        <v>2691</v>
      </c>
      <c r="E110" s="64"/>
      <c r="F110" s="67"/>
      <c r="H110" s="64" t="s">
        <v>2442</v>
      </c>
      <c r="I110" s="64"/>
      <c r="J110" s="64"/>
      <c r="K110" s="67"/>
      <c r="M110" s="64" t="s">
        <v>2442</v>
      </c>
      <c r="N110" s="64" t="s">
        <v>2698</v>
      </c>
      <c r="O110" s="64"/>
      <c r="P110" s="67" t="s">
        <v>17</v>
      </c>
      <c r="Q110" s="64"/>
      <c r="R110" s="64"/>
      <c r="S110" s="64"/>
      <c r="T110" s="64"/>
      <c r="U110" s="95"/>
      <c r="V110" s="67" t="s">
        <v>17</v>
      </c>
      <c r="W110" s="64"/>
      <c r="X110" s="64"/>
      <c r="Y110" s="64"/>
      <c r="Z110" s="64"/>
      <c r="AA110" s="95"/>
      <c r="AB110" s="67" t="s">
        <v>17</v>
      </c>
      <c r="AC110" s="64"/>
      <c r="AD110" s="64"/>
      <c r="AE110" s="64"/>
      <c r="AF110" s="64"/>
      <c r="AG110" s="95"/>
      <c r="AH110" s="67" t="s">
        <v>17</v>
      </c>
      <c r="AI110" s="64"/>
      <c r="AJ110" s="64"/>
      <c r="AK110" s="64"/>
      <c r="AL110" s="64"/>
      <c r="AM110" s="95"/>
      <c r="AN110" s="67" t="s">
        <v>17</v>
      </c>
      <c r="AO110" s="64"/>
      <c r="AP110" s="64"/>
      <c r="AQ110" s="64"/>
      <c r="AR110" s="64"/>
      <c r="AS110" s="64"/>
      <c r="AT110" s="67" t="s">
        <v>17</v>
      </c>
      <c r="AU110" s="64"/>
      <c r="AV110" s="64"/>
      <c r="AW110" s="64"/>
      <c r="AX110" s="64"/>
      <c r="AY110" s="64"/>
      <c r="AZ110" s="588" t="s">
        <v>17</v>
      </c>
      <c r="BA110" s="657"/>
      <c r="BB110" s="657"/>
      <c r="BC110" s="657"/>
      <c r="BD110" s="657"/>
      <c r="BE110" s="657"/>
      <c r="BF110" s="67"/>
      <c r="BG110" s="64"/>
      <c r="BH110" s="64"/>
      <c r="BI110" s="64"/>
      <c r="BJ110" s="64"/>
      <c r="BK110" s="95"/>
      <c r="BL110" s="779" t="s">
        <v>17</v>
      </c>
      <c r="BM110" s="657"/>
      <c r="BN110" s="657"/>
      <c r="BO110" s="657"/>
      <c r="BP110" s="657"/>
      <c r="BQ110" s="788"/>
      <c r="BR110" s="96"/>
      <c r="BS110" s="96">
        <f t="shared" si="0"/>
        <v>0</v>
      </c>
      <c r="BT110" s="64"/>
    </row>
    <row r="111" spans="1:72" ht="12.75" customHeight="1">
      <c r="A111" s="64" t="s">
        <v>2422</v>
      </c>
      <c r="B111" s="115" t="s">
        <v>2699</v>
      </c>
      <c r="C111" s="64" t="s">
        <v>2679</v>
      </c>
      <c r="D111" s="64" t="s">
        <v>2697</v>
      </c>
      <c r="E111" s="64"/>
      <c r="F111" s="67"/>
      <c r="H111" s="64" t="s">
        <v>2442</v>
      </c>
      <c r="I111" s="64"/>
      <c r="J111" s="64"/>
      <c r="K111" s="67"/>
      <c r="M111" s="64" t="s">
        <v>2442</v>
      </c>
      <c r="N111" s="64" t="s">
        <v>2699</v>
      </c>
      <c r="O111" s="64"/>
      <c r="P111" s="67" t="s">
        <v>17</v>
      </c>
      <c r="Q111" s="64"/>
      <c r="R111" s="64"/>
      <c r="S111" s="64"/>
      <c r="T111" s="64"/>
      <c r="U111" s="95"/>
      <c r="V111" s="67" t="s">
        <v>17</v>
      </c>
      <c r="W111" s="64"/>
      <c r="X111" s="64"/>
      <c r="Y111" s="64"/>
      <c r="Z111" s="64"/>
      <c r="AA111" s="95"/>
      <c r="AB111" s="67" t="s">
        <v>17</v>
      </c>
      <c r="AC111" s="64"/>
      <c r="AD111" s="64"/>
      <c r="AE111" s="64"/>
      <c r="AF111" s="64"/>
      <c r="AG111" s="95"/>
      <c r="AH111" s="67" t="s">
        <v>17</v>
      </c>
      <c r="AI111" s="64"/>
      <c r="AJ111" s="64"/>
      <c r="AK111" s="64"/>
      <c r="AL111" s="64"/>
      <c r="AM111" s="95"/>
      <c r="AN111" s="67" t="s">
        <v>17</v>
      </c>
      <c r="AO111" s="64"/>
      <c r="AP111" s="64"/>
      <c r="AQ111" s="64"/>
      <c r="AR111" s="64"/>
      <c r="AS111" s="64"/>
      <c r="AT111" s="67" t="s">
        <v>17</v>
      </c>
      <c r="AU111" s="64"/>
      <c r="AV111" s="64"/>
      <c r="AW111" s="64"/>
      <c r="AX111" s="64"/>
      <c r="AY111" s="64"/>
      <c r="AZ111" s="588" t="s">
        <v>2432</v>
      </c>
      <c r="BA111" s="657" t="str">
        <f>IF(K111&lt;0,Referral,Dunkelverarbeitung)</f>
        <v>Dunkelverarbeitung</v>
      </c>
      <c r="BB111" s="657"/>
      <c r="BC111" s="657"/>
      <c r="BD111" s="657"/>
      <c r="BE111" s="657"/>
      <c r="BF111" s="67"/>
      <c r="BG111" s="64"/>
      <c r="BH111" s="64"/>
      <c r="BI111" s="64"/>
      <c r="BJ111" s="64"/>
      <c r="BK111" s="95"/>
      <c r="BL111" s="779" t="s">
        <v>17</v>
      </c>
      <c r="BM111" s="657"/>
      <c r="BN111" s="657"/>
      <c r="BO111" s="657"/>
      <c r="BP111" s="657"/>
      <c r="BQ111" s="788"/>
      <c r="BR111" s="96" t="s">
        <v>3736</v>
      </c>
      <c r="BS111" s="96" t="str">
        <f t="shared" si="0"/>
        <v>negatives EBIT</v>
      </c>
      <c r="BT111" s="64"/>
    </row>
    <row r="112" spans="1:72" ht="12.75" customHeight="1">
      <c r="A112" s="64" t="s">
        <v>2422</v>
      </c>
      <c r="B112" s="115" t="s">
        <v>2700</v>
      </c>
      <c r="C112" s="64" t="s">
        <v>2679</v>
      </c>
      <c r="D112" s="64" t="s">
        <v>2691</v>
      </c>
      <c r="E112" s="64"/>
      <c r="F112" s="67"/>
      <c r="H112" s="64" t="s">
        <v>2442</v>
      </c>
      <c r="I112" s="64"/>
      <c r="J112" s="64"/>
      <c r="K112" s="67"/>
      <c r="M112" s="64" t="s">
        <v>2442</v>
      </c>
      <c r="N112" s="64" t="s">
        <v>2700</v>
      </c>
      <c r="O112" s="64"/>
      <c r="P112" s="67" t="s">
        <v>17</v>
      </c>
      <c r="Q112" s="64"/>
      <c r="R112" s="64"/>
      <c r="S112" s="64"/>
      <c r="T112" s="64"/>
      <c r="U112" s="95"/>
      <c r="V112" s="67" t="s">
        <v>17</v>
      </c>
      <c r="W112" s="64"/>
      <c r="X112" s="64"/>
      <c r="Y112" s="64"/>
      <c r="Z112" s="64"/>
      <c r="AA112" s="95"/>
      <c r="AB112" s="67" t="s">
        <v>17</v>
      </c>
      <c r="AC112" s="64"/>
      <c r="AD112" s="64"/>
      <c r="AE112" s="64"/>
      <c r="AF112" s="64"/>
      <c r="AG112" s="95"/>
      <c r="AH112" s="67" t="s">
        <v>17</v>
      </c>
      <c r="AI112" s="64"/>
      <c r="AJ112" s="64"/>
      <c r="AK112" s="64"/>
      <c r="AL112" s="64"/>
      <c r="AM112" s="95"/>
      <c r="AN112" s="67" t="s">
        <v>17</v>
      </c>
      <c r="AO112" s="64"/>
      <c r="AP112" s="64"/>
      <c r="AQ112" s="64"/>
      <c r="AR112" s="64"/>
      <c r="AS112" s="64"/>
      <c r="AT112" s="67" t="s">
        <v>17</v>
      </c>
      <c r="AU112" s="64"/>
      <c r="AV112" s="64"/>
      <c r="AW112" s="64"/>
      <c r="AX112" s="64"/>
      <c r="AY112" s="64"/>
      <c r="AZ112" s="588" t="s">
        <v>17</v>
      </c>
      <c r="BA112" s="657"/>
      <c r="BB112" s="657"/>
      <c r="BC112" s="657"/>
      <c r="BD112" s="657"/>
      <c r="BE112" s="657"/>
      <c r="BF112" s="67"/>
      <c r="BG112" s="64"/>
      <c r="BH112" s="64"/>
      <c r="BI112" s="64"/>
      <c r="BJ112" s="64"/>
      <c r="BK112" s="95"/>
      <c r="BL112" s="779" t="s">
        <v>17</v>
      </c>
      <c r="BM112" s="657"/>
      <c r="BN112" s="657"/>
      <c r="BO112" s="657"/>
      <c r="BP112" s="657"/>
      <c r="BQ112" s="788"/>
      <c r="BR112" s="96"/>
      <c r="BS112" s="96">
        <f t="shared" si="0"/>
        <v>0</v>
      </c>
      <c r="BT112" s="64"/>
    </row>
    <row r="113" spans="1:72" ht="12.75" customHeight="1">
      <c r="A113" s="64" t="s">
        <v>2422</v>
      </c>
      <c r="B113" s="115" t="s">
        <v>2701</v>
      </c>
      <c r="C113" s="64" t="s">
        <v>2679</v>
      </c>
      <c r="D113" s="64" t="s">
        <v>2702</v>
      </c>
      <c r="E113" s="64"/>
      <c r="F113" s="67"/>
      <c r="H113" s="64" t="s">
        <v>2438</v>
      </c>
      <c r="I113" s="64"/>
      <c r="J113" s="64"/>
      <c r="K113" s="67" t="str">
        <f>IF(L113="YES","ja",IF(L113="NO","nein",""))</f>
        <v/>
      </c>
      <c r="M113" s="64" t="s">
        <v>2438</v>
      </c>
      <c r="N113" s="64" t="s">
        <v>2701</v>
      </c>
      <c r="O113" s="64"/>
      <c r="P113" s="67" t="s">
        <v>17</v>
      </c>
      <c r="Q113" s="64"/>
      <c r="R113" s="64"/>
      <c r="S113" s="64"/>
      <c r="T113" s="64"/>
      <c r="U113" s="95"/>
      <c r="V113" s="67" t="s">
        <v>17</v>
      </c>
      <c r="W113" s="64"/>
      <c r="X113" s="64"/>
      <c r="Y113" s="64"/>
      <c r="Z113" s="64"/>
      <c r="AA113" s="95"/>
      <c r="AB113" s="67" t="s">
        <v>17</v>
      </c>
      <c r="AC113" s="64"/>
      <c r="AD113" s="64"/>
      <c r="AE113" s="64"/>
      <c r="AF113" s="64"/>
      <c r="AG113" s="95"/>
      <c r="AH113" s="67" t="s">
        <v>2432</v>
      </c>
      <c r="AI113" s="64" t="str">
        <f>IF(K113=NeinAntwort,Referral,Dunkelverarbeitung)</f>
        <v>Dunkelverarbeitung</v>
      </c>
      <c r="AJ113" s="64"/>
      <c r="AK113" s="64"/>
      <c r="AL113" s="64"/>
      <c r="AM113" s="95"/>
      <c r="AN113" s="67" t="s">
        <v>2432</v>
      </c>
      <c r="AO113" s="64" t="str">
        <f>IF(K113=NeinAntwort,Referral,Dunkelverarbeitung)</f>
        <v>Dunkelverarbeitung</v>
      </c>
      <c r="AP113" s="64"/>
      <c r="AQ113" s="64"/>
      <c r="AR113" s="64"/>
      <c r="AS113" s="64"/>
      <c r="AT113" s="67" t="s">
        <v>17</v>
      </c>
      <c r="AU113" s="64"/>
      <c r="AV113" s="64"/>
      <c r="AW113" s="64"/>
      <c r="AX113" s="64"/>
      <c r="AY113" s="64"/>
      <c r="AZ113" s="588" t="s">
        <v>2432</v>
      </c>
      <c r="BA113" s="657" t="str">
        <f>IF(K113=NeinAntwort,Referral,Dunkelverarbeitung)</f>
        <v>Dunkelverarbeitung</v>
      </c>
      <c r="BB113" s="657"/>
      <c r="BC113" s="657"/>
      <c r="BD113" s="657"/>
      <c r="BE113" s="657"/>
      <c r="BF113" s="67" t="s">
        <v>2432</v>
      </c>
      <c r="BG113" s="64"/>
      <c r="BH113" s="64" t="str">
        <f>IF(K113=NeinAntwort,"KO Trigger",Dunkelverarbeitung)</f>
        <v>Dunkelverarbeitung</v>
      </c>
      <c r="BI113" s="64"/>
      <c r="BJ113" s="64"/>
      <c r="BK113" s="95"/>
      <c r="BL113" s="67" t="s">
        <v>2432</v>
      </c>
      <c r="BM113" s="657" t="str">
        <f>IF(K113=NeinAntwort,Referral,Dunkelverarbeitung)</f>
        <v>Dunkelverarbeitung</v>
      </c>
      <c r="BN113" s="657"/>
      <c r="BO113" s="657"/>
      <c r="BP113" s="657"/>
      <c r="BQ113" s="788"/>
      <c r="BR113" s="96" t="s">
        <v>2605</v>
      </c>
      <c r="BS113" s="96" t="str">
        <f t="shared" si="0"/>
        <v>Negatives Jahresergebnis</v>
      </c>
      <c r="BT113" s="64"/>
    </row>
    <row r="114" spans="1:72" ht="12.75" customHeight="1">
      <c r="A114" s="64" t="s">
        <v>2422</v>
      </c>
      <c r="B114" s="115" t="s">
        <v>2703</v>
      </c>
      <c r="C114" s="64" t="s">
        <v>2679</v>
      </c>
      <c r="D114" s="64" t="s">
        <v>2565</v>
      </c>
      <c r="E114" s="64"/>
      <c r="F114" s="67"/>
      <c r="H114" s="64" t="s">
        <v>2442</v>
      </c>
      <c r="I114" s="64"/>
      <c r="J114" s="64"/>
      <c r="K114" s="67"/>
      <c r="M114" s="64" t="s">
        <v>2442</v>
      </c>
      <c r="N114" s="64" t="s">
        <v>2703</v>
      </c>
      <c r="O114" s="64"/>
      <c r="P114" s="67" t="s">
        <v>17</v>
      </c>
      <c r="Q114" s="64"/>
      <c r="R114" s="64"/>
      <c r="S114" s="64"/>
      <c r="T114" s="64"/>
      <c r="U114" s="95"/>
      <c r="V114" s="67" t="s">
        <v>17</v>
      </c>
      <c r="W114" s="64"/>
      <c r="X114" s="64"/>
      <c r="Y114" s="64"/>
      <c r="Z114" s="64"/>
      <c r="AA114" s="95"/>
      <c r="AB114" s="67" t="s">
        <v>17</v>
      </c>
      <c r="AC114" s="64"/>
      <c r="AD114" s="64"/>
      <c r="AE114" s="64"/>
      <c r="AF114" s="64"/>
      <c r="AG114" s="95"/>
      <c r="AH114" s="67" t="s">
        <v>17</v>
      </c>
      <c r="AI114" s="64"/>
      <c r="AJ114" s="64"/>
      <c r="AK114" s="64"/>
      <c r="AL114" s="64"/>
      <c r="AM114" s="95"/>
      <c r="AN114" s="67" t="s">
        <v>17</v>
      </c>
      <c r="AO114" s="64"/>
      <c r="AP114" s="64"/>
      <c r="AQ114" s="64"/>
      <c r="AR114" s="64"/>
      <c r="AS114" s="64"/>
      <c r="AT114" s="67" t="s">
        <v>17</v>
      </c>
      <c r="AU114" s="64"/>
      <c r="AV114" s="64"/>
      <c r="AW114" s="64"/>
      <c r="AX114" s="64"/>
      <c r="AY114" s="64"/>
      <c r="AZ114" s="588" t="s">
        <v>2432</v>
      </c>
      <c r="BA114" s="657" t="str">
        <f>IF(K114&lt;0,Referral,Dunkelverarbeitung)</f>
        <v>Dunkelverarbeitung</v>
      </c>
      <c r="BB114" s="657"/>
      <c r="BC114" s="657"/>
      <c r="BD114" s="657"/>
      <c r="BE114" s="657"/>
      <c r="BF114" s="67" t="s">
        <v>2432</v>
      </c>
      <c r="BG114" s="64"/>
      <c r="BH114" s="64" t="str">
        <f>IF(K114&lt;0,Referral,Dunkelverarbeitung)</f>
        <v>Dunkelverarbeitung</v>
      </c>
      <c r="BI114" s="64"/>
      <c r="BJ114" s="64"/>
      <c r="BK114" s="95"/>
      <c r="BL114" s="67" t="s">
        <v>2432</v>
      </c>
      <c r="BM114" s="64" t="str">
        <f>IF(K114&lt;0,Referral,Dunkelverarbeitung)</f>
        <v>Dunkelverarbeitung</v>
      </c>
      <c r="BN114" s="657"/>
      <c r="BO114" s="657"/>
      <c r="BP114" s="657"/>
      <c r="BQ114" s="788"/>
      <c r="BR114" s="96" t="s">
        <v>2605</v>
      </c>
      <c r="BS114" s="96" t="str">
        <f t="shared" si="0"/>
        <v>Negatives Jahresergebnis</v>
      </c>
      <c r="BT114" s="64"/>
    </row>
    <row r="115" spans="1:72" ht="12.75" customHeight="1">
      <c r="A115" s="64" t="s">
        <v>2422</v>
      </c>
      <c r="B115" s="115" t="s">
        <v>2704</v>
      </c>
      <c r="C115" s="64" t="s">
        <v>2679</v>
      </c>
      <c r="D115" s="64" t="s">
        <v>2691</v>
      </c>
      <c r="E115" s="64"/>
      <c r="F115" s="67"/>
      <c r="H115" s="64" t="s">
        <v>2442</v>
      </c>
      <c r="I115" s="64"/>
      <c r="J115" s="64"/>
      <c r="K115" s="67"/>
      <c r="M115" s="64" t="s">
        <v>2442</v>
      </c>
      <c r="N115" s="64" t="s">
        <v>2704</v>
      </c>
      <c r="O115" s="64"/>
      <c r="P115" s="67" t="s">
        <v>17</v>
      </c>
      <c r="Q115" s="64"/>
      <c r="R115" s="64"/>
      <c r="S115" s="64"/>
      <c r="T115" s="64"/>
      <c r="U115" s="95"/>
      <c r="V115" s="67" t="s">
        <v>17</v>
      </c>
      <c r="W115" s="64"/>
      <c r="X115" s="64"/>
      <c r="Y115" s="64"/>
      <c r="Z115" s="64"/>
      <c r="AA115" s="95"/>
      <c r="AB115" s="67" t="s">
        <v>17</v>
      </c>
      <c r="AC115" s="64"/>
      <c r="AD115" s="64"/>
      <c r="AE115" s="64"/>
      <c r="AF115" s="64"/>
      <c r="AG115" s="95"/>
      <c r="AH115" s="67" t="s">
        <v>17</v>
      </c>
      <c r="AI115" s="64"/>
      <c r="AJ115" s="64"/>
      <c r="AK115" s="64"/>
      <c r="AL115" s="64"/>
      <c r="AM115" s="95"/>
      <c r="AN115" s="67" t="s">
        <v>17</v>
      </c>
      <c r="AO115" s="64"/>
      <c r="AP115" s="64"/>
      <c r="AQ115" s="64"/>
      <c r="AR115" s="64"/>
      <c r="AS115" s="64"/>
      <c r="AT115" s="67" t="s">
        <v>17</v>
      </c>
      <c r="AU115" s="64"/>
      <c r="AV115" s="64"/>
      <c r="AW115" s="64"/>
      <c r="AX115" s="64"/>
      <c r="AY115" s="64"/>
      <c r="AZ115" s="588" t="s">
        <v>17</v>
      </c>
      <c r="BA115" s="657"/>
      <c r="BB115" s="657"/>
      <c r="BC115" s="657"/>
      <c r="BD115" s="657"/>
      <c r="BE115" s="657"/>
      <c r="BF115" s="67" t="s">
        <v>17</v>
      </c>
      <c r="BG115" s="64"/>
      <c r="BH115" s="64"/>
      <c r="BI115" s="64"/>
      <c r="BJ115" s="64"/>
      <c r="BK115" s="95"/>
      <c r="BL115" s="779" t="s">
        <v>17</v>
      </c>
      <c r="BM115" s="657"/>
      <c r="BN115" s="657"/>
      <c r="BO115" s="657"/>
      <c r="BP115" s="657"/>
      <c r="BQ115" s="788"/>
      <c r="BR115" s="96"/>
      <c r="BS115" s="96">
        <f t="shared" si="0"/>
        <v>0</v>
      </c>
      <c r="BT115" s="64"/>
    </row>
    <row r="116" spans="1:72" ht="12.75" customHeight="1">
      <c r="A116" s="64" t="s">
        <v>2422</v>
      </c>
      <c r="B116" s="115" t="s">
        <v>2705</v>
      </c>
      <c r="C116" s="64" t="s">
        <v>2679</v>
      </c>
      <c r="D116" s="64" t="s">
        <v>2565</v>
      </c>
      <c r="E116" s="64"/>
      <c r="F116" s="67"/>
      <c r="H116" s="64" t="s">
        <v>2442</v>
      </c>
      <c r="I116" s="64"/>
      <c r="J116" s="64"/>
      <c r="K116" s="67"/>
      <c r="M116" s="64" t="s">
        <v>2442</v>
      </c>
      <c r="N116" s="64" t="s">
        <v>2705</v>
      </c>
      <c r="O116" s="64"/>
      <c r="P116" s="67" t="s">
        <v>17</v>
      </c>
      <c r="Q116" s="64"/>
      <c r="R116" s="64"/>
      <c r="S116" s="64"/>
      <c r="T116" s="64"/>
      <c r="U116" s="95"/>
      <c r="V116" s="67" t="s">
        <v>17</v>
      </c>
      <c r="W116" s="64"/>
      <c r="X116" s="64"/>
      <c r="Y116" s="64"/>
      <c r="Z116" s="64"/>
      <c r="AA116" s="95"/>
      <c r="AB116" s="67" t="s">
        <v>17</v>
      </c>
      <c r="AC116" s="64"/>
      <c r="AD116" s="64"/>
      <c r="AE116" s="64"/>
      <c r="AF116" s="64"/>
      <c r="AG116" s="95"/>
      <c r="AH116" s="67" t="s">
        <v>17</v>
      </c>
      <c r="AI116" s="64"/>
      <c r="AJ116" s="64"/>
      <c r="AK116" s="64"/>
      <c r="AL116" s="64"/>
      <c r="AM116" s="95"/>
      <c r="AN116" s="67" t="s">
        <v>17</v>
      </c>
      <c r="AO116" s="64"/>
      <c r="AP116" s="64"/>
      <c r="AQ116" s="64"/>
      <c r="AR116" s="64"/>
      <c r="AS116" s="64"/>
      <c r="AT116" s="67" t="s">
        <v>17</v>
      </c>
      <c r="AU116" s="64"/>
      <c r="AV116" s="64"/>
      <c r="AW116" s="64"/>
      <c r="AX116" s="64"/>
      <c r="AY116" s="64"/>
      <c r="AZ116" s="588" t="s">
        <v>2432</v>
      </c>
      <c r="BA116" s="657" t="str">
        <f>IF(K116&lt;0,Referral,Dunkelverarbeitung)</f>
        <v>Dunkelverarbeitung</v>
      </c>
      <c r="BB116" s="657"/>
      <c r="BC116" s="657"/>
      <c r="BD116" s="657"/>
      <c r="BE116" s="657"/>
      <c r="BF116" s="67" t="s">
        <v>2432</v>
      </c>
      <c r="BG116" s="64"/>
      <c r="BH116" s="64" t="str">
        <f>IF(K116&lt;0,Referral,Dunkelverarbeitung)</f>
        <v>Dunkelverarbeitung</v>
      </c>
      <c r="BI116" s="64"/>
      <c r="BJ116" s="64"/>
      <c r="BK116" s="95"/>
      <c r="BL116" s="67" t="s">
        <v>2432</v>
      </c>
      <c r="BM116" s="64" t="str">
        <f>IF(K116&lt;0,Referral,Dunkelverarbeitung)</f>
        <v>Dunkelverarbeitung</v>
      </c>
      <c r="BN116" s="657"/>
      <c r="BO116" s="657"/>
      <c r="BP116" s="657"/>
      <c r="BQ116" s="788"/>
      <c r="BR116" s="96" t="s">
        <v>2605</v>
      </c>
      <c r="BS116" s="96" t="str">
        <f t="shared" si="0"/>
        <v>Negatives Jahresergebnis</v>
      </c>
      <c r="BT116" s="64"/>
    </row>
    <row r="117" spans="1:72" ht="12.75" customHeight="1">
      <c r="A117" s="64" t="s">
        <v>2422</v>
      </c>
      <c r="B117" s="115" t="s">
        <v>2706</v>
      </c>
      <c r="C117" s="64" t="s">
        <v>2679</v>
      </c>
      <c r="D117" s="64" t="s">
        <v>2691</v>
      </c>
      <c r="E117" s="64"/>
      <c r="F117" s="67"/>
      <c r="H117" s="64" t="s">
        <v>2442</v>
      </c>
      <c r="I117" s="64"/>
      <c r="J117" s="64"/>
      <c r="K117" s="67"/>
      <c r="M117" s="64" t="s">
        <v>2442</v>
      </c>
      <c r="N117" s="64" t="s">
        <v>2706</v>
      </c>
      <c r="O117" s="64"/>
      <c r="P117" s="67" t="s">
        <v>17</v>
      </c>
      <c r="Q117" s="64"/>
      <c r="R117" s="64"/>
      <c r="S117" s="64"/>
      <c r="T117" s="64"/>
      <c r="U117" s="95"/>
      <c r="V117" s="67" t="s">
        <v>17</v>
      </c>
      <c r="W117" s="64"/>
      <c r="X117" s="64"/>
      <c r="Y117" s="64"/>
      <c r="Z117" s="64"/>
      <c r="AA117" s="95"/>
      <c r="AB117" s="67" t="s">
        <v>17</v>
      </c>
      <c r="AC117" s="64"/>
      <c r="AD117" s="64"/>
      <c r="AE117" s="64"/>
      <c r="AF117" s="64"/>
      <c r="AG117" s="95"/>
      <c r="AH117" s="67" t="s">
        <v>17</v>
      </c>
      <c r="AI117" s="64"/>
      <c r="AJ117" s="64"/>
      <c r="AK117" s="64"/>
      <c r="AL117" s="64"/>
      <c r="AM117" s="95"/>
      <c r="AN117" s="67" t="s">
        <v>17</v>
      </c>
      <c r="AO117" s="64"/>
      <c r="AP117" s="64"/>
      <c r="AQ117" s="64"/>
      <c r="AR117" s="64"/>
      <c r="AS117" s="64"/>
      <c r="AT117" s="67" t="s">
        <v>17</v>
      </c>
      <c r="AU117" s="64"/>
      <c r="AV117" s="64"/>
      <c r="AW117" s="64"/>
      <c r="AX117" s="64"/>
      <c r="AY117" s="64"/>
      <c r="AZ117" s="588" t="s">
        <v>17</v>
      </c>
      <c r="BA117" s="657"/>
      <c r="BB117" s="657"/>
      <c r="BC117" s="657"/>
      <c r="BD117" s="657"/>
      <c r="BE117" s="657"/>
      <c r="BF117" s="67" t="s">
        <v>17</v>
      </c>
      <c r="BG117" s="64"/>
      <c r="BH117" s="64"/>
      <c r="BI117" s="64"/>
      <c r="BJ117" s="64"/>
      <c r="BK117" s="95"/>
      <c r="BL117" s="779" t="s">
        <v>17</v>
      </c>
      <c r="BM117" s="657"/>
      <c r="BN117" s="657"/>
      <c r="BO117" s="657"/>
      <c r="BP117" s="657"/>
      <c r="BQ117" s="788"/>
      <c r="BR117" s="96"/>
      <c r="BS117" s="96">
        <f t="shared" si="0"/>
        <v>0</v>
      </c>
      <c r="BT117" s="64"/>
    </row>
    <row r="118" spans="1:72" ht="12.75" customHeight="1">
      <c r="A118" s="64" t="s">
        <v>2422</v>
      </c>
      <c r="B118" s="115" t="s">
        <v>2707</v>
      </c>
      <c r="C118" s="64" t="s">
        <v>2679</v>
      </c>
      <c r="D118" s="64" t="s">
        <v>2708</v>
      </c>
      <c r="E118" s="64"/>
      <c r="F118" s="67"/>
      <c r="H118" s="64" t="s">
        <v>2438</v>
      </c>
      <c r="I118" s="64"/>
      <c r="J118" s="64"/>
      <c r="K118" s="67" t="str">
        <f>IF(L118="YES","ja",IF(L118="NO","nein",""))</f>
        <v/>
      </c>
      <c r="M118" s="64" t="s">
        <v>2438</v>
      </c>
      <c r="N118" s="64" t="s">
        <v>2707</v>
      </c>
      <c r="O118" s="64"/>
      <c r="P118" s="67" t="s">
        <v>17</v>
      </c>
      <c r="Q118" s="64"/>
      <c r="R118" s="64"/>
      <c r="S118" s="64"/>
      <c r="T118" s="64"/>
      <c r="U118" s="95"/>
      <c r="V118" s="67" t="s">
        <v>17</v>
      </c>
      <c r="W118" s="64"/>
      <c r="X118" s="64"/>
      <c r="Y118" s="64"/>
      <c r="Z118" s="64"/>
      <c r="AA118" s="95"/>
      <c r="AB118" s="67" t="s">
        <v>17</v>
      </c>
      <c r="AC118" s="64"/>
      <c r="AD118" s="64"/>
      <c r="AE118" s="64"/>
      <c r="AF118" s="64"/>
      <c r="AG118" s="95"/>
      <c r="AH118" s="67" t="s">
        <v>17</v>
      </c>
      <c r="AI118" s="64"/>
      <c r="AJ118" s="64"/>
      <c r="AK118" s="64"/>
      <c r="AL118" s="64"/>
      <c r="AM118" s="95"/>
      <c r="AN118" s="67" t="s">
        <v>17</v>
      </c>
      <c r="AO118" s="64"/>
      <c r="AP118" s="64"/>
      <c r="AQ118" s="64"/>
      <c r="AR118" s="64"/>
      <c r="AS118" s="64"/>
      <c r="AT118" s="67" t="s">
        <v>2432</v>
      </c>
      <c r="AU118" s="64" t="str">
        <f>IF(K118=NeinAntwort,Referral,Dunkelverarbeitung)</f>
        <v>Dunkelverarbeitung</v>
      </c>
      <c r="AV118" s="64"/>
      <c r="AW118" s="64"/>
      <c r="AX118" s="64"/>
      <c r="AY118" s="64"/>
      <c r="AZ118" s="588" t="s">
        <v>17</v>
      </c>
      <c r="BA118" s="657"/>
      <c r="BB118" s="657"/>
      <c r="BC118" s="657"/>
      <c r="BD118" s="657"/>
      <c r="BE118" s="657"/>
      <c r="BF118" s="67" t="s">
        <v>2432</v>
      </c>
      <c r="BG118" s="64"/>
      <c r="BH118" s="64"/>
      <c r="BI118" s="64"/>
      <c r="BJ118" s="64"/>
      <c r="BK118" s="95"/>
      <c r="BL118" s="67" t="s">
        <v>2432</v>
      </c>
      <c r="BM118" s="657" t="str">
        <f>IF(K118=NeinAntwort,Referral,Dunkelverarbeitung)</f>
        <v>Dunkelverarbeitung</v>
      </c>
      <c r="BN118" s="657"/>
      <c r="BO118" s="657"/>
      <c r="BP118" s="657"/>
      <c r="BQ118" s="788"/>
      <c r="BR118" s="96" t="s">
        <v>2709</v>
      </c>
      <c r="BS118" s="96" t="str">
        <f t="shared" si="0"/>
        <v>Umsatz in den USA nicht weniger als 10 % des Gesamtumsatzes.</v>
      </c>
      <c r="BT118" s="64"/>
    </row>
    <row r="119" spans="1:72" ht="12.75" customHeight="1">
      <c r="A119" s="64" t="s">
        <v>2422</v>
      </c>
      <c r="B119" s="115" t="s">
        <v>2710</v>
      </c>
      <c r="C119" s="64" t="s">
        <v>2679</v>
      </c>
      <c r="D119" s="64" t="s">
        <v>2502</v>
      </c>
      <c r="E119" s="64" t="s">
        <v>2711</v>
      </c>
      <c r="F119" s="67"/>
      <c r="H119" s="64" t="s">
        <v>2442</v>
      </c>
      <c r="I119" s="64"/>
      <c r="J119" s="64"/>
      <c r="K119" s="67"/>
      <c r="M119" s="64" t="s">
        <v>2442</v>
      </c>
      <c r="N119" s="64" t="s">
        <v>2710</v>
      </c>
      <c r="O119" s="64"/>
      <c r="P119" s="67" t="s">
        <v>17</v>
      </c>
      <c r="Q119" s="64"/>
      <c r="R119" s="64"/>
      <c r="S119" s="64"/>
      <c r="T119" s="64"/>
      <c r="U119" s="95"/>
      <c r="V119" s="67" t="s">
        <v>17</v>
      </c>
      <c r="W119" s="64"/>
      <c r="X119" s="64"/>
      <c r="Y119" s="64"/>
      <c r="Z119" s="64"/>
      <c r="AA119" s="95"/>
      <c r="AB119" s="67" t="s">
        <v>17</v>
      </c>
      <c r="AC119" s="64"/>
      <c r="AD119" s="64"/>
      <c r="AE119" s="64"/>
      <c r="AF119" s="64"/>
      <c r="AG119" s="95"/>
      <c r="AH119" s="67" t="s">
        <v>17</v>
      </c>
      <c r="AI119" s="64"/>
      <c r="AJ119" s="64"/>
      <c r="AK119" s="64"/>
      <c r="AL119" s="64"/>
      <c r="AM119" s="95"/>
      <c r="AN119" s="67" t="s">
        <v>17</v>
      </c>
      <c r="AO119" s="64"/>
      <c r="AP119" s="64"/>
      <c r="AQ119" s="64"/>
      <c r="AR119" s="64"/>
      <c r="AS119" s="64"/>
      <c r="AT119" s="67" t="s">
        <v>17</v>
      </c>
      <c r="AU119" s="64"/>
      <c r="AV119" s="64"/>
      <c r="AW119" s="64"/>
      <c r="AX119" s="64"/>
      <c r="AY119" s="64"/>
      <c r="AZ119" s="588"/>
      <c r="BA119" s="657"/>
      <c r="BB119" s="657"/>
      <c r="BC119" s="657"/>
      <c r="BD119" s="657"/>
      <c r="BE119" s="657"/>
      <c r="BF119" s="67" t="s">
        <v>2432</v>
      </c>
      <c r="BG119" s="64"/>
      <c r="BH119" s="64"/>
      <c r="BI119" s="64"/>
      <c r="BJ119" s="64"/>
      <c r="BK119" s="95"/>
      <c r="BL119" s="779" t="s">
        <v>17</v>
      </c>
      <c r="BM119" s="657"/>
      <c r="BN119" s="657"/>
      <c r="BO119" s="657"/>
      <c r="BP119" s="657"/>
      <c r="BQ119" s="788"/>
      <c r="BR119" s="96"/>
      <c r="BS119" s="96">
        <f t="shared" si="0"/>
        <v>0</v>
      </c>
      <c r="BT119" s="64"/>
    </row>
    <row r="120" spans="1:72" ht="12.75" customHeight="1">
      <c r="A120" s="64" t="s">
        <v>2422</v>
      </c>
      <c r="B120" s="115" t="s">
        <v>2712</v>
      </c>
      <c r="C120" s="64" t="s">
        <v>2679</v>
      </c>
      <c r="D120" s="64" t="s">
        <v>2713</v>
      </c>
      <c r="E120" s="64"/>
      <c r="F120" s="67"/>
      <c r="H120" s="64" t="s">
        <v>2438</v>
      </c>
      <c r="I120" s="64"/>
      <c r="J120" s="64"/>
      <c r="K120" s="67" t="str">
        <f>IF(L120="YES","ja",IF(L120="NO","nein",""))</f>
        <v/>
      </c>
      <c r="M120" s="64" t="s">
        <v>2438</v>
      </c>
      <c r="N120" s="64" t="s">
        <v>2712</v>
      </c>
      <c r="O120" s="64"/>
      <c r="P120" s="67" t="s">
        <v>17</v>
      </c>
      <c r="Q120" s="64"/>
      <c r="R120" s="64"/>
      <c r="S120" s="64"/>
      <c r="T120" s="64"/>
      <c r="U120" s="95"/>
      <c r="V120" s="67" t="s">
        <v>17</v>
      </c>
      <c r="W120" s="64"/>
      <c r="X120" s="64"/>
      <c r="Y120" s="64"/>
      <c r="Z120" s="64"/>
      <c r="AA120" s="95"/>
      <c r="AB120" s="67" t="s">
        <v>17</v>
      </c>
      <c r="AC120" s="64" t="str">
        <f>IF(K120=JaAntwort,Referral,Dunkelverarbeitung)</f>
        <v>Dunkelverarbeitung</v>
      </c>
      <c r="AD120" s="64"/>
      <c r="AE120" s="64"/>
      <c r="AF120" s="64"/>
      <c r="AG120" s="95"/>
      <c r="AH120" s="67" t="s">
        <v>17</v>
      </c>
      <c r="AI120" s="64"/>
      <c r="AJ120" s="64"/>
      <c r="AK120" s="64"/>
      <c r="AL120" s="64"/>
      <c r="AM120" s="95"/>
      <c r="AN120" s="67" t="s">
        <v>17</v>
      </c>
      <c r="AO120" s="64"/>
      <c r="AP120" s="64"/>
      <c r="AQ120" s="64"/>
      <c r="AR120" s="64"/>
      <c r="AS120" s="64"/>
      <c r="AT120" s="67" t="s">
        <v>2432</v>
      </c>
      <c r="AU120" s="64" t="str">
        <f>IF(K120=JaAntwort,Referral,Dunkelverarbeitung)</f>
        <v>Dunkelverarbeitung</v>
      </c>
      <c r="AV120" s="64"/>
      <c r="AW120" s="64"/>
      <c r="AX120" s="64"/>
      <c r="AY120" s="64"/>
      <c r="AZ120" s="588" t="s">
        <v>2432</v>
      </c>
      <c r="BA120" s="657" t="str">
        <f>IF(K120=JaAntwort,Referral,Dunkelverarbeitung)</f>
        <v>Dunkelverarbeitung</v>
      </c>
      <c r="BB120" s="657"/>
      <c r="BC120" s="657"/>
      <c r="BD120" s="657"/>
      <c r="BE120" s="657"/>
      <c r="BF120" s="67" t="s">
        <v>2432</v>
      </c>
      <c r="BG120" s="64"/>
      <c r="BH120" s="64" t="str">
        <f>IF(K120=JaAntwort,"KO Trigger",Dunkelverarbeitung)</f>
        <v>Dunkelverarbeitung</v>
      </c>
      <c r="BI120" s="64"/>
      <c r="BJ120" s="64"/>
      <c r="BK120" s="95"/>
      <c r="BL120" s="67" t="s">
        <v>2432</v>
      </c>
      <c r="BM120" s="657" t="str">
        <f>IF(K120=JaAntwort,Referral,Dunkelverarbeitung)</f>
        <v>Dunkelverarbeitung</v>
      </c>
      <c r="BN120" s="657"/>
      <c r="BO120" s="657"/>
      <c r="BP120" s="657"/>
      <c r="BQ120" s="788"/>
      <c r="BR120" s="96" t="s">
        <v>2714</v>
      </c>
      <c r="BS120" s="96" t="str">
        <f t="shared" si="0"/>
        <v>Tochtergesellschaften in den USA</v>
      </c>
      <c r="BT120" s="64"/>
    </row>
    <row r="121" spans="1:72" ht="12.75" customHeight="1">
      <c r="A121" s="64" t="s">
        <v>2422</v>
      </c>
      <c r="B121" s="115" t="s">
        <v>2715</v>
      </c>
      <c r="C121" s="64" t="s">
        <v>2679</v>
      </c>
      <c r="D121" s="64" t="s">
        <v>2716</v>
      </c>
      <c r="E121" s="64"/>
      <c r="F121" s="67"/>
      <c r="H121" s="64" t="s">
        <v>2438</v>
      </c>
      <c r="I121" s="64"/>
      <c r="J121" s="64"/>
      <c r="K121" s="67" t="str">
        <f>IF(L121="YES","ja",IF(L121="NO","nein",""))</f>
        <v/>
      </c>
      <c r="M121" s="64" t="s">
        <v>2438</v>
      </c>
      <c r="N121" s="64" t="s">
        <v>2715</v>
      </c>
      <c r="O121" s="64"/>
      <c r="P121" s="67" t="s">
        <v>17</v>
      </c>
      <c r="Q121" s="64"/>
      <c r="R121" s="64"/>
      <c r="S121" s="64"/>
      <c r="T121" s="64"/>
      <c r="U121" s="95"/>
      <c r="V121" s="67" t="s">
        <v>17</v>
      </c>
      <c r="W121" s="64"/>
      <c r="X121" s="64"/>
      <c r="Y121" s="64"/>
      <c r="Z121" s="64"/>
      <c r="AA121" s="95"/>
      <c r="AB121" s="67" t="s">
        <v>17</v>
      </c>
      <c r="AC121" s="64"/>
      <c r="AD121" s="64"/>
      <c r="AE121" s="64"/>
      <c r="AF121" s="64"/>
      <c r="AG121" s="95"/>
      <c r="AH121" s="67" t="s">
        <v>17</v>
      </c>
      <c r="AI121" s="64"/>
      <c r="AJ121" s="64"/>
      <c r="AK121" s="64"/>
      <c r="AL121" s="64"/>
      <c r="AM121" s="95"/>
      <c r="AN121" s="67" t="s">
        <v>2432</v>
      </c>
      <c r="AO121" s="64" t="str">
        <f>IF(Cashflow=NeinAntwort,Referral,Dunkelverarbeitung)</f>
        <v>Dunkelverarbeitung</v>
      </c>
      <c r="AP121" s="64"/>
      <c r="AQ121" s="64"/>
      <c r="AR121" s="64"/>
      <c r="AS121" s="64"/>
      <c r="AT121" s="67" t="s">
        <v>17</v>
      </c>
      <c r="AU121" s="64"/>
      <c r="AV121" s="64"/>
      <c r="AW121" s="64"/>
      <c r="AX121" s="64"/>
      <c r="AY121" s="64"/>
      <c r="AZ121" s="588" t="s">
        <v>2432</v>
      </c>
      <c r="BA121" s="657" t="str">
        <f>IF(K121=NeinAntwort,Referral,Dunkelverarbeitung)</f>
        <v>Dunkelverarbeitung</v>
      </c>
      <c r="BB121" s="657"/>
      <c r="BC121" s="657"/>
      <c r="BD121" s="657"/>
      <c r="BE121" s="657"/>
      <c r="BF121" s="67" t="s">
        <v>2432</v>
      </c>
      <c r="BG121" s="64"/>
      <c r="BH121" s="64" t="str">
        <f>IF(K121=NeinAntwort,"KO Trigger",Dunkelverarbeitung)</f>
        <v>Dunkelverarbeitung</v>
      </c>
      <c r="BI121" s="64"/>
      <c r="BJ121" s="64"/>
      <c r="BK121" s="95"/>
      <c r="BL121" s="779" t="s">
        <v>17</v>
      </c>
      <c r="BM121" s="657"/>
      <c r="BN121" s="657"/>
      <c r="BO121" s="657"/>
      <c r="BP121" s="657"/>
      <c r="BQ121" s="788"/>
      <c r="BR121" s="96" t="s">
        <v>2717</v>
      </c>
      <c r="BS121" s="96" t="str">
        <f t="shared" si="0"/>
        <v>Negativer Cashflow</v>
      </c>
      <c r="BT121" s="64"/>
    </row>
    <row r="122" spans="1:72" ht="12.75" customHeight="1">
      <c r="A122" s="64" t="s">
        <v>2422</v>
      </c>
      <c r="B122" s="115" t="s">
        <v>2718</v>
      </c>
      <c r="C122" s="64" t="s">
        <v>2679</v>
      </c>
      <c r="D122" s="64" t="s">
        <v>2719</v>
      </c>
      <c r="E122" s="64"/>
      <c r="F122" s="67"/>
      <c r="H122" s="64"/>
      <c r="I122" s="64"/>
      <c r="J122" s="64"/>
      <c r="K122" s="67"/>
      <c r="M122" s="64"/>
      <c r="N122" s="64" t="s">
        <v>2718</v>
      </c>
      <c r="O122" s="64"/>
      <c r="P122" s="67" t="s">
        <v>17</v>
      </c>
      <c r="Q122" s="64"/>
      <c r="R122" s="64"/>
      <c r="S122" s="64"/>
      <c r="T122" s="64"/>
      <c r="U122" s="95"/>
      <c r="V122" s="67" t="s">
        <v>17</v>
      </c>
      <c r="W122" s="64"/>
      <c r="X122" s="64"/>
      <c r="Y122" s="64"/>
      <c r="Z122" s="64"/>
      <c r="AA122" s="95"/>
      <c r="AB122" s="67" t="s">
        <v>17</v>
      </c>
      <c r="AC122" s="64"/>
      <c r="AD122" s="64"/>
      <c r="AE122" s="64"/>
      <c r="AF122" s="64"/>
      <c r="AG122" s="95"/>
      <c r="AH122" s="67" t="s">
        <v>17</v>
      </c>
      <c r="AI122" s="64"/>
      <c r="AJ122" s="64"/>
      <c r="AK122" s="64"/>
      <c r="AL122" s="64"/>
      <c r="AM122" s="95"/>
      <c r="AN122" s="67" t="s">
        <v>17</v>
      </c>
      <c r="AO122" s="64"/>
      <c r="AP122" s="64"/>
      <c r="AQ122" s="64"/>
      <c r="AR122" s="64"/>
      <c r="AS122" s="64"/>
      <c r="AT122" s="67" t="s">
        <v>17</v>
      </c>
      <c r="AU122" s="64"/>
      <c r="AV122" s="64"/>
      <c r="AW122" s="64"/>
      <c r="AX122" s="64"/>
      <c r="AY122" s="64"/>
      <c r="AZ122" s="588" t="s">
        <v>17</v>
      </c>
      <c r="BA122" s="657"/>
      <c r="BB122" s="657"/>
      <c r="BC122" s="657"/>
      <c r="BD122" s="657"/>
      <c r="BE122" s="657"/>
      <c r="BF122" s="67" t="s">
        <v>2432</v>
      </c>
      <c r="BG122" s="64"/>
      <c r="BH122" s="64" t="str">
        <f>IF(K122&lt;0,"KO Trigger",Dunkelverarbeitung)</f>
        <v>Dunkelverarbeitung</v>
      </c>
      <c r="BI122" s="64"/>
      <c r="BJ122" s="64"/>
      <c r="BK122" s="95"/>
      <c r="BL122" s="779" t="s">
        <v>17</v>
      </c>
      <c r="BM122" s="657"/>
      <c r="BN122" s="657"/>
      <c r="BO122" s="657"/>
      <c r="BP122" s="657"/>
      <c r="BQ122" s="788"/>
      <c r="BR122" s="96" t="s">
        <v>2719</v>
      </c>
      <c r="BS122" s="96" t="str">
        <f t="shared" si="0"/>
        <v>Cashflow</v>
      </c>
      <c r="BT122" s="64"/>
    </row>
    <row r="123" spans="1:72" ht="12.75" customHeight="1">
      <c r="A123" s="64" t="s">
        <v>2422</v>
      </c>
      <c r="B123" s="115" t="s">
        <v>2720</v>
      </c>
      <c r="C123" s="64" t="s">
        <v>2679</v>
      </c>
      <c r="D123" s="64" t="s">
        <v>2691</v>
      </c>
      <c r="E123" s="64"/>
      <c r="F123" s="67"/>
      <c r="H123" s="64"/>
      <c r="I123" s="64"/>
      <c r="J123" s="64"/>
      <c r="K123" s="67"/>
      <c r="M123" s="64"/>
      <c r="N123" s="64" t="s">
        <v>2720</v>
      </c>
      <c r="O123" s="64"/>
      <c r="P123" s="67" t="s">
        <v>17</v>
      </c>
      <c r="Q123" s="64"/>
      <c r="R123" s="64"/>
      <c r="S123" s="64"/>
      <c r="T123" s="64"/>
      <c r="U123" s="95"/>
      <c r="V123" s="67" t="s">
        <v>17</v>
      </c>
      <c r="W123" s="64"/>
      <c r="X123" s="64"/>
      <c r="Y123" s="64"/>
      <c r="Z123" s="64"/>
      <c r="AA123" s="95"/>
      <c r="AB123" s="67" t="s">
        <v>17</v>
      </c>
      <c r="AC123" s="64"/>
      <c r="AD123" s="64"/>
      <c r="AE123" s="64"/>
      <c r="AF123" s="64"/>
      <c r="AG123" s="95"/>
      <c r="AH123" s="67" t="s">
        <v>17</v>
      </c>
      <c r="AI123" s="64"/>
      <c r="AJ123" s="64"/>
      <c r="AK123" s="64"/>
      <c r="AL123" s="64"/>
      <c r="AM123" s="95"/>
      <c r="AN123" s="67" t="s">
        <v>17</v>
      </c>
      <c r="AO123" s="64"/>
      <c r="AP123" s="64"/>
      <c r="AQ123" s="64"/>
      <c r="AR123" s="64"/>
      <c r="AS123" s="64"/>
      <c r="AT123" s="67" t="s">
        <v>17</v>
      </c>
      <c r="AU123" s="64"/>
      <c r="AV123" s="64"/>
      <c r="AW123" s="64"/>
      <c r="AX123" s="64"/>
      <c r="AY123" s="64"/>
      <c r="AZ123" s="588" t="s">
        <v>17</v>
      </c>
      <c r="BA123" s="657"/>
      <c r="BB123" s="657"/>
      <c r="BC123" s="657"/>
      <c r="BD123" s="657"/>
      <c r="BE123" s="657"/>
      <c r="BF123" s="67" t="s">
        <v>2432</v>
      </c>
      <c r="BG123" s="64"/>
      <c r="BH123" s="64"/>
      <c r="BI123" s="64"/>
      <c r="BJ123" s="64"/>
      <c r="BK123" s="95"/>
      <c r="BL123" s="779" t="s">
        <v>17</v>
      </c>
      <c r="BM123" s="657"/>
      <c r="BN123" s="657"/>
      <c r="BO123" s="657"/>
      <c r="BP123" s="657"/>
      <c r="BQ123" s="788"/>
      <c r="BR123" s="96" t="s">
        <v>2691</v>
      </c>
      <c r="BS123" s="96" t="str">
        <f t="shared" si="0"/>
        <v>Geschäftsjahr</v>
      </c>
      <c r="BT123" s="64"/>
    </row>
    <row r="124" spans="1:72" ht="12.75" customHeight="1">
      <c r="A124" s="64" t="s">
        <v>2422</v>
      </c>
      <c r="B124" s="115" t="s">
        <v>2721</v>
      </c>
      <c r="C124" s="64" t="s">
        <v>2679</v>
      </c>
      <c r="D124" s="64" t="s">
        <v>2719</v>
      </c>
      <c r="E124" s="64"/>
      <c r="F124" s="67"/>
      <c r="H124" s="64"/>
      <c r="I124" s="64"/>
      <c r="J124" s="64"/>
      <c r="K124" s="67"/>
      <c r="M124" s="64"/>
      <c r="N124" s="64" t="s">
        <v>2721</v>
      </c>
      <c r="O124" s="64"/>
      <c r="P124" s="67" t="s">
        <v>17</v>
      </c>
      <c r="Q124" s="64"/>
      <c r="R124" s="64"/>
      <c r="S124" s="64"/>
      <c r="T124" s="64"/>
      <c r="U124" s="95"/>
      <c r="V124" s="67" t="s">
        <v>17</v>
      </c>
      <c r="W124" s="64"/>
      <c r="X124" s="64"/>
      <c r="Y124" s="64"/>
      <c r="Z124" s="64"/>
      <c r="AA124" s="95"/>
      <c r="AB124" s="67" t="s">
        <v>17</v>
      </c>
      <c r="AC124" s="64"/>
      <c r="AD124" s="64"/>
      <c r="AE124" s="64"/>
      <c r="AF124" s="64"/>
      <c r="AG124" s="95"/>
      <c r="AH124" s="67" t="s">
        <v>17</v>
      </c>
      <c r="AI124" s="64"/>
      <c r="AJ124" s="64"/>
      <c r="AK124" s="64"/>
      <c r="AL124" s="64"/>
      <c r="AM124" s="95"/>
      <c r="AN124" s="67" t="s">
        <v>17</v>
      </c>
      <c r="AO124" s="64"/>
      <c r="AP124" s="64"/>
      <c r="AQ124" s="64"/>
      <c r="AR124" s="64"/>
      <c r="AS124" s="64"/>
      <c r="AT124" s="67" t="s">
        <v>17</v>
      </c>
      <c r="AU124" s="64"/>
      <c r="AV124" s="64"/>
      <c r="AW124" s="64"/>
      <c r="AX124" s="64"/>
      <c r="AY124" s="64"/>
      <c r="AZ124" s="588" t="s">
        <v>17</v>
      </c>
      <c r="BA124" s="657"/>
      <c r="BB124" s="657"/>
      <c r="BC124" s="657"/>
      <c r="BD124" s="657"/>
      <c r="BE124" s="657"/>
      <c r="BF124" s="67" t="s">
        <v>2432</v>
      </c>
      <c r="BG124" s="64"/>
      <c r="BH124" s="64" t="str">
        <f>IF(K124&lt;0,"KO Trigger",Dunkelverarbeitung)</f>
        <v>Dunkelverarbeitung</v>
      </c>
      <c r="BI124" s="64"/>
      <c r="BJ124" s="64"/>
      <c r="BK124" s="95"/>
      <c r="BL124" s="779" t="s">
        <v>17</v>
      </c>
      <c r="BM124" s="657"/>
      <c r="BN124" s="657"/>
      <c r="BO124" s="657"/>
      <c r="BP124" s="657"/>
      <c r="BQ124" s="788"/>
      <c r="BR124" s="96" t="s">
        <v>2719</v>
      </c>
      <c r="BS124" s="96" t="str">
        <f t="shared" si="0"/>
        <v>Cashflow</v>
      </c>
      <c r="BT124" s="64"/>
    </row>
    <row r="125" spans="1:72" ht="12.75" customHeight="1">
      <c r="A125" s="64" t="s">
        <v>2422</v>
      </c>
      <c r="B125" s="115" t="s">
        <v>2722</v>
      </c>
      <c r="C125" s="64" t="s">
        <v>2679</v>
      </c>
      <c r="D125" s="64" t="s">
        <v>2691</v>
      </c>
      <c r="E125" s="64"/>
      <c r="F125" s="67"/>
      <c r="H125" s="64"/>
      <c r="I125" s="64"/>
      <c r="J125" s="64"/>
      <c r="K125" s="67"/>
      <c r="M125" s="64"/>
      <c r="N125" s="64" t="s">
        <v>2722</v>
      </c>
      <c r="O125" s="64"/>
      <c r="P125" s="67" t="s">
        <v>17</v>
      </c>
      <c r="Q125" s="64"/>
      <c r="R125" s="64"/>
      <c r="S125" s="64"/>
      <c r="T125" s="64"/>
      <c r="U125" s="95"/>
      <c r="V125" s="67" t="s">
        <v>17</v>
      </c>
      <c r="W125" s="64"/>
      <c r="X125" s="64"/>
      <c r="Y125" s="64"/>
      <c r="Z125" s="64"/>
      <c r="AA125" s="95"/>
      <c r="AB125" s="67" t="s">
        <v>17</v>
      </c>
      <c r="AC125" s="64"/>
      <c r="AD125" s="64"/>
      <c r="AE125" s="64"/>
      <c r="AF125" s="64"/>
      <c r="AG125" s="95"/>
      <c r="AH125" s="67" t="s">
        <v>17</v>
      </c>
      <c r="AI125" s="64"/>
      <c r="AJ125" s="64"/>
      <c r="AK125" s="64"/>
      <c r="AL125" s="64"/>
      <c r="AM125" s="95"/>
      <c r="AN125" s="67" t="s">
        <v>17</v>
      </c>
      <c r="AO125" s="64"/>
      <c r="AP125" s="64"/>
      <c r="AQ125" s="64"/>
      <c r="AR125" s="64"/>
      <c r="AS125" s="64"/>
      <c r="AT125" s="67" t="s">
        <v>17</v>
      </c>
      <c r="AU125" s="64"/>
      <c r="AV125" s="64"/>
      <c r="AW125" s="64"/>
      <c r="AX125" s="64"/>
      <c r="AY125" s="64"/>
      <c r="AZ125" s="588" t="s">
        <v>17</v>
      </c>
      <c r="BA125" s="657"/>
      <c r="BB125" s="657"/>
      <c r="BC125" s="657"/>
      <c r="BD125" s="657"/>
      <c r="BE125" s="657"/>
      <c r="BF125" s="67" t="s">
        <v>2432</v>
      </c>
      <c r="BG125" s="64"/>
      <c r="BH125" s="64"/>
      <c r="BI125" s="64"/>
      <c r="BJ125" s="64"/>
      <c r="BK125" s="95"/>
      <c r="BL125" s="779" t="s">
        <v>17</v>
      </c>
      <c r="BM125" s="657"/>
      <c r="BN125" s="657"/>
      <c r="BO125" s="657"/>
      <c r="BP125" s="657"/>
      <c r="BQ125" s="788"/>
      <c r="BR125" s="96" t="s">
        <v>2691</v>
      </c>
      <c r="BS125" s="96" t="str">
        <f t="shared" si="0"/>
        <v>Geschäftsjahr</v>
      </c>
      <c r="BT125" s="64"/>
    </row>
    <row r="126" spans="1:72" ht="12.75" customHeight="1">
      <c r="A126" s="64" t="s">
        <v>2422</v>
      </c>
      <c r="B126" s="64" t="s">
        <v>2723</v>
      </c>
      <c r="C126" s="64" t="s">
        <v>2607</v>
      </c>
      <c r="D126" s="64" t="s">
        <v>2724</v>
      </c>
      <c r="E126" s="64"/>
      <c r="F126" s="67"/>
      <c r="H126" s="64" t="s">
        <v>2442</v>
      </c>
      <c r="I126" s="64"/>
      <c r="J126" s="64"/>
      <c r="K126" s="67"/>
      <c r="M126" s="64" t="s">
        <v>2442</v>
      </c>
      <c r="N126" s="64" t="s">
        <v>2723</v>
      </c>
      <c r="O126" s="64"/>
      <c r="P126" s="67" t="s">
        <v>17</v>
      </c>
      <c r="Q126" s="64"/>
      <c r="R126" s="64"/>
      <c r="S126" s="64"/>
      <c r="T126" s="64"/>
      <c r="U126" s="95"/>
      <c r="V126" s="67" t="s">
        <v>17</v>
      </c>
      <c r="W126" s="64"/>
      <c r="X126" s="64"/>
      <c r="Y126" s="64"/>
      <c r="Z126" s="64"/>
      <c r="AA126" s="95"/>
      <c r="AB126" s="67" t="s">
        <v>17</v>
      </c>
      <c r="AC126" s="64"/>
      <c r="AD126" s="64"/>
      <c r="AE126" s="64"/>
      <c r="AF126" s="64"/>
      <c r="AG126" s="95"/>
      <c r="AH126" s="67" t="s">
        <v>17</v>
      </c>
      <c r="AI126" s="64"/>
      <c r="AJ126" s="64"/>
      <c r="AK126" s="64"/>
      <c r="AL126" s="64"/>
      <c r="AM126" s="95"/>
      <c r="AN126" s="67" t="s">
        <v>17</v>
      </c>
      <c r="AO126" s="64"/>
      <c r="AP126" s="64"/>
      <c r="AQ126" s="64"/>
      <c r="AR126" s="64"/>
      <c r="AS126" s="64"/>
      <c r="AT126" s="67" t="s">
        <v>17</v>
      </c>
      <c r="AU126" s="64"/>
      <c r="AV126" s="64"/>
      <c r="AW126" s="64"/>
      <c r="AX126" s="64"/>
      <c r="AY126" s="64"/>
      <c r="AZ126" s="588" t="s">
        <v>17</v>
      </c>
      <c r="BA126" s="657"/>
      <c r="BB126" s="657"/>
      <c r="BC126" s="657"/>
      <c r="BD126" s="657"/>
      <c r="BE126" s="657"/>
      <c r="BF126" s="67" t="s">
        <v>17</v>
      </c>
      <c r="BG126" s="64"/>
      <c r="BH126" s="64"/>
      <c r="BI126" s="64"/>
      <c r="BJ126" s="64"/>
      <c r="BK126" s="95"/>
      <c r="BL126" s="779" t="s">
        <v>17</v>
      </c>
      <c r="BM126" s="657"/>
      <c r="BN126" s="657"/>
      <c r="BO126" s="657"/>
      <c r="BP126" s="657"/>
      <c r="BQ126" s="788"/>
      <c r="BR126" s="96"/>
      <c r="BS126" s="96">
        <f t="shared" si="0"/>
        <v>0</v>
      </c>
      <c r="BT126" s="64"/>
    </row>
    <row r="127" spans="1:72" ht="12.75" customHeight="1">
      <c r="A127" s="64" t="s">
        <v>2422</v>
      </c>
      <c r="B127" s="64" t="s">
        <v>2725</v>
      </c>
      <c r="C127" s="64" t="s">
        <v>2607</v>
      </c>
      <c r="D127" s="64" t="s">
        <v>2726</v>
      </c>
      <c r="E127" s="64"/>
      <c r="F127" s="67"/>
      <c r="H127" s="64" t="s">
        <v>2442</v>
      </c>
      <c r="I127" s="64"/>
      <c r="J127" s="64"/>
      <c r="K127" s="67"/>
      <c r="M127" s="64" t="s">
        <v>2442</v>
      </c>
      <c r="N127" s="64" t="s">
        <v>2725</v>
      </c>
      <c r="O127" s="64"/>
      <c r="P127" s="67" t="s">
        <v>17</v>
      </c>
      <c r="Q127" s="64"/>
      <c r="R127" s="64"/>
      <c r="S127" s="64"/>
      <c r="T127" s="64"/>
      <c r="U127" s="95"/>
      <c r="V127" s="67" t="s">
        <v>17</v>
      </c>
      <c r="W127" s="64"/>
      <c r="X127" s="64"/>
      <c r="Y127" s="64"/>
      <c r="Z127" s="64"/>
      <c r="AA127" s="95"/>
      <c r="AB127" s="67" t="s">
        <v>17</v>
      </c>
      <c r="AC127" s="64"/>
      <c r="AD127" s="64"/>
      <c r="AE127" s="64"/>
      <c r="AF127" s="64"/>
      <c r="AG127" s="95"/>
      <c r="AH127" s="67" t="s">
        <v>17</v>
      </c>
      <c r="AI127" s="64"/>
      <c r="AJ127" s="64"/>
      <c r="AK127" s="64"/>
      <c r="AL127" s="64"/>
      <c r="AM127" s="95"/>
      <c r="AN127" s="67" t="s">
        <v>17</v>
      </c>
      <c r="AO127" s="64"/>
      <c r="AP127" s="64"/>
      <c r="AQ127" s="64"/>
      <c r="AR127" s="64"/>
      <c r="AS127" s="64"/>
      <c r="AT127" s="67" t="s">
        <v>17</v>
      </c>
      <c r="AU127" s="64"/>
      <c r="AV127" s="64"/>
      <c r="AW127" s="64"/>
      <c r="AX127" s="64"/>
      <c r="AY127" s="64"/>
      <c r="AZ127" s="588" t="s">
        <v>17</v>
      </c>
      <c r="BA127" s="657"/>
      <c r="BB127" s="657"/>
      <c r="BC127" s="657"/>
      <c r="BD127" s="657"/>
      <c r="BE127" s="657"/>
      <c r="BF127" s="67" t="s">
        <v>17</v>
      </c>
      <c r="BG127" s="64"/>
      <c r="BH127" s="64"/>
      <c r="BI127" s="64"/>
      <c r="BJ127" s="64"/>
      <c r="BK127" s="95"/>
      <c r="BL127" s="779" t="s">
        <v>17</v>
      </c>
      <c r="BM127" s="657"/>
      <c r="BN127" s="657"/>
      <c r="BO127" s="657"/>
      <c r="BP127" s="657"/>
      <c r="BQ127" s="788"/>
      <c r="BR127" s="96"/>
      <c r="BS127" s="96">
        <f t="shared" si="0"/>
        <v>0</v>
      </c>
      <c r="BT127" s="64"/>
    </row>
    <row r="128" spans="1:72" ht="12.75" customHeight="1">
      <c r="A128" s="64" t="s">
        <v>2422</v>
      </c>
      <c r="B128" s="64" t="s">
        <v>2727</v>
      </c>
      <c r="C128" s="64" t="s">
        <v>2607</v>
      </c>
      <c r="D128" s="64" t="s">
        <v>2728</v>
      </c>
      <c r="E128" s="64"/>
      <c r="F128" s="67"/>
      <c r="H128" s="64" t="s">
        <v>2442</v>
      </c>
      <c r="I128" s="64"/>
      <c r="J128" s="64"/>
      <c r="K128" s="67"/>
      <c r="M128" s="64" t="s">
        <v>2442</v>
      </c>
      <c r="N128" s="64" t="s">
        <v>2727</v>
      </c>
      <c r="O128" s="64"/>
      <c r="P128" s="67" t="s">
        <v>17</v>
      </c>
      <c r="Q128" s="64"/>
      <c r="R128" s="64"/>
      <c r="S128" s="64"/>
      <c r="T128" s="64"/>
      <c r="U128" s="95"/>
      <c r="V128" s="67" t="s">
        <v>17</v>
      </c>
      <c r="W128" s="64"/>
      <c r="X128" s="64"/>
      <c r="Y128" s="64"/>
      <c r="Z128" s="64"/>
      <c r="AA128" s="95"/>
      <c r="AB128" s="67" t="s">
        <v>17</v>
      </c>
      <c r="AC128" s="64"/>
      <c r="AD128" s="64"/>
      <c r="AE128" s="64"/>
      <c r="AF128" s="64"/>
      <c r="AG128" s="95"/>
      <c r="AH128" s="67" t="s">
        <v>17</v>
      </c>
      <c r="AI128" s="64"/>
      <c r="AJ128" s="64"/>
      <c r="AK128" s="64"/>
      <c r="AL128" s="64"/>
      <c r="AM128" s="95"/>
      <c r="AN128" s="67" t="s">
        <v>17</v>
      </c>
      <c r="AO128" s="64"/>
      <c r="AP128" s="64"/>
      <c r="AQ128" s="64"/>
      <c r="AR128" s="64"/>
      <c r="AS128" s="64"/>
      <c r="AT128" s="67" t="s">
        <v>17</v>
      </c>
      <c r="AU128" s="64"/>
      <c r="AV128" s="64"/>
      <c r="AW128" s="64"/>
      <c r="AX128" s="64"/>
      <c r="AY128" s="64"/>
      <c r="AZ128" s="588" t="s">
        <v>17</v>
      </c>
      <c r="BA128" s="657"/>
      <c r="BB128" s="657"/>
      <c r="BC128" s="657"/>
      <c r="BD128" s="657"/>
      <c r="BE128" s="657"/>
      <c r="BF128" s="67" t="s">
        <v>17</v>
      </c>
      <c r="BG128" s="64"/>
      <c r="BH128" s="64"/>
      <c r="BI128" s="64"/>
      <c r="BJ128" s="64"/>
      <c r="BK128" s="95"/>
      <c r="BL128" s="779" t="s">
        <v>17</v>
      </c>
      <c r="BM128" s="657"/>
      <c r="BN128" s="657"/>
      <c r="BO128" s="657"/>
      <c r="BP128" s="657"/>
      <c r="BQ128" s="788"/>
      <c r="BR128" s="96"/>
      <c r="BS128" s="96">
        <f t="shared" si="0"/>
        <v>0</v>
      </c>
      <c r="BT128" s="64"/>
    </row>
    <row r="129" spans="1:72" ht="12.75" customHeight="1">
      <c r="A129" s="64" t="s">
        <v>2422</v>
      </c>
      <c r="B129" s="64" t="s">
        <v>2729</v>
      </c>
      <c r="C129" s="64" t="s">
        <v>2607</v>
      </c>
      <c r="D129" s="64" t="s">
        <v>2730</v>
      </c>
      <c r="E129" s="64"/>
      <c r="F129" s="67"/>
      <c r="H129" s="64" t="s">
        <v>2442</v>
      </c>
      <c r="I129" s="64"/>
      <c r="J129" s="64"/>
      <c r="K129" s="67"/>
      <c r="M129" s="64" t="s">
        <v>2442</v>
      </c>
      <c r="N129" s="64" t="s">
        <v>2729</v>
      </c>
      <c r="O129" s="64"/>
      <c r="P129" s="67" t="s">
        <v>17</v>
      </c>
      <c r="Q129" s="64"/>
      <c r="R129" s="64"/>
      <c r="S129" s="64"/>
      <c r="T129" s="64"/>
      <c r="U129" s="95"/>
      <c r="V129" s="67" t="s">
        <v>17</v>
      </c>
      <c r="W129" s="64"/>
      <c r="X129" s="64"/>
      <c r="Y129" s="64"/>
      <c r="Z129" s="64"/>
      <c r="AA129" s="95"/>
      <c r="AB129" s="67" t="s">
        <v>17</v>
      </c>
      <c r="AC129" s="64"/>
      <c r="AD129" s="64"/>
      <c r="AE129" s="64"/>
      <c r="AF129" s="64"/>
      <c r="AG129" s="95"/>
      <c r="AH129" s="67" t="s">
        <v>17</v>
      </c>
      <c r="AI129" s="64"/>
      <c r="AJ129" s="64"/>
      <c r="AK129" s="64"/>
      <c r="AL129" s="64"/>
      <c r="AM129" s="95"/>
      <c r="AN129" s="67" t="s">
        <v>17</v>
      </c>
      <c r="AO129" s="64"/>
      <c r="AP129" s="64"/>
      <c r="AQ129" s="64"/>
      <c r="AR129" s="64"/>
      <c r="AS129" s="64"/>
      <c r="AT129" s="67" t="s">
        <v>17</v>
      </c>
      <c r="AU129" s="64"/>
      <c r="AV129" s="64"/>
      <c r="AW129" s="64"/>
      <c r="AX129" s="64"/>
      <c r="AY129" s="64"/>
      <c r="AZ129" s="588" t="s">
        <v>17</v>
      </c>
      <c r="BA129" s="657"/>
      <c r="BB129" s="657"/>
      <c r="BC129" s="657"/>
      <c r="BD129" s="657"/>
      <c r="BE129" s="657"/>
      <c r="BF129" s="67" t="s">
        <v>17</v>
      </c>
      <c r="BG129" s="64"/>
      <c r="BH129" s="64"/>
      <c r="BI129" s="64"/>
      <c r="BJ129" s="64"/>
      <c r="BK129" s="95"/>
      <c r="BL129" s="779" t="s">
        <v>17</v>
      </c>
      <c r="BM129" s="657"/>
      <c r="BN129" s="657"/>
      <c r="BO129" s="657"/>
      <c r="BP129" s="657"/>
      <c r="BQ129" s="788"/>
      <c r="BR129" s="96"/>
      <c r="BS129" s="96">
        <f t="shared" si="0"/>
        <v>0</v>
      </c>
      <c r="BT129" s="64"/>
    </row>
    <row r="130" spans="1:72" ht="12.75" customHeight="1">
      <c r="A130" s="64" t="s">
        <v>2422</v>
      </c>
      <c r="B130" s="64" t="s">
        <v>2731</v>
      </c>
      <c r="C130" s="64" t="s">
        <v>2607</v>
      </c>
      <c r="D130" s="64" t="s">
        <v>2732</v>
      </c>
      <c r="E130" s="64"/>
      <c r="F130" s="67"/>
      <c r="H130" s="64" t="s">
        <v>2442</v>
      </c>
      <c r="I130" s="64"/>
      <c r="J130" s="64"/>
      <c r="K130" s="67"/>
      <c r="M130" s="64" t="s">
        <v>2442</v>
      </c>
      <c r="N130" s="64" t="s">
        <v>2731</v>
      </c>
      <c r="O130" s="64"/>
      <c r="P130" s="67" t="s">
        <v>17</v>
      </c>
      <c r="Q130" s="64"/>
      <c r="R130" s="64"/>
      <c r="S130" s="64"/>
      <c r="T130" s="64"/>
      <c r="U130" s="95"/>
      <c r="V130" s="67" t="s">
        <v>17</v>
      </c>
      <c r="W130" s="64"/>
      <c r="X130" s="64"/>
      <c r="Y130" s="64"/>
      <c r="Z130" s="64"/>
      <c r="AA130" s="95"/>
      <c r="AB130" s="67" t="s">
        <v>17</v>
      </c>
      <c r="AC130" s="64"/>
      <c r="AD130" s="64"/>
      <c r="AE130" s="64"/>
      <c r="AF130" s="64"/>
      <c r="AG130" s="95"/>
      <c r="AH130" s="67" t="s">
        <v>17</v>
      </c>
      <c r="AI130" s="64"/>
      <c r="AJ130" s="64"/>
      <c r="AK130" s="64"/>
      <c r="AL130" s="64"/>
      <c r="AM130" s="95"/>
      <c r="AN130" s="67" t="s">
        <v>17</v>
      </c>
      <c r="AO130" s="64"/>
      <c r="AP130" s="64"/>
      <c r="AQ130" s="64"/>
      <c r="AR130" s="64"/>
      <c r="AS130" s="64"/>
      <c r="AT130" s="67" t="s">
        <v>17</v>
      </c>
      <c r="AU130" s="64"/>
      <c r="AV130" s="64"/>
      <c r="AW130" s="64"/>
      <c r="AX130" s="64"/>
      <c r="AY130" s="64"/>
      <c r="AZ130" s="588" t="s">
        <v>17</v>
      </c>
      <c r="BA130" s="657"/>
      <c r="BB130" s="657"/>
      <c r="BC130" s="657"/>
      <c r="BD130" s="657"/>
      <c r="BE130" s="657"/>
      <c r="BF130" s="67" t="s">
        <v>17</v>
      </c>
      <c r="BG130" s="64"/>
      <c r="BH130" s="64"/>
      <c r="BI130" s="64"/>
      <c r="BJ130" s="64"/>
      <c r="BK130" s="95"/>
      <c r="BL130" s="779" t="s">
        <v>17</v>
      </c>
      <c r="BM130" s="657"/>
      <c r="BN130" s="657"/>
      <c r="BO130" s="657"/>
      <c r="BP130" s="657"/>
      <c r="BQ130" s="788"/>
      <c r="BR130" s="96"/>
      <c r="BS130" s="96">
        <f t="shared" si="0"/>
        <v>0</v>
      </c>
      <c r="BT130" s="64"/>
    </row>
    <row r="131" spans="1:72" ht="12.75" customHeight="1">
      <c r="A131" s="64" t="s">
        <v>2422</v>
      </c>
      <c r="B131" s="64" t="s">
        <v>2733</v>
      </c>
      <c r="C131" s="64" t="s">
        <v>2607</v>
      </c>
      <c r="D131" s="64" t="s">
        <v>2734</v>
      </c>
      <c r="E131" s="64"/>
      <c r="F131" s="67"/>
      <c r="H131" s="64" t="s">
        <v>2442</v>
      </c>
      <c r="I131" s="64"/>
      <c r="J131" s="64"/>
      <c r="K131" s="67"/>
      <c r="M131" s="64" t="s">
        <v>2442</v>
      </c>
      <c r="N131" s="64" t="s">
        <v>2733</v>
      </c>
      <c r="O131" s="64"/>
      <c r="P131" s="67" t="s">
        <v>17</v>
      </c>
      <c r="Q131" s="64"/>
      <c r="R131" s="64"/>
      <c r="S131" s="64"/>
      <c r="T131" s="64"/>
      <c r="U131" s="95"/>
      <c r="V131" s="67" t="s">
        <v>17</v>
      </c>
      <c r="W131" s="64"/>
      <c r="X131" s="64"/>
      <c r="Y131" s="64"/>
      <c r="Z131" s="64"/>
      <c r="AA131" s="95"/>
      <c r="AB131" s="67" t="s">
        <v>17</v>
      </c>
      <c r="AC131" s="64"/>
      <c r="AD131" s="64"/>
      <c r="AE131" s="64"/>
      <c r="AF131" s="64"/>
      <c r="AG131" s="95"/>
      <c r="AH131" s="67" t="s">
        <v>17</v>
      </c>
      <c r="AI131" s="64"/>
      <c r="AJ131" s="64"/>
      <c r="AK131" s="64"/>
      <c r="AL131" s="64"/>
      <c r="AM131" s="95"/>
      <c r="AN131" s="67" t="s">
        <v>17</v>
      </c>
      <c r="AO131" s="64"/>
      <c r="AP131" s="64"/>
      <c r="AQ131" s="64"/>
      <c r="AR131" s="64"/>
      <c r="AS131" s="64"/>
      <c r="AT131" s="67" t="s">
        <v>17</v>
      </c>
      <c r="AU131" s="64"/>
      <c r="AV131" s="64"/>
      <c r="AW131" s="64"/>
      <c r="AX131" s="64"/>
      <c r="AY131" s="64"/>
      <c r="AZ131" s="588" t="s">
        <v>17</v>
      </c>
      <c r="BA131" s="657"/>
      <c r="BB131" s="657"/>
      <c r="BC131" s="657"/>
      <c r="BD131" s="657"/>
      <c r="BE131" s="657"/>
      <c r="BF131" s="67" t="s">
        <v>17</v>
      </c>
      <c r="BG131" s="64"/>
      <c r="BH131" s="64"/>
      <c r="BI131" s="64"/>
      <c r="BJ131" s="64"/>
      <c r="BK131" s="95"/>
      <c r="BL131" s="779" t="s">
        <v>17</v>
      </c>
      <c r="BM131" s="657"/>
      <c r="BN131" s="657"/>
      <c r="BO131" s="657"/>
      <c r="BP131" s="657"/>
      <c r="BQ131" s="788"/>
      <c r="BR131" s="96"/>
      <c r="BS131" s="96">
        <f t="shared" si="0"/>
        <v>0</v>
      </c>
      <c r="BT131" s="64"/>
    </row>
    <row r="132" spans="1:72" ht="12.75" customHeight="1">
      <c r="A132" s="64" t="s">
        <v>2422</v>
      </c>
      <c r="B132" s="64" t="s">
        <v>2735</v>
      </c>
      <c r="C132" s="64" t="s">
        <v>2607</v>
      </c>
      <c r="D132" s="64" t="s">
        <v>2736</v>
      </c>
      <c r="E132" s="64"/>
      <c r="F132" s="67"/>
      <c r="H132" s="64" t="s">
        <v>2442</v>
      </c>
      <c r="I132" s="64"/>
      <c r="J132" s="64"/>
      <c r="K132" s="67"/>
      <c r="M132" s="64" t="s">
        <v>2442</v>
      </c>
      <c r="N132" s="64" t="s">
        <v>2735</v>
      </c>
      <c r="O132" s="64"/>
      <c r="P132" s="67" t="s">
        <v>17</v>
      </c>
      <c r="Q132" s="64"/>
      <c r="R132" s="64"/>
      <c r="S132" s="64"/>
      <c r="T132" s="64"/>
      <c r="U132" s="95"/>
      <c r="V132" s="67" t="s">
        <v>17</v>
      </c>
      <c r="W132" s="64"/>
      <c r="X132" s="64"/>
      <c r="Y132" s="64"/>
      <c r="Z132" s="64"/>
      <c r="AA132" s="95"/>
      <c r="AB132" s="67" t="s">
        <v>17</v>
      </c>
      <c r="AC132" s="64"/>
      <c r="AD132" s="64"/>
      <c r="AE132" s="64"/>
      <c r="AF132" s="64"/>
      <c r="AG132" s="95"/>
      <c r="AH132" s="67" t="s">
        <v>17</v>
      </c>
      <c r="AI132" s="64"/>
      <c r="AJ132" s="64"/>
      <c r="AK132" s="64"/>
      <c r="AL132" s="64"/>
      <c r="AM132" s="95"/>
      <c r="AN132" s="67" t="s">
        <v>17</v>
      </c>
      <c r="AO132" s="64"/>
      <c r="AP132" s="64"/>
      <c r="AQ132" s="64"/>
      <c r="AR132" s="64"/>
      <c r="AS132" s="64"/>
      <c r="AT132" s="67" t="s">
        <v>17</v>
      </c>
      <c r="AU132" s="64"/>
      <c r="AV132" s="64"/>
      <c r="AW132" s="64"/>
      <c r="AX132" s="64"/>
      <c r="AY132" s="64"/>
      <c r="AZ132" s="588" t="s">
        <v>17</v>
      </c>
      <c r="BA132" s="657"/>
      <c r="BB132" s="657"/>
      <c r="BC132" s="657"/>
      <c r="BD132" s="657"/>
      <c r="BE132" s="657"/>
      <c r="BF132" s="67" t="s">
        <v>17</v>
      </c>
      <c r="BG132" s="64"/>
      <c r="BH132" s="64"/>
      <c r="BI132" s="64"/>
      <c r="BJ132" s="64"/>
      <c r="BK132" s="95"/>
      <c r="BL132" s="779" t="s">
        <v>17</v>
      </c>
      <c r="BM132" s="657"/>
      <c r="BN132" s="657"/>
      <c r="BO132" s="657"/>
      <c r="BP132" s="657"/>
      <c r="BQ132" s="788"/>
      <c r="BR132" s="96"/>
      <c r="BS132" s="96">
        <f t="shared" si="0"/>
        <v>0</v>
      </c>
      <c r="BT132" s="64"/>
    </row>
    <row r="133" spans="1:72" ht="12.75" customHeight="1">
      <c r="A133" s="64" t="s">
        <v>2422</v>
      </c>
      <c r="B133" s="64" t="s">
        <v>2737</v>
      </c>
      <c r="C133" s="64" t="s">
        <v>2607</v>
      </c>
      <c r="D133" s="64" t="s">
        <v>2738</v>
      </c>
      <c r="E133" s="64"/>
      <c r="F133" s="67"/>
      <c r="H133" s="64" t="s">
        <v>2442</v>
      </c>
      <c r="I133" s="64"/>
      <c r="J133" s="64"/>
      <c r="K133" s="67"/>
      <c r="M133" s="64" t="s">
        <v>2442</v>
      </c>
      <c r="N133" s="64" t="s">
        <v>2737</v>
      </c>
      <c r="O133" s="64"/>
      <c r="P133" s="67" t="s">
        <v>17</v>
      </c>
      <c r="Q133" s="64"/>
      <c r="R133" s="64"/>
      <c r="S133" s="64"/>
      <c r="T133" s="64"/>
      <c r="U133" s="95"/>
      <c r="V133" s="67" t="s">
        <v>17</v>
      </c>
      <c r="W133" s="64"/>
      <c r="X133" s="64"/>
      <c r="Y133" s="64"/>
      <c r="Z133" s="64"/>
      <c r="AA133" s="95"/>
      <c r="AB133" s="67" t="s">
        <v>17</v>
      </c>
      <c r="AC133" s="64"/>
      <c r="AD133" s="64"/>
      <c r="AE133" s="64"/>
      <c r="AF133" s="64"/>
      <c r="AG133" s="95"/>
      <c r="AH133" s="67" t="s">
        <v>17</v>
      </c>
      <c r="AI133" s="64"/>
      <c r="AJ133" s="64"/>
      <c r="AK133" s="64"/>
      <c r="AL133" s="64"/>
      <c r="AM133" s="95"/>
      <c r="AN133" s="67" t="s">
        <v>17</v>
      </c>
      <c r="AO133" s="64"/>
      <c r="AP133" s="64"/>
      <c r="AQ133" s="64"/>
      <c r="AR133" s="64"/>
      <c r="AS133" s="64"/>
      <c r="AT133" s="67" t="s">
        <v>17</v>
      </c>
      <c r="AU133" s="64"/>
      <c r="AV133" s="64"/>
      <c r="AW133" s="64"/>
      <c r="AX133" s="64"/>
      <c r="AY133" s="64"/>
      <c r="AZ133" s="588" t="s">
        <v>17</v>
      </c>
      <c r="BA133" s="657"/>
      <c r="BB133" s="657"/>
      <c r="BC133" s="657"/>
      <c r="BD133" s="657"/>
      <c r="BE133" s="657"/>
      <c r="BF133" s="67" t="s">
        <v>17</v>
      </c>
      <c r="BG133" s="64"/>
      <c r="BH133" s="64"/>
      <c r="BI133" s="64"/>
      <c r="BJ133" s="64"/>
      <c r="BK133" s="95"/>
      <c r="BL133" s="779" t="s">
        <v>17</v>
      </c>
      <c r="BM133" s="657"/>
      <c r="BN133" s="657"/>
      <c r="BO133" s="657"/>
      <c r="BP133" s="657"/>
      <c r="BQ133" s="788"/>
      <c r="BR133" s="96"/>
      <c r="BS133" s="96">
        <f t="shared" si="0"/>
        <v>0</v>
      </c>
      <c r="BT133" s="64"/>
    </row>
    <row r="134" spans="1:72" ht="12.75" customHeight="1">
      <c r="A134" s="64" t="s">
        <v>2422</v>
      </c>
      <c r="B134" s="64" t="s">
        <v>2739</v>
      </c>
      <c r="C134" s="64" t="s">
        <v>2607</v>
      </c>
      <c r="D134" s="64" t="s">
        <v>2740</v>
      </c>
      <c r="E134" s="64"/>
      <c r="F134" s="67"/>
      <c r="H134" s="64" t="s">
        <v>2442</v>
      </c>
      <c r="I134" s="64"/>
      <c r="J134" s="64"/>
      <c r="K134" s="67"/>
      <c r="M134" s="64" t="s">
        <v>2442</v>
      </c>
      <c r="N134" s="64" t="s">
        <v>2739</v>
      </c>
      <c r="O134" s="64"/>
      <c r="P134" s="67" t="s">
        <v>17</v>
      </c>
      <c r="Q134" s="64"/>
      <c r="R134" s="64"/>
      <c r="S134" s="64"/>
      <c r="T134" s="64"/>
      <c r="U134" s="95"/>
      <c r="V134" s="67" t="s">
        <v>17</v>
      </c>
      <c r="W134" s="64"/>
      <c r="X134" s="64"/>
      <c r="Y134" s="64"/>
      <c r="Z134" s="64"/>
      <c r="AA134" s="95"/>
      <c r="AB134" s="67" t="s">
        <v>17</v>
      </c>
      <c r="AC134" s="64"/>
      <c r="AD134" s="64"/>
      <c r="AE134" s="64"/>
      <c r="AF134" s="64"/>
      <c r="AG134" s="95"/>
      <c r="AH134" s="67" t="s">
        <v>17</v>
      </c>
      <c r="AI134" s="64"/>
      <c r="AJ134" s="64"/>
      <c r="AK134" s="64"/>
      <c r="AL134" s="64"/>
      <c r="AM134" s="95"/>
      <c r="AN134" s="67" t="s">
        <v>17</v>
      </c>
      <c r="AO134" s="64"/>
      <c r="AP134" s="64"/>
      <c r="AQ134" s="64"/>
      <c r="AR134" s="64"/>
      <c r="AS134" s="64"/>
      <c r="AT134" s="67" t="s">
        <v>17</v>
      </c>
      <c r="AU134" s="64"/>
      <c r="AV134" s="64"/>
      <c r="AW134" s="64"/>
      <c r="AX134" s="64"/>
      <c r="AY134" s="64"/>
      <c r="AZ134" s="588" t="s">
        <v>17</v>
      </c>
      <c r="BA134" s="657"/>
      <c r="BB134" s="657"/>
      <c r="BC134" s="657"/>
      <c r="BD134" s="657"/>
      <c r="BE134" s="657"/>
      <c r="BF134" s="67" t="s">
        <v>17</v>
      </c>
      <c r="BG134" s="64"/>
      <c r="BH134" s="64"/>
      <c r="BI134" s="64"/>
      <c r="BJ134" s="64"/>
      <c r="BK134" s="95"/>
      <c r="BL134" s="779" t="s">
        <v>17</v>
      </c>
      <c r="BM134" s="657"/>
      <c r="BN134" s="657"/>
      <c r="BO134" s="657"/>
      <c r="BP134" s="657"/>
      <c r="BQ134" s="788"/>
      <c r="BR134" s="96"/>
      <c r="BS134" s="96">
        <f t="shared" si="0"/>
        <v>0</v>
      </c>
      <c r="BT134" s="64"/>
    </row>
    <row r="135" spans="1:72" ht="12.75" customHeight="1">
      <c r="A135" s="64" t="s">
        <v>2422</v>
      </c>
      <c r="B135" s="64" t="s">
        <v>2741</v>
      </c>
      <c r="C135" s="64" t="s">
        <v>2607</v>
      </c>
      <c r="D135" s="64" t="s">
        <v>2742</v>
      </c>
      <c r="E135" s="64"/>
      <c r="F135" s="67"/>
      <c r="H135" s="64" t="s">
        <v>2442</v>
      </c>
      <c r="I135" s="64"/>
      <c r="J135" s="64"/>
      <c r="K135" s="67"/>
      <c r="M135" s="64" t="s">
        <v>2442</v>
      </c>
      <c r="N135" s="64" t="s">
        <v>2741</v>
      </c>
      <c r="O135" s="64"/>
      <c r="P135" s="67" t="s">
        <v>17</v>
      </c>
      <c r="Q135" s="64"/>
      <c r="R135" s="64"/>
      <c r="S135" s="64"/>
      <c r="T135" s="64"/>
      <c r="U135" s="95"/>
      <c r="V135" s="67" t="s">
        <v>17</v>
      </c>
      <c r="W135" s="64"/>
      <c r="X135" s="64"/>
      <c r="Y135" s="64"/>
      <c r="Z135" s="64"/>
      <c r="AA135" s="95"/>
      <c r="AB135" s="67" t="s">
        <v>17</v>
      </c>
      <c r="AC135" s="64"/>
      <c r="AD135" s="64"/>
      <c r="AE135" s="64"/>
      <c r="AF135" s="64"/>
      <c r="AG135" s="95"/>
      <c r="AH135" s="67" t="s">
        <v>17</v>
      </c>
      <c r="AI135" s="64"/>
      <c r="AJ135" s="64"/>
      <c r="AK135" s="64"/>
      <c r="AL135" s="64"/>
      <c r="AM135" s="95"/>
      <c r="AN135" s="67" t="s">
        <v>17</v>
      </c>
      <c r="AO135" s="64"/>
      <c r="AP135" s="64"/>
      <c r="AQ135" s="64"/>
      <c r="AR135" s="64"/>
      <c r="AS135" s="64"/>
      <c r="AT135" s="67" t="s">
        <v>17</v>
      </c>
      <c r="AU135" s="64"/>
      <c r="AV135" s="64"/>
      <c r="AW135" s="64"/>
      <c r="AX135" s="64"/>
      <c r="AY135" s="64"/>
      <c r="AZ135" s="588" t="s">
        <v>17</v>
      </c>
      <c r="BA135" s="657"/>
      <c r="BB135" s="657"/>
      <c r="BC135" s="657"/>
      <c r="BD135" s="657"/>
      <c r="BE135" s="657"/>
      <c r="BF135" s="67" t="s">
        <v>17</v>
      </c>
      <c r="BG135" s="64"/>
      <c r="BH135" s="64"/>
      <c r="BI135" s="64"/>
      <c r="BJ135" s="64"/>
      <c r="BK135" s="95"/>
      <c r="BL135" s="779" t="s">
        <v>17</v>
      </c>
      <c r="BM135" s="657"/>
      <c r="BN135" s="657"/>
      <c r="BO135" s="657"/>
      <c r="BP135" s="657"/>
      <c r="BQ135" s="788"/>
      <c r="BR135" s="96"/>
      <c r="BS135" s="96">
        <f t="shared" si="0"/>
        <v>0</v>
      </c>
      <c r="BT135" s="64"/>
    </row>
    <row r="136" spans="1:72" ht="12.75" customHeight="1">
      <c r="A136" s="64" t="s">
        <v>2422</v>
      </c>
      <c r="B136" s="64" t="s">
        <v>2743</v>
      </c>
      <c r="C136" s="64" t="s">
        <v>2607</v>
      </c>
      <c r="D136" s="64" t="s">
        <v>2744</v>
      </c>
      <c r="E136" s="64"/>
      <c r="F136" s="67"/>
      <c r="H136" s="64" t="s">
        <v>2442</v>
      </c>
      <c r="I136" s="64"/>
      <c r="J136" s="64"/>
      <c r="K136" s="67"/>
      <c r="M136" s="64" t="s">
        <v>2442</v>
      </c>
      <c r="N136" s="64" t="s">
        <v>2743</v>
      </c>
      <c r="O136" s="64"/>
      <c r="P136" s="67" t="s">
        <v>17</v>
      </c>
      <c r="Q136" s="64"/>
      <c r="R136" s="64"/>
      <c r="S136" s="64"/>
      <c r="T136" s="64"/>
      <c r="U136" s="95"/>
      <c r="V136" s="67" t="s">
        <v>17</v>
      </c>
      <c r="W136" s="64"/>
      <c r="X136" s="64"/>
      <c r="Y136" s="64"/>
      <c r="Z136" s="64"/>
      <c r="AA136" s="95"/>
      <c r="AB136" s="67" t="s">
        <v>17</v>
      </c>
      <c r="AC136" s="64"/>
      <c r="AD136" s="64"/>
      <c r="AE136" s="64"/>
      <c r="AF136" s="64"/>
      <c r="AG136" s="95"/>
      <c r="AH136" s="67" t="s">
        <v>17</v>
      </c>
      <c r="AI136" s="64"/>
      <c r="AJ136" s="64"/>
      <c r="AK136" s="64"/>
      <c r="AL136" s="64"/>
      <c r="AM136" s="95"/>
      <c r="AN136" s="67" t="s">
        <v>17</v>
      </c>
      <c r="AO136" s="64"/>
      <c r="AP136" s="64"/>
      <c r="AQ136" s="64"/>
      <c r="AR136" s="64"/>
      <c r="AS136" s="64"/>
      <c r="AT136" s="67" t="s">
        <v>17</v>
      </c>
      <c r="AU136" s="64"/>
      <c r="AV136" s="64"/>
      <c r="AW136" s="64"/>
      <c r="AX136" s="64"/>
      <c r="AY136" s="64"/>
      <c r="AZ136" s="588" t="s">
        <v>17</v>
      </c>
      <c r="BA136" s="657"/>
      <c r="BB136" s="657"/>
      <c r="BC136" s="657"/>
      <c r="BD136" s="657"/>
      <c r="BE136" s="657"/>
      <c r="BF136" s="67" t="s">
        <v>17</v>
      </c>
      <c r="BG136" s="64"/>
      <c r="BH136" s="64"/>
      <c r="BI136" s="64"/>
      <c r="BJ136" s="64"/>
      <c r="BK136" s="95"/>
      <c r="BL136" s="779" t="s">
        <v>17</v>
      </c>
      <c r="BM136" s="657"/>
      <c r="BN136" s="657"/>
      <c r="BO136" s="657"/>
      <c r="BP136" s="657"/>
      <c r="BQ136" s="788"/>
      <c r="BR136" s="96"/>
      <c r="BS136" s="96">
        <f t="shared" si="0"/>
        <v>0</v>
      </c>
      <c r="BT136" s="64"/>
    </row>
    <row r="137" spans="1:72" ht="12.75" customHeight="1">
      <c r="A137" s="64" t="s">
        <v>2422</v>
      </c>
      <c r="B137" s="64" t="s">
        <v>2745</v>
      </c>
      <c r="C137" s="64" t="s">
        <v>2607</v>
      </c>
      <c r="D137" s="64" t="s">
        <v>2746</v>
      </c>
      <c r="E137" s="64"/>
      <c r="F137" s="67"/>
      <c r="H137" s="64" t="s">
        <v>2442</v>
      </c>
      <c r="I137" s="64"/>
      <c r="J137" s="64"/>
      <c r="K137" s="67"/>
      <c r="M137" s="64" t="s">
        <v>2442</v>
      </c>
      <c r="N137" s="64" t="s">
        <v>2745</v>
      </c>
      <c r="O137" s="64"/>
      <c r="P137" s="67" t="s">
        <v>17</v>
      </c>
      <c r="Q137" s="64"/>
      <c r="R137" s="64"/>
      <c r="S137" s="64"/>
      <c r="T137" s="64"/>
      <c r="U137" s="95"/>
      <c r="V137" s="67" t="s">
        <v>17</v>
      </c>
      <c r="W137" s="64"/>
      <c r="X137" s="64"/>
      <c r="Y137" s="64"/>
      <c r="Z137" s="64"/>
      <c r="AA137" s="95"/>
      <c r="AB137" s="67" t="s">
        <v>17</v>
      </c>
      <c r="AC137" s="64"/>
      <c r="AD137" s="64"/>
      <c r="AE137" s="64"/>
      <c r="AF137" s="64"/>
      <c r="AG137" s="95"/>
      <c r="AH137" s="67" t="s">
        <v>17</v>
      </c>
      <c r="AI137" s="64"/>
      <c r="AJ137" s="64"/>
      <c r="AK137" s="64"/>
      <c r="AL137" s="64"/>
      <c r="AM137" s="95"/>
      <c r="AN137" s="67" t="s">
        <v>17</v>
      </c>
      <c r="AO137" s="64"/>
      <c r="AP137" s="64"/>
      <c r="AQ137" s="64"/>
      <c r="AR137" s="64"/>
      <c r="AS137" s="64"/>
      <c r="AT137" s="67" t="s">
        <v>17</v>
      </c>
      <c r="AU137" s="64"/>
      <c r="AV137" s="64"/>
      <c r="AW137" s="64"/>
      <c r="AX137" s="64"/>
      <c r="AY137" s="64"/>
      <c r="AZ137" s="588" t="s">
        <v>17</v>
      </c>
      <c r="BA137" s="657"/>
      <c r="BB137" s="657"/>
      <c r="BC137" s="657"/>
      <c r="BD137" s="657"/>
      <c r="BE137" s="657"/>
      <c r="BF137" s="67" t="s">
        <v>17</v>
      </c>
      <c r="BG137" s="64"/>
      <c r="BH137" s="64"/>
      <c r="BI137" s="64"/>
      <c r="BJ137" s="64"/>
      <c r="BK137" s="95"/>
      <c r="BL137" s="779" t="s">
        <v>17</v>
      </c>
      <c r="BM137" s="657"/>
      <c r="BN137" s="657"/>
      <c r="BO137" s="657"/>
      <c r="BP137" s="657"/>
      <c r="BQ137" s="788"/>
      <c r="BR137" s="96"/>
      <c r="BS137" s="96">
        <f t="shared" si="0"/>
        <v>0</v>
      </c>
      <c r="BT137" s="64"/>
    </row>
    <row r="138" spans="1:72" ht="12.75" customHeight="1">
      <c r="A138" s="64" t="s">
        <v>2422</v>
      </c>
      <c r="B138" s="64" t="s">
        <v>2747</v>
      </c>
      <c r="C138" s="64" t="s">
        <v>2607</v>
      </c>
      <c r="D138" s="64" t="s">
        <v>2748</v>
      </c>
      <c r="E138" s="64"/>
      <c r="F138" s="67"/>
      <c r="H138" s="64" t="s">
        <v>2442</v>
      </c>
      <c r="I138" s="64"/>
      <c r="J138" s="64"/>
      <c r="K138" s="67"/>
      <c r="M138" s="64" t="s">
        <v>2442</v>
      </c>
      <c r="N138" s="64" t="s">
        <v>2747</v>
      </c>
      <c r="O138" s="64"/>
      <c r="P138" s="67" t="s">
        <v>17</v>
      </c>
      <c r="Q138" s="64"/>
      <c r="R138" s="64"/>
      <c r="S138" s="64"/>
      <c r="T138" s="64"/>
      <c r="U138" s="95"/>
      <c r="V138" s="67" t="s">
        <v>17</v>
      </c>
      <c r="W138" s="64"/>
      <c r="X138" s="64"/>
      <c r="Y138" s="64"/>
      <c r="Z138" s="64"/>
      <c r="AA138" s="95"/>
      <c r="AB138" s="67" t="s">
        <v>17</v>
      </c>
      <c r="AC138" s="64"/>
      <c r="AD138" s="64"/>
      <c r="AE138" s="64"/>
      <c r="AF138" s="64"/>
      <c r="AG138" s="95"/>
      <c r="AH138" s="67" t="s">
        <v>17</v>
      </c>
      <c r="AI138" s="64"/>
      <c r="AJ138" s="64"/>
      <c r="AK138" s="64"/>
      <c r="AL138" s="64"/>
      <c r="AM138" s="95"/>
      <c r="AN138" s="67" t="s">
        <v>17</v>
      </c>
      <c r="AO138" s="64"/>
      <c r="AP138" s="64"/>
      <c r="AQ138" s="64"/>
      <c r="AR138" s="64"/>
      <c r="AS138" s="64"/>
      <c r="AT138" s="67" t="s">
        <v>17</v>
      </c>
      <c r="AU138" s="64"/>
      <c r="AV138" s="64"/>
      <c r="AW138" s="64"/>
      <c r="AX138" s="64"/>
      <c r="AY138" s="64"/>
      <c r="AZ138" s="588" t="s">
        <v>2432</v>
      </c>
      <c r="BA138" s="657" t="str">
        <f>IF(K138&gt;1000000,Referral,Dunkelverarbeitung)</f>
        <v>Dunkelverarbeitung</v>
      </c>
      <c r="BB138" s="657"/>
      <c r="BC138" s="657"/>
      <c r="BD138" s="657"/>
      <c r="BE138" s="657"/>
      <c r="BF138" s="67" t="s">
        <v>17</v>
      </c>
      <c r="BG138" s="64"/>
      <c r="BH138" s="64"/>
      <c r="BI138" s="64"/>
      <c r="BJ138" s="64"/>
      <c r="BK138" s="95"/>
      <c r="BL138" s="779" t="s">
        <v>17</v>
      </c>
      <c r="BM138" s="657"/>
      <c r="BN138" s="657"/>
      <c r="BO138" s="657"/>
      <c r="BP138" s="657"/>
      <c r="BQ138" s="788"/>
      <c r="BR138" s="96" t="s">
        <v>3738</v>
      </c>
      <c r="BS138" s="96" t="str">
        <f t="shared" si="0"/>
        <v>Umsatz (Vorjahr) &gt; 1,000,000</v>
      </c>
      <c r="BT138" s="64"/>
    </row>
    <row r="139" spans="1:72" ht="12.75" customHeight="1">
      <c r="A139" s="64" t="s">
        <v>2422</v>
      </c>
      <c r="B139" s="64" t="s">
        <v>2749</v>
      </c>
      <c r="C139" s="64" t="s">
        <v>2607</v>
      </c>
      <c r="D139" s="64" t="s">
        <v>2750</v>
      </c>
      <c r="E139" s="64"/>
      <c r="F139" s="67"/>
      <c r="H139" s="64" t="s">
        <v>2442</v>
      </c>
      <c r="I139" s="64"/>
      <c r="J139" s="64"/>
      <c r="K139" s="67"/>
      <c r="M139" s="64" t="s">
        <v>2442</v>
      </c>
      <c r="N139" s="64" t="s">
        <v>2749</v>
      </c>
      <c r="O139" s="64"/>
      <c r="P139" s="67" t="s">
        <v>17</v>
      </c>
      <c r="Q139" s="64"/>
      <c r="R139" s="64"/>
      <c r="S139" s="64"/>
      <c r="T139" s="64"/>
      <c r="U139" s="95"/>
      <c r="V139" s="67" t="s">
        <v>17</v>
      </c>
      <c r="W139" s="64"/>
      <c r="X139" s="64"/>
      <c r="Y139" s="64"/>
      <c r="Z139" s="64"/>
      <c r="AA139" s="95"/>
      <c r="AB139" s="67" t="s">
        <v>17</v>
      </c>
      <c r="AC139" s="64"/>
      <c r="AD139" s="64"/>
      <c r="AE139" s="64"/>
      <c r="AF139" s="64"/>
      <c r="AG139" s="95"/>
      <c r="AH139" s="67" t="s">
        <v>17</v>
      </c>
      <c r="AI139" s="64"/>
      <c r="AJ139" s="64"/>
      <c r="AK139" s="64"/>
      <c r="AL139" s="64"/>
      <c r="AM139" s="95"/>
      <c r="AN139" s="67" t="s">
        <v>17</v>
      </c>
      <c r="AO139" s="64"/>
      <c r="AP139" s="64"/>
      <c r="AQ139" s="64"/>
      <c r="AR139" s="64"/>
      <c r="AS139" s="64"/>
      <c r="AT139" s="67" t="s">
        <v>17</v>
      </c>
      <c r="AU139" s="64"/>
      <c r="AV139" s="64"/>
      <c r="AW139" s="64"/>
      <c r="AX139" s="64"/>
      <c r="AY139" s="64"/>
      <c r="AZ139" s="588" t="s">
        <v>17</v>
      </c>
      <c r="BA139" s="657"/>
      <c r="BB139" s="657"/>
      <c r="BC139" s="657"/>
      <c r="BD139" s="657"/>
      <c r="BE139" s="657"/>
      <c r="BF139" s="67" t="s">
        <v>17</v>
      </c>
      <c r="BG139" s="64"/>
      <c r="BH139" s="64"/>
      <c r="BI139" s="64"/>
      <c r="BJ139" s="64"/>
      <c r="BK139" s="95"/>
      <c r="BL139" s="779" t="s">
        <v>17</v>
      </c>
      <c r="BM139" s="657"/>
      <c r="BN139" s="657"/>
      <c r="BO139" s="657"/>
      <c r="BP139" s="657"/>
      <c r="BQ139" s="788"/>
      <c r="BR139" s="96"/>
      <c r="BS139" s="96">
        <f t="shared" si="0"/>
        <v>0</v>
      </c>
      <c r="BT139" s="64"/>
    </row>
    <row r="140" spans="1:72" ht="12.75" customHeight="1">
      <c r="A140" s="64" t="s">
        <v>2422</v>
      </c>
      <c r="B140" s="64" t="s">
        <v>2751</v>
      </c>
      <c r="C140" s="64" t="s">
        <v>2607</v>
      </c>
      <c r="D140" s="64" t="s">
        <v>2752</v>
      </c>
      <c r="E140" s="64"/>
      <c r="F140" s="67"/>
      <c r="H140" s="64" t="s">
        <v>2442</v>
      </c>
      <c r="I140" s="64"/>
      <c r="J140" s="64"/>
      <c r="K140" s="67"/>
      <c r="M140" s="64" t="s">
        <v>2442</v>
      </c>
      <c r="N140" s="64" t="s">
        <v>2751</v>
      </c>
      <c r="O140" s="64"/>
      <c r="P140" s="67" t="s">
        <v>17</v>
      </c>
      <c r="Q140" s="64"/>
      <c r="R140" s="64"/>
      <c r="S140" s="64"/>
      <c r="T140" s="64"/>
      <c r="U140" s="95"/>
      <c r="V140" s="67" t="s">
        <v>17</v>
      </c>
      <c r="W140" s="64"/>
      <c r="X140" s="64"/>
      <c r="Y140" s="64"/>
      <c r="Z140" s="64"/>
      <c r="AA140" s="95"/>
      <c r="AB140" s="67" t="s">
        <v>17</v>
      </c>
      <c r="AC140" s="64"/>
      <c r="AD140" s="64"/>
      <c r="AE140" s="64"/>
      <c r="AF140" s="64"/>
      <c r="AG140" s="95"/>
      <c r="AH140" s="67" t="s">
        <v>17</v>
      </c>
      <c r="AI140" s="64"/>
      <c r="AJ140" s="64"/>
      <c r="AK140" s="64"/>
      <c r="AL140" s="64"/>
      <c r="AM140" s="95"/>
      <c r="AN140" s="67" t="s">
        <v>17</v>
      </c>
      <c r="AO140" s="64"/>
      <c r="AP140" s="64"/>
      <c r="AQ140" s="64"/>
      <c r="AR140" s="64"/>
      <c r="AS140" s="64"/>
      <c r="AT140" s="67" t="s">
        <v>17</v>
      </c>
      <c r="AU140" s="64"/>
      <c r="AV140" s="64"/>
      <c r="AW140" s="64"/>
      <c r="AX140" s="64"/>
      <c r="AY140" s="64"/>
      <c r="AZ140" s="588" t="s">
        <v>17</v>
      </c>
      <c r="BA140" s="657"/>
      <c r="BB140" s="657"/>
      <c r="BC140" s="657"/>
      <c r="BD140" s="657"/>
      <c r="BE140" s="657"/>
      <c r="BF140" s="67" t="s">
        <v>17</v>
      </c>
      <c r="BG140" s="64"/>
      <c r="BH140" s="64"/>
      <c r="BI140" s="64"/>
      <c r="BJ140" s="64"/>
      <c r="BK140" s="95"/>
      <c r="BL140" s="779" t="s">
        <v>17</v>
      </c>
      <c r="BM140" s="657"/>
      <c r="BN140" s="657"/>
      <c r="BO140" s="657"/>
      <c r="BP140" s="657"/>
      <c r="BQ140" s="788"/>
      <c r="BR140" s="96"/>
      <c r="BS140" s="96">
        <f t="shared" si="0"/>
        <v>0</v>
      </c>
      <c r="BT140" s="64"/>
    </row>
    <row r="141" spans="1:72" ht="12.75" customHeight="1">
      <c r="A141" s="64" t="s">
        <v>2422</v>
      </c>
      <c r="B141" s="64" t="s">
        <v>2753</v>
      </c>
      <c r="C141" s="64" t="s">
        <v>2607</v>
      </c>
      <c r="D141" s="64" t="s">
        <v>2754</v>
      </c>
      <c r="E141" s="64"/>
      <c r="F141" s="67"/>
      <c r="H141" s="64" t="s">
        <v>2442</v>
      </c>
      <c r="I141" s="64"/>
      <c r="J141" s="64"/>
      <c r="K141" s="67"/>
      <c r="M141" s="64" t="s">
        <v>2442</v>
      </c>
      <c r="N141" s="64" t="s">
        <v>2753</v>
      </c>
      <c r="O141" s="64"/>
      <c r="P141" s="67" t="s">
        <v>17</v>
      </c>
      <c r="Q141" s="64"/>
      <c r="R141" s="64"/>
      <c r="S141" s="64"/>
      <c r="T141" s="64"/>
      <c r="U141" s="95"/>
      <c r="V141" s="67" t="s">
        <v>17</v>
      </c>
      <c r="W141" s="64"/>
      <c r="X141" s="64"/>
      <c r="Y141" s="64"/>
      <c r="Z141" s="64"/>
      <c r="AA141" s="95"/>
      <c r="AB141" s="67" t="s">
        <v>17</v>
      </c>
      <c r="AC141" s="64"/>
      <c r="AD141" s="64"/>
      <c r="AE141" s="64"/>
      <c r="AF141" s="64"/>
      <c r="AG141" s="95"/>
      <c r="AH141" s="67" t="s">
        <v>17</v>
      </c>
      <c r="AI141" s="64"/>
      <c r="AJ141" s="64"/>
      <c r="AK141" s="64"/>
      <c r="AL141" s="64"/>
      <c r="AM141" s="95"/>
      <c r="AN141" s="67" t="s">
        <v>17</v>
      </c>
      <c r="AO141" s="64"/>
      <c r="AP141" s="64"/>
      <c r="AQ141" s="64"/>
      <c r="AR141" s="64"/>
      <c r="AS141" s="64"/>
      <c r="AT141" s="67" t="s">
        <v>17</v>
      </c>
      <c r="AU141" s="64"/>
      <c r="AV141" s="64"/>
      <c r="AW141" s="64"/>
      <c r="AX141" s="64"/>
      <c r="AY141" s="64"/>
      <c r="AZ141" s="588" t="s">
        <v>2432</v>
      </c>
      <c r="BA141" s="657" t="str">
        <f>IF(K141&lt;0,Referral,Dunkelverarbeitung)</f>
        <v>Dunkelverarbeitung</v>
      </c>
      <c r="BB141" s="657"/>
      <c r="BC141" s="657"/>
      <c r="BD141" s="657"/>
      <c r="BE141" s="657"/>
      <c r="BF141" s="67" t="s">
        <v>17</v>
      </c>
      <c r="BG141" s="64"/>
      <c r="BH141" s="64"/>
      <c r="BI141" s="64"/>
      <c r="BJ141" s="64"/>
      <c r="BK141" s="95"/>
      <c r="BL141" s="779" t="s">
        <v>17</v>
      </c>
      <c r="BM141" s="657"/>
      <c r="BN141" s="657"/>
      <c r="BO141" s="657"/>
      <c r="BP141" s="657"/>
      <c r="BQ141" s="788"/>
      <c r="BR141" s="96" t="s">
        <v>3737</v>
      </c>
      <c r="BS141" s="96" t="str">
        <f t="shared" si="0"/>
        <v>Jahresergebnis (Vorjahr) negativ</v>
      </c>
      <c r="BT141" s="64"/>
    </row>
    <row r="142" spans="1:72" ht="12.75" customHeight="1">
      <c r="A142" s="64" t="s">
        <v>2422</v>
      </c>
      <c r="B142" s="64" t="s">
        <v>2755</v>
      </c>
      <c r="C142" s="64" t="s">
        <v>2607</v>
      </c>
      <c r="D142" s="64" t="s">
        <v>2756</v>
      </c>
      <c r="E142" s="64"/>
      <c r="F142" s="67"/>
      <c r="H142" s="64" t="s">
        <v>2442</v>
      </c>
      <c r="I142" s="64"/>
      <c r="J142" s="64"/>
      <c r="K142" s="67"/>
      <c r="M142" s="64" t="s">
        <v>2442</v>
      </c>
      <c r="N142" s="64" t="s">
        <v>2755</v>
      </c>
      <c r="O142" s="64"/>
      <c r="P142" s="67" t="s">
        <v>17</v>
      </c>
      <c r="Q142" s="64"/>
      <c r="R142" s="64"/>
      <c r="S142" s="64"/>
      <c r="T142" s="64"/>
      <c r="U142" s="95"/>
      <c r="V142" s="67" t="s">
        <v>17</v>
      </c>
      <c r="W142" s="64"/>
      <c r="X142" s="64"/>
      <c r="Y142" s="64"/>
      <c r="Z142" s="64"/>
      <c r="AA142" s="95"/>
      <c r="AB142" s="67" t="s">
        <v>17</v>
      </c>
      <c r="AC142" s="64"/>
      <c r="AD142" s="64"/>
      <c r="AE142" s="64"/>
      <c r="AF142" s="64"/>
      <c r="AG142" s="95"/>
      <c r="AH142" s="67" t="s">
        <v>17</v>
      </c>
      <c r="AI142" s="64"/>
      <c r="AJ142" s="64"/>
      <c r="AK142" s="64"/>
      <c r="AL142" s="64"/>
      <c r="AM142" s="95"/>
      <c r="AN142" s="67" t="s">
        <v>17</v>
      </c>
      <c r="AO142" s="64"/>
      <c r="AP142" s="64"/>
      <c r="AQ142" s="64"/>
      <c r="AR142" s="64"/>
      <c r="AS142" s="64"/>
      <c r="AT142" s="67" t="s">
        <v>17</v>
      </c>
      <c r="AU142" s="64"/>
      <c r="AV142" s="64"/>
      <c r="AW142" s="64"/>
      <c r="AX142" s="64"/>
      <c r="AY142" s="64"/>
      <c r="AZ142" s="588" t="s">
        <v>17</v>
      </c>
      <c r="BA142" s="657"/>
      <c r="BB142" s="657"/>
      <c r="BC142" s="657"/>
      <c r="BD142" s="657"/>
      <c r="BE142" s="657"/>
      <c r="BF142" s="67" t="s">
        <v>17</v>
      </c>
      <c r="BG142" s="64"/>
      <c r="BH142" s="64"/>
      <c r="BI142" s="64"/>
      <c r="BJ142" s="64"/>
      <c r="BK142" s="95"/>
      <c r="BL142" s="779" t="s">
        <v>17</v>
      </c>
      <c r="BM142" s="657"/>
      <c r="BN142" s="657"/>
      <c r="BO142" s="657"/>
      <c r="BP142" s="657"/>
      <c r="BQ142" s="788"/>
      <c r="BR142" s="96"/>
      <c r="BS142" s="96">
        <f t="shared" si="0"/>
        <v>0</v>
      </c>
      <c r="BT142" s="64"/>
    </row>
    <row r="143" spans="1:72" ht="12.75" customHeight="1">
      <c r="A143" s="64" t="s">
        <v>2422</v>
      </c>
      <c r="B143" s="64" t="s">
        <v>2757</v>
      </c>
      <c r="C143" s="64" t="s">
        <v>2607</v>
      </c>
      <c r="D143" s="64" t="s">
        <v>2758</v>
      </c>
      <c r="E143" s="64"/>
      <c r="F143" s="67"/>
      <c r="H143" s="64" t="s">
        <v>2442</v>
      </c>
      <c r="I143" s="64"/>
      <c r="J143" s="64"/>
      <c r="K143" s="67"/>
      <c r="M143" s="64" t="s">
        <v>2442</v>
      </c>
      <c r="N143" s="64" t="s">
        <v>2757</v>
      </c>
      <c r="O143" s="64"/>
      <c r="P143" s="67" t="s">
        <v>17</v>
      </c>
      <c r="Q143" s="64"/>
      <c r="R143" s="64"/>
      <c r="S143" s="64"/>
      <c r="T143" s="64"/>
      <c r="U143" s="95"/>
      <c r="V143" s="67" t="s">
        <v>17</v>
      </c>
      <c r="W143" s="64"/>
      <c r="X143" s="64"/>
      <c r="Y143" s="64"/>
      <c r="Z143" s="64"/>
      <c r="AA143" s="95"/>
      <c r="AB143" s="67" t="s">
        <v>17</v>
      </c>
      <c r="AC143" s="64"/>
      <c r="AD143" s="64"/>
      <c r="AE143" s="64"/>
      <c r="AF143" s="64"/>
      <c r="AG143" s="95"/>
      <c r="AH143" s="67" t="s">
        <v>17</v>
      </c>
      <c r="AI143" s="64"/>
      <c r="AJ143" s="64"/>
      <c r="AK143" s="64"/>
      <c r="AL143" s="64"/>
      <c r="AM143" s="95"/>
      <c r="AN143" s="67" t="s">
        <v>17</v>
      </c>
      <c r="AO143" s="64"/>
      <c r="AP143" s="64"/>
      <c r="AQ143" s="64"/>
      <c r="AR143" s="64"/>
      <c r="AS143" s="64"/>
      <c r="AT143" s="67" t="s">
        <v>17</v>
      </c>
      <c r="AU143" s="64"/>
      <c r="AV143" s="64"/>
      <c r="AW143" s="64"/>
      <c r="AX143" s="64"/>
      <c r="AY143" s="64"/>
      <c r="AZ143" s="588" t="s">
        <v>17</v>
      </c>
      <c r="BA143" s="657"/>
      <c r="BB143" s="657"/>
      <c r="BC143" s="657"/>
      <c r="BD143" s="657"/>
      <c r="BE143" s="657"/>
      <c r="BF143" s="67" t="s">
        <v>17</v>
      </c>
      <c r="BG143" s="64"/>
      <c r="BH143" s="64"/>
      <c r="BI143" s="64"/>
      <c r="BJ143" s="64"/>
      <c r="BK143" s="95"/>
      <c r="BL143" s="779" t="s">
        <v>17</v>
      </c>
      <c r="BM143" s="657"/>
      <c r="BN143" s="657"/>
      <c r="BO143" s="657"/>
      <c r="BP143" s="657"/>
      <c r="BQ143" s="788"/>
      <c r="BR143" s="96"/>
      <c r="BS143" s="96">
        <f t="shared" si="0"/>
        <v>0</v>
      </c>
      <c r="BT143" s="64"/>
    </row>
    <row r="144" spans="1:72" ht="12.75" customHeight="1">
      <c r="A144" s="64" t="s">
        <v>2422</v>
      </c>
      <c r="B144" s="64" t="s">
        <v>2759</v>
      </c>
      <c r="C144" s="64" t="s">
        <v>2607</v>
      </c>
      <c r="D144" s="64" t="s">
        <v>2760</v>
      </c>
      <c r="E144" s="64"/>
      <c r="F144" s="67"/>
      <c r="H144" s="64" t="s">
        <v>2442</v>
      </c>
      <c r="I144" s="64"/>
      <c r="J144" s="64"/>
      <c r="K144" s="67"/>
      <c r="M144" s="64" t="s">
        <v>2442</v>
      </c>
      <c r="N144" s="64" t="s">
        <v>2759</v>
      </c>
      <c r="O144" s="64"/>
      <c r="P144" s="67" t="s">
        <v>17</v>
      </c>
      <c r="Q144" s="64"/>
      <c r="R144" s="64"/>
      <c r="S144" s="64"/>
      <c r="T144" s="64"/>
      <c r="U144" s="95"/>
      <c r="V144" s="67" t="s">
        <v>17</v>
      </c>
      <c r="W144" s="64"/>
      <c r="X144" s="64"/>
      <c r="Y144" s="64"/>
      <c r="Z144" s="64"/>
      <c r="AA144" s="95"/>
      <c r="AB144" s="67" t="s">
        <v>17</v>
      </c>
      <c r="AC144" s="64"/>
      <c r="AD144" s="64"/>
      <c r="AE144" s="64"/>
      <c r="AF144" s="64"/>
      <c r="AG144" s="95"/>
      <c r="AH144" s="67" t="s">
        <v>17</v>
      </c>
      <c r="AI144" s="64"/>
      <c r="AJ144" s="64"/>
      <c r="AK144" s="64"/>
      <c r="AL144" s="64"/>
      <c r="AM144" s="95"/>
      <c r="AN144" s="67" t="s">
        <v>17</v>
      </c>
      <c r="AO144" s="64"/>
      <c r="AP144" s="64"/>
      <c r="AQ144" s="64"/>
      <c r="AR144" s="64"/>
      <c r="AS144" s="64"/>
      <c r="AT144" s="67" t="s">
        <v>17</v>
      </c>
      <c r="AU144" s="64"/>
      <c r="AV144" s="64"/>
      <c r="AW144" s="64"/>
      <c r="AX144" s="64"/>
      <c r="AY144" s="64"/>
      <c r="AZ144" s="588" t="s">
        <v>17</v>
      </c>
      <c r="BA144" s="657"/>
      <c r="BB144" s="657"/>
      <c r="BC144" s="657"/>
      <c r="BD144" s="657"/>
      <c r="BE144" s="657"/>
      <c r="BF144" s="67" t="s">
        <v>17</v>
      </c>
      <c r="BG144" s="64"/>
      <c r="BH144" s="64"/>
      <c r="BI144" s="64"/>
      <c r="BJ144" s="64"/>
      <c r="BK144" s="95"/>
      <c r="BL144" s="779" t="s">
        <v>17</v>
      </c>
      <c r="BM144" s="657"/>
      <c r="BN144" s="657"/>
      <c r="BO144" s="657"/>
      <c r="BP144" s="657"/>
      <c r="BQ144" s="788"/>
      <c r="BR144" s="96"/>
      <c r="BS144" s="96">
        <f t="shared" si="0"/>
        <v>0</v>
      </c>
      <c r="BT144" s="64"/>
    </row>
    <row r="145" spans="1:72" ht="12.75" customHeight="1">
      <c r="A145" s="64" t="s">
        <v>2422</v>
      </c>
      <c r="B145" s="64" t="s">
        <v>2761</v>
      </c>
      <c r="C145" s="64" t="s">
        <v>2607</v>
      </c>
      <c r="D145" s="64" t="s">
        <v>2762</v>
      </c>
      <c r="E145" s="64"/>
      <c r="F145" s="67"/>
      <c r="H145" s="64" t="s">
        <v>2442</v>
      </c>
      <c r="I145" s="64"/>
      <c r="J145" s="64"/>
      <c r="K145" s="67"/>
      <c r="M145" s="64" t="s">
        <v>2442</v>
      </c>
      <c r="N145" s="64" t="s">
        <v>2761</v>
      </c>
      <c r="O145" s="64"/>
      <c r="P145" s="67" t="s">
        <v>17</v>
      </c>
      <c r="Q145" s="64"/>
      <c r="R145" s="64"/>
      <c r="S145" s="64"/>
      <c r="T145" s="64"/>
      <c r="U145" s="95"/>
      <c r="V145" s="67" t="s">
        <v>17</v>
      </c>
      <c r="W145" s="64"/>
      <c r="X145" s="64"/>
      <c r="Y145" s="64"/>
      <c r="Z145" s="64"/>
      <c r="AA145" s="95"/>
      <c r="AB145" s="67" t="s">
        <v>17</v>
      </c>
      <c r="AC145" s="64"/>
      <c r="AD145" s="64"/>
      <c r="AE145" s="64"/>
      <c r="AF145" s="64"/>
      <c r="AG145" s="95"/>
      <c r="AH145" s="67" t="s">
        <v>17</v>
      </c>
      <c r="AI145" s="64"/>
      <c r="AJ145" s="64"/>
      <c r="AK145" s="64"/>
      <c r="AL145" s="64"/>
      <c r="AM145" s="95"/>
      <c r="AN145" s="67" t="s">
        <v>17</v>
      </c>
      <c r="AO145" s="64"/>
      <c r="AP145" s="64"/>
      <c r="AQ145" s="64"/>
      <c r="AR145" s="64"/>
      <c r="AS145" s="64"/>
      <c r="AT145" s="67" t="s">
        <v>17</v>
      </c>
      <c r="AU145" s="64"/>
      <c r="AV145" s="64"/>
      <c r="AW145" s="64"/>
      <c r="AX145" s="64"/>
      <c r="AY145" s="64"/>
      <c r="AZ145" s="588" t="s">
        <v>17</v>
      </c>
      <c r="BA145" s="657"/>
      <c r="BB145" s="657"/>
      <c r="BC145" s="657"/>
      <c r="BD145" s="657"/>
      <c r="BE145" s="657"/>
      <c r="BF145" s="67" t="s">
        <v>17</v>
      </c>
      <c r="BG145" s="64"/>
      <c r="BH145" s="64"/>
      <c r="BI145" s="64"/>
      <c r="BJ145" s="64"/>
      <c r="BK145" s="95"/>
      <c r="BL145" s="779" t="s">
        <v>17</v>
      </c>
      <c r="BM145" s="657"/>
      <c r="BN145" s="657"/>
      <c r="BO145" s="657"/>
      <c r="BP145" s="657"/>
      <c r="BQ145" s="788"/>
      <c r="BR145" s="96"/>
      <c r="BS145" s="96">
        <f>BR145</f>
        <v>0</v>
      </c>
      <c r="BT145" s="64"/>
    </row>
    <row r="146" spans="1:72" ht="12.75" customHeight="1">
      <c r="A146" s="64" t="s">
        <v>2422</v>
      </c>
      <c r="B146" s="64" t="s">
        <v>2763</v>
      </c>
      <c r="C146" s="64" t="s">
        <v>2607</v>
      </c>
      <c r="D146" s="64" t="s">
        <v>2764</v>
      </c>
      <c r="E146" s="64"/>
      <c r="F146" s="67"/>
      <c r="H146" s="64" t="s">
        <v>2442</v>
      </c>
      <c r="I146" s="64"/>
      <c r="J146" s="64"/>
      <c r="K146" s="67"/>
      <c r="M146" s="64" t="s">
        <v>2442</v>
      </c>
      <c r="N146" s="64" t="s">
        <v>2763</v>
      </c>
      <c r="O146" s="64"/>
      <c r="P146" s="67" t="s">
        <v>17</v>
      </c>
      <c r="Q146" s="64"/>
      <c r="R146" s="64"/>
      <c r="S146" s="64"/>
      <c r="T146" s="64"/>
      <c r="U146" s="95"/>
      <c r="V146" s="67" t="s">
        <v>17</v>
      </c>
      <c r="W146" s="64"/>
      <c r="X146" s="64"/>
      <c r="Y146" s="64"/>
      <c r="Z146" s="64"/>
      <c r="AA146" s="95"/>
      <c r="AB146" s="67" t="s">
        <v>17</v>
      </c>
      <c r="AC146" s="64"/>
      <c r="AD146" s="64"/>
      <c r="AE146" s="64"/>
      <c r="AF146" s="64"/>
      <c r="AG146" s="95"/>
      <c r="AH146" s="67" t="s">
        <v>17</v>
      </c>
      <c r="AI146" s="64"/>
      <c r="AJ146" s="64"/>
      <c r="AK146" s="64"/>
      <c r="AL146" s="64"/>
      <c r="AM146" s="95"/>
      <c r="AN146" s="67" t="s">
        <v>17</v>
      </c>
      <c r="AO146" s="64"/>
      <c r="AP146" s="64"/>
      <c r="AQ146" s="64"/>
      <c r="AR146" s="64"/>
      <c r="AS146" s="64"/>
      <c r="AT146" s="67" t="s">
        <v>17</v>
      </c>
      <c r="AU146" s="64"/>
      <c r="AV146" s="64"/>
      <c r="AW146" s="64"/>
      <c r="AX146" s="64"/>
      <c r="AY146" s="64"/>
      <c r="AZ146" s="588" t="s">
        <v>17</v>
      </c>
      <c r="BA146" s="657"/>
      <c r="BB146" s="657"/>
      <c r="BC146" s="657"/>
      <c r="BD146" s="657"/>
      <c r="BE146" s="657"/>
      <c r="BF146" s="67" t="s">
        <v>17</v>
      </c>
      <c r="BG146" s="64"/>
      <c r="BH146" s="64"/>
      <c r="BI146" s="64"/>
      <c r="BJ146" s="64"/>
      <c r="BK146" s="95"/>
      <c r="BL146" s="779" t="s">
        <v>17</v>
      </c>
      <c r="BM146" s="657"/>
      <c r="BN146" s="657"/>
      <c r="BO146" s="657"/>
      <c r="BP146" s="657"/>
      <c r="BQ146" s="788"/>
      <c r="BR146" s="96"/>
      <c r="BS146" s="96">
        <f t="shared" si="0"/>
        <v>0</v>
      </c>
      <c r="BT146" s="64"/>
    </row>
    <row r="147" spans="1:72" ht="12.75" customHeight="1">
      <c r="A147" s="124" t="s">
        <v>2765</v>
      </c>
      <c r="B147" s="124" t="s">
        <v>2766</v>
      </c>
      <c r="C147" s="124" t="s">
        <v>2766</v>
      </c>
      <c r="D147" s="124" t="s">
        <v>2767</v>
      </c>
      <c r="E147" s="64"/>
      <c r="F147" s="124">
        <f>DaughterCompanies</f>
        <v>0</v>
      </c>
      <c r="H147" s="64" t="s">
        <v>2430</v>
      </c>
      <c r="I147" s="125"/>
      <c r="J147" s="126"/>
      <c r="K147" s="124">
        <f>DaughterCompanies</f>
        <v>0</v>
      </c>
      <c r="M147" s="64" t="s">
        <v>2430</v>
      </c>
      <c r="N147" s="64" t="s">
        <v>2766</v>
      </c>
      <c r="P147" s="67" t="s">
        <v>17</v>
      </c>
      <c r="Q147" s="124"/>
      <c r="R147" s="124"/>
      <c r="S147" s="125"/>
      <c r="T147" s="125"/>
      <c r="U147" s="124"/>
      <c r="V147" s="67" t="s">
        <v>17</v>
      </c>
      <c r="W147" s="124"/>
      <c r="X147" s="124"/>
      <c r="Y147" s="125"/>
      <c r="Z147" s="125"/>
      <c r="AA147" s="124"/>
      <c r="AB147" s="67" t="s">
        <v>17</v>
      </c>
      <c r="AC147" s="124"/>
      <c r="AD147" s="124"/>
      <c r="AE147" s="125"/>
      <c r="AF147" s="125"/>
      <c r="AG147" s="124"/>
      <c r="AH147" s="67" t="s">
        <v>17</v>
      </c>
      <c r="AI147" s="124" t="str">
        <f>IF(DaughterCompanies="WORLD",Referral,Dunkelverarbeitung)</f>
        <v>Dunkelverarbeitung</v>
      </c>
      <c r="AJ147" s="124"/>
      <c r="AK147" s="125"/>
      <c r="AL147" s="125"/>
      <c r="AM147" s="95"/>
      <c r="AN147" s="67" t="s">
        <v>17</v>
      </c>
      <c r="AO147" s="124"/>
      <c r="AP147" s="124"/>
      <c r="AQ147" s="124"/>
      <c r="AR147" s="125"/>
      <c r="AS147" s="124"/>
      <c r="AT147" s="67" t="s">
        <v>17</v>
      </c>
      <c r="AU147" s="124"/>
      <c r="AV147" s="124"/>
      <c r="AW147" s="124"/>
      <c r="AX147" s="124"/>
      <c r="AZ147" s="588" t="s">
        <v>17</v>
      </c>
      <c r="BA147" s="657"/>
      <c r="BB147" s="657"/>
      <c r="BC147" s="657"/>
      <c r="BD147" s="657"/>
      <c r="BE147" s="657"/>
      <c r="BF147" s="67" t="s">
        <v>17</v>
      </c>
      <c r="BG147" s="124"/>
      <c r="BH147" s="124"/>
      <c r="BI147" s="780"/>
      <c r="BJ147" s="780"/>
      <c r="BK147" s="95"/>
      <c r="BL147" s="779" t="s">
        <v>17</v>
      </c>
      <c r="BM147" s="657"/>
      <c r="BN147" s="657"/>
      <c r="BO147" s="657"/>
      <c r="BP147" s="657"/>
      <c r="BQ147" s="788"/>
      <c r="BR147" s="96" t="s">
        <v>2768</v>
      </c>
      <c r="BS147" s="96" t="str">
        <f t="shared" si="0"/>
        <v>Tochtergesellschaften: Weltweit</v>
      </c>
      <c r="BT147" s="64"/>
    </row>
    <row r="148" spans="1:72" ht="12.75" customHeight="1">
      <c r="A148" s="64" t="s">
        <v>2422</v>
      </c>
      <c r="B148" s="64" t="s">
        <v>2769</v>
      </c>
      <c r="C148" s="64" t="s">
        <v>2428</v>
      </c>
      <c r="D148" s="64" t="s">
        <v>78</v>
      </c>
      <c r="E148" s="64"/>
      <c r="F148" s="67"/>
      <c r="H148" s="64" t="s">
        <v>2430</v>
      </c>
      <c r="I148" s="64"/>
      <c r="J148" s="64"/>
      <c r="K148" s="67"/>
      <c r="M148" s="64" t="s">
        <v>2430</v>
      </c>
      <c r="N148" s="64" t="s">
        <v>2769</v>
      </c>
      <c r="O148" s="64"/>
      <c r="P148" s="67" t="s">
        <v>17</v>
      </c>
      <c r="Q148" s="64"/>
      <c r="R148" s="64"/>
      <c r="S148" s="64"/>
      <c r="T148" s="64"/>
      <c r="U148" s="95"/>
      <c r="V148" s="67" t="s">
        <v>17</v>
      </c>
      <c r="W148" s="64"/>
      <c r="X148" s="64"/>
      <c r="Y148" s="64"/>
      <c r="Z148" s="64"/>
      <c r="AA148" s="95"/>
      <c r="AB148" s="67" t="s">
        <v>17</v>
      </c>
      <c r="AC148" s="64"/>
      <c r="AD148" s="64"/>
      <c r="AE148" s="64"/>
      <c r="AF148" s="64"/>
      <c r="AG148" s="95"/>
      <c r="AH148" s="67" t="s">
        <v>17</v>
      </c>
      <c r="AI148" s="64"/>
      <c r="AJ148" s="64"/>
      <c r="AK148" s="64"/>
      <c r="AL148" s="64"/>
      <c r="AM148" s="95"/>
      <c r="AN148" s="67" t="s">
        <v>17</v>
      </c>
      <c r="AO148" s="64"/>
      <c r="AP148" s="64"/>
      <c r="AQ148" s="64"/>
      <c r="AR148" s="64"/>
      <c r="AS148" s="64"/>
      <c r="AT148" s="67" t="s">
        <v>17</v>
      </c>
      <c r="AU148" s="64"/>
      <c r="AV148" s="64"/>
      <c r="AW148" s="64"/>
      <c r="AX148" s="64"/>
      <c r="AY148" s="64"/>
      <c r="AZ148" s="588" t="s">
        <v>17</v>
      </c>
      <c r="BA148" s="657"/>
      <c r="BB148" s="657"/>
      <c r="BC148" s="657"/>
      <c r="BD148" s="657"/>
      <c r="BE148" s="657"/>
      <c r="BF148" s="67" t="s">
        <v>17</v>
      </c>
      <c r="BG148" s="64"/>
      <c r="BH148" s="64"/>
      <c r="BI148" s="64"/>
      <c r="BJ148" s="64"/>
      <c r="BK148" s="95"/>
      <c r="BL148" s="779" t="s">
        <v>17</v>
      </c>
      <c r="BM148" s="657"/>
      <c r="BN148" s="657"/>
      <c r="BO148" s="657"/>
      <c r="BP148" s="657"/>
      <c r="BQ148" s="788"/>
      <c r="BR148" s="96"/>
      <c r="BS148" s="96">
        <f t="shared" si="0"/>
        <v>0</v>
      </c>
      <c r="BT148" s="64"/>
    </row>
    <row r="149" spans="1:72" ht="12.75" customHeight="1">
      <c r="A149" s="64" t="s">
        <v>2422</v>
      </c>
      <c r="B149" s="64" t="s">
        <v>2770</v>
      </c>
      <c r="C149" s="64" t="s">
        <v>2440</v>
      </c>
      <c r="D149" s="64" t="s">
        <v>2771</v>
      </c>
      <c r="E149" s="64"/>
      <c r="F149" s="67"/>
      <c r="H149" s="64"/>
      <c r="I149" s="64"/>
      <c r="J149" s="64"/>
      <c r="K149" s="127">
        <f>RisikoFragen902/100</f>
        <v>0</v>
      </c>
      <c r="M149" s="64"/>
      <c r="N149" s="64" t="s">
        <v>2770</v>
      </c>
      <c r="O149" s="64"/>
      <c r="P149" s="67" t="s">
        <v>17</v>
      </c>
      <c r="Q149" s="64"/>
      <c r="R149" s="64"/>
      <c r="S149" s="64"/>
      <c r="T149" s="64"/>
      <c r="U149" s="95"/>
      <c r="V149" s="67" t="s">
        <v>17</v>
      </c>
      <c r="W149" s="64"/>
      <c r="X149" s="64"/>
      <c r="Y149" s="64"/>
      <c r="Z149" s="64"/>
      <c r="AA149" s="95"/>
      <c r="AB149" s="67" t="s">
        <v>17</v>
      </c>
      <c r="AC149" s="64"/>
      <c r="AD149" s="64"/>
      <c r="AE149" s="64"/>
      <c r="AF149" s="64"/>
      <c r="AG149" s="95"/>
      <c r="AH149" s="67" t="s">
        <v>17</v>
      </c>
      <c r="AI149" s="64" t="str">
        <f>IF(RisikoFragen902&lt;100,Referral,Dunkelverarbeitung)</f>
        <v>Referral</v>
      </c>
      <c r="AJ149" s="64"/>
      <c r="AK149" s="64"/>
      <c r="AL149" s="64"/>
      <c r="AM149" s="95"/>
      <c r="AN149" s="67" t="s">
        <v>2432</v>
      </c>
      <c r="AO149" s="64" t="str">
        <f>IF(RisikoFragen902&lt;100,Referral,Dunkelverarbeitung)</f>
        <v>Referral</v>
      </c>
      <c r="AP149" s="64"/>
      <c r="AQ149" s="64"/>
      <c r="AR149" s="64"/>
      <c r="AS149" s="64"/>
      <c r="AT149" s="67" t="s">
        <v>17</v>
      </c>
      <c r="AU149" s="64"/>
      <c r="AV149" s="64"/>
      <c r="AW149" s="64"/>
      <c r="AX149" s="64"/>
      <c r="AY149" s="64"/>
      <c r="AZ149" s="588" t="s">
        <v>17</v>
      </c>
      <c r="BA149" s="657"/>
      <c r="BB149" s="657"/>
      <c r="BC149" s="657"/>
      <c r="BD149" s="657"/>
      <c r="BE149" s="657"/>
      <c r="BF149" s="67" t="s">
        <v>17</v>
      </c>
      <c r="BG149" s="64"/>
      <c r="BH149" s="64"/>
      <c r="BI149" s="64"/>
      <c r="BJ149" s="64"/>
      <c r="BK149" s="95"/>
      <c r="BL149" s="67" t="s">
        <v>2432</v>
      </c>
      <c r="BM149" s="657" t="str">
        <f>IF(RisikoFragen902&lt;100,Referral,Dunkelverarbeitung)</f>
        <v>Referral</v>
      </c>
      <c r="BN149" s="657"/>
      <c r="BO149" s="657"/>
      <c r="BP149" s="950" t="str">
        <f>IF(RisikoFragen902&lt;100,"ergo_nettoisierung:group-4","")</f>
        <v>ergo_nettoisierung:group-4</v>
      </c>
      <c r="BQ149" s="788"/>
      <c r="BR149" s="96" t="s">
        <v>2771</v>
      </c>
      <c r="BS149" s="96" t="str">
        <f t="shared" si="0"/>
        <v>Nettoisierung</v>
      </c>
      <c r="BT149" s="64"/>
    </row>
    <row r="150" spans="1:72" ht="12.75" customHeight="1">
      <c r="A150" s="64" t="s">
        <v>2765</v>
      </c>
      <c r="B150" s="64" t="s">
        <v>3768</v>
      </c>
      <c r="C150" s="64" t="s">
        <v>2440</v>
      </c>
      <c r="D150" s="64" t="s">
        <v>3769</v>
      </c>
      <c r="E150" s="64"/>
      <c r="F150" s="588"/>
      <c r="H150" s="64" t="s">
        <v>2438</v>
      </c>
      <c r="I150" s="64"/>
      <c r="J150" s="64"/>
      <c r="K150" s="787" t="str">
        <f>IF(RisikoFragenUmsatzSanktionsland="YES",JaAntwort,IF(RisikoFragenUmsatzSanktionsland="NO",NeinAntwort,""))</f>
        <v/>
      </c>
      <c r="M150" s="64" t="s">
        <v>2438</v>
      </c>
      <c r="N150" s="64" t="s">
        <v>3768</v>
      </c>
      <c r="O150" s="64"/>
      <c r="P150" s="588" t="s">
        <v>2432</v>
      </c>
      <c r="Q150" s="64" t="str">
        <f>IF(K150=JaAntwort,Referral,Dunkelverarbeitung)</f>
        <v>Dunkelverarbeitung</v>
      </c>
      <c r="R150" s="64"/>
      <c r="S150" s="64"/>
      <c r="T150" s="64"/>
      <c r="U150" s="657"/>
      <c r="V150" s="588" t="s">
        <v>2432</v>
      </c>
      <c r="W150" s="64" t="str">
        <f>IF(K150=JaAntwort,Referral,Dunkelverarbeitung)</f>
        <v>Dunkelverarbeitung</v>
      </c>
      <c r="X150" s="64"/>
      <c r="Y150" s="64"/>
      <c r="Z150" s="64"/>
      <c r="AA150" s="657"/>
      <c r="AB150" s="588" t="s">
        <v>2432</v>
      </c>
      <c r="AC150" s="64" t="str">
        <f>IF(K150=JaAntwort,Referral,Dunkelverarbeitung)</f>
        <v>Dunkelverarbeitung</v>
      </c>
      <c r="AD150" s="64"/>
      <c r="AE150" s="64"/>
      <c r="AF150" s="64"/>
      <c r="AG150" s="657"/>
      <c r="AH150" s="588" t="s">
        <v>2432</v>
      </c>
      <c r="AI150" s="64" t="str">
        <f>IF(K150=JaAntwort,Referral,Dunkelverarbeitung)</f>
        <v>Dunkelverarbeitung</v>
      </c>
      <c r="AJ150" s="64"/>
      <c r="AK150" s="64"/>
      <c r="AL150" s="64"/>
      <c r="AM150" s="95"/>
      <c r="AN150" s="588" t="s">
        <v>2432</v>
      </c>
      <c r="AO150" s="64" t="str">
        <f>IF(K150=JaAntwort,Referral,Dunkelverarbeitung)</f>
        <v>Dunkelverarbeitung</v>
      </c>
      <c r="AP150" s="64"/>
      <c r="AQ150" s="64"/>
      <c r="AR150" s="789" t="str">
        <f>IF(K150=JaAntwort,"Ausschluss_RUS_UKR_BLR:group-3","")</f>
        <v/>
      </c>
      <c r="AS150" s="788"/>
      <c r="AT150" s="657" t="s">
        <v>2432</v>
      </c>
      <c r="AU150" s="64" t="str">
        <f>IF(K150=JaAntwort,Referral,Dunkelverarbeitung)</f>
        <v>Dunkelverarbeitung</v>
      </c>
      <c r="AV150" s="64"/>
      <c r="AW150" s="64"/>
      <c r="AX150" s="64"/>
      <c r="AY150" s="788"/>
      <c r="AZ150" s="657" t="s">
        <v>2432</v>
      </c>
      <c r="BA150" s="657" t="str">
        <f>IF(K150=JaAntwort,Referral,Dunkelverarbeitung)</f>
        <v>Dunkelverarbeitung</v>
      </c>
      <c r="BB150" s="657"/>
      <c r="BC150" s="657"/>
      <c r="BD150" s="657"/>
      <c r="BE150" s="657"/>
      <c r="BF150" s="588" t="s">
        <v>2432</v>
      </c>
      <c r="BG150" s="64" t="str">
        <f>IF(K150=JaAntwort,Referral,Dunkelverarbeitung)</f>
        <v>Dunkelverarbeitung</v>
      </c>
      <c r="BH150" s="64"/>
      <c r="BI150" s="64"/>
      <c r="BJ150" s="64"/>
      <c r="BK150" s="788"/>
      <c r="BL150" s="67" t="s">
        <v>2432</v>
      </c>
      <c r="BM150" s="64" t="str">
        <f>IF(Q150=JaAntwort,Referral,Dunkelverarbeitung)</f>
        <v>Dunkelverarbeitung</v>
      </c>
      <c r="BN150" s="657"/>
      <c r="BO150" s="657"/>
      <c r="BP150" s="657"/>
      <c r="BQ150" s="788"/>
      <c r="BR150" s="96" t="s">
        <v>3770</v>
      </c>
      <c r="BS150" s="96"/>
      <c r="BT150" s="64"/>
    </row>
    <row r="151" spans="1:72" ht="12.75" customHeight="1">
      <c r="A151" s="64" t="s">
        <v>2765</v>
      </c>
      <c r="B151" s="64" t="s">
        <v>4098</v>
      </c>
      <c r="C151" s="64" t="s">
        <v>2766</v>
      </c>
      <c r="D151" s="64" t="s">
        <v>4097</v>
      </c>
      <c r="E151" s="64"/>
      <c r="F151" s="588"/>
      <c r="H151" s="64" t="s">
        <v>4101</v>
      </c>
      <c r="I151" s="64"/>
      <c r="J151" s="64"/>
      <c r="K151" s="787"/>
      <c r="M151" s="64"/>
      <c r="N151" s="64" t="s">
        <v>4101</v>
      </c>
      <c r="O151" s="64"/>
      <c r="P151" s="588"/>
      <c r="Q151" s="64"/>
      <c r="R151" s="64"/>
      <c r="S151" s="64"/>
      <c r="T151" s="64"/>
      <c r="U151" s="657"/>
      <c r="V151" s="588"/>
      <c r="W151" s="64"/>
      <c r="X151" s="64"/>
      <c r="Y151" s="64"/>
      <c r="Z151" s="64"/>
      <c r="AA151" s="657"/>
      <c r="AB151" s="588"/>
      <c r="AC151" s="64"/>
      <c r="AD151" s="64"/>
      <c r="AE151" s="64"/>
      <c r="AF151" s="64"/>
      <c r="AG151" s="657"/>
      <c r="AH151" s="588" t="s">
        <v>2432</v>
      </c>
      <c r="AI151" s="64"/>
      <c r="AJ151" s="64" t="str">
        <f>IF(L151 = "KO_Newline","KO Trigger",Dunkelverarbeitung)</f>
        <v>Dunkelverarbeitung</v>
      </c>
      <c r="AK151" s="64"/>
      <c r="AL151" s="64"/>
      <c r="AM151" s="657"/>
      <c r="AN151" s="588"/>
      <c r="AO151" s="64"/>
      <c r="AP151" s="64"/>
      <c r="AQ151" s="64"/>
      <c r="AR151" s="789"/>
      <c r="AS151" s="657"/>
      <c r="AT151" s="657"/>
      <c r="AU151" s="64"/>
      <c r="AV151" s="64"/>
      <c r="AW151" s="64"/>
      <c r="AX151" s="64"/>
      <c r="AY151" s="657"/>
      <c r="AZ151" s="588" t="s">
        <v>17</v>
      </c>
      <c r="BA151" s="657"/>
      <c r="BB151" s="657"/>
      <c r="BC151" s="657"/>
      <c r="BD151" s="657"/>
      <c r="BE151" s="657"/>
      <c r="BF151" s="588"/>
      <c r="BG151" s="64"/>
      <c r="BH151" s="64"/>
      <c r="BI151" s="64"/>
      <c r="BJ151" s="64"/>
      <c r="BK151" s="788"/>
      <c r="BL151" s="657"/>
      <c r="BM151" s="64"/>
      <c r="BN151" s="657"/>
      <c r="BO151" s="657"/>
      <c r="BP151" s="657"/>
      <c r="BQ151" s="788"/>
      <c r="BR151" s="96"/>
      <c r="BS151" s="96" t="s">
        <v>4099</v>
      </c>
      <c r="BT151" s="64"/>
    </row>
    <row r="152" spans="1:72" ht="12.75" customHeight="1">
      <c r="A152" s="64"/>
      <c r="B152" s="64" t="s">
        <v>2772</v>
      </c>
      <c r="C152" s="64"/>
      <c r="D152" s="128" t="s">
        <v>2773</v>
      </c>
      <c r="E152" s="128"/>
      <c r="F152" s="67"/>
      <c r="G152" s="639"/>
      <c r="H152" s="64"/>
      <c r="I152" s="64"/>
      <c r="J152" s="64"/>
      <c r="K152" s="67"/>
      <c r="L152" s="639"/>
      <c r="M152" s="64"/>
      <c r="N152" s="64"/>
      <c r="O152" s="64"/>
      <c r="P152" s="67"/>
      <c r="Q152" s="64"/>
      <c r="R152" s="64"/>
      <c r="S152" s="64"/>
      <c r="T152" s="64"/>
      <c r="U152" s="64"/>
      <c r="V152" s="67"/>
      <c r="W152" s="64"/>
      <c r="X152" s="64"/>
      <c r="Y152" s="64"/>
      <c r="Z152" s="64"/>
      <c r="AA152" s="64"/>
      <c r="AB152" s="67"/>
      <c r="AC152" s="64"/>
      <c r="AD152" s="64"/>
      <c r="AE152" s="64"/>
      <c r="AF152" s="64"/>
      <c r="AG152" s="64"/>
      <c r="AH152" s="67"/>
      <c r="AI152" s="64"/>
      <c r="AJ152" s="64"/>
      <c r="AK152" s="64"/>
      <c r="AL152" s="64"/>
      <c r="AM152" s="64"/>
      <c r="AN152" s="67"/>
      <c r="AO152" s="64"/>
      <c r="AP152" s="64"/>
      <c r="AQ152" s="64"/>
      <c r="AR152" s="64"/>
      <c r="AS152" s="64"/>
      <c r="AT152" s="64"/>
      <c r="AU152" s="64"/>
      <c r="AV152" s="64"/>
      <c r="AW152" s="64"/>
      <c r="AX152" s="64"/>
      <c r="AY152" s="64"/>
      <c r="AZ152" s="64"/>
      <c r="BA152" s="64"/>
      <c r="BB152" s="64"/>
      <c r="BC152" s="64"/>
      <c r="BD152" s="657"/>
      <c r="BE152" s="657"/>
      <c r="BF152" s="67"/>
      <c r="BG152" s="64"/>
      <c r="BH152" s="64"/>
      <c r="BI152" s="64"/>
      <c r="BJ152" s="64"/>
      <c r="BK152" s="788"/>
      <c r="BL152" s="64"/>
      <c r="BM152" s="64"/>
      <c r="BN152" s="64"/>
      <c r="BO152" s="64"/>
      <c r="BP152" s="64"/>
      <c r="BQ152" s="788"/>
      <c r="BR152" s="69"/>
      <c r="BS152" s="69"/>
      <c r="BT152" s="64"/>
    </row>
    <row r="153" spans="1:72" ht="12.75" customHeight="1">
      <c r="A153" s="64"/>
      <c r="B153" s="64" t="s">
        <v>2772</v>
      </c>
      <c r="C153" s="64"/>
      <c r="D153" s="64" t="s">
        <v>2774</v>
      </c>
      <c r="E153" s="64"/>
      <c r="F153" s="67"/>
      <c r="G153" s="639"/>
      <c r="H153" s="64"/>
      <c r="I153" s="64"/>
      <c r="J153" s="64"/>
      <c r="K153" s="67"/>
      <c r="L153" s="639"/>
      <c r="M153" s="64"/>
      <c r="N153" s="64"/>
      <c r="O153" s="64"/>
      <c r="P153" s="67"/>
      <c r="Q153" s="64"/>
      <c r="R153" s="64"/>
      <c r="S153" s="64"/>
      <c r="T153" s="64"/>
      <c r="U153" s="64"/>
      <c r="V153" s="67"/>
      <c r="W153" s="64"/>
      <c r="X153" s="64"/>
      <c r="Y153" s="64"/>
      <c r="Z153" s="64"/>
      <c r="AA153" s="64"/>
      <c r="AB153" s="67"/>
      <c r="AC153" s="64"/>
      <c r="AD153" s="64"/>
      <c r="AE153" s="64"/>
      <c r="AF153" s="64"/>
      <c r="AG153" s="64"/>
      <c r="AH153" s="67"/>
      <c r="AI153" s="64"/>
      <c r="AJ153" s="64"/>
      <c r="AK153" s="64"/>
      <c r="AL153" s="64"/>
      <c r="AM153" s="64"/>
      <c r="AN153" s="67"/>
      <c r="AO153" s="64"/>
      <c r="AP153" s="64"/>
      <c r="AQ153" s="64"/>
      <c r="AR153" s="64"/>
      <c r="AS153" s="64"/>
      <c r="AT153" s="64"/>
      <c r="AU153" s="64"/>
      <c r="AV153" s="64"/>
      <c r="AW153" s="64"/>
      <c r="AX153" s="64"/>
      <c r="AY153" s="64"/>
      <c r="AZ153" s="64"/>
      <c r="BA153" s="64"/>
      <c r="BB153" s="64"/>
      <c r="BC153" s="64"/>
      <c r="BD153" s="657"/>
      <c r="BE153" s="657"/>
      <c r="BF153" s="67"/>
      <c r="BG153" s="64"/>
      <c r="BH153" s="64"/>
      <c r="BI153" s="64"/>
      <c r="BJ153" s="64"/>
      <c r="BK153" s="788"/>
      <c r="BL153" s="64"/>
      <c r="BM153" s="64"/>
      <c r="BN153" s="64"/>
      <c r="BO153" s="64"/>
      <c r="BP153" s="64"/>
      <c r="BQ153" s="788"/>
      <c r="BR153" s="69"/>
      <c r="BS153" s="69"/>
      <c r="BT153" s="64"/>
    </row>
    <row r="154" spans="1:72" ht="12.75" customHeight="1">
      <c r="A154" s="64"/>
      <c r="B154" s="64" t="s">
        <v>2772</v>
      </c>
      <c r="C154" s="64"/>
      <c r="D154" s="64" t="s">
        <v>2775</v>
      </c>
      <c r="E154" s="64"/>
      <c r="F154" s="67"/>
      <c r="G154" s="639"/>
      <c r="H154" s="64"/>
      <c r="I154" s="64"/>
      <c r="J154" s="64"/>
      <c r="K154" s="67"/>
      <c r="L154" s="639"/>
      <c r="M154" s="64"/>
      <c r="N154" s="64"/>
      <c r="O154" s="64"/>
      <c r="P154" s="67"/>
      <c r="Q154" s="64"/>
      <c r="R154" s="64"/>
      <c r="S154" s="64"/>
      <c r="T154" s="64"/>
      <c r="U154" s="64"/>
      <c r="V154" s="67"/>
      <c r="W154" s="64"/>
      <c r="X154" s="64"/>
      <c r="Y154" s="64"/>
      <c r="Z154" s="64"/>
      <c r="AA154" s="64"/>
      <c r="AB154" s="67"/>
      <c r="AC154" s="64"/>
      <c r="AD154" s="64"/>
      <c r="AE154" s="64"/>
      <c r="AF154" s="64"/>
      <c r="AG154" s="64"/>
      <c r="AH154" s="67"/>
      <c r="AI154" s="64"/>
      <c r="AJ154" s="64"/>
      <c r="AK154" s="64"/>
      <c r="AL154" s="64"/>
      <c r="AM154" s="64"/>
      <c r="AN154" s="67"/>
      <c r="AO154" s="64"/>
      <c r="AP154" s="64"/>
      <c r="AQ154" s="64"/>
      <c r="AR154" s="64"/>
      <c r="AS154" s="64"/>
      <c r="AT154" s="64"/>
      <c r="AU154" s="64"/>
      <c r="AV154" s="64"/>
      <c r="AW154" s="64"/>
      <c r="AX154" s="64"/>
      <c r="AY154" s="64"/>
      <c r="AZ154" s="64"/>
      <c r="BA154" s="64"/>
      <c r="BB154" s="64"/>
      <c r="BC154" s="64"/>
      <c r="BD154" s="657"/>
      <c r="BE154" s="657"/>
      <c r="BF154" s="67"/>
      <c r="BG154" s="64"/>
      <c r="BH154" s="64"/>
      <c r="BI154" s="64"/>
      <c r="BJ154" s="64"/>
      <c r="BK154" s="788"/>
      <c r="BL154" s="64"/>
      <c r="BM154" s="64"/>
      <c r="BN154" s="64"/>
      <c r="BO154" s="64"/>
      <c r="BP154" s="64"/>
      <c r="BQ154" s="788"/>
      <c r="BR154" s="69"/>
      <c r="BS154" s="69"/>
      <c r="BT154" s="64"/>
    </row>
    <row r="155" spans="1:72" ht="12.75" customHeight="1">
      <c r="A155" s="64"/>
      <c r="B155" s="64" t="s">
        <v>2772</v>
      </c>
      <c r="C155" s="64"/>
      <c r="D155" s="64" t="s">
        <v>2776</v>
      </c>
      <c r="E155" s="64"/>
      <c r="F155" s="67"/>
      <c r="G155" s="639"/>
      <c r="H155" s="64"/>
      <c r="I155" s="64"/>
      <c r="J155" s="64"/>
      <c r="K155" s="67"/>
      <c r="L155" s="639"/>
      <c r="M155" s="64"/>
      <c r="N155" s="64"/>
      <c r="O155" s="64"/>
      <c r="P155" s="67"/>
      <c r="Q155" s="64"/>
      <c r="R155" s="64"/>
      <c r="S155" s="64"/>
      <c r="T155" s="64"/>
      <c r="U155" s="64"/>
      <c r="V155" s="67"/>
      <c r="W155" s="64"/>
      <c r="X155" s="64"/>
      <c r="Y155" s="64"/>
      <c r="Z155" s="64"/>
      <c r="AA155" s="64"/>
      <c r="AB155" s="67"/>
      <c r="AC155" s="64"/>
      <c r="AD155" s="64"/>
      <c r="AE155" s="64"/>
      <c r="AF155" s="64"/>
      <c r="AG155" s="64"/>
      <c r="AH155" s="67"/>
      <c r="AI155" s="64"/>
      <c r="AJ155" s="64"/>
      <c r="AK155" s="64"/>
      <c r="AL155" s="64"/>
      <c r="AM155" s="64"/>
      <c r="AN155" s="67"/>
      <c r="AO155" s="64"/>
      <c r="AP155" s="64"/>
      <c r="AQ155" s="64"/>
      <c r="AR155" s="64"/>
      <c r="AS155" s="64"/>
      <c r="AT155" s="64"/>
      <c r="AU155" s="64"/>
      <c r="AV155" s="64"/>
      <c r="AW155" s="64"/>
      <c r="AX155" s="64"/>
      <c r="AY155" s="64"/>
      <c r="AZ155" s="64"/>
      <c r="BA155" s="64"/>
      <c r="BB155" s="64"/>
      <c r="BC155" s="64"/>
      <c r="BD155" s="657"/>
      <c r="BE155" s="657"/>
      <c r="BF155" s="67"/>
      <c r="BG155" s="64"/>
      <c r="BH155" s="64"/>
      <c r="BI155" s="64"/>
      <c r="BJ155" s="64"/>
      <c r="BK155" s="788"/>
      <c r="BL155" s="64"/>
      <c r="BM155" s="64"/>
      <c r="BN155" s="64"/>
      <c r="BO155" s="64"/>
      <c r="BP155" s="64"/>
      <c r="BQ155" s="788"/>
      <c r="BR155" s="69"/>
      <c r="BS155" s="69"/>
      <c r="BT155" s="64"/>
    </row>
    <row r="156" spans="1:72" ht="12.75" customHeight="1">
      <c r="A156" s="64"/>
      <c r="B156" s="64" t="s">
        <v>2772</v>
      </c>
      <c r="C156" s="64"/>
      <c r="D156" s="64" t="s">
        <v>2777</v>
      </c>
      <c r="E156" s="64"/>
      <c r="F156" s="67"/>
      <c r="G156" s="639"/>
      <c r="H156" s="64"/>
      <c r="I156" s="64"/>
      <c r="J156" s="64"/>
      <c r="K156" s="67"/>
      <c r="L156" s="639"/>
      <c r="M156" s="64"/>
      <c r="N156" s="64"/>
      <c r="O156" s="64"/>
      <c r="P156" s="67"/>
      <c r="Q156" s="64"/>
      <c r="R156" s="64"/>
      <c r="S156" s="64"/>
      <c r="T156" s="64"/>
      <c r="U156" s="64"/>
      <c r="V156" s="67"/>
      <c r="W156" s="64"/>
      <c r="X156" s="64"/>
      <c r="Y156" s="64"/>
      <c r="Z156" s="64"/>
      <c r="AA156" s="64"/>
      <c r="AB156" s="67"/>
      <c r="AC156" s="64"/>
      <c r="AD156" s="64"/>
      <c r="AE156" s="64"/>
      <c r="AF156" s="64"/>
      <c r="AG156" s="64"/>
      <c r="AH156" s="67"/>
      <c r="AI156" s="64"/>
      <c r="AJ156" s="64"/>
      <c r="AK156" s="64"/>
      <c r="AL156" s="64"/>
      <c r="AM156" s="64"/>
      <c r="AN156" s="67"/>
      <c r="AO156" s="64"/>
      <c r="AP156" s="64"/>
      <c r="AQ156" s="64"/>
      <c r="AR156" s="64"/>
      <c r="AS156" s="64"/>
      <c r="AT156" s="64"/>
      <c r="AU156" s="64"/>
      <c r="AV156" s="64"/>
      <c r="AW156" s="64"/>
      <c r="AX156" s="64"/>
      <c r="AY156" s="64"/>
      <c r="AZ156" s="64"/>
      <c r="BA156" s="64"/>
      <c r="BB156" s="64"/>
      <c r="BC156" s="64"/>
      <c r="BD156" s="657"/>
      <c r="BE156" s="657"/>
      <c r="BF156" s="67"/>
      <c r="BG156" s="64"/>
      <c r="BH156" s="64"/>
      <c r="BI156" s="64"/>
      <c r="BJ156" s="64"/>
      <c r="BK156" s="788"/>
      <c r="BL156" s="64"/>
      <c r="BM156" s="64"/>
      <c r="BN156" s="64"/>
      <c r="BO156" s="64"/>
      <c r="BP156" s="64"/>
      <c r="BQ156" s="788"/>
      <c r="BR156" s="69"/>
      <c r="BS156" s="69"/>
      <c r="BT156" s="64"/>
    </row>
    <row r="157" spans="1:72" ht="12.75" customHeight="1">
      <c r="A157" s="64"/>
      <c r="B157" s="64" t="s">
        <v>2772</v>
      </c>
      <c r="C157" s="64"/>
      <c r="D157" s="64" t="s">
        <v>2778</v>
      </c>
      <c r="E157" s="64"/>
      <c r="F157" s="129" t="str">
        <f>'Sterne-Rechner - GI'!AO4</f>
        <v/>
      </c>
      <c r="G157" s="639"/>
      <c r="H157" s="64"/>
      <c r="I157" s="64"/>
      <c r="J157" s="64"/>
      <c r="K157" s="67"/>
      <c r="L157" s="639"/>
      <c r="M157" s="64"/>
      <c r="N157" s="64"/>
      <c r="O157" s="64"/>
      <c r="P157" s="67"/>
      <c r="Q157" s="64"/>
      <c r="R157" s="64"/>
      <c r="S157" s="64"/>
      <c r="T157" s="64"/>
      <c r="U157" s="64"/>
      <c r="V157" s="67"/>
      <c r="W157" s="64"/>
      <c r="X157" s="64"/>
      <c r="Y157" s="64"/>
      <c r="Z157" s="64"/>
      <c r="AA157" s="64"/>
      <c r="AB157" s="67"/>
      <c r="AC157" s="64"/>
      <c r="AD157" s="64"/>
      <c r="AE157" s="64"/>
      <c r="AF157" s="64"/>
      <c r="AG157" s="64"/>
      <c r="AH157" s="67"/>
      <c r="AI157" s="64"/>
      <c r="AJ157" s="64"/>
      <c r="AK157" s="64"/>
      <c r="AL157" s="64"/>
      <c r="AM157" s="64"/>
      <c r="AN157" s="67"/>
      <c r="AO157" s="64"/>
      <c r="AP157" s="64"/>
      <c r="AQ157" s="64"/>
      <c r="AR157" s="64"/>
      <c r="AS157" s="64"/>
      <c r="AT157" s="64"/>
      <c r="AU157" s="64"/>
      <c r="AV157" s="64"/>
      <c r="AW157" s="64"/>
      <c r="AX157" s="64"/>
      <c r="AY157" s="64"/>
      <c r="AZ157" s="64"/>
      <c r="BA157" s="64"/>
      <c r="BB157" s="64"/>
      <c r="BC157" s="64"/>
      <c r="BD157" s="657"/>
      <c r="BE157" s="657"/>
      <c r="BF157" s="67"/>
      <c r="BG157" s="64"/>
      <c r="BH157" s="64"/>
      <c r="BI157" s="64"/>
      <c r="BJ157" s="64"/>
      <c r="BK157" s="788"/>
      <c r="BL157" s="64"/>
      <c r="BM157" s="64"/>
      <c r="BN157" s="64"/>
      <c r="BO157" s="64"/>
      <c r="BP157" s="64"/>
      <c r="BQ157" s="788"/>
      <c r="BR157" s="69"/>
      <c r="BS157" s="69"/>
      <c r="BT157" s="64"/>
    </row>
    <row r="158" spans="1:72" ht="12.75" customHeight="1">
      <c r="A158" s="64"/>
      <c r="B158" s="64" t="s">
        <v>2772</v>
      </c>
      <c r="C158" s="64"/>
      <c r="D158" s="64" t="s">
        <v>2779</v>
      </c>
      <c r="E158" s="64"/>
      <c r="F158" s="129" t="str">
        <f>'Sterne-Rechner - GI'!AP5</f>
        <v/>
      </c>
      <c r="G158" s="639"/>
      <c r="H158" s="64"/>
      <c r="I158" s="64"/>
      <c r="J158" s="64"/>
      <c r="K158" s="67"/>
      <c r="L158" s="639"/>
      <c r="M158" s="64"/>
      <c r="N158" s="64"/>
      <c r="O158" s="64"/>
      <c r="P158" s="67"/>
      <c r="Q158" s="64"/>
      <c r="R158" s="64"/>
      <c r="S158" s="64"/>
      <c r="T158" s="64"/>
      <c r="U158" s="64"/>
      <c r="V158" s="67"/>
      <c r="W158" s="64"/>
      <c r="X158" s="64"/>
      <c r="Y158" s="64"/>
      <c r="Z158" s="64"/>
      <c r="AA158" s="64"/>
      <c r="AB158" s="67"/>
      <c r="AC158" s="64"/>
      <c r="AD158" s="64"/>
      <c r="AE158" s="64"/>
      <c r="AF158" s="64"/>
      <c r="AG158" s="64"/>
      <c r="AH158" s="67"/>
      <c r="AI158" s="64"/>
      <c r="AJ158" s="64"/>
      <c r="AK158" s="64"/>
      <c r="AL158" s="64"/>
      <c r="AM158" s="64"/>
      <c r="AN158" s="67"/>
      <c r="AO158" s="64"/>
      <c r="AP158" s="64"/>
      <c r="AQ158" s="64"/>
      <c r="AR158" s="64"/>
      <c r="AS158" s="64"/>
      <c r="AT158" s="64"/>
      <c r="AU158" s="64"/>
      <c r="AV158" s="64"/>
      <c r="AW158" s="64"/>
      <c r="AX158" s="64"/>
      <c r="AY158" s="64"/>
      <c r="AZ158" s="64"/>
      <c r="BA158" s="64"/>
      <c r="BB158" s="64"/>
      <c r="BC158" s="64"/>
      <c r="BD158" s="657"/>
      <c r="BE158" s="657"/>
      <c r="BF158" s="67"/>
      <c r="BG158" s="64"/>
      <c r="BH158" s="64"/>
      <c r="BI158" s="64"/>
      <c r="BJ158" s="64"/>
      <c r="BK158" s="788"/>
      <c r="BL158" s="64"/>
      <c r="BM158" s="64"/>
      <c r="BN158" s="64"/>
      <c r="BO158" s="64"/>
      <c r="BP158" s="64"/>
      <c r="BQ158" s="788"/>
      <c r="BR158" s="69"/>
      <c r="BS158" s="69"/>
      <c r="BT158" s="64"/>
    </row>
    <row r="159" spans="1:72" ht="12.75" customHeight="1">
      <c r="A159" s="64"/>
      <c r="B159" s="64" t="s">
        <v>2772</v>
      </c>
      <c r="C159" s="64"/>
      <c r="D159" s="64" t="s">
        <v>2780</v>
      </c>
      <c r="E159" s="64"/>
      <c r="F159" s="129" t="str">
        <f>'Sterne-Rechner - GI'!AQ6</f>
        <v/>
      </c>
      <c r="G159" s="639"/>
      <c r="H159" s="64"/>
      <c r="I159" s="64"/>
      <c r="J159" s="64"/>
      <c r="K159" s="67"/>
      <c r="L159" s="639"/>
      <c r="M159" s="64"/>
      <c r="N159" s="64"/>
      <c r="O159" s="64"/>
      <c r="P159" s="67"/>
      <c r="Q159" s="64"/>
      <c r="R159" s="64"/>
      <c r="S159" s="64"/>
      <c r="T159" s="64"/>
      <c r="U159" s="64"/>
      <c r="V159" s="67"/>
      <c r="W159" s="64"/>
      <c r="X159" s="64"/>
      <c r="Y159" s="64"/>
      <c r="Z159" s="64"/>
      <c r="AA159" s="64"/>
      <c r="AB159" s="67"/>
      <c r="AC159" s="64"/>
      <c r="AD159" s="64"/>
      <c r="AE159" s="64"/>
      <c r="AF159" s="64"/>
      <c r="AG159" s="64"/>
      <c r="AH159" s="67"/>
      <c r="AI159" s="64"/>
      <c r="AJ159" s="64"/>
      <c r="AK159" s="64"/>
      <c r="AL159" s="64"/>
      <c r="AM159" s="64"/>
      <c r="AN159" s="67"/>
      <c r="AO159" s="64"/>
      <c r="AP159" s="64"/>
      <c r="AQ159" s="64"/>
      <c r="AR159" s="64"/>
      <c r="AS159" s="64"/>
      <c r="AT159" s="64"/>
      <c r="AU159" s="64"/>
      <c r="AV159" s="64"/>
      <c r="AW159" s="64"/>
      <c r="AX159" s="64"/>
      <c r="AY159" s="64"/>
      <c r="AZ159" s="64"/>
      <c r="BA159" s="64"/>
      <c r="BB159" s="64"/>
      <c r="BC159" s="64"/>
      <c r="BD159" s="657"/>
      <c r="BE159" s="657"/>
      <c r="BF159" s="67"/>
      <c r="BG159" s="64"/>
      <c r="BH159" s="64"/>
      <c r="BI159" s="64"/>
      <c r="BJ159" s="64"/>
      <c r="BK159" s="788"/>
      <c r="BL159" s="64"/>
      <c r="BM159" s="64"/>
      <c r="BN159" s="64"/>
      <c r="BO159" s="64"/>
      <c r="BP159" s="64"/>
      <c r="BQ159" s="788"/>
      <c r="BR159" s="69"/>
      <c r="BS159" s="69"/>
      <c r="BT159" s="64"/>
    </row>
    <row r="160" spans="1:72" ht="12.75" customHeight="1">
      <c r="A160" s="64"/>
      <c r="B160" s="64" t="s">
        <v>2772</v>
      </c>
      <c r="C160" s="64"/>
      <c r="D160" s="64" t="s">
        <v>2781</v>
      </c>
      <c r="E160" s="64"/>
      <c r="F160" s="67"/>
      <c r="G160" s="640"/>
      <c r="H160" s="64"/>
      <c r="I160" s="64"/>
      <c r="J160" s="64"/>
      <c r="K160" s="129" t="str">
        <f ca="1">'Sterne-Rechner - Angebot'!Y4</f>
        <v/>
      </c>
      <c r="L160" s="640"/>
      <c r="M160" s="64"/>
      <c r="N160" s="64"/>
      <c r="O160" s="64"/>
      <c r="P160" s="67"/>
      <c r="Q160" s="64"/>
      <c r="R160" s="64"/>
      <c r="S160" s="64"/>
      <c r="T160" s="64"/>
      <c r="U160" s="64"/>
      <c r="V160" s="67"/>
      <c r="W160" s="64"/>
      <c r="X160" s="64"/>
      <c r="Y160" s="64"/>
      <c r="Z160" s="64"/>
      <c r="AA160" s="64"/>
      <c r="AB160" s="67"/>
      <c r="AC160" s="64"/>
      <c r="AD160" s="64"/>
      <c r="AE160" s="64"/>
      <c r="AF160" s="64"/>
      <c r="AG160" s="64"/>
      <c r="AH160" s="67"/>
      <c r="AI160" s="64"/>
      <c r="AJ160" s="64"/>
      <c r="AK160" s="64"/>
      <c r="AL160" s="64"/>
      <c r="AM160" s="64"/>
      <c r="AN160" s="67"/>
      <c r="AO160" s="64"/>
      <c r="AP160" s="64"/>
      <c r="AQ160" s="64"/>
      <c r="AR160" s="64"/>
      <c r="AS160" s="64"/>
      <c r="AT160" s="64"/>
      <c r="AU160" s="64"/>
      <c r="AV160" s="64"/>
      <c r="AW160" s="64"/>
      <c r="AX160" s="64"/>
      <c r="AY160" s="64"/>
      <c r="AZ160" s="64"/>
      <c r="BA160" s="64"/>
      <c r="BB160" s="64"/>
      <c r="BC160" s="64"/>
      <c r="BD160" s="657"/>
      <c r="BE160" s="657"/>
      <c r="BF160" s="67"/>
      <c r="BG160" s="64"/>
      <c r="BH160" s="64"/>
      <c r="BI160" s="64"/>
      <c r="BJ160" s="64"/>
      <c r="BK160" s="788"/>
      <c r="BL160" s="64"/>
      <c r="BM160" s="64"/>
      <c r="BN160" s="64"/>
      <c r="BO160" s="64"/>
      <c r="BP160" s="64"/>
      <c r="BQ160" s="788"/>
      <c r="BR160" s="69"/>
      <c r="BS160" s="69"/>
      <c r="BT160" s="64"/>
    </row>
    <row r="161" spans="1:72" ht="12.75" customHeight="1">
      <c r="A161" s="64"/>
      <c r="B161" s="64" t="s">
        <v>2772</v>
      </c>
      <c r="C161" s="64"/>
      <c r="D161" s="64" t="s">
        <v>2782</v>
      </c>
      <c r="E161" s="64"/>
      <c r="F161" s="67"/>
      <c r="G161" s="640"/>
      <c r="H161" s="64"/>
      <c r="I161" s="64"/>
      <c r="J161" s="64"/>
      <c r="K161" s="129" t="str">
        <f ca="1">'Sterne-Rechner - Angebot'!Y5</f>
        <v/>
      </c>
      <c r="L161" s="640"/>
      <c r="M161" s="64"/>
      <c r="N161" s="64"/>
      <c r="O161" s="64"/>
      <c r="P161" s="67"/>
      <c r="Q161" s="64"/>
      <c r="R161" s="64"/>
      <c r="S161" s="64"/>
      <c r="T161" s="64"/>
      <c r="U161" s="64"/>
      <c r="V161" s="67"/>
      <c r="W161" s="64"/>
      <c r="X161" s="64"/>
      <c r="Y161" s="64"/>
      <c r="Z161" s="64"/>
      <c r="AA161" s="64"/>
      <c r="AB161" s="67"/>
      <c r="AC161" s="64"/>
      <c r="AD161" s="64"/>
      <c r="AE161" s="64"/>
      <c r="AF161" s="64"/>
      <c r="AG161" s="64"/>
      <c r="AH161" s="67"/>
      <c r="AI161" s="64"/>
      <c r="AJ161" s="64"/>
      <c r="AK161" s="64"/>
      <c r="AL161" s="64"/>
      <c r="AM161" s="64"/>
      <c r="AN161" s="67"/>
      <c r="AO161" s="64"/>
      <c r="AP161" s="64"/>
      <c r="AQ161" s="64"/>
      <c r="AR161" s="64"/>
      <c r="AS161" s="64"/>
      <c r="AT161" s="64"/>
      <c r="AU161" s="64"/>
      <c r="AV161" s="64"/>
      <c r="AW161" s="64"/>
      <c r="AX161" s="64"/>
      <c r="AY161" s="64"/>
      <c r="AZ161" s="64"/>
      <c r="BA161" s="64"/>
      <c r="BB161" s="64"/>
      <c r="BC161" s="64"/>
      <c r="BD161" s="657"/>
      <c r="BE161" s="657"/>
      <c r="BF161" s="67"/>
      <c r="BG161" s="64"/>
      <c r="BH161" s="64"/>
      <c r="BI161" s="64"/>
      <c r="BJ161" s="64"/>
      <c r="BK161" s="788"/>
      <c r="BL161" s="64"/>
      <c r="BM161" s="64"/>
      <c r="BN161" s="64"/>
      <c r="BO161" s="64"/>
      <c r="BP161" s="64"/>
      <c r="BQ161" s="788"/>
      <c r="BR161" s="69"/>
      <c r="BS161" s="69"/>
      <c r="BT161" s="64"/>
    </row>
    <row r="162" spans="1:72" ht="12.75" customHeight="1">
      <c r="A162" s="64"/>
      <c r="B162" s="64" t="s">
        <v>2772</v>
      </c>
      <c r="C162" s="64"/>
      <c r="D162" s="64" t="s">
        <v>2783</v>
      </c>
      <c r="E162" s="64"/>
      <c r="F162" s="67"/>
      <c r="G162" s="640"/>
      <c r="H162" s="64"/>
      <c r="I162" s="64"/>
      <c r="J162" s="64"/>
      <c r="K162" s="129" t="str">
        <f ca="1">'Sterne-Rechner - Angebot'!Y6</f>
        <v/>
      </c>
      <c r="L162" s="640"/>
      <c r="M162" s="64"/>
      <c r="N162" s="64"/>
      <c r="O162" s="64"/>
      <c r="P162" s="67"/>
      <c r="Q162" s="64"/>
      <c r="R162" s="64"/>
      <c r="S162" s="64"/>
      <c r="T162" s="64"/>
      <c r="U162" s="64"/>
      <c r="V162" s="67"/>
      <c r="W162" s="64"/>
      <c r="X162" s="64"/>
      <c r="Y162" s="64"/>
      <c r="Z162" s="64"/>
      <c r="AA162" s="64"/>
      <c r="AB162" s="67"/>
      <c r="AC162" s="64"/>
      <c r="AD162" s="64"/>
      <c r="AE162" s="64"/>
      <c r="AF162" s="64"/>
      <c r="AG162" s="64"/>
      <c r="AH162" s="67"/>
      <c r="AI162" s="64"/>
      <c r="AJ162" s="64"/>
      <c r="AK162" s="64"/>
      <c r="AL162" s="64"/>
      <c r="AM162" s="64"/>
      <c r="AN162" s="67"/>
      <c r="AO162" s="64"/>
      <c r="AP162" s="64"/>
      <c r="AQ162" s="64"/>
      <c r="AR162" s="64"/>
      <c r="AS162" s="64"/>
      <c r="AT162" s="64"/>
      <c r="AU162" s="64"/>
      <c r="AV162" s="64"/>
      <c r="AW162" s="64"/>
      <c r="AX162" s="64"/>
      <c r="AY162" s="64"/>
      <c r="AZ162" s="64"/>
      <c r="BA162" s="64"/>
      <c r="BB162" s="64"/>
      <c r="BC162" s="64"/>
      <c r="BD162" s="657"/>
      <c r="BE162" s="657"/>
      <c r="BF162" s="67"/>
      <c r="BG162" s="64"/>
      <c r="BH162" s="64"/>
      <c r="BI162" s="64"/>
      <c r="BJ162" s="64"/>
      <c r="BK162" s="788"/>
      <c r="BL162" s="64"/>
      <c r="BM162" s="64"/>
      <c r="BN162" s="64"/>
      <c r="BO162" s="64"/>
      <c r="BP162" s="64"/>
      <c r="BQ162" s="788"/>
      <c r="BR162" s="69"/>
      <c r="BS162" s="69"/>
      <c r="BT162" s="64"/>
    </row>
    <row r="163" spans="1:72" ht="12.75" customHeight="1">
      <c r="A163" s="64"/>
      <c r="B163" s="64" t="s">
        <v>2772</v>
      </c>
      <c r="C163" s="64"/>
      <c r="D163" s="64" t="s">
        <v>2784</v>
      </c>
      <c r="E163" s="64"/>
      <c r="F163" s="130" t="str">
        <f>'Sterne-Rechner - GI'!AS4</f>
        <v/>
      </c>
      <c r="G163" s="639"/>
      <c r="H163" s="131"/>
      <c r="I163" s="64"/>
      <c r="J163" s="64"/>
      <c r="K163" s="67"/>
      <c r="L163" s="639"/>
      <c r="M163" s="131"/>
      <c r="N163" s="64"/>
      <c r="O163" s="64"/>
      <c r="P163" s="67"/>
      <c r="Q163" s="64"/>
      <c r="R163" s="64"/>
      <c r="S163" s="64"/>
      <c r="T163" s="64"/>
      <c r="U163" s="64"/>
      <c r="V163" s="67"/>
      <c r="W163" s="64"/>
      <c r="X163" s="64"/>
      <c r="Y163" s="64"/>
      <c r="Z163" s="64"/>
      <c r="AA163" s="64"/>
      <c r="AB163" s="67"/>
      <c r="AC163" s="64"/>
      <c r="AD163" s="64"/>
      <c r="AE163" s="64"/>
      <c r="AF163" s="64"/>
      <c r="AG163" s="64"/>
      <c r="AH163" s="67"/>
      <c r="AI163" s="64"/>
      <c r="AJ163" s="64"/>
      <c r="AK163" s="64"/>
      <c r="AL163" s="64"/>
      <c r="AM163" s="64"/>
      <c r="AN163" s="67"/>
      <c r="AO163" s="64"/>
      <c r="AP163" s="64"/>
      <c r="AQ163" s="64"/>
      <c r="AR163" s="64"/>
      <c r="AS163" s="64"/>
      <c r="AT163" s="64"/>
      <c r="AU163" s="64"/>
      <c r="AV163" s="64"/>
      <c r="AW163" s="64"/>
      <c r="AX163" s="64"/>
      <c r="AY163" s="64"/>
      <c r="AZ163" s="64"/>
      <c r="BA163" s="64"/>
      <c r="BB163" s="64"/>
      <c r="BC163" s="64"/>
      <c r="BD163" s="657"/>
      <c r="BE163" s="657"/>
      <c r="BF163" s="67"/>
      <c r="BG163" s="64"/>
      <c r="BH163" s="64"/>
      <c r="BI163" s="64"/>
      <c r="BJ163" s="64"/>
      <c r="BK163" s="788"/>
      <c r="BL163" s="64"/>
      <c r="BM163" s="64"/>
      <c r="BN163" s="64"/>
      <c r="BO163" s="64"/>
      <c r="BP163" s="64"/>
      <c r="BQ163" s="788"/>
      <c r="BR163" s="69"/>
      <c r="BS163" s="69"/>
      <c r="BT163" s="64"/>
    </row>
    <row r="164" spans="1:72" ht="12.75" customHeight="1">
      <c r="A164" s="64"/>
      <c r="B164" s="64" t="s">
        <v>2772</v>
      </c>
      <c r="C164" s="64"/>
      <c r="D164" s="64" t="s">
        <v>2785</v>
      </c>
      <c r="E164" s="64"/>
      <c r="F164" s="130" t="str">
        <f>'Sterne-Rechner - GI'!AS5</f>
        <v/>
      </c>
      <c r="G164" s="639"/>
      <c r="H164" s="131"/>
      <c r="I164" s="64"/>
      <c r="J164" s="64"/>
      <c r="K164" s="67"/>
      <c r="L164" s="639"/>
      <c r="M164" s="131"/>
      <c r="N164" s="64"/>
      <c r="O164" s="64"/>
      <c r="P164" s="67"/>
      <c r="Q164" s="64"/>
      <c r="R164" s="64"/>
      <c r="S164" s="64"/>
      <c r="T164" s="64"/>
      <c r="U164" s="64"/>
      <c r="V164" s="67"/>
      <c r="W164" s="64"/>
      <c r="X164" s="64"/>
      <c r="Y164" s="64"/>
      <c r="Z164" s="64"/>
      <c r="AA164" s="64"/>
      <c r="AB164" s="67"/>
      <c r="AC164" s="64"/>
      <c r="AD164" s="64"/>
      <c r="AE164" s="64"/>
      <c r="AF164" s="64"/>
      <c r="AG164" s="64"/>
      <c r="AH164" s="67"/>
      <c r="AI164" s="64"/>
      <c r="AJ164" s="64"/>
      <c r="AK164" s="64"/>
      <c r="AL164" s="64"/>
      <c r="AM164" s="64"/>
      <c r="AN164" s="67"/>
      <c r="AO164" s="64"/>
      <c r="AP164" s="64"/>
      <c r="AQ164" s="64"/>
      <c r="AR164" s="64"/>
      <c r="AS164" s="64"/>
      <c r="AT164" s="64"/>
      <c r="AU164" s="64"/>
      <c r="AV164" s="64"/>
      <c r="AW164" s="64"/>
      <c r="AX164" s="64"/>
      <c r="AY164" s="64"/>
      <c r="AZ164" s="64"/>
      <c r="BA164" s="64"/>
      <c r="BB164" s="64"/>
      <c r="BC164" s="64"/>
      <c r="BD164" s="657"/>
      <c r="BE164" s="657"/>
      <c r="BF164" s="67"/>
      <c r="BG164" s="64"/>
      <c r="BH164" s="64"/>
      <c r="BI164" s="64"/>
      <c r="BJ164" s="64"/>
      <c r="BK164" s="788"/>
      <c r="BL164" s="64"/>
      <c r="BM164" s="64"/>
      <c r="BN164" s="64"/>
      <c r="BO164" s="64"/>
      <c r="BP164" s="64"/>
      <c r="BQ164" s="788"/>
      <c r="BR164" s="69"/>
      <c r="BS164" s="69"/>
      <c r="BT164" s="64"/>
    </row>
    <row r="165" spans="1:72" ht="12.75" customHeight="1">
      <c r="A165" s="64"/>
      <c r="B165" s="64" t="s">
        <v>2772</v>
      </c>
      <c r="C165" s="64"/>
      <c r="D165" s="64" t="s">
        <v>2786</v>
      </c>
      <c r="E165" s="64"/>
      <c r="F165" s="130" t="str">
        <f>'Sterne-Rechner - GI'!AS6</f>
        <v/>
      </c>
      <c r="G165" s="639"/>
      <c r="H165" s="131"/>
      <c r="I165" s="64"/>
      <c r="J165" s="64"/>
      <c r="K165" s="67"/>
      <c r="L165" s="639"/>
      <c r="M165" s="131"/>
      <c r="N165" s="64"/>
      <c r="O165" s="64"/>
      <c r="P165" s="67"/>
      <c r="Q165" s="64"/>
      <c r="R165" s="64"/>
      <c r="S165" s="64"/>
      <c r="T165" s="64"/>
      <c r="U165" s="64"/>
      <c r="V165" s="67"/>
      <c r="W165" s="64"/>
      <c r="X165" s="64"/>
      <c r="Y165" s="64"/>
      <c r="Z165" s="64"/>
      <c r="AA165" s="64"/>
      <c r="AB165" s="67"/>
      <c r="AC165" s="64"/>
      <c r="AD165" s="64"/>
      <c r="AE165" s="64"/>
      <c r="AF165" s="64"/>
      <c r="AG165" s="64"/>
      <c r="AH165" s="67"/>
      <c r="AI165" s="64"/>
      <c r="AJ165" s="64"/>
      <c r="AK165" s="64"/>
      <c r="AL165" s="64"/>
      <c r="AM165" s="64"/>
      <c r="AN165" s="67"/>
      <c r="AO165" s="64"/>
      <c r="AP165" s="64"/>
      <c r="AQ165" s="64"/>
      <c r="AR165" s="64"/>
      <c r="AS165" s="64"/>
      <c r="AT165" s="64"/>
      <c r="AU165" s="64"/>
      <c r="AV165" s="64"/>
      <c r="AW165" s="64"/>
      <c r="AX165" s="64"/>
      <c r="AY165" s="64"/>
      <c r="AZ165" s="64"/>
      <c r="BA165" s="64"/>
      <c r="BB165" s="64"/>
      <c r="BC165" s="64"/>
      <c r="BD165" s="657"/>
      <c r="BE165" s="657"/>
      <c r="BF165" s="67"/>
      <c r="BG165" s="64"/>
      <c r="BH165" s="64"/>
      <c r="BI165" s="64"/>
      <c r="BJ165" s="64"/>
      <c r="BK165" s="788"/>
      <c r="BL165" s="64"/>
      <c r="BM165" s="64"/>
      <c r="BN165" s="64"/>
      <c r="BO165" s="64"/>
      <c r="BP165" s="64"/>
      <c r="BQ165" s="788"/>
      <c r="BR165" s="69"/>
      <c r="BS165" s="69"/>
      <c r="BT165" s="64"/>
    </row>
    <row r="166" spans="1:72" ht="12.75" customHeight="1">
      <c r="A166" s="64"/>
      <c r="B166" s="64" t="s">
        <v>2772</v>
      </c>
      <c r="C166" s="64"/>
      <c r="D166" s="64" t="s">
        <v>2787</v>
      </c>
      <c r="E166" s="64"/>
      <c r="F166" s="67"/>
      <c r="G166" s="640"/>
      <c r="H166" s="64"/>
      <c r="I166" s="64"/>
      <c r="J166" s="64"/>
      <c r="K166" s="130" t="str">
        <f>'Sterne-Rechner - Angebot'!N4</f>
        <v/>
      </c>
      <c r="L166" s="640"/>
      <c r="M166" s="64"/>
      <c r="N166" s="64"/>
      <c r="O166" s="64"/>
      <c r="P166" s="67"/>
      <c r="Q166" s="64"/>
      <c r="R166" s="64"/>
      <c r="S166" s="64"/>
      <c r="T166" s="64"/>
      <c r="U166" s="64"/>
      <c r="V166" s="67"/>
      <c r="W166" s="64"/>
      <c r="X166" s="64"/>
      <c r="Y166" s="64"/>
      <c r="Z166" s="64"/>
      <c r="AA166" s="64"/>
      <c r="AB166" s="67"/>
      <c r="AC166" s="64"/>
      <c r="AD166" s="64"/>
      <c r="AE166" s="64"/>
      <c r="AF166" s="64"/>
      <c r="AG166" s="64"/>
      <c r="AH166" s="67"/>
      <c r="AI166" s="64"/>
      <c r="AJ166" s="64"/>
      <c r="AK166" s="64"/>
      <c r="AL166" s="64"/>
      <c r="AM166" s="64"/>
      <c r="AN166" s="67"/>
      <c r="AO166" s="64"/>
      <c r="AP166" s="64"/>
      <c r="AQ166" s="64"/>
      <c r="AR166" s="64"/>
      <c r="AS166" s="64"/>
      <c r="AT166" s="64"/>
      <c r="AU166" s="64"/>
      <c r="AV166" s="64"/>
      <c r="AW166" s="64"/>
      <c r="AX166" s="64"/>
      <c r="AY166" s="64"/>
      <c r="AZ166" s="64"/>
      <c r="BA166" s="64"/>
      <c r="BB166" s="64"/>
      <c r="BC166" s="64"/>
      <c r="BD166" s="657"/>
      <c r="BE166" s="657"/>
      <c r="BF166" s="67"/>
      <c r="BG166" s="64"/>
      <c r="BH166" s="64"/>
      <c r="BI166" s="64"/>
      <c r="BJ166" s="64"/>
      <c r="BK166" s="788"/>
      <c r="BL166" s="64"/>
      <c r="BM166" s="64"/>
      <c r="BN166" s="64"/>
      <c r="BO166" s="64"/>
      <c r="BP166" s="64"/>
      <c r="BQ166" s="788"/>
      <c r="BR166" s="69"/>
      <c r="BS166" s="69"/>
      <c r="BT166" s="64"/>
    </row>
    <row r="167" spans="1:72" ht="12.75" customHeight="1">
      <c r="A167" s="64"/>
      <c r="B167" s="64" t="s">
        <v>2772</v>
      </c>
      <c r="C167" s="64"/>
      <c r="D167" s="64" t="s">
        <v>2788</v>
      </c>
      <c r="E167" s="64"/>
      <c r="F167" s="67"/>
      <c r="G167" s="640"/>
      <c r="H167" s="132"/>
      <c r="I167" s="64"/>
      <c r="J167" s="64"/>
      <c r="K167" s="130" t="str">
        <f>'Sterne-Rechner - Angebot'!N5</f>
        <v/>
      </c>
      <c r="L167" s="640"/>
      <c r="M167" s="132"/>
      <c r="N167" s="64"/>
      <c r="O167" s="64"/>
      <c r="P167" s="67"/>
      <c r="Q167" s="64"/>
      <c r="R167" s="64"/>
      <c r="S167" s="64"/>
      <c r="T167" s="64"/>
      <c r="U167" s="64"/>
      <c r="V167" s="67"/>
      <c r="W167" s="64"/>
      <c r="X167" s="64"/>
      <c r="Y167" s="64"/>
      <c r="Z167" s="64"/>
      <c r="AA167" s="64"/>
      <c r="AB167" s="67"/>
      <c r="AC167" s="64"/>
      <c r="AD167" s="64"/>
      <c r="AE167" s="64"/>
      <c r="AF167" s="64"/>
      <c r="AG167" s="64"/>
      <c r="AH167" s="67"/>
      <c r="AI167" s="64"/>
      <c r="AJ167" s="64"/>
      <c r="AK167" s="64"/>
      <c r="AL167" s="64"/>
      <c r="AM167" s="64"/>
      <c r="AN167" s="67"/>
      <c r="AO167" s="64"/>
      <c r="AP167" s="64"/>
      <c r="AQ167" s="64"/>
      <c r="AR167" s="64"/>
      <c r="AS167" s="64"/>
      <c r="AT167" s="64"/>
      <c r="AU167" s="64"/>
      <c r="AV167" s="64"/>
      <c r="AW167" s="64"/>
      <c r="AX167" s="64"/>
      <c r="AY167" s="64"/>
      <c r="AZ167" s="64"/>
      <c r="BA167" s="64"/>
      <c r="BB167" s="64"/>
      <c r="BC167" s="64"/>
      <c r="BD167" s="657"/>
      <c r="BE167" s="657"/>
      <c r="BF167" s="67"/>
      <c r="BG167" s="64"/>
      <c r="BH167" s="64"/>
      <c r="BI167" s="64"/>
      <c r="BJ167" s="64"/>
      <c r="BK167" s="788"/>
      <c r="BL167" s="64"/>
      <c r="BM167" s="64"/>
      <c r="BN167" s="64"/>
      <c r="BO167" s="64"/>
      <c r="BP167" s="64"/>
      <c r="BQ167" s="788"/>
      <c r="BR167" s="69"/>
      <c r="BS167" s="69"/>
      <c r="BT167" s="64"/>
    </row>
    <row r="168" spans="1:72" ht="12.75" customHeight="1">
      <c r="A168" s="64"/>
      <c r="B168" s="64" t="s">
        <v>2772</v>
      </c>
      <c r="C168" s="64"/>
      <c r="D168" s="64" t="s">
        <v>2789</v>
      </c>
      <c r="E168" s="64"/>
      <c r="F168" s="67"/>
      <c r="G168" s="640"/>
      <c r="H168" s="132"/>
      <c r="I168" s="64"/>
      <c r="J168" s="64"/>
      <c r="K168" s="130" t="str">
        <f>'Sterne-Rechner - Angebot'!N6</f>
        <v/>
      </c>
      <c r="L168" s="640"/>
      <c r="M168" s="132"/>
      <c r="N168" s="64"/>
      <c r="O168" s="64"/>
      <c r="P168" s="67"/>
      <c r="Q168" s="64"/>
      <c r="R168" s="64"/>
      <c r="S168" s="64"/>
      <c r="T168" s="64"/>
      <c r="U168" s="64"/>
      <c r="V168" s="67"/>
      <c r="W168" s="64"/>
      <c r="X168" s="64"/>
      <c r="Y168" s="64"/>
      <c r="Z168" s="64"/>
      <c r="AA168" s="64"/>
      <c r="AB168" s="67"/>
      <c r="AC168" s="64"/>
      <c r="AD168" s="64"/>
      <c r="AE168" s="64"/>
      <c r="AF168" s="64"/>
      <c r="AG168" s="64"/>
      <c r="AH168" s="67"/>
      <c r="AI168" s="64"/>
      <c r="AJ168" s="64"/>
      <c r="AK168" s="64"/>
      <c r="AL168" s="64"/>
      <c r="AM168" s="64"/>
      <c r="AN168" s="67"/>
      <c r="AO168" s="64"/>
      <c r="AP168" s="64"/>
      <c r="AQ168" s="64"/>
      <c r="AR168" s="64"/>
      <c r="AS168" s="64"/>
      <c r="AT168" s="64"/>
      <c r="AU168" s="64"/>
      <c r="AV168" s="64"/>
      <c r="AW168" s="64"/>
      <c r="AX168" s="64"/>
      <c r="AY168" s="64"/>
      <c r="AZ168" s="64"/>
      <c r="BA168" s="64"/>
      <c r="BB168" s="64"/>
      <c r="BC168" s="64"/>
      <c r="BD168" s="657"/>
      <c r="BE168" s="657"/>
      <c r="BF168" s="67"/>
      <c r="BG168" s="64"/>
      <c r="BH168" s="64"/>
      <c r="BI168" s="64"/>
      <c r="BJ168" s="64"/>
      <c r="BK168" s="788"/>
      <c r="BL168" s="64"/>
      <c r="BM168" s="64"/>
      <c r="BN168" s="64"/>
      <c r="BO168" s="64"/>
      <c r="BP168" s="64"/>
      <c r="BQ168" s="788"/>
      <c r="BR168" s="69"/>
      <c r="BS168" s="69"/>
      <c r="BT168" s="64"/>
    </row>
    <row r="169" spans="1:72" ht="12.75" customHeight="1">
      <c r="A169" s="64"/>
      <c r="B169" s="64" t="s">
        <v>2772</v>
      </c>
      <c r="C169" s="64"/>
      <c r="D169" s="64"/>
      <c r="E169" s="64"/>
      <c r="F169" s="67"/>
      <c r="G169" s="640"/>
      <c r="H169" s="64"/>
      <c r="I169" s="64"/>
      <c r="J169" s="64"/>
      <c r="K169" s="67"/>
      <c r="L169" s="640"/>
      <c r="M169" s="64"/>
      <c r="N169" s="64"/>
      <c r="O169" s="64"/>
      <c r="P169" s="67"/>
      <c r="Q169" s="64"/>
      <c r="R169" s="64"/>
      <c r="S169" s="64"/>
      <c r="T169" s="64"/>
      <c r="U169" s="64"/>
      <c r="V169" s="67"/>
      <c r="W169" s="64"/>
      <c r="X169" s="64"/>
      <c r="Y169" s="64"/>
      <c r="Z169" s="64"/>
      <c r="AA169" s="64"/>
      <c r="AB169" s="67"/>
      <c r="AC169" s="64"/>
      <c r="AD169" s="64"/>
      <c r="AE169" s="64"/>
      <c r="AF169" s="64"/>
      <c r="AG169" s="64"/>
      <c r="AH169" s="67"/>
      <c r="AI169" s="64"/>
      <c r="AJ169" s="64"/>
      <c r="AK169" s="64"/>
      <c r="AL169" s="64"/>
      <c r="AM169" s="64"/>
      <c r="AN169" s="67"/>
      <c r="AO169" s="64"/>
      <c r="AP169" s="64"/>
      <c r="AQ169" s="64"/>
      <c r="AR169" s="64"/>
      <c r="AS169" s="64"/>
      <c r="AT169" s="64"/>
      <c r="AU169" s="64"/>
      <c r="AV169" s="64"/>
      <c r="AW169" s="64"/>
      <c r="AX169" s="64"/>
      <c r="AY169" s="64"/>
      <c r="AZ169" s="64"/>
      <c r="BA169" s="64"/>
      <c r="BB169" s="64"/>
      <c r="BC169" s="64"/>
      <c r="BD169" s="657"/>
      <c r="BE169" s="657"/>
      <c r="BF169" s="67"/>
      <c r="BG169" s="64"/>
      <c r="BH169" s="64"/>
      <c r="BI169" s="64"/>
      <c r="BJ169" s="64"/>
      <c r="BK169" s="788"/>
      <c r="BL169" s="64"/>
      <c r="BM169" s="64"/>
      <c r="BN169" s="64"/>
      <c r="BO169" s="64"/>
      <c r="BP169" s="64"/>
      <c r="BQ169" s="788"/>
      <c r="BR169" s="69"/>
      <c r="BS169" s="69"/>
      <c r="BT169" s="64"/>
    </row>
    <row r="170" spans="1:72" ht="12.75" customHeight="1">
      <c r="A170" s="64"/>
      <c r="B170" s="64" t="s">
        <v>2772</v>
      </c>
      <c r="C170" s="64"/>
      <c r="D170" s="64" t="s">
        <v>2790</v>
      </c>
      <c r="E170" s="64"/>
      <c r="F170" s="67"/>
      <c r="G170" s="640"/>
      <c r="H170" s="64"/>
      <c r="I170" s="64"/>
      <c r="J170" s="64"/>
      <c r="K170" s="133" t="str">
        <f ca="1">StatusWVAG</f>
        <v>OFFER_REFERRAL</v>
      </c>
      <c r="L170" s="640"/>
      <c r="M170" s="64"/>
      <c r="N170" s="64"/>
      <c r="O170" s="64"/>
      <c r="P170" s="67"/>
      <c r="Q170" s="64"/>
      <c r="R170" s="64"/>
      <c r="S170" s="64"/>
      <c r="T170" s="64"/>
      <c r="U170" s="64"/>
      <c r="V170" s="67"/>
      <c r="W170" s="64"/>
      <c r="X170" s="64"/>
      <c r="Y170" s="64"/>
      <c r="Z170" s="64"/>
      <c r="AA170" s="64"/>
      <c r="AB170" s="67"/>
      <c r="AC170" s="64"/>
      <c r="AD170" s="64"/>
      <c r="AE170" s="64"/>
      <c r="AF170" s="64"/>
      <c r="AG170" s="64"/>
      <c r="AH170" s="67"/>
      <c r="AI170" s="64"/>
      <c r="AJ170" s="64"/>
      <c r="AK170" s="64"/>
      <c r="AL170" s="64"/>
      <c r="AM170" s="64"/>
      <c r="AN170" s="67"/>
      <c r="AO170" s="64"/>
      <c r="AP170" s="64"/>
      <c r="AQ170" s="64"/>
      <c r="AR170" s="64"/>
      <c r="AS170" s="64"/>
      <c r="AT170" s="64"/>
      <c r="AU170" s="64"/>
      <c r="AV170" s="64"/>
      <c r="AW170" s="64"/>
      <c r="AX170" s="64"/>
      <c r="AY170" s="64"/>
      <c r="AZ170" s="64"/>
      <c r="BA170" s="64"/>
      <c r="BB170" s="64"/>
      <c r="BC170" s="64"/>
      <c r="BD170" s="657"/>
      <c r="BE170" s="657"/>
      <c r="BF170" s="67"/>
      <c r="BG170" s="64"/>
      <c r="BH170" s="64"/>
      <c r="BI170" s="64"/>
      <c r="BJ170" s="64"/>
      <c r="BK170" s="788"/>
      <c r="BL170" s="64"/>
      <c r="BM170" s="64"/>
      <c r="BN170" s="64"/>
      <c r="BO170" s="64"/>
      <c r="BP170" s="64"/>
      <c r="BQ170" s="788"/>
      <c r="BR170" s="69"/>
      <c r="BS170" s="69"/>
      <c r="BT170" s="64"/>
    </row>
    <row r="171" spans="1:72" ht="12.45" customHeight="1">
      <c r="A171" s="64"/>
      <c r="B171" s="64" t="s">
        <v>2772</v>
      </c>
      <c r="C171" s="64"/>
      <c r="D171" s="64" t="s">
        <v>2791</v>
      </c>
      <c r="E171" s="64"/>
      <c r="F171" s="67"/>
      <c r="G171" s="640"/>
      <c r="H171" s="64"/>
      <c r="I171" s="64"/>
      <c r="J171" s="64"/>
      <c r="K171" s="67"/>
      <c r="L171" s="640"/>
      <c r="M171" s="64"/>
      <c r="N171" s="64"/>
      <c r="O171" s="64"/>
      <c r="P171" s="67"/>
      <c r="Q171" s="64"/>
      <c r="R171" s="64"/>
      <c r="S171" s="64"/>
      <c r="T171" s="64"/>
      <c r="U171" s="64"/>
      <c r="V171" s="67"/>
      <c r="W171" s="64"/>
      <c r="X171" s="64"/>
      <c r="Y171" s="64"/>
      <c r="Z171" s="64"/>
      <c r="AA171" s="64"/>
      <c r="AB171" s="67"/>
      <c r="AC171" s="64"/>
      <c r="AD171" s="64"/>
      <c r="AE171" s="64"/>
      <c r="AF171" s="64"/>
      <c r="AG171" s="64"/>
      <c r="AH171" s="67"/>
      <c r="AI171" s="64"/>
      <c r="AJ171" s="64"/>
      <c r="AK171" s="64"/>
      <c r="AL171" s="64"/>
      <c r="AM171" s="64"/>
      <c r="AN171" s="67"/>
      <c r="AO171" s="64"/>
      <c r="AP171" s="64"/>
      <c r="AQ171" s="64"/>
      <c r="AR171" s="64"/>
      <c r="AS171" s="64"/>
      <c r="AT171" s="64"/>
      <c r="AU171" s="64"/>
      <c r="AV171" s="64"/>
      <c r="AW171" s="64"/>
      <c r="AX171" s="64"/>
      <c r="AY171" s="64"/>
      <c r="AZ171" s="64"/>
      <c r="BA171" s="64"/>
      <c r="BB171" s="64"/>
      <c r="BC171" s="64"/>
      <c r="BD171" s="657"/>
      <c r="BE171" s="657"/>
      <c r="BF171" s="67"/>
      <c r="BG171" s="64"/>
      <c r="BH171" s="64"/>
      <c r="BI171" s="64"/>
      <c r="BJ171" s="64"/>
      <c r="BK171" s="788"/>
      <c r="BL171" s="64"/>
      <c r="BM171" s="64"/>
      <c r="BN171" s="64"/>
      <c r="BO171" s="64"/>
      <c r="BP171" s="64"/>
      <c r="BQ171" s="788"/>
      <c r="BR171" s="69"/>
      <c r="BS171" s="69"/>
      <c r="BT171" s="64"/>
    </row>
    <row r="172" spans="1:72" ht="12.75" customHeight="1">
      <c r="A172" s="64"/>
      <c r="B172" s="64" t="s">
        <v>2772</v>
      </c>
      <c r="C172" s="64"/>
      <c r="D172" s="64" t="s">
        <v>2792</v>
      </c>
      <c r="E172" s="64"/>
      <c r="F172" s="67"/>
      <c r="G172" s="640"/>
      <c r="H172" s="64"/>
      <c r="I172" s="64"/>
      <c r="J172" s="64"/>
      <c r="K172" s="67"/>
      <c r="L172" s="640"/>
      <c r="M172" s="64"/>
      <c r="N172" s="64"/>
      <c r="O172" s="64"/>
      <c r="P172" s="67"/>
      <c r="Q172" s="64"/>
      <c r="R172" s="64"/>
      <c r="S172" s="64"/>
      <c r="T172" s="64"/>
      <c r="U172" s="64"/>
      <c r="V172" s="67"/>
      <c r="W172" s="64"/>
      <c r="X172" s="64"/>
      <c r="Y172" s="64"/>
      <c r="Z172" s="64"/>
      <c r="AA172" s="64"/>
      <c r="AB172" s="67"/>
      <c r="AC172" s="64"/>
      <c r="AD172" s="64"/>
      <c r="AE172" s="64"/>
      <c r="AF172" s="64"/>
      <c r="AG172" s="64"/>
      <c r="AH172" s="67"/>
      <c r="AI172" s="64"/>
      <c r="AJ172" s="64"/>
      <c r="AK172" s="64"/>
      <c r="AL172" s="64"/>
      <c r="AM172" s="64"/>
      <c r="AN172" s="67"/>
      <c r="AO172" s="64"/>
      <c r="AP172" s="64"/>
      <c r="AQ172" s="64"/>
      <c r="AR172" s="64"/>
      <c r="AS172" s="64"/>
      <c r="AT172" s="64"/>
      <c r="AU172" s="64"/>
      <c r="AV172" s="64"/>
      <c r="AW172" s="64"/>
      <c r="AX172" s="64"/>
      <c r="AY172" s="64"/>
      <c r="AZ172" s="64"/>
      <c r="BA172" s="64"/>
      <c r="BB172" s="64"/>
      <c r="BC172" s="64"/>
      <c r="BD172" s="657"/>
      <c r="BE172" s="657"/>
      <c r="BF172" s="67"/>
      <c r="BG172" s="64"/>
      <c r="BH172" s="64"/>
      <c r="BI172" s="64"/>
      <c r="BJ172" s="64"/>
      <c r="BK172" s="788"/>
      <c r="BL172" s="64"/>
      <c r="BM172" s="64"/>
      <c r="BN172" s="64"/>
      <c r="BO172" s="64"/>
      <c r="BP172" s="64"/>
      <c r="BQ172" s="788"/>
      <c r="BR172" s="69"/>
      <c r="BS172" s="69"/>
      <c r="BT172" s="64"/>
    </row>
    <row r="173" spans="1:72" ht="12.75" customHeight="1">
      <c r="A173" s="64"/>
      <c r="B173" s="64" t="s">
        <v>2772</v>
      </c>
      <c r="C173" s="64"/>
      <c r="D173" s="64" t="s">
        <v>2793</v>
      </c>
      <c r="E173" s="64"/>
      <c r="F173" s="67"/>
      <c r="G173" s="639"/>
      <c r="H173" s="64"/>
      <c r="I173" s="64"/>
      <c r="J173" s="64"/>
      <c r="K173" s="67"/>
      <c r="L173" s="639"/>
      <c r="M173" s="64"/>
      <c r="N173" s="64"/>
      <c r="O173" s="64"/>
      <c r="P173" s="67"/>
      <c r="Q173" s="64"/>
      <c r="R173" s="64"/>
      <c r="S173" s="64"/>
      <c r="T173" s="64"/>
      <c r="U173" s="64"/>
      <c r="V173" s="67"/>
      <c r="W173" s="64"/>
      <c r="X173" s="64"/>
      <c r="Y173" s="64"/>
      <c r="Z173" s="64"/>
      <c r="AA173" s="64"/>
      <c r="AB173" s="67"/>
      <c r="AC173" s="64"/>
      <c r="AD173" s="64"/>
      <c r="AE173" s="64"/>
      <c r="AF173" s="64"/>
      <c r="AG173" s="64"/>
      <c r="AH173" s="67"/>
      <c r="AI173" s="64"/>
      <c r="AJ173" s="64"/>
      <c r="AK173" s="64"/>
      <c r="AL173" s="64"/>
      <c r="AM173" s="64"/>
      <c r="AN173" s="67"/>
      <c r="AO173" s="64"/>
      <c r="AP173" s="64"/>
      <c r="AQ173" s="64"/>
      <c r="AR173" s="64"/>
      <c r="AS173" s="64"/>
      <c r="AT173" s="64"/>
      <c r="AU173" s="64"/>
      <c r="AV173" s="64"/>
      <c r="AW173" s="64"/>
      <c r="AX173" s="64"/>
      <c r="AY173" s="64"/>
      <c r="AZ173" s="64"/>
      <c r="BA173" s="64"/>
      <c r="BB173" s="64"/>
      <c r="BC173" s="64"/>
      <c r="BD173" s="657"/>
      <c r="BE173" s="657"/>
      <c r="BF173" s="67"/>
      <c r="BG173" s="64"/>
      <c r="BH173" s="64"/>
      <c r="BI173" s="64"/>
      <c r="BJ173" s="64"/>
      <c r="BK173" s="788"/>
      <c r="BL173" s="64"/>
      <c r="BM173" s="64"/>
      <c r="BN173" s="64"/>
      <c r="BO173" s="64"/>
      <c r="BP173" s="64"/>
      <c r="BQ173" s="788"/>
      <c r="BR173" s="69"/>
      <c r="BS173" s="69"/>
      <c r="BT173" s="64"/>
    </row>
    <row r="174" spans="1:72" ht="12.75" customHeight="1">
      <c r="A174" s="64"/>
      <c r="B174" s="64" t="s">
        <v>2772</v>
      </c>
      <c r="C174" s="64"/>
      <c r="D174" s="128" t="s">
        <v>2794</v>
      </c>
      <c r="E174" s="128"/>
      <c r="F174" s="67"/>
      <c r="G174" s="639"/>
      <c r="H174" s="64"/>
      <c r="I174" s="64"/>
      <c r="J174" s="64"/>
      <c r="K174" s="67"/>
      <c r="L174" s="639"/>
      <c r="M174" s="64"/>
      <c r="N174" s="64"/>
      <c r="O174" s="64"/>
      <c r="P174" s="67"/>
      <c r="Q174" s="64"/>
      <c r="R174" s="64"/>
      <c r="S174" s="64"/>
      <c r="T174" s="64"/>
      <c r="U174" s="64"/>
      <c r="V174" s="67"/>
      <c r="W174" s="64"/>
      <c r="X174" s="64"/>
      <c r="Y174" s="64"/>
      <c r="Z174" s="64"/>
      <c r="AA174" s="64"/>
      <c r="AB174" s="67"/>
      <c r="AC174" s="64"/>
      <c r="AD174" s="64"/>
      <c r="AE174" s="64"/>
      <c r="AF174" s="64"/>
      <c r="AG174" s="64"/>
      <c r="AH174" s="67"/>
      <c r="AI174" s="64"/>
      <c r="AJ174" s="64"/>
      <c r="AK174" s="64"/>
      <c r="AL174" s="64"/>
      <c r="AM174" s="64"/>
      <c r="AN174" s="67"/>
      <c r="AO174" s="64"/>
      <c r="AP174" s="64"/>
      <c r="AQ174" s="64"/>
      <c r="AR174" s="64"/>
      <c r="AS174" s="64"/>
      <c r="AT174" s="64"/>
      <c r="AU174" s="64"/>
      <c r="AV174" s="64"/>
      <c r="AW174" s="64"/>
      <c r="AX174" s="64"/>
      <c r="AY174" s="64"/>
      <c r="AZ174" s="64"/>
      <c r="BA174" s="64"/>
      <c r="BB174" s="64"/>
      <c r="BC174" s="64"/>
      <c r="BD174" s="657"/>
      <c r="BE174" s="657"/>
      <c r="BF174" s="67"/>
      <c r="BG174" s="64"/>
      <c r="BH174" s="64"/>
      <c r="BI174" s="64"/>
      <c r="BJ174" s="64"/>
      <c r="BK174" s="788"/>
      <c r="BL174" s="64"/>
      <c r="BM174" s="64"/>
      <c r="BN174" s="64"/>
      <c r="BO174" s="64"/>
      <c r="BP174" s="64"/>
      <c r="BQ174" s="788"/>
      <c r="BR174" s="69"/>
      <c r="BS174" s="69"/>
      <c r="BT174" s="64"/>
    </row>
    <row r="175" spans="1:72" ht="12.75" customHeight="1">
      <c r="A175" s="64"/>
      <c r="B175" s="64" t="s">
        <v>2772</v>
      </c>
      <c r="C175" s="64"/>
      <c r="D175" s="64" t="s">
        <v>2774</v>
      </c>
      <c r="E175" s="64"/>
      <c r="F175" s="67"/>
      <c r="G175" s="639"/>
      <c r="H175" s="64"/>
      <c r="I175" s="64"/>
      <c r="J175" s="64"/>
      <c r="K175" s="67"/>
      <c r="L175" s="639"/>
      <c r="M175" s="64"/>
      <c r="N175" s="64"/>
      <c r="O175" s="64"/>
      <c r="P175" s="67"/>
      <c r="Q175" s="64"/>
      <c r="R175" s="64"/>
      <c r="S175" s="64"/>
      <c r="T175" s="64"/>
      <c r="U175" s="64"/>
      <c r="V175" s="67"/>
      <c r="W175" s="64"/>
      <c r="X175" s="64"/>
      <c r="Y175" s="64"/>
      <c r="Z175" s="64"/>
      <c r="AA175" s="64"/>
      <c r="AB175" s="67"/>
      <c r="AC175" s="64"/>
      <c r="AD175" s="64"/>
      <c r="AE175" s="64"/>
      <c r="AF175" s="64"/>
      <c r="AG175" s="64"/>
      <c r="AH175" s="67"/>
      <c r="AI175" s="64"/>
      <c r="AJ175" s="64"/>
      <c r="AK175" s="64"/>
      <c r="AL175" s="64"/>
      <c r="AM175" s="64"/>
      <c r="AN175" s="67"/>
      <c r="AO175" s="64"/>
      <c r="AP175" s="64"/>
      <c r="AQ175" s="64"/>
      <c r="AR175" s="64"/>
      <c r="AS175" s="64"/>
      <c r="AT175" s="64"/>
      <c r="AU175" s="64"/>
      <c r="AV175" s="64"/>
      <c r="AW175" s="64"/>
      <c r="AX175" s="64"/>
      <c r="AY175" s="64"/>
      <c r="AZ175" s="64"/>
      <c r="BA175" s="64"/>
      <c r="BB175" s="64"/>
      <c r="BC175" s="64"/>
      <c r="BD175" s="657"/>
      <c r="BE175" s="657"/>
      <c r="BF175" s="67"/>
      <c r="BG175" s="64"/>
      <c r="BH175" s="64"/>
      <c r="BI175" s="64"/>
      <c r="BJ175" s="64"/>
      <c r="BK175" s="788"/>
      <c r="BL175" s="64"/>
      <c r="BM175" s="64"/>
      <c r="BN175" s="64"/>
      <c r="BO175" s="64"/>
      <c r="BP175" s="64"/>
      <c r="BQ175" s="788"/>
      <c r="BR175" s="69"/>
      <c r="BS175" s="69"/>
      <c r="BT175" s="64"/>
    </row>
    <row r="176" spans="1:72" ht="12.75" customHeight="1">
      <c r="A176" s="64"/>
      <c r="B176" s="64" t="s">
        <v>2772</v>
      </c>
      <c r="C176" s="64"/>
      <c r="D176" s="64" t="s">
        <v>2775</v>
      </c>
      <c r="E176" s="64"/>
      <c r="F176" s="67"/>
      <c r="G176" s="639"/>
      <c r="H176" s="64"/>
      <c r="I176" s="64"/>
      <c r="J176" s="64"/>
      <c r="K176" s="67"/>
      <c r="L176" s="639"/>
      <c r="M176" s="64"/>
      <c r="N176" s="64"/>
      <c r="O176" s="64"/>
      <c r="P176" s="67"/>
      <c r="Q176" s="64"/>
      <c r="R176" s="64"/>
      <c r="S176" s="64"/>
      <c r="T176" s="64"/>
      <c r="U176" s="64"/>
      <c r="V176" s="67"/>
      <c r="W176" s="64"/>
      <c r="X176" s="64"/>
      <c r="Y176" s="64"/>
      <c r="Z176" s="64"/>
      <c r="AA176" s="64"/>
      <c r="AB176" s="67"/>
      <c r="AC176" s="64"/>
      <c r="AD176" s="64"/>
      <c r="AE176" s="64"/>
      <c r="AF176" s="64"/>
      <c r="AG176" s="64"/>
      <c r="AH176" s="67"/>
      <c r="AI176" s="64"/>
      <c r="AJ176" s="64"/>
      <c r="AK176" s="64"/>
      <c r="AL176" s="64"/>
      <c r="AM176" s="64"/>
      <c r="AN176" s="67"/>
      <c r="AO176" s="64"/>
      <c r="AP176" s="64"/>
      <c r="AQ176" s="64"/>
      <c r="AR176" s="64"/>
      <c r="AS176" s="64"/>
      <c r="AT176" s="64"/>
      <c r="AU176" s="64"/>
      <c r="AV176" s="64"/>
      <c r="AW176" s="64"/>
      <c r="AX176" s="64"/>
      <c r="AY176" s="64"/>
      <c r="AZ176" s="64"/>
      <c r="BA176" s="64"/>
      <c r="BB176" s="64"/>
      <c r="BC176" s="64"/>
      <c r="BD176" s="657"/>
      <c r="BE176" s="657"/>
      <c r="BF176" s="67"/>
      <c r="BG176" s="64"/>
      <c r="BH176" s="64"/>
      <c r="BI176" s="64"/>
      <c r="BJ176" s="64"/>
      <c r="BK176" s="788"/>
      <c r="BL176" s="64"/>
      <c r="BM176" s="64"/>
      <c r="BN176" s="64"/>
      <c r="BO176" s="64"/>
      <c r="BP176" s="64"/>
      <c r="BQ176" s="788"/>
      <c r="BR176" s="69"/>
      <c r="BS176" s="69"/>
      <c r="BT176" s="64"/>
    </row>
    <row r="177" spans="1:72" ht="12.75" customHeight="1">
      <c r="A177" s="64"/>
      <c r="B177" s="64" t="s">
        <v>2772</v>
      </c>
      <c r="C177" s="64"/>
      <c r="D177" s="64" t="s">
        <v>2776</v>
      </c>
      <c r="E177" s="64"/>
      <c r="F177" s="67"/>
      <c r="G177" s="639"/>
      <c r="H177" s="64"/>
      <c r="I177" s="64"/>
      <c r="J177" s="64"/>
      <c r="K177" s="67"/>
      <c r="L177" s="639"/>
      <c r="M177" s="64"/>
      <c r="N177" s="64"/>
      <c r="O177" s="64"/>
      <c r="P177" s="67"/>
      <c r="Q177" s="64"/>
      <c r="R177" s="64"/>
      <c r="S177" s="64"/>
      <c r="T177" s="64"/>
      <c r="U177" s="64"/>
      <c r="V177" s="67"/>
      <c r="W177" s="64"/>
      <c r="X177" s="64"/>
      <c r="Y177" s="64"/>
      <c r="Z177" s="64"/>
      <c r="AA177" s="64"/>
      <c r="AB177" s="67"/>
      <c r="AC177" s="64"/>
      <c r="AD177" s="64"/>
      <c r="AE177" s="64"/>
      <c r="AF177" s="64"/>
      <c r="AG177" s="64"/>
      <c r="AH177" s="67"/>
      <c r="AI177" s="64"/>
      <c r="AJ177" s="64"/>
      <c r="AK177" s="64"/>
      <c r="AL177" s="64"/>
      <c r="AM177" s="64"/>
      <c r="AN177" s="67"/>
      <c r="AO177" s="64"/>
      <c r="AP177" s="64"/>
      <c r="AQ177" s="64"/>
      <c r="AR177" s="64"/>
      <c r="AS177" s="64"/>
      <c r="AT177" s="64"/>
      <c r="AU177" s="64"/>
      <c r="AV177" s="64"/>
      <c r="AW177" s="64"/>
      <c r="AX177" s="64"/>
      <c r="AY177" s="64"/>
      <c r="AZ177" s="64"/>
      <c r="BA177" s="64"/>
      <c r="BB177" s="64"/>
      <c r="BC177" s="64"/>
      <c r="BD177" s="657"/>
      <c r="BE177" s="657"/>
      <c r="BF177" s="67"/>
      <c r="BG177" s="64"/>
      <c r="BH177" s="64"/>
      <c r="BI177" s="64"/>
      <c r="BJ177" s="64"/>
      <c r="BK177" s="788"/>
      <c r="BL177" s="64"/>
      <c r="BM177" s="64"/>
      <c r="BN177" s="64"/>
      <c r="BO177" s="64"/>
      <c r="BP177" s="64"/>
      <c r="BQ177" s="788"/>
      <c r="BR177" s="69"/>
      <c r="BS177" s="69"/>
      <c r="BT177" s="64"/>
    </row>
    <row r="178" spans="1:72" ht="12.75" customHeight="1">
      <c r="A178" s="64"/>
      <c r="B178" s="64" t="s">
        <v>2772</v>
      </c>
      <c r="C178" s="64"/>
      <c r="D178" s="64" t="s">
        <v>2777</v>
      </c>
      <c r="E178" s="64"/>
      <c r="F178" s="67"/>
      <c r="G178" s="639"/>
      <c r="H178" s="64"/>
      <c r="I178" s="64"/>
      <c r="J178" s="64"/>
      <c r="K178" s="67"/>
      <c r="L178" s="639"/>
      <c r="M178" s="64"/>
      <c r="N178" s="64"/>
      <c r="O178" s="64"/>
      <c r="P178" s="67"/>
      <c r="Q178" s="64"/>
      <c r="R178" s="64"/>
      <c r="S178" s="64"/>
      <c r="T178" s="64"/>
      <c r="U178" s="64"/>
      <c r="V178" s="67"/>
      <c r="W178" s="64"/>
      <c r="X178" s="64"/>
      <c r="Y178" s="64"/>
      <c r="Z178" s="64"/>
      <c r="AA178" s="64"/>
      <c r="AB178" s="67"/>
      <c r="AC178" s="64"/>
      <c r="AD178" s="64"/>
      <c r="AE178" s="64"/>
      <c r="AF178" s="64"/>
      <c r="AG178" s="64"/>
      <c r="AH178" s="67"/>
      <c r="AI178" s="64"/>
      <c r="AJ178" s="64"/>
      <c r="AK178" s="64"/>
      <c r="AL178" s="64"/>
      <c r="AM178" s="64"/>
      <c r="AN178" s="67"/>
      <c r="AO178" s="64"/>
      <c r="AP178" s="64"/>
      <c r="AQ178" s="64"/>
      <c r="AR178" s="64"/>
      <c r="AS178" s="64"/>
      <c r="AT178" s="64"/>
      <c r="AU178" s="64"/>
      <c r="AV178" s="64"/>
      <c r="AW178" s="64"/>
      <c r="AX178" s="64"/>
      <c r="AY178" s="64"/>
      <c r="AZ178" s="64"/>
      <c r="BA178" s="64"/>
      <c r="BB178" s="64"/>
      <c r="BC178" s="64"/>
      <c r="BD178" s="657"/>
      <c r="BE178" s="657"/>
      <c r="BF178" s="67"/>
      <c r="BG178" s="64"/>
      <c r="BH178" s="64"/>
      <c r="BI178" s="64"/>
      <c r="BJ178" s="64"/>
      <c r="BK178" s="788"/>
      <c r="BL178" s="64"/>
      <c r="BM178" s="64"/>
      <c r="BN178" s="64"/>
      <c r="BO178" s="64"/>
      <c r="BP178" s="64"/>
      <c r="BQ178" s="788"/>
      <c r="BR178" s="69"/>
      <c r="BS178" s="69"/>
      <c r="BT178" s="64"/>
    </row>
    <row r="179" spans="1:72" ht="12.75" customHeight="1">
      <c r="A179" s="64"/>
      <c r="B179" s="64" t="s">
        <v>2772</v>
      </c>
      <c r="C179" s="64"/>
      <c r="D179" s="64" t="s">
        <v>2778</v>
      </c>
      <c r="E179" s="64"/>
      <c r="F179" s="129" t="str">
        <f>'Sterne-Rechner - GI'!AO7</f>
        <v/>
      </c>
      <c r="G179" s="639"/>
      <c r="H179" s="64"/>
      <c r="I179" s="64"/>
      <c r="J179" s="64"/>
      <c r="K179" s="67"/>
      <c r="L179" s="639"/>
      <c r="M179" s="64"/>
      <c r="N179" s="64"/>
      <c r="O179" s="64"/>
      <c r="P179" s="67"/>
      <c r="Q179" s="64"/>
      <c r="R179" s="64"/>
      <c r="S179" s="64"/>
      <c r="T179" s="64"/>
      <c r="U179" s="64"/>
      <c r="V179" s="67"/>
      <c r="W179" s="64"/>
      <c r="X179" s="64"/>
      <c r="Y179" s="64"/>
      <c r="Z179" s="64"/>
      <c r="AA179" s="64"/>
      <c r="AB179" s="67"/>
      <c r="AC179" s="64"/>
      <c r="AD179" s="64"/>
      <c r="AE179" s="64"/>
      <c r="AF179" s="64"/>
      <c r="AG179" s="64"/>
      <c r="AH179" s="67"/>
      <c r="AI179" s="64"/>
      <c r="AJ179" s="64"/>
      <c r="AK179" s="64"/>
      <c r="AL179" s="64"/>
      <c r="AM179" s="64"/>
      <c r="AN179" s="67"/>
      <c r="AO179" s="64"/>
      <c r="AP179" s="64"/>
      <c r="AQ179" s="64"/>
      <c r="AR179" s="64"/>
      <c r="AS179" s="64"/>
      <c r="AT179" s="64"/>
      <c r="AU179" s="64"/>
      <c r="AV179" s="64"/>
      <c r="AW179" s="64"/>
      <c r="AX179" s="64"/>
      <c r="AY179" s="64"/>
      <c r="AZ179" s="64"/>
      <c r="BA179" s="64"/>
      <c r="BB179" s="64"/>
      <c r="BC179" s="64"/>
      <c r="BD179" s="657"/>
      <c r="BE179" s="657"/>
      <c r="BF179" s="67"/>
      <c r="BG179" s="64"/>
      <c r="BH179" s="64"/>
      <c r="BI179" s="64"/>
      <c r="BJ179" s="64"/>
      <c r="BK179" s="788"/>
      <c r="BL179" s="64"/>
      <c r="BM179" s="64"/>
      <c r="BN179" s="64"/>
      <c r="BO179" s="64"/>
      <c r="BP179" s="64"/>
      <c r="BQ179" s="788"/>
      <c r="BR179" s="69"/>
      <c r="BS179" s="69"/>
      <c r="BT179" s="64"/>
    </row>
    <row r="180" spans="1:72" ht="12.75" customHeight="1">
      <c r="A180" s="64"/>
      <c r="B180" s="64" t="s">
        <v>2772</v>
      </c>
      <c r="C180" s="64"/>
      <c r="D180" s="64" t="s">
        <v>2779</v>
      </c>
      <c r="E180" s="64"/>
      <c r="F180" s="129" t="str">
        <f>'Sterne-Rechner - GI'!AP8</f>
        <v/>
      </c>
      <c r="G180" s="639"/>
      <c r="H180" s="64"/>
      <c r="I180" s="64"/>
      <c r="J180" s="64"/>
      <c r="K180" s="67"/>
      <c r="L180" s="639"/>
      <c r="M180" s="64"/>
      <c r="N180" s="64"/>
      <c r="O180" s="64"/>
      <c r="P180" s="67"/>
      <c r="Q180" s="64"/>
      <c r="R180" s="64"/>
      <c r="S180" s="64"/>
      <c r="T180" s="64"/>
      <c r="U180" s="64"/>
      <c r="V180" s="67"/>
      <c r="W180" s="64"/>
      <c r="X180" s="64"/>
      <c r="Y180" s="64"/>
      <c r="Z180" s="64"/>
      <c r="AA180" s="64"/>
      <c r="AB180" s="67"/>
      <c r="AC180" s="64"/>
      <c r="AD180" s="64"/>
      <c r="AE180" s="64"/>
      <c r="AF180" s="64"/>
      <c r="AG180" s="64"/>
      <c r="AH180" s="67"/>
      <c r="AI180" s="64"/>
      <c r="AJ180" s="64"/>
      <c r="AK180" s="64"/>
      <c r="AL180" s="64"/>
      <c r="AM180" s="64"/>
      <c r="AN180" s="67"/>
      <c r="AO180" s="64"/>
      <c r="AP180" s="64"/>
      <c r="AQ180" s="64"/>
      <c r="AR180" s="64"/>
      <c r="AS180" s="64"/>
      <c r="AT180" s="64"/>
      <c r="AU180" s="64"/>
      <c r="AV180" s="64"/>
      <c r="AW180" s="64"/>
      <c r="AX180" s="64"/>
      <c r="AY180" s="64"/>
      <c r="AZ180" s="64"/>
      <c r="BA180" s="64"/>
      <c r="BB180" s="64"/>
      <c r="BC180" s="64"/>
      <c r="BD180" s="657"/>
      <c r="BE180" s="657"/>
      <c r="BF180" s="67"/>
      <c r="BG180" s="64"/>
      <c r="BH180" s="64"/>
      <c r="BI180" s="64"/>
      <c r="BJ180" s="64"/>
      <c r="BK180" s="788"/>
      <c r="BL180" s="64"/>
      <c r="BM180" s="64"/>
      <c r="BN180" s="64"/>
      <c r="BO180" s="64"/>
      <c r="BP180" s="64"/>
      <c r="BQ180" s="788"/>
      <c r="BR180" s="69"/>
      <c r="BS180" s="69"/>
      <c r="BT180" s="64"/>
    </row>
    <row r="181" spans="1:72" ht="12.75" customHeight="1">
      <c r="A181" s="64"/>
      <c r="B181" s="64" t="s">
        <v>2772</v>
      </c>
      <c r="C181" s="64"/>
      <c r="D181" s="64" t="s">
        <v>2780</v>
      </c>
      <c r="E181" s="64"/>
      <c r="F181" s="129" t="str">
        <f>'Sterne-Rechner - GI'!AQ9</f>
        <v/>
      </c>
      <c r="G181" s="639"/>
      <c r="H181" s="64"/>
      <c r="I181" s="64"/>
      <c r="J181" s="64"/>
      <c r="K181" s="67"/>
      <c r="L181" s="639"/>
      <c r="M181" s="64"/>
      <c r="N181" s="64"/>
      <c r="O181" s="64"/>
      <c r="P181" s="67"/>
      <c r="Q181" s="64"/>
      <c r="R181" s="64"/>
      <c r="S181" s="64"/>
      <c r="T181" s="64"/>
      <c r="U181" s="64"/>
      <c r="V181" s="67"/>
      <c r="W181" s="64"/>
      <c r="X181" s="64"/>
      <c r="Y181" s="64"/>
      <c r="Z181" s="64"/>
      <c r="AA181" s="64"/>
      <c r="AB181" s="67"/>
      <c r="AC181" s="64"/>
      <c r="AD181" s="64"/>
      <c r="AE181" s="64"/>
      <c r="AF181" s="64"/>
      <c r="AG181" s="64"/>
      <c r="AH181" s="67"/>
      <c r="AI181" s="64"/>
      <c r="AJ181" s="64"/>
      <c r="AK181" s="64"/>
      <c r="AL181" s="64"/>
      <c r="AM181" s="64"/>
      <c r="AN181" s="67"/>
      <c r="AO181" s="64"/>
      <c r="AP181" s="64"/>
      <c r="AQ181" s="64"/>
      <c r="AR181" s="64"/>
      <c r="AS181" s="64"/>
      <c r="AT181" s="64"/>
      <c r="AU181" s="64"/>
      <c r="AV181" s="64"/>
      <c r="AW181" s="64"/>
      <c r="AX181" s="64"/>
      <c r="AY181" s="64"/>
      <c r="AZ181" s="64"/>
      <c r="BA181" s="64"/>
      <c r="BB181" s="64"/>
      <c r="BC181" s="64"/>
      <c r="BD181" s="657"/>
      <c r="BE181" s="657"/>
      <c r="BF181" s="67"/>
      <c r="BG181" s="64"/>
      <c r="BH181" s="64"/>
      <c r="BI181" s="64"/>
      <c r="BJ181" s="64"/>
      <c r="BK181" s="788"/>
      <c r="BL181" s="64"/>
      <c r="BM181" s="64"/>
      <c r="BN181" s="64"/>
      <c r="BO181" s="64"/>
      <c r="BP181" s="64"/>
      <c r="BQ181" s="788"/>
      <c r="BR181" s="69"/>
      <c r="BS181" s="69"/>
      <c r="BT181" s="64"/>
    </row>
    <row r="182" spans="1:72" ht="12.75" customHeight="1">
      <c r="A182" s="64"/>
      <c r="B182" s="64" t="s">
        <v>2772</v>
      </c>
      <c r="C182" s="64"/>
      <c r="D182" s="64" t="s">
        <v>2781</v>
      </c>
      <c r="E182" s="64"/>
      <c r="F182" s="67"/>
      <c r="G182" s="640"/>
      <c r="H182" s="64"/>
      <c r="I182" s="64"/>
      <c r="J182" s="64"/>
      <c r="K182" s="129" t="str">
        <f>'Sterne-Rechner - Angebot'!Y7</f>
        <v/>
      </c>
      <c r="L182" s="640"/>
      <c r="M182" s="64"/>
      <c r="N182" s="64"/>
      <c r="O182" s="64"/>
      <c r="P182" s="67"/>
      <c r="Q182" s="64"/>
      <c r="R182" s="64"/>
      <c r="S182" s="64"/>
      <c r="T182" s="64"/>
      <c r="U182" s="64"/>
      <c r="V182" s="67"/>
      <c r="W182" s="64"/>
      <c r="X182" s="64"/>
      <c r="Y182" s="64"/>
      <c r="Z182" s="64"/>
      <c r="AA182" s="64"/>
      <c r="AB182" s="67"/>
      <c r="AC182" s="64"/>
      <c r="AD182" s="64"/>
      <c r="AE182" s="64"/>
      <c r="AF182" s="64"/>
      <c r="AG182" s="64"/>
      <c r="AH182" s="67"/>
      <c r="AI182" s="64"/>
      <c r="AJ182" s="64"/>
      <c r="AK182" s="64"/>
      <c r="AL182" s="64"/>
      <c r="AM182" s="64"/>
      <c r="AN182" s="67"/>
      <c r="AO182" s="64"/>
      <c r="AP182" s="64"/>
      <c r="AQ182" s="64"/>
      <c r="AR182" s="64"/>
      <c r="AS182" s="64"/>
      <c r="AT182" s="64"/>
      <c r="AU182" s="64"/>
      <c r="AV182" s="64"/>
      <c r="AW182" s="64"/>
      <c r="AX182" s="64"/>
      <c r="AY182" s="64"/>
      <c r="AZ182" s="64"/>
      <c r="BA182" s="64"/>
      <c r="BB182" s="64"/>
      <c r="BC182" s="64"/>
      <c r="BD182" s="657"/>
      <c r="BE182" s="657"/>
      <c r="BF182" s="67"/>
      <c r="BG182" s="64"/>
      <c r="BH182" s="64"/>
      <c r="BI182" s="64"/>
      <c r="BJ182" s="64"/>
      <c r="BK182" s="788"/>
      <c r="BL182" s="64"/>
      <c r="BM182" s="64"/>
      <c r="BN182" s="64"/>
      <c r="BO182" s="64"/>
      <c r="BP182" s="64"/>
      <c r="BQ182" s="788"/>
      <c r="BR182" s="69"/>
      <c r="BS182" s="69"/>
      <c r="BT182" s="64"/>
    </row>
    <row r="183" spans="1:72" ht="12.75" customHeight="1">
      <c r="A183" s="64"/>
      <c r="B183" s="64" t="s">
        <v>2772</v>
      </c>
      <c r="C183" s="64"/>
      <c r="D183" s="64" t="s">
        <v>2782</v>
      </c>
      <c r="E183" s="64"/>
      <c r="F183" s="67"/>
      <c r="G183" s="640"/>
      <c r="H183" s="64"/>
      <c r="I183" s="64"/>
      <c r="J183" s="64"/>
      <c r="K183" s="129" t="str">
        <f>'Sterne-Rechner - Angebot'!Y8</f>
        <v/>
      </c>
      <c r="L183" s="640"/>
      <c r="M183" s="64"/>
      <c r="N183" s="64"/>
      <c r="O183" s="64"/>
      <c r="P183" s="67"/>
      <c r="Q183" s="64"/>
      <c r="R183" s="64"/>
      <c r="S183" s="64"/>
      <c r="T183" s="64"/>
      <c r="U183" s="64"/>
      <c r="V183" s="67"/>
      <c r="W183" s="64"/>
      <c r="X183" s="64"/>
      <c r="Y183" s="64"/>
      <c r="Z183" s="64"/>
      <c r="AA183" s="64"/>
      <c r="AB183" s="67"/>
      <c r="AC183" s="64"/>
      <c r="AD183" s="64"/>
      <c r="AE183" s="64"/>
      <c r="AF183" s="64"/>
      <c r="AG183" s="64"/>
      <c r="AH183" s="67"/>
      <c r="AI183" s="64"/>
      <c r="AJ183" s="64"/>
      <c r="AK183" s="64"/>
      <c r="AL183" s="64"/>
      <c r="AM183" s="64"/>
      <c r="AN183" s="67"/>
      <c r="AO183" s="64"/>
      <c r="AP183" s="64"/>
      <c r="AQ183" s="64"/>
      <c r="AR183" s="64"/>
      <c r="AS183" s="64"/>
      <c r="AT183" s="64"/>
      <c r="AU183" s="64"/>
      <c r="AV183" s="64"/>
      <c r="AW183" s="64"/>
      <c r="AX183" s="64"/>
      <c r="AY183" s="64"/>
      <c r="AZ183" s="64"/>
      <c r="BA183" s="64"/>
      <c r="BB183" s="64"/>
      <c r="BC183" s="64"/>
      <c r="BD183" s="657"/>
      <c r="BE183" s="657"/>
      <c r="BF183" s="67"/>
      <c r="BG183" s="64"/>
      <c r="BH183" s="64"/>
      <c r="BI183" s="64"/>
      <c r="BJ183" s="64"/>
      <c r="BK183" s="788"/>
      <c r="BL183" s="64"/>
      <c r="BM183" s="64"/>
      <c r="BN183" s="64"/>
      <c r="BO183" s="64"/>
      <c r="BP183" s="64"/>
      <c r="BQ183" s="788"/>
      <c r="BR183" s="69"/>
      <c r="BS183" s="69"/>
      <c r="BT183" s="64"/>
    </row>
    <row r="184" spans="1:72" ht="12.75" customHeight="1">
      <c r="A184" s="64"/>
      <c r="B184" s="64" t="s">
        <v>2772</v>
      </c>
      <c r="C184" s="64"/>
      <c r="D184" s="64" t="s">
        <v>2783</v>
      </c>
      <c r="E184" s="64"/>
      <c r="F184" s="67"/>
      <c r="G184" s="640"/>
      <c r="H184" s="64"/>
      <c r="I184" s="64"/>
      <c r="J184" s="64"/>
      <c r="K184" s="129" t="str">
        <f>'Sterne-Rechner - Angebot'!Y9</f>
        <v/>
      </c>
      <c r="L184" s="640"/>
      <c r="M184" s="64"/>
      <c r="N184" s="64"/>
      <c r="O184" s="64"/>
      <c r="P184" s="67"/>
      <c r="Q184" s="64"/>
      <c r="R184" s="64"/>
      <c r="S184" s="64"/>
      <c r="T184" s="64"/>
      <c r="U184" s="64"/>
      <c r="V184" s="67"/>
      <c r="W184" s="64"/>
      <c r="X184" s="64"/>
      <c r="Y184" s="64"/>
      <c r="Z184" s="64"/>
      <c r="AA184" s="64"/>
      <c r="AB184" s="67"/>
      <c r="AC184" s="64"/>
      <c r="AD184" s="64"/>
      <c r="AE184" s="64"/>
      <c r="AF184" s="64"/>
      <c r="AG184" s="64"/>
      <c r="AH184" s="67"/>
      <c r="AI184" s="64"/>
      <c r="AJ184" s="64"/>
      <c r="AK184" s="64"/>
      <c r="AL184" s="64"/>
      <c r="AM184" s="64"/>
      <c r="AN184" s="67"/>
      <c r="AO184" s="64"/>
      <c r="AP184" s="64"/>
      <c r="AQ184" s="64"/>
      <c r="AR184" s="64"/>
      <c r="AS184" s="64"/>
      <c r="AT184" s="64"/>
      <c r="AU184" s="64"/>
      <c r="AV184" s="64"/>
      <c r="AW184" s="64"/>
      <c r="AX184" s="64"/>
      <c r="AY184" s="64"/>
      <c r="AZ184" s="64"/>
      <c r="BA184" s="64"/>
      <c r="BB184" s="64"/>
      <c r="BC184" s="64"/>
      <c r="BD184" s="657"/>
      <c r="BE184" s="657"/>
      <c r="BF184" s="67"/>
      <c r="BG184" s="64"/>
      <c r="BH184" s="64"/>
      <c r="BI184" s="64"/>
      <c r="BJ184" s="64"/>
      <c r="BK184" s="788"/>
      <c r="BL184" s="64"/>
      <c r="BM184" s="64"/>
      <c r="BN184" s="64"/>
      <c r="BO184" s="64"/>
      <c r="BP184" s="64"/>
      <c r="BQ184" s="788"/>
      <c r="BR184" s="69"/>
      <c r="BS184" s="69"/>
      <c r="BT184" s="64"/>
    </row>
    <row r="185" spans="1:72" ht="12.75" customHeight="1">
      <c r="A185" s="64"/>
      <c r="B185" s="64" t="s">
        <v>2772</v>
      </c>
      <c r="C185" s="64"/>
      <c r="D185" s="64" t="s">
        <v>2784</v>
      </c>
      <c r="E185" s="64"/>
      <c r="F185" s="130" t="str">
        <f>'Sterne-Rechner - GI'!AS7</f>
        <v/>
      </c>
      <c r="G185" s="639"/>
      <c r="H185" s="64"/>
      <c r="I185" s="64"/>
      <c r="J185" s="64"/>
      <c r="K185" s="67"/>
      <c r="L185" s="639"/>
      <c r="M185" s="64"/>
      <c r="N185" s="64"/>
      <c r="O185" s="64"/>
      <c r="P185" s="67"/>
      <c r="Q185" s="64"/>
      <c r="R185" s="64"/>
      <c r="S185" s="64"/>
      <c r="T185" s="64"/>
      <c r="U185" s="64"/>
      <c r="V185" s="67"/>
      <c r="W185" s="64"/>
      <c r="X185" s="64"/>
      <c r="Y185" s="64"/>
      <c r="Z185" s="64"/>
      <c r="AA185" s="64"/>
      <c r="AB185" s="67"/>
      <c r="AC185" s="64"/>
      <c r="AD185" s="64"/>
      <c r="AE185" s="64"/>
      <c r="AF185" s="64"/>
      <c r="AG185" s="64"/>
      <c r="AH185" s="67"/>
      <c r="AI185" s="64"/>
      <c r="AJ185" s="64"/>
      <c r="AK185" s="64"/>
      <c r="AL185" s="64"/>
      <c r="AM185" s="64"/>
      <c r="AN185" s="67"/>
      <c r="AO185" s="64"/>
      <c r="AP185" s="64"/>
      <c r="AQ185" s="64"/>
      <c r="AR185" s="64"/>
      <c r="AS185" s="64"/>
      <c r="AT185" s="64"/>
      <c r="AU185" s="64"/>
      <c r="AV185" s="64"/>
      <c r="AW185" s="64"/>
      <c r="AX185" s="64"/>
      <c r="AY185" s="64"/>
      <c r="AZ185" s="64"/>
      <c r="BA185" s="64"/>
      <c r="BB185" s="64"/>
      <c r="BC185" s="64"/>
      <c r="BD185" s="657"/>
      <c r="BE185" s="657"/>
      <c r="BF185" s="67"/>
      <c r="BG185" s="64"/>
      <c r="BH185" s="64"/>
      <c r="BI185" s="64"/>
      <c r="BJ185" s="64"/>
      <c r="BK185" s="788"/>
      <c r="BL185" s="64"/>
      <c r="BM185" s="64"/>
      <c r="BN185" s="64"/>
      <c r="BO185" s="64"/>
      <c r="BP185" s="64"/>
      <c r="BQ185" s="788"/>
      <c r="BR185" s="69"/>
      <c r="BS185" s="69"/>
      <c r="BT185" s="64"/>
    </row>
    <row r="186" spans="1:72" ht="12.75" customHeight="1">
      <c r="A186" s="64"/>
      <c r="B186" s="64" t="s">
        <v>2772</v>
      </c>
      <c r="C186" s="64"/>
      <c r="D186" s="64" t="s">
        <v>2785</v>
      </c>
      <c r="E186" s="64"/>
      <c r="F186" s="130" t="str">
        <f>'Sterne-Rechner - GI'!AS8</f>
        <v/>
      </c>
      <c r="G186" s="639"/>
      <c r="H186" s="64"/>
      <c r="I186" s="64"/>
      <c r="J186" s="64"/>
      <c r="K186" s="67"/>
      <c r="L186" s="639"/>
      <c r="M186" s="64"/>
      <c r="N186" s="64"/>
      <c r="O186" s="64"/>
      <c r="P186" s="67"/>
      <c r="Q186" s="64"/>
      <c r="R186" s="64"/>
      <c r="S186" s="64"/>
      <c r="T186" s="64"/>
      <c r="U186" s="64"/>
      <c r="V186" s="67"/>
      <c r="W186" s="64"/>
      <c r="X186" s="64"/>
      <c r="Y186" s="64"/>
      <c r="Z186" s="64"/>
      <c r="AA186" s="64"/>
      <c r="AB186" s="67"/>
      <c r="AC186" s="64"/>
      <c r="AD186" s="64"/>
      <c r="AE186" s="64"/>
      <c r="AF186" s="64"/>
      <c r="AG186" s="64"/>
      <c r="AH186" s="67"/>
      <c r="AI186" s="64"/>
      <c r="AJ186" s="64"/>
      <c r="AK186" s="64"/>
      <c r="AL186" s="64"/>
      <c r="AM186" s="64"/>
      <c r="AN186" s="67"/>
      <c r="AO186" s="64"/>
      <c r="AP186" s="64"/>
      <c r="AQ186" s="64"/>
      <c r="AR186" s="64"/>
      <c r="AS186" s="64"/>
      <c r="AT186" s="64"/>
      <c r="AU186" s="64"/>
      <c r="AV186" s="64"/>
      <c r="AW186" s="64"/>
      <c r="AX186" s="64"/>
      <c r="AY186" s="64"/>
      <c r="AZ186" s="64"/>
      <c r="BA186" s="64"/>
      <c r="BB186" s="64"/>
      <c r="BC186" s="64"/>
      <c r="BD186" s="657"/>
      <c r="BE186" s="657"/>
      <c r="BF186" s="67"/>
      <c r="BG186" s="64"/>
      <c r="BH186" s="64"/>
      <c r="BI186" s="64"/>
      <c r="BJ186" s="64"/>
      <c r="BK186" s="788"/>
      <c r="BL186" s="64"/>
      <c r="BM186" s="64"/>
      <c r="BN186" s="64"/>
      <c r="BO186" s="64"/>
      <c r="BP186" s="64"/>
      <c r="BQ186" s="788"/>
      <c r="BR186" s="69"/>
      <c r="BS186" s="69"/>
      <c r="BT186" s="64"/>
    </row>
    <row r="187" spans="1:72" ht="12.75" customHeight="1">
      <c r="A187" s="64"/>
      <c r="B187" s="64" t="s">
        <v>2772</v>
      </c>
      <c r="C187" s="64"/>
      <c r="D187" s="64" t="s">
        <v>2786</v>
      </c>
      <c r="E187" s="64"/>
      <c r="F187" s="130" t="str">
        <f>'Sterne-Rechner - GI'!AS9</f>
        <v/>
      </c>
      <c r="G187" s="639"/>
      <c r="H187" s="64"/>
      <c r="I187" s="64"/>
      <c r="J187" s="64"/>
      <c r="K187" s="67"/>
      <c r="L187" s="639"/>
      <c r="M187" s="64"/>
      <c r="N187" s="64"/>
      <c r="O187" s="64"/>
      <c r="P187" s="67"/>
      <c r="Q187" s="64"/>
      <c r="R187" s="64"/>
      <c r="S187" s="64"/>
      <c r="T187" s="64"/>
      <c r="U187" s="64"/>
      <c r="V187" s="67"/>
      <c r="W187" s="64"/>
      <c r="X187" s="64"/>
      <c r="Y187" s="64"/>
      <c r="Z187" s="64"/>
      <c r="AA187" s="64"/>
      <c r="AB187" s="67"/>
      <c r="AC187" s="64"/>
      <c r="AD187" s="64"/>
      <c r="AE187" s="64"/>
      <c r="AF187" s="64"/>
      <c r="AG187" s="64"/>
      <c r="AH187" s="67"/>
      <c r="AI187" s="64"/>
      <c r="AJ187" s="64"/>
      <c r="AK187" s="64"/>
      <c r="AL187" s="64"/>
      <c r="AM187" s="64"/>
      <c r="AN187" s="67"/>
      <c r="AO187" s="64"/>
      <c r="AP187" s="64"/>
      <c r="AQ187" s="64"/>
      <c r="AR187" s="64"/>
      <c r="AS187" s="64"/>
      <c r="AT187" s="64"/>
      <c r="AU187" s="64"/>
      <c r="AV187" s="64"/>
      <c r="AW187" s="64"/>
      <c r="AX187" s="64"/>
      <c r="AY187" s="64"/>
      <c r="AZ187" s="64"/>
      <c r="BA187" s="64"/>
      <c r="BB187" s="64"/>
      <c r="BC187" s="64"/>
      <c r="BD187" s="657"/>
      <c r="BE187" s="657"/>
      <c r="BF187" s="67"/>
      <c r="BG187" s="64"/>
      <c r="BH187" s="64"/>
      <c r="BI187" s="64"/>
      <c r="BJ187" s="64"/>
      <c r="BK187" s="788"/>
      <c r="BL187" s="64"/>
      <c r="BM187" s="64"/>
      <c r="BN187" s="64"/>
      <c r="BO187" s="64"/>
      <c r="BP187" s="64"/>
      <c r="BQ187" s="788"/>
      <c r="BR187" s="69"/>
      <c r="BS187" s="69"/>
      <c r="BT187" s="64"/>
    </row>
    <row r="188" spans="1:72" ht="12.75" customHeight="1">
      <c r="A188" s="64"/>
      <c r="B188" s="64" t="s">
        <v>2772</v>
      </c>
      <c r="C188" s="64"/>
      <c r="D188" s="64" t="s">
        <v>2787</v>
      </c>
      <c r="E188" s="64"/>
      <c r="F188" s="67"/>
      <c r="G188" s="640"/>
      <c r="H188" s="64"/>
      <c r="I188" s="64"/>
      <c r="J188" s="64"/>
      <c r="K188" s="130" t="str">
        <f>'Sterne-Rechner - Angebot'!N7</f>
        <v/>
      </c>
      <c r="L188" s="640"/>
      <c r="M188" s="64"/>
      <c r="N188" s="64"/>
      <c r="O188" s="64"/>
      <c r="P188" s="67"/>
      <c r="Q188" s="64"/>
      <c r="R188" s="64"/>
      <c r="S188" s="64"/>
      <c r="T188" s="64"/>
      <c r="U188" s="64"/>
      <c r="V188" s="67"/>
      <c r="W188" s="64"/>
      <c r="X188" s="64"/>
      <c r="Y188" s="64"/>
      <c r="Z188" s="64"/>
      <c r="AA188" s="64"/>
      <c r="AB188" s="67"/>
      <c r="AC188" s="64"/>
      <c r="AD188" s="64"/>
      <c r="AE188" s="64"/>
      <c r="AF188" s="64"/>
      <c r="AG188" s="64"/>
      <c r="AH188" s="67"/>
      <c r="AI188" s="64"/>
      <c r="AJ188" s="64"/>
      <c r="AK188" s="64"/>
      <c r="AL188" s="64"/>
      <c r="AM188" s="64"/>
      <c r="AN188" s="67"/>
      <c r="AO188" s="64"/>
      <c r="AP188" s="64"/>
      <c r="AQ188" s="64"/>
      <c r="AR188" s="64"/>
      <c r="AS188" s="64"/>
      <c r="AT188" s="64"/>
      <c r="AU188" s="64"/>
      <c r="AV188" s="64"/>
      <c r="AW188" s="64"/>
      <c r="AX188" s="64"/>
      <c r="AY188" s="64"/>
      <c r="AZ188" s="64"/>
      <c r="BA188" s="64"/>
      <c r="BB188" s="64"/>
      <c r="BC188" s="64"/>
      <c r="BD188" s="657"/>
      <c r="BE188" s="657"/>
      <c r="BF188" s="67"/>
      <c r="BG188" s="64"/>
      <c r="BH188" s="64"/>
      <c r="BI188" s="64"/>
      <c r="BJ188" s="64"/>
      <c r="BK188" s="788"/>
      <c r="BL188" s="64"/>
      <c r="BM188" s="64"/>
      <c r="BN188" s="64"/>
      <c r="BO188" s="64"/>
      <c r="BP188" s="64"/>
      <c r="BQ188" s="788"/>
      <c r="BR188" s="69"/>
      <c r="BS188" s="69"/>
      <c r="BT188" s="64"/>
    </row>
    <row r="189" spans="1:72" ht="12.75" customHeight="1">
      <c r="A189" s="64"/>
      <c r="B189" s="64" t="s">
        <v>2772</v>
      </c>
      <c r="C189" s="64"/>
      <c r="D189" s="64" t="s">
        <v>2788</v>
      </c>
      <c r="E189" s="64"/>
      <c r="F189" s="67"/>
      <c r="G189" s="640"/>
      <c r="H189" s="64"/>
      <c r="I189" s="64"/>
      <c r="J189" s="64"/>
      <c r="K189" s="130" t="str">
        <f>'Sterne-Rechner - Angebot'!N8</f>
        <v/>
      </c>
      <c r="L189" s="640"/>
      <c r="M189" s="64"/>
      <c r="N189" s="64"/>
      <c r="O189" s="64"/>
      <c r="P189" s="67"/>
      <c r="Q189" s="64"/>
      <c r="R189" s="64"/>
      <c r="S189" s="64"/>
      <c r="T189" s="64"/>
      <c r="U189" s="64"/>
      <c r="V189" s="67"/>
      <c r="W189" s="64"/>
      <c r="X189" s="64"/>
      <c r="Y189" s="64"/>
      <c r="Z189" s="64"/>
      <c r="AA189" s="64"/>
      <c r="AB189" s="67"/>
      <c r="AC189" s="64"/>
      <c r="AD189" s="64"/>
      <c r="AE189" s="64"/>
      <c r="AF189" s="64"/>
      <c r="AG189" s="64"/>
      <c r="AH189" s="67"/>
      <c r="AI189" s="64"/>
      <c r="AJ189" s="64"/>
      <c r="AK189" s="64"/>
      <c r="AL189" s="64"/>
      <c r="AM189" s="64"/>
      <c r="AN189" s="67"/>
      <c r="AO189" s="64"/>
      <c r="AP189" s="64"/>
      <c r="AQ189" s="64"/>
      <c r="AR189" s="64"/>
      <c r="AS189" s="64"/>
      <c r="AT189" s="64"/>
      <c r="AU189" s="64"/>
      <c r="AV189" s="64"/>
      <c r="AW189" s="64"/>
      <c r="AX189" s="64"/>
      <c r="AY189" s="64"/>
      <c r="AZ189" s="64"/>
      <c r="BA189" s="64"/>
      <c r="BB189" s="64"/>
      <c r="BC189" s="64"/>
      <c r="BD189" s="657"/>
      <c r="BE189" s="657"/>
      <c r="BF189" s="67"/>
      <c r="BG189" s="64"/>
      <c r="BH189" s="64"/>
      <c r="BI189" s="64"/>
      <c r="BJ189" s="64"/>
      <c r="BK189" s="788"/>
      <c r="BL189" s="64"/>
      <c r="BM189" s="64"/>
      <c r="BN189" s="64"/>
      <c r="BO189" s="64"/>
      <c r="BP189" s="64"/>
      <c r="BQ189" s="788"/>
      <c r="BR189" s="69"/>
      <c r="BS189" s="69"/>
      <c r="BT189" s="64"/>
    </row>
    <row r="190" spans="1:72" ht="12.75" customHeight="1">
      <c r="A190" s="64"/>
      <c r="B190" s="64" t="s">
        <v>2772</v>
      </c>
      <c r="C190" s="64"/>
      <c r="D190" s="64" t="s">
        <v>2789</v>
      </c>
      <c r="E190" s="64"/>
      <c r="F190" s="67"/>
      <c r="G190" s="640"/>
      <c r="H190" s="64"/>
      <c r="I190" s="64"/>
      <c r="J190" s="64"/>
      <c r="K190" s="130" t="str">
        <f>'Sterne-Rechner - Angebot'!N9</f>
        <v/>
      </c>
      <c r="L190" s="640"/>
      <c r="M190" s="64"/>
      <c r="N190" s="64"/>
      <c r="O190" s="64"/>
      <c r="P190" s="67"/>
      <c r="Q190" s="64"/>
      <c r="R190" s="64"/>
      <c r="S190" s="64"/>
      <c r="T190" s="64"/>
      <c r="U190" s="64"/>
      <c r="V190" s="67"/>
      <c r="W190" s="64"/>
      <c r="X190" s="64"/>
      <c r="Y190" s="64"/>
      <c r="Z190" s="64"/>
      <c r="AA190" s="64"/>
      <c r="AB190" s="67"/>
      <c r="AC190" s="64"/>
      <c r="AD190" s="64"/>
      <c r="AE190" s="64"/>
      <c r="AF190" s="64"/>
      <c r="AG190" s="64"/>
      <c r="AH190" s="67"/>
      <c r="AI190" s="64"/>
      <c r="AJ190" s="64"/>
      <c r="AK190" s="64"/>
      <c r="AL190" s="64"/>
      <c r="AM190" s="64"/>
      <c r="AN190" s="67"/>
      <c r="AO190" s="64"/>
      <c r="AP190" s="64"/>
      <c r="AQ190" s="64"/>
      <c r="AR190" s="64"/>
      <c r="AS190" s="64"/>
      <c r="AT190" s="64"/>
      <c r="AU190" s="64"/>
      <c r="AV190" s="64"/>
      <c r="AW190" s="64"/>
      <c r="AX190" s="64"/>
      <c r="AY190" s="64"/>
      <c r="AZ190" s="64"/>
      <c r="BA190" s="64"/>
      <c r="BB190" s="64"/>
      <c r="BC190" s="64"/>
      <c r="BD190" s="657"/>
      <c r="BE190" s="657"/>
      <c r="BF190" s="67"/>
      <c r="BG190" s="64"/>
      <c r="BH190" s="64"/>
      <c r="BI190" s="64"/>
      <c r="BJ190" s="64"/>
      <c r="BK190" s="788"/>
      <c r="BL190" s="64"/>
      <c r="BM190" s="64"/>
      <c r="BN190" s="64"/>
      <c r="BO190" s="64"/>
      <c r="BP190" s="64"/>
      <c r="BQ190" s="788"/>
      <c r="BR190" s="69"/>
      <c r="BS190" s="69"/>
      <c r="BT190" s="64"/>
    </row>
    <row r="191" spans="1:72" ht="12.75" customHeight="1">
      <c r="A191" s="64"/>
      <c r="B191" s="64" t="s">
        <v>2772</v>
      </c>
      <c r="C191" s="64"/>
      <c r="D191" s="64"/>
      <c r="E191" s="64"/>
      <c r="F191" s="67"/>
      <c r="G191" s="640"/>
      <c r="H191" s="64"/>
      <c r="I191" s="64"/>
      <c r="J191" s="64"/>
      <c r="K191" s="67"/>
      <c r="L191" s="640"/>
      <c r="M191" s="64"/>
      <c r="N191" s="64"/>
      <c r="O191" s="64"/>
      <c r="P191" s="67"/>
      <c r="Q191" s="64"/>
      <c r="R191" s="64"/>
      <c r="S191" s="64"/>
      <c r="T191" s="64"/>
      <c r="U191" s="64"/>
      <c r="V191" s="67"/>
      <c r="W191" s="64"/>
      <c r="X191" s="64"/>
      <c r="Y191" s="64"/>
      <c r="Z191" s="64"/>
      <c r="AA191" s="64"/>
      <c r="AB191" s="67"/>
      <c r="AC191" s="64"/>
      <c r="AD191" s="64"/>
      <c r="AE191" s="64"/>
      <c r="AF191" s="64"/>
      <c r="AG191" s="64"/>
      <c r="AH191" s="67"/>
      <c r="AI191" s="64"/>
      <c r="AJ191" s="64"/>
      <c r="AK191" s="64"/>
      <c r="AL191" s="64"/>
      <c r="AM191" s="64"/>
      <c r="AN191" s="67"/>
      <c r="AO191" s="64"/>
      <c r="AP191" s="64"/>
      <c r="AQ191" s="64"/>
      <c r="AR191" s="64"/>
      <c r="AS191" s="64"/>
      <c r="AT191" s="64"/>
      <c r="AU191" s="64"/>
      <c r="AV191" s="64"/>
      <c r="AW191" s="64"/>
      <c r="AX191" s="64"/>
      <c r="AY191" s="64"/>
      <c r="AZ191" s="64"/>
      <c r="BA191" s="64"/>
      <c r="BB191" s="64"/>
      <c r="BC191" s="64"/>
      <c r="BD191" s="64"/>
      <c r="BE191" s="657"/>
      <c r="BF191" s="67"/>
      <c r="BG191" s="64"/>
      <c r="BH191" s="64"/>
      <c r="BI191" s="64"/>
      <c r="BJ191" s="64"/>
      <c r="BK191" s="788"/>
      <c r="BL191" s="64"/>
      <c r="BM191" s="64"/>
      <c r="BN191" s="64"/>
      <c r="BO191" s="64"/>
      <c r="BP191" s="64"/>
      <c r="BQ191" s="788"/>
      <c r="BR191" s="69"/>
      <c r="BS191" s="69"/>
      <c r="BT191" s="64"/>
    </row>
    <row r="192" spans="1:72" ht="12.75" customHeight="1">
      <c r="A192" s="64"/>
      <c r="B192" s="64" t="s">
        <v>2772</v>
      </c>
      <c r="C192" s="64"/>
      <c r="D192" s="64" t="s">
        <v>2790</v>
      </c>
      <c r="E192" s="64"/>
      <c r="F192" s="67"/>
      <c r="G192" s="640"/>
      <c r="H192" s="64"/>
      <c r="I192" s="64"/>
      <c r="J192" s="64"/>
      <c r="K192" s="129" t="str">
        <f>StatusAXAFacility</f>
        <v>OFFER_DECLINED</v>
      </c>
      <c r="L192" s="640"/>
      <c r="M192" s="64"/>
      <c r="N192" s="64"/>
      <c r="O192" s="64"/>
      <c r="P192" s="67"/>
      <c r="Q192" s="64"/>
      <c r="R192" s="64"/>
      <c r="S192" s="64"/>
      <c r="T192" s="64"/>
      <c r="U192" s="64"/>
      <c r="V192" s="67"/>
      <c r="W192" s="64"/>
      <c r="X192" s="64"/>
      <c r="Y192" s="64"/>
      <c r="Z192" s="64"/>
      <c r="AA192" s="64"/>
      <c r="AB192" s="67"/>
      <c r="AC192" s="64"/>
      <c r="AD192" s="64"/>
      <c r="AE192" s="64"/>
      <c r="AF192" s="64"/>
      <c r="AG192" s="64"/>
      <c r="AH192" s="67"/>
      <c r="AI192" s="64"/>
      <c r="AJ192" s="64"/>
      <c r="AK192" s="64"/>
      <c r="AL192" s="64"/>
      <c r="AM192" s="64"/>
      <c r="AN192" s="67"/>
      <c r="AO192" s="64"/>
      <c r="AP192" s="64"/>
      <c r="AQ192" s="64"/>
      <c r="AR192" s="64"/>
      <c r="AS192" s="64"/>
      <c r="AT192" s="64"/>
      <c r="AU192" s="64"/>
      <c r="AV192" s="64"/>
      <c r="AW192" s="64"/>
      <c r="AX192" s="64"/>
      <c r="AY192" s="64"/>
      <c r="AZ192" s="64"/>
      <c r="BA192" s="64"/>
      <c r="BB192" s="64"/>
      <c r="BC192" s="64"/>
      <c r="BD192" s="64"/>
      <c r="BE192" s="657"/>
      <c r="BF192" s="67"/>
      <c r="BG192" s="64"/>
      <c r="BH192" s="64"/>
      <c r="BI192" s="64"/>
      <c r="BJ192" s="64"/>
      <c r="BK192" s="788"/>
      <c r="BL192" s="64"/>
      <c r="BM192" s="64"/>
      <c r="BN192" s="64"/>
      <c r="BO192" s="64"/>
      <c r="BP192" s="64"/>
      <c r="BQ192" s="788"/>
      <c r="BR192" s="69"/>
      <c r="BS192" s="69"/>
      <c r="BT192" s="64"/>
    </row>
    <row r="193" spans="1:72" ht="12.75" customHeight="1">
      <c r="A193" s="64"/>
      <c r="B193" s="64" t="s">
        <v>2772</v>
      </c>
      <c r="C193" s="64"/>
      <c r="D193" s="64" t="s">
        <v>2791</v>
      </c>
      <c r="E193" s="64"/>
      <c r="F193" s="67"/>
      <c r="G193" s="640"/>
      <c r="H193" s="64"/>
      <c r="I193" s="64"/>
      <c r="J193" s="64"/>
      <c r="K193" s="67"/>
      <c r="L193" s="640"/>
      <c r="M193" s="64"/>
      <c r="N193" s="64"/>
      <c r="O193" s="64"/>
      <c r="P193" s="67"/>
      <c r="Q193" s="64"/>
      <c r="R193" s="64"/>
      <c r="S193" s="64"/>
      <c r="T193" s="64"/>
      <c r="U193" s="64"/>
      <c r="V193" s="67"/>
      <c r="W193" s="64"/>
      <c r="X193" s="64"/>
      <c r="Y193" s="64"/>
      <c r="Z193" s="64"/>
      <c r="AA193" s="64"/>
      <c r="AB193" s="67"/>
      <c r="AC193" s="64"/>
      <c r="AD193" s="64"/>
      <c r="AE193" s="64"/>
      <c r="AF193" s="64"/>
      <c r="AG193" s="64"/>
      <c r="AH193" s="67"/>
      <c r="AI193" s="64"/>
      <c r="AJ193" s="64"/>
      <c r="AK193" s="64"/>
      <c r="AL193" s="64"/>
      <c r="AM193" s="64"/>
      <c r="AN193" s="67"/>
      <c r="AO193" s="64"/>
      <c r="AP193" s="64"/>
      <c r="AQ193" s="64"/>
      <c r="AR193" s="64"/>
      <c r="AS193" s="64"/>
      <c r="AT193" s="64"/>
      <c r="AU193" s="64"/>
      <c r="AV193" s="64"/>
      <c r="AW193" s="64"/>
      <c r="AX193" s="64"/>
      <c r="AY193" s="64"/>
      <c r="AZ193" s="64"/>
      <c r="BA193" s="64"/>
      <c r="BB193" s="64"/>
      <c r="BC193" s="64"/>
      <c r="BD193" s="64"/>
      <c r="BE193" s="657"/>
      <c r="BF193" s="67"/>
      <c r="BG193" s="64"/>
      <c r="BH193" s="64"/>
      <c r="BI193" s="64"/>
      <c r="BJ193" s="64"/>
      <c r="BK193" s="788"/>
      <c r="BL193" s="64"/>
      <c r="BM193" s="64"/>
      <c r="BN193" s="64"/>
      <c r="BO193" s="64"/>
      <c r="BP193" s="64"/>
      <c r="BQ193" s="788"/>
      <c r="BR193" s="69"/>
      <c r="BS193" s="69"/>
      <c r="BT193" s="64"/>
    </row>
    <row r="194" spans="1:72" ht="12.75" customHeight="1">
      <c r="A194" s="64"/>
      <c r="B194" s="64" t="s">
        <v>2772</v>
      </c>
      <c r="C194" s="64"/>
      <c r="D194" s="64" t="s">
        <v>2792</v>
      </c>
      <c r="E194" s="64"/>
      <c r="F194" s="67"/>
      <c r="G194" s="640"/>
      <c r="H194" s="64"/>
      <c r="I194" s="64"/>
      <c r="J194" s="64"/>
      <c r="K194" s="67"/>
      <c r="L194" s="640"/>
      <c r="M194" s="64"/>
      <c r="N194" s="64"/>
      <c r="O194" s="64"/>
      <c r="P194" s="67"/>
      <c r="Q194" s="64"/>
      <c r="R194" s="64"/>
      <c r="S194" s="64"/>
      <c r="T194" s="64"/>
      <c r="U194" s="64"/>
      <c r="V194" s="67"/>
      <c r="W194" s="64"/>
      <c r="X194" s="64"/>
      <c r="Y194" s="64"/>
      <c r="Z194" s="64"/>
      <c r="AA194" s="64"/>
      <c r="AB194" s="67"/>
      <c r="AC194" s="64"/>
      <c r="AD194" s="64"/>
      <c r="AE194" s="64"/>
      <c r="AF194" s="64"/>
      <c r="AG194" s="64"/>
      <c r="AH194" s="67"/>
      <c r="AI194" s="64"/>
      <c r="AJ194" s="64"/>
      <c r="AK194" s="64"/>
      <c r="AL194" s="64"/>
      <c r="AM194" s="64"/>
      <c r="AN194" s="67"/>
      <c r="AO194" s="64"/>
      <c r="AP194" s="64"/>
      <c r="AQ194" s="64"/>
      <c r="AR194" s="64"/>
      <c r="AS194" s="64"/>
      <c r="AT194" s="64"/>
      <c r="AU194" s="64"/>
      <c r="AV194" s="64"/>
      <c r="AW194" s="64"/>
      <c r="AX194" s="64"/>
      <c r="AY194" s="64"/>
      <c r="AZ194" s="64"/>
      <c r="BA194" s="64"/>
      <c r="BB194" s="64"/>
      <c r="BC194" s="64"/>
      <c r="BD194" s="64"/>
      <c r="BE194" s="657"/>
      <c r="BF194" s="67"/>
      <c r="BG194" s="64"/>
      <c r="BH194" s="64"/>
      <c r="BI194" s="64"/>
      <c r="BJ194" s="64"/>
      <c r="BK194" s="788"/>
      <c r="BL194" s="64"/>
      <c r="BM194" s="64"/>
      <c r="BN194" s="64"/>
      <c r="BO194" s="64"/>
      <c r="BP194" s="64"/>
      <c r="BQ194" s="788"/>
      <c r="BR194" s="69"/>
      <c r="BS194" s="69"/>
      <c r="BT194" s="64"/>
    </row>
    <row r="195" spans="1:72" ht="12.75" customHeight="1">
      <c r="A195" s="64"/>
      <c r="B195" s="64" t="s">
        <v>2772</v>
      </c>
      <c r="C195" s="64"/>
      <c r="D195" s="64" t="s">
        <v>2793</v>
      </c>
      <c r="E195" s="64"/>
      <c r="F195" s="67"/>
      <c r="G195" s="639"/>
      <c r="H195" s="64"/>
      <c r="I195" s="64"/>
      <c r="J195" s="64"/>
      <c r="K195" s="67"/>
      <c r="L195" s="639"/>
      <c r="M195" s="64"/>
      <c r="N195" s="64"/>
      <c r="O195" s="64"/>
      <c r="P195" s="67"/>
      <c r="Q195" s="64"/>
      <c r="R195" s="64"/>
      <c r="S195" s="64"/>
      <c r="T195" s="64"/>
      <c r="U195" s="64"/>
      <c r="V195" s="67"/>
      <c r="W195" s="64"/>
      <c r="X195" s="64"/>
      <c r="Y195" s="64"/>
      <c r="Z195" s="64"/>
      <c r="AA195" s="64"/>
      <c r="AB195" s="67"/>
      <c r="AC195" s="64"/>
      <c r="AD195" s="64"/>
      <c r="AE195" s="64"/>
      <c r="AF195" s="64"/>
      <c r="AG195" s="64"/>
      <c r="AH195" s="67"/>
      <c r="AI195" s="64"/>
      <c r="AJ195" s="64"/>
      <c r="AK195" s="64"/>
      <c r="AL195" s="64"/>
      <c r="AM195" s="64"/>
      <c r="AN195" s="67"/>
      <c r="AO195" s="64"/>
      <c r="AP195" s="64"/>
      <c r="AQ195" s="64"/>
      <c r="AR195" s="64"/>
      <c r="AS195" s="64"/>
      <c r="AT195" s="64"/>
      <c r="AU195" s="64"/>
      <c r="AV195" s="64"/>
      <c r="AW195" s="64"/>
      <c r="AX195" s="64"/>
      <c r="AY195" s="64"/>
      <c r="AZ195" s="64"/>
      <c r="BA195" s="64"/>
      <c r="BB195" s="64"/>
      <c r="BC195" s="64"/>
      <c r="BD195" s="64"/>
      <c r="BE195" s="657"/>
      <c r="BF195" s="67"/>
      <c r="BG195" s="64"/>
      <c r="BH195" s="64"/>
      <c r="BI195" s="64"/>
      <c r="BJ195" s="64"/>
      <c r="BK195" s="788"/>
      <c r="BL195" s="64"/>
      <c r="BM195" s="64"/>
      <c r="BN195" s="64"/>
      <c r="BO195" s="64"/>
      <c r="BP195" s="64"/>
      <c r="BQ195" s="788"/>
      <c r="BR195" s="69"/>
      <c r="BS195" s="69"/>
      <c r="BT195" s="64"/>
    </row>
    <row r="196" spans="1:72" ht="12.75" customHeight="1">
      <c r="A196" s="64"/>
      <c r="B196" s="64" t="s">
        <v>2772</v>
      </c>
      <c r="C196" s="64"/>
      <c r="D196" s="128" t="s">
        <v>2795</v>
      </c>
      <c r="E196" s="128"/>
      <c r="F196" s="67"/>
      <c r="G196" s="639"/>
      <c r="H196" s="64"/>
      <c r="I196" s="64"/>
      <c r="J196" s="64"/>
      <c r="K196" s="67"/>
      <c r="L196" s="639"/>
      <c r="M196" s="64"/>
      <c r="N196" s="64"/>
      <c r="O196" s="64"/>
      <c r="P196" s="67"/>
      <c r="Q196" s="64"/>
      <c r="R196" s="64"/>
      <c r="S196" s="64"/>
      <c r="T196" s="64"/>
      <c r="U196" s="64"/>
      <c r="V196" s="67"/>
      <c r="W196" s="64"/>
      <c r="X196" s="64"/>
      <c r="Y196" s="64"/>
      <c r="Z196" s="64"/>
      <c r="AA196" s="64"/>
      <c r="AB196" s="67"/>
      <c r="AC196" s="64"/>
      <c r="AD196" s="64"/>
      <c r="AE196" s="64"/>
      <c r="AF196" s="64"/>
      <c r="AG196" s="64"/>
      <c r="AH196" s="67"/>
      <c r="AI196" s="64"/>
      <c r="AJ196" s="64"/>
      <c r="AK196" s="64"/>
      <c r="AL196" s="64"/>
      <c r="AM196" s="64"/>
      <c r="AN196" s="67"/>
      <c r="AO196" s="64"/>
      <c r="AP196" s="64"/>
      <c r="AQ196" s="64"/>
      <c r="AR196" s="64"/>
      <c r="AS196" s="64"/>
      <c r="AT196" s="64"/>
      <c r="AU196" s="64"/>
      <c r="AV196" s="64"/>
      <c r="AW196" s="64"/>
      <c r="AX196" s="64"/>
      <c r="AY196" s="64"/>
      <c r="AZ196" s="64"/>
      <c r="BA196" s="64"/>
      <c r="BB196" s="64"/>
      <c r="BC196" s="64"/>
      <c r="BD196" s="64"/>
      <c r="BE196" s="657"/>
      <c r="BF196" s="67"/>
      <c r="BG196" s="64"/>
      <c r="BH196" s="64"/>
      <c r="BI196" s="64"/>
      <c r="BJ196" s="64"/>
      <c r="BK196" s="788"/>
      <c r="BL196" s="64"/>
      <c r="BM196" s="64"/>
      <c r="BN196" s="64"/>
      <c r="BO196" s="64"/>
      <c r="BP196" s="64"/>
      <c r="BQ196" s="788"/>
      <c r="BR196" s="69"/>
      <c r="BS196" s="69"/>
      <c r="BT196" s="64"/>
    </row>
    <row r="197" spans="1:72" ht="12.75" customHeight="1">
      <c r="A197" s="64"/>
      <c r="B197" s="64" t="s">
        <v>2772</v>
      </c>
      <c r="C197" s="64"/>
      <c r="D197" s="64" t="s">
        <v>2774</v>
      </c>
      <c r="E197" s="64"/>
      <c r="F197" s="67"/>
      <c r="G197" s="639"/>
      <c r="H197" s="64"/>
      <c r="I197" s="64"/>
      <c r="J197" s="64"/>
      <c r="K197" s="67"/>
      <c r="L197" s="639"/>
      <c r="M197" s="64"/>
      <c r="N197" s="64"/>
      <c r="O197" s="64"/>
      <c r="P197" s="67"/>
      <c r="Q197" s="64"/>
      <c r="R197" s="64"/>
      <c r="S197" s="64"/>
      <c r="T197" s="64"/>
      <c r="U197" s="64"/>
      <c r="V197" s="67"/>
      <c r="W197" s="64"/>
      <c r="X197" s="64"/>
      <c r="Y197" s="64"/>
      <c r="Z197" s="64"/>
      <c r="AA197" s="64"/>
      <c r="AB197" s="67"/>
      <c r="AC197" s="64"/>
      <c r="AD197" s="64"/>
      <c r="AE197" s="64"/>
      <c r="AF197" s="64"/>
      <c r="AG197" s="64"/>
      <c r="AH197" s="67"/>
      <c r="AI197" s="64"/>
      <c r="AJ197" s="64"/>
      <c r="AK197" s="64"/>
      <c r="AL197" s="64"/>
      <c r="AM197" s="64"/>
      <c r="AN197" s="67"/>
      <c r="AO197" s="64"/>
      <c r="AP197" s="64"/>
      <c r="AQ197" s="64"/>
      <c r="AR197" s="64"/>
      <c r="AS197" s="64"/>
      <c r="AT197" s="64"/>
      <c r="AU197" s="64"/>
      <c r="AV197" s="64"/>
      <c r="AW197" s="64"/>
      <c r="AX197" s="64"/>
      <c r="AY197" s="64"/>
      <c r="AZ197" s="64"/>
      <c r="BA197" s="64"/>
      <c r="BB197" s="64"/>
      <c r="BC197" s="64"/>
      <c r="BD197" s="64"/>
      <c r="BE197" s="657"/>
      <c r="BF197" s="67"/>
      <c r="BG197" s="64"/>
      <c r="BH197" s="64"/>
      <c r="BI197" s="64"/>
      <c r="BJ197" s="64"/>
      <c r="BK197" s="788"/>
      <c r="BL197" s="64"/>
      <c r="BM197" s="64"/>
      <c r="BN197" s="64"/>
      <c r="BO197" s="64"/>
      <c r="BP197" s="64"/>
      <c r="BQ197" s="788"/>
      <c r="BR197" s="69"/>
      <c r="BS197" s="69"/>
      <c r="BT197" s="64"/>
    </row>
    <row r="198" spans="1:72" ht="12.75" customHeight="1">
      <c r="A198" s="64"/>
      <c r="B198" s="64" t="s">
        <v>2772</v>
      </c>
      <c r="C198" s="64"/>
      <c r="D198" s="64" t="s">
        <v>2775</v>
      </c>
      <c r="E198" s="64"/>
      <c r="F198" s="67"/>
      <c r="G198" s="639"/>
      <c r="H198" s="64"/>
      <c r="I198" s="64"/>
      <c r="J198" s="64"/>
      <c r="K198" s="67"/>
      <c r="L198" s="639"/>
      <c r="M198" s="64"/>
      <c r="N198" s="64"/>
      <c r="O198" s="64"/>
      <c r="P198" s="67"/>
      <c r="Q198" s="64"/>
      <c r="R198" s="64"/>
      <c r="S198" s="64"/>
      <c r="T198" s="64"/>
      <c r="U198" s="64"/>
      <c r="V198" s="67"/>
      <c r="W198" s="64"/>
      <c r="X198" s="64"/>
      <c r="Y198" s="64"/>
      <c r="Z198" s="64"/>
      <c r="AA198" s="64"/>
      <c r="AB198" s="67"/>
      <c r="AC198" s="64"/>
      <c r="AD198" s="64"/>
      <c r="AE198" s="64"/>
      <c r="AF198" s="64"/>
      <c r="AG198" s="64"/>
      <c r="AH198" s="67"/>
      <c r="AI198" s="64"/>
      <c r="AJ198" s="64"/>
      <c r="AK198" s="64"/>
      <c r="AL198" s="64"/>
      <c r="AM198" s="64"/>
      <c r="AN198" s="67"/>
      <c r="AO198" s="64"/>
      <c r="AP198" s="64"/>
      <c r="AQ198" s="64"/>
      <c r="AR198" s="64"/>
      <c r="AS198" s="64"/>
      <c r="AT198" s="64"/>
      <c r="AU198" s="64"/>
      <c r="AV198" s="64"/>
      <c r="AW198" s="64"/>
      <c r="AX198" s="64"/>
      <c r="AY198" s="64"/>
      <c r="AZ198" s="64"/>
      <c r="BA198" s="64"/>
      <c r="BB198" s="64"/>
      <c r="BC198" s="64"/>
      <c r="BD198" s="64"/>
      <c r="BE198" s="657"/>
      <c r="BF198" s="67"/>
      <c r="BG198" s="64"/>
      <c r="BH198" s="64"/>
      <c r="BI198" s="64"/>
      <c r="BJ198" s="64"/>
      <c r="BK198" s="788"/>
      <c r="BL198" s="64"/>
      <c r="BM198" s="64"/>
      <c r="BN198" s="64"/>
      <c r="BO198" s="64"/>
      <c r="BP198" s="64"/>
      <c r="BQ198" s="788"/>
      <c r="BR198" s="69"/>
      <c r="BS198" s="69"/>
      <c r="BT198" s="64"/>
    </row>
    <row r="199" spans="1:72" ht="12.75" customHeight="1">
      <c r="A199" s="64"/>
      <c r="B199" s="64" t="s">
        <v>2772</v>
      </c>
      <c r="C199" s="64"/>
      <c r="D199" s="64" t="s">
        <v>2776</v>
      </c>
      <c r="E199" s="64"/>
      <c r="F199" s="67"/>
      <c r="G199" s="639"/>
      <c r="H199" s="64"/>
      <c r="I199" s="64"/>
      <c r="J199" s="64"/>
      <c r="K199" s="67"/>
      <c r="L199" s="639"/>
      <c r="M199" s="64"/>
      <c r="N199" s="64"/>
      <c r="O199" s="64"/>
      <c r="P199" s="67"/>
      <c r="Q199" s="64"/>
      <c r="R199" s="64"/>
      <c r="S199" s="64"/>
      <c r="T199" s="64"/>
      <c r="U199" s="64"/>
      <c r="V199" s="67"/>
      <c r="W199" s="64"/>
      <c r="X199" s="64"/>
      <c r="Y199" s="64"/>
      <c r="Z199" s="64"/>
      <c r="AA199" s="64"/>
      <c r="AB199" s="67"/>
      <c r="AC199" s="64"/>
      <c r="AD199" s="64"/>
      <c r="AE199" s="64"/>
      <c r="AF199" s="64"/>
      <c r="AG199" s="64"/>
      <c r="AH199" s="67"/>
      <c r="AI199" s="64"/>
      <c r="AJ199" s="64"/>
      <c r="AK199" s="64"/>
      <c r="AL199" s="64"/>
      <c r="AM199" s="64"/>
      <c r="AN199" s="67"/>
      <c r="AO199" s="64"/>
      <c r="AP199" s="64"/>
      <c r="AQ199" s="64"/>
      <c r="AR199" s="64"/>
      <c r="AS199" s="64"/>
      <c r="AT199" s="64"/>
      <c r="AU199" s="64"/>
      <c r="AV199" s="64"/>
      <c r="AW199" s="64"/>
      <c r="AX199" s="64"/>
      <c r="AY199" s="64"/>
      <c r="AZ199" s="64"/>
      <c r="BA199" s="64"/>
      <c r="BB199" s="64"/>
      <c r="BC199" s="64"/>
      <c r="BD199" s="64"/>
      <c r="BE199" s="657"/>
      <c r="BF199" s="67"/>
      <c r="BG199" s="64"/>
      <c r="BH199" s="64"/>
      <c r="BI199" s="64"/>
      <c r="BJ199" s="64"/>
      <c r="BK199" s="788"/>
      <c r="BL199" s="64"/>
      <c r="BM199" s="64"/>
      <c r="BN199" s="64"/>
      <c r="BO199" s="64"/>
      <c r="BP199" s="64"/>
      <c r="BQ199" s="788"/>
      <c r="BR199" s="69"/>
      <c r="BS199" s="69"/>
      <c r="BT199" s="64"/>
    </row>
    <row r="200" spans="1:72" ht="12.75" customHeight="1">
      <c r="A200" s="64"/>
      <c r="B200" s="64" t="s">
        <v>2772</v>
      </c>
      <c r="C200" s="64"/>
      <c r="D200" s="64" t="s">
        <v>2777</v>
      </c>
      <c r="E200" s="64"/>
      <c r="F200" s="67"/>
      <c r="G200" s="639"/>
      <c r="H200" s="64"/>
      <c r="I200" s="64"/>
      <c r="J200" s="64"/>
      <c r="K200" s="67"/>
      <c r="L200" s="639"/>
      <c r="M200" s="64"/>
      <c r="N200" s="64"/>
      <c r="O200" s="64"/>
      <c r="P200" s="67"/>
      <c r="Q200" s="64"/>
      <c r="R200" s="64"/>
      <c r="S200" s="64"/>
      <c r="T200" s="64"/>
      <c r="U200" s="64"/>
      <c r="V200" s="67"/>
      <c r="W200" s="64"/>
      <c r="X200" s="64"/>
      <c r="Y200" s="64"/>
      <c r="Z200" s="64"/>
      <c r="AA200" s="64"/>
      <c r="AB200" s="67"/>
      <c r="AC200" s="64"/>
      <c r="AD200" s="64"/>
      <c r="AE200" s="64"/>
      <c r="AF200" s="64"/>
      <c r="AG200" s="64"/>
      <c r="AH200" s="67"/>
      <c r="AI200" s="64"/>
      <c r="AJ200" s="64"/>
      <c r="AK200" s="64"/>
      <c r="AL200" s="64"/>
      <c r="AM200" s="64"/>
      <c r="AN200" s="67"/>
      <c r="AO200" s="64"/>
      <c r="AP200" s="64"/>
      <c r="AQ200" s="64"/>
      <c r="AR200" s="64"/>
      <c r="AS200" s="64"/>
      <c r="AT200" s="64"/>
      <c r="AU200" s="64"/>
      <c r="AV200" s="64"/>
      <c r="AW200" s="64"/>
      <c r="AX200" s="64"/>
      <c r="AY200" s="64"/>
      <c r="AZ200" s="64"/>
      <c r="BA200" s="64"/>
      <c r="BB200" s="64"/>
      <c r="BC200" s="64"/>
      <c r="BD200" s="64"/>
      <c r="BE200" s="657"/>
      <c r="BF200" s="67"/>
      <c r="BG200" s="64"/>
      <c r="BH200" s="64"/>
      <c r="BI200" s="64"/>
      <c r="BJ200" s="64"/>
      <c r="BK200" s="788"/>
      <c r="BL200" s="64"/>
      <c r="BM200" s="64"/>
      <c r="BN200" s="64"/>
      <c r="BO200" s="64"/>
      <c r="BP200" s="64"/>
      <c r="BQ200" s="788"/>
      <c r="BR200" s="69"/>
      <c r="BS200" s="69"/>
      <c r="BT200" s="64"/>
    </row>
    <row r="201" spans="1:72" ht="12.75" customHeight="1">
      <c r="A201" s="64"/>
      <c r="B201" s="64" t="s">
        <v>2772</v>
      </c>
      <c r="C201" s="64"/>
      <c r="D201" s="64" t="s">
        <v>2778</v>
      </c>
      <c r="E201" s="64"/>
      <c r="F201" s="129" t="str">
        <f>'Sterne-Rechner - GI'!AO10</f>
        <v/>
      </c>
      <c r="G201" s="639"/>
      <c r="H201" s="64"/>
      <c r="I201" s="64"/>
      <c r="J201" s="64"/>
      <c r="K201" s="67"/>
      <c r="L201" s="639"/>
      <c r="M201" s="64"/>
      <c r="N201" s="64"/>
      <c r="O201" s="64"/>
      <c r="P201" s="67"/>
      <c r="Q201" s="64"/>
      <c r="R201" s="64"/>
      <c r="S201" s="64"/>
      <c r="T201" s="64"/>
      <c r="U201" s="64"/>
      <c r="V201" s="67"/>
      <c r="W201" s="64"/>
      <c r="X201" s="64"/>
      <c r="Y201" s="64"/>
      <c r="Z201" s="64"/>
      <c r="AA201" s="64"/>
      <c r="AB201" s="67"/>
      <c r="AC201" s="64"/>
      <c r="AD201" s="64"/>
      <c r="AE201" s="64"/>
      <c r="AF201" s="64"/>
      <c r="AG201" s="64"/>
      <c r="AH201" s="67"/>
      <c r="AI201" s="64"/>
      <c r="AJ201" s="64"/>
      <c r="AK201" s="64"/>
      <c r="AL201" s="64"/>
      <c r="AM201" s="64"/>
      <c r="AN201" s="67"/>
      <c r="AO201" s="64"/>
      <c r="AP201" s="64"/>
      <c r="AQ201" s="64"/>
      <c r="AR201" s="64"/>
      <c r="AS201" s="64"/>
      <c r="AT201" s="64"/>
      <c r="AU201" s="64"/>
      <c r="AV201" s="64"/>
      <c r="AW201" s="64"/>
      <c r="AX201" s="64"/>
      <c r="AY201" s="64"/>
      <c r="AZ201" s="64"/>
      <c r="BA201" s="64"/>
      <c r="BB201" s="64"/>
      <c r="BC201" s="64"/>
      <c r="BD201" s="64"/>
      <c r="BE201" s="657"/>
      <c r="BF201" s="67"/>
      <c r="BG201" s="64"/>
      <c r="BH201" s="64"/>
      <c r="BI201" s="64"/>
      <c r="BJ201" s="64"/>
      <c r="BK201" s="788"/>
      <c r="BL201" s="64"/>
      <c r="BM201" s="64"/>
      <c r="BN201" s="64"/>
      <c r="BO201" s="64"/>
      <c r="BP201" s="64"/>
      <c r="BQ201" s="788"/>
      <c r="BR201" s="69"/>
      <c r="BS201" s="69"/>
      <c r="BT201" s="64"/>
    </row>
    <row r="202" spans="1:72" ht="12.75" customHeight="1">
      <c r="A202" s="64"/>
      <c r="B202" s="64" t="s">
        <v>2772</v>
      </c>
      <c r="C202" s="64"/>
      <c r="D202" s="64" t="s">
        <v>2779</v>
      </c>
      <c r="E202" s="64"/>
      <c r="F202" s="129" t="str">
        <f>'Sterne-Rechner - GI'!AP11</f>
        <v/>
      </c>
      <c r="G202" s="639"/>
      <c r="H202" s="64"/>
      <c r="I202" s="64"/>
      <c r="J202" s="64"/>
      <c r="K202" s="67"/>
      <c r="L202" s="639"/>
      <c r="M202" s="64"/>
      <c r="N202" s="64"/>
      <c r="O202" s="64"/>
      <c r="P202" s="67"/>
      <c r="Q202" s="64"/>
      <c r="R202" s="64"/>
      <c r="S202" s="64"/>
      <c r="T202" s="64"/>
      <c r="U202" s="64"/>
      <c r="V202" s="67"/>
      <c r="W202" s="64"/>
      <c r="X202" s="64"/>
      <c r="Y202" s="64"/>
      <c r="Z202" s="64"/>
      <c r="AA202" s="64"/>
      <c r="AB202" s="67"/>
      <c r="AC202" s="64"/>
      <c r="AD202" s="64"/>
      <c r="AE202" s="64"/>
      <c r="AF202" s="64"/>
      <c r="AG202" s="64"/>
      <c r="AH202" s="67"/>
      <c r="AI202" s="64"/>
      <c r="AJ202" s="64"/>
      <c r="AK202" s="64"/>
      <c r="AL202" s="64"/>
      <c r="AM202" s="64"/>
      <c r="AN202" s="67"/>
      <c r="AO202" s="64"/>
      <c r="AP202" s="64"/>
      <c r="AQ202" s="64"/>
      <c r="AR202" s="64"/>
      <c r="AS202" s="64"/>
      <c r="AT202" s="64"/>
      <c r="AU202" s="64"/>
      <c r="AV202" s="64"/>
      <c r="AW202" s="64"/>
      <c r="AX202" s="64"/>
      <c r="AY202" s="64"/>
      <c r="AZ202" s="64"/>
      <c r="BA202" s="64"/>
      <c r="BB202" s="64"/>
      <c r="BC202" s="64"/>
      <c r="BD202" s="64"/>
      <c r="BE202" s="657"/>
      <c r="BF202" s="67"/>
      <c r="BG202" s="64"/>
      <c r="BH202" s="64"/>
      <c r="BI202" s="64"/>
      <c r="BJ202" s="64"/>
      <c r="BK202" s="788"/>
      <c r="BL202" s="64"/>
      <c r="BM202" s="64"/>
      <c r="BN202" s="64"/>
      <c r="BO202" s="64"/>
      <c r="BP202" s="64"/>
      <c r="BQ202" s="788"/>
      <c r="BR202" s="69"/>
      <c r="BS202" s="69"/>
      <c r="BT202" s="64"/>
    </row>
    <row r="203" spans="1:72" ht="12.75" customHeight="1">
      <c r="A203" s="64"/>
      <c r="B203" s="64" t="s">
        <v>2772</v>
      </c>
      <c r="C203" s="64"/>
      <c r="D203" s="64" t="s">
        <v>2780</v>
      </c>
      <c r="E203" s="64"/>
      <c r="F203" s="129" t="str">
        <f>'Sterne-Rechner - GI'!AQ12</f>
        <v/>
      </c>
      <c r="G203" s="639"/>
      <c r="H203" s="64"/>
      <c r="I203" s="64"/>
      <c r="J203" s="64"/>
      <c r="K203" s="67"/>
      <c r="L203" s="639"/>
      <c r="M203" s="64"/>
      <c r="N203" s="64"/>
      <c r="O203" s="64"/>
      <c r="P203" s="67"/>
      <c r="Q203" s="64"/>
      <c r="R203" s="64"/>
      <c r="S203" s="64"/>
      <c r="T203" s="64"/>
      <c r="U203" s="64"/>
      <c r="V203" s="67"/>
      <c r="W203" s="64"/>
      <c r="X203" s="64"/>
      <c r="Y203" s="64"/>
      <c r="Z203" s="64"/>
      <c r="AA203" s="64"/>
      <c r="AB203" s="67"/>
      <c r="AC203" s="64"/>
      <c r="AD203" s="64"/>
      <c r="AE203" s="64"/>
      <c r="AF203" s="64"/>
      <c r="AG203" s="64"/>
      <c r="AH203" s="67"/>
      <c r="AI203" s="64"/>
      <c r="AJ203" s="64"/>
      <c r="AK203" s="64"/>
      <c r="AL203" s="64"/>
      <c r="AM203" s="64"/>
      <c r="AN203" s="67"/>
      <c r="AO203" s="64"/>
      <c r="AP203" s="64"/>
      <c r="AQ203" s="64"/>
      <c r="AR203" s="64"/>
      <c r="AS203" s="64"/>
      <c r="AT203" s="64"/>
      <c r="AU203" s="64"/>
      <c r="AV203" s="64"/>
      <c r="AW203" s="64"/>
      <c r="AX203" s="64"/>
      <c r="AY203" s="64"/>
      <c r="AZ203" s="64"/>
      <c r="BA203" s="64"/>
      <c r="BB203" s="64"/>
      <c r="BC203" s="64"/>
      <c r="BD203" s="64"/>
      <c r="BE203" s="657"/>
      <c r="BF203" s="67"/>
      <c r="BG203" s="64"/>
      <c r="BH203" s="64"/>
      <c r="BI203" s="64"/>
      <c r="BJ203" s="64"/>
      <c r="BK203" s="788"/>
      <c r="BL203" s="64"/>
      <c r="BM203" s="64"/>
      <c r="BN203" s="64"/>
      <c r="BO203" s="64"/>
      <c r="BP203" s="64"/>
      <c r="BQ203" s="788"/>
      <c r="BR203" s="69"/>
      <c r="BS203" s="69"/>
      <c r="BT203" s="64"/>
    </row>
    <row r="204" spans="1:72" ht="12.75" customHeight="1">
      <c r="A204" s="64"/>
      <c r="B204" s="64" t="s">
        <v>2772</v>
      </c>
      <c r="C204" s="64"/>
      <c r="D204" s="64" t="s">
        <v>2781</v>
      </c>
      <c r="E204" s="64"/>
      <c r="F204" s="67"/>
      <c r="G204" s="640"/>
      <c r="H204" s="64"/>
      <c r="I204" s="64"/>
      <c r="J204" s="64"/>
      <c r="K204" s="129" t="str">
        <f ca="1">'Sterne-Rechner - Angebot'!Y10</f>
        <v/>
      </c>
      <c r="L204" s="640"/>
      <c r="M204" s="64"/>
      <c r="N204" s="64"/>
      <c r="O204" s="64"/>
      <c r="P204" s="67"/>
      <c r="Q204" s="64"/>
      <c r="R204" s="64"/>
      <c r="S204" s="64"/>
      <c r="T204" s="64"/>
      <c r="U204" s="64"/>
      <c r="V204" s="67"/>
      <c r="W204" s="64"/>
      <c r="X204" s="64"/>
      <c r="Y204" s="64"/>
      <c r="Z204" s="64"/>
      <c r="AA204" s="64"/>
      <c r="AB204" s="67"/>
      <c r="AC204" s="64"/>
      <c r="AD204" s="64"/>
      <c r="AE204" s="64"/>
      <c r="AF204" s="64"/>
      <c r="AG204" s="64"/>
      <c r="AH204" s="67"/>
      <c r="AI204" s="64"/>
      <c r="AJ204" s="64"/>
      <c r="AK204" s="64"/>
      <c r="AL204" s="64"/>
      <c r="AM204" s="64"/>
      <c r="AN204" s="67"/>
      <c r="AO204" s="64"/>
      <c r="AP204" s="64"/>
      <c r="AQ204" s="64"/>
      <c r="AR204" s="64"/>
      <c r="AS204" s="64"/>
      <c r="AT204" s="64"/>
      <c r="AU204" s="64"/>
      <c r="AV204" s="64"/>
      <c r="AW204" s="64"/>
      <c r="AX204" s="64"/>
      <c r="AY204" s="64"/>
      <c r="AZ204" s="64"/>
      <c r="BA204" s="64"/>
      <c r="BB204" s="64"/>
      <c r="BC204" s="64"/>
      <c r="BD204" s="64"/>
      <c r="BE204" s="657"/>
      <c r="BF204" s="67"/>
      <c r="BG204" s="64"/>
      <c r="BH204" s="64"/>
      <c r="BI204" s="64"/>
      <c r="BJ204" s="64"/>
      <c r="BK204" s="788"/>
      <c r="BL204" s="64"/>
      <c r="BM204" s="64"/>
      <c r="BN204" s="64"/>
      <c r="BO204" s="64"/>
      <c r="BP204" s="64"/>
      <c r="BQ204" s="788"/>
      <c r="BR204" s="69"/>
      <c r="BS204" s="69"/>
      <c r="BT204" s="64"/>
    </row>
    <row r="205" spans="1:72" ht="12.75" customHeight="1">
      <c r="A205" s="64"/>
      <c r="B205" s="64" t="s">
        <v>2772</v>
      </c>
      <c r="C205" s="64"/>
      <c r="D205" s="64" t="s">
        <v>2782</v>
      </c>
      <c r="E205" s="64"/>
      <c r="F205" s="67"/>
      <c r="G205" s="640"/>
      <c r="H205" s="64"/>
      <c r="I205" s="64"/>
      <c r="J205" s="64"/>
      <c r="K205" s="129" t="str">
        <f ca="1">'Sterne-Rechner - Angebot'!Y11</f>
        <v/>
      </c>
      <c r="L205" s="640"/>
      <c r="M205" s="64"/>
      <c r="N205" s="64"/>
      <c r="O205" s="64"/>
      <c r="P205" s="67"/>
      <c r="Q205" s="64"/>
      <c r="R205" s="64"/>
      <c r="S205" s="64"/>
      <c r="T205" s="64"/>
      <c r="U205" s="64"/>
      <c r="V205" s="67"/>
      <c r="W205" s="64"/>
      <c r="X205" s="64"/>
      <c r="Y205" s="64"/>
      <c r="Z205" s="64"/>
      <c r="AA205" s="64"/>
      <c r="AB205" s="67"/>
      <c r="AC205" s="64"/>
      <c r="AD205" s="64"/>
      <c r="AE205" s="64"/>
      <c r="AF205" s="64"/>
      <c r="AG205" s="64"/>
      <c r="AH205" s="67"/>
      <c r="AI205" s="64"/>
      <c r="AJ205" s="64"/>
      <c r="AK205" s="64"/>
      <c r="AL205" s="64"/>
      <c r="AM205" s="64"/>
      <c r="AN205" s="67"/>
      <c r="AO205" s="64"/>
      <c r="AP205" s="64"/>
      <c r="AQ205" s="64"/>
      <c r="AR205" s="64"/>
      <c r="AS205" s="64"/>
      <c r="AT205" s="64"/>
      <c r="AU205" s="64"/>
      <c r="AV205" s="64"/>
      <c r="AW205" s="64"/>
      <c r="AX205" s="64"/>
      <c r="AY205" s="64"/>
      <c r="AZ205" s="64"/>
      <c r="BA205" s="64"/>
      <c r="BB205" s="64"/>
      <c r="BC205" s="64"/>
      <c r="BD205" s="64"/>
      <c r="BE205" s="657"/>
      <c r="BF205" s="67"/>
      <c r="BG205" s="64"/>
      <c r="BH205" s="64"/>
      <c r="BI205" s="64"/>
      <c r="BJ205" s="64"/>
      <c r="BK205" s="788"/>
      <c r="BL205" s="64"/>
      <c r="BM205" s="64"/>
      <c r="BN205" s="64"/>
      <c r="BO205" s="64"/>
      <c r="BP205" s="64"/>
      <c r="BQ205" s="788"/>
      <c r="BR205" s="69"/>
      <c r="BS205" s="69"/>
      <c r="BT205" s="64"/>
    </row>
    <row r="206" spans="1:72" ht="12.75" customHeight="1">
      <c r="A206" s="64"/>
      <c r="B206" s="64" t="s">
        <v>2772</v>
      </c>
      <c r="C206" s="64"/>
      <c r="D206" s="64" t="s">
        <v>2783</v>
      </c>
      <c r="E206" s="64"/>
      <c r="F206" s="67"/>
      <c r="G206" s="640"/>
      <c r="H206" s="64"/>
      <c r="I206" s="64"/>
      <c r="J206" s="64"/>
      <c r="K206" s="129" t="str">
        <f ca="1">'Sterne-Rechner - Angebot'!Y12</f>
        <v/>
      </c>
      <c r="L206" s="640"/>
      <c r="M206" s="64"/>
      <c r="N206" s="64"/>
      <c r="O206" s="64"/>
      <c r="P206" s="67"/>
      <c r="Q206" s="64"/>
      <c r="R206" s="64"/>
      <c r="S206" s="64"/>
      <c r="T206" s="64"/>
      <c r="U206" s="64"/>
      <c r="V206" s="67"/>
      <c r="W206" s="64"/>
      <c r="X206" s="64"/>
      <c r="Y206" s="64"/>
      <c r="Z206" s="64"/>
      <c r="AA206" s="64"/>
      <c r="AB206" s="67"/>
      <c r="AC206" s="64"/>
      <c r="AD206" s="64"/>
      <c r="AE206" s="64"/>
      <c r="AF206" s="64"/>
      <c r="AG206" s="64"/>
      <c r="AH206" s="67"/>
      <c r="AI206" s="64"/>
      <c r="AJ206" s="64"/>
      <c r="AK206" s="64"/>
      <c r="AL206" s="64"/>
      <c r="AM206" s="64"/>
      <c r="AN206" s="67"/>
      <c r="AO206" s="64"/>
      <c r="AP206" s="64"/>
      <c r="AQ206" s="64"/>
      <c r="AR206" s="64"/>
      <c r="AS206" s="64"/>
      <c r="AT206" s="64"/>
      <c r="AU206" s="64"/>
      <c r="AV206" s="64"/>
      <c r="AW206" s="64"/>
      <c r="AX206" s="64"/>
      <c r="AY206" s="64"/>
      <c r="AZ206" s="64"/>
      <c r="BA206" s="64"/>
      <c r="BB206" s="64"/>
      <c r="BC206" s="64"/>
      <c r="BD206" s="64"/>
      <c r="BE206" s="657"/>
      <c r="BF206" s="67"/>
      <c r="BG206" s="64"/>
      <c r="BH206" s="64"/>
      <c r="BI206" s="64"/>
      <c r="BJ206" s="64"/>
      <c r="BK206" s="788"/>
      <c r="BL206" s="64"/>
      <c r="BM206" s="64"/>
      <c r="BN206" s="64"/>
      <c r="BO206" s="64"/>
      <c r="BP206" s="64"/>
      <c r="BQ206" s="788"/>
      <c r="BR206" s="69"/>
      <c r="BS206" s="69"/>
      <c r="BT206" s="64"/>
    </row>
    <row r="207" spans="1:72" ht="12.75" customHeight="1">
      <c r="A207" s="64"/>
      <c r="B207" s="64" t="s">
        <v>2772</v>
      </c>
      <c r="C207" s="64"/>
      <c r="D207" s="64" t="s">
        <v>2784</v>
      </c>
      <c r="E207" s="64"/>
      <c r="F207" s="130">
        <f>'Sterne-Rechner - GI'!AS10</f>
        <v>0</v>
      </c>
      <c r="G207" s="639"/>
      <c r="H207" s="64"/>
      <c r="I207" s="64"/>
      <c r="J207" s="64"/>
      <c r="K207" s="67"/>
      <c r="L207" s="639"/>
      <c r="M207" s="64"/>
      <c r="N207" s="64"/>
      <c r="O207" s="64"/>
      <c r="P207" s="67"/>
      <c r="Q207" s="64"/>
      <c r="R207" s="64"/>
      <c r="S207" s="64"/>
      <c r="T207" s="64"/>
      <c r="U207" s="64"/>
      <c r="V207" s="67"/>
      <c r="W207" s="64"/>
      <c r="X207" s="64"/>
      <c r="Y207" s="64"/>
      <c r="Z207" s="64"/>
      <c r="AA207" s="64"/>
      <c r="AB207" s="67"/>
      <c r="AC207" s="64"/>
      <c r="AD207" s="64"/>
      <c r="AE207" s="64"/>
      <c r="AF207" s="64"/>
      <c r="AG207" s="64"/>
      <c r="AH207" s="67"/>
      <c r="AI207" s="64"/>
      <c r="AJ207" s="64"/>
      <c r="AK207" s="64"/>
      <c r="AL207" s="64"/>
      <c r="AM207" s="64"/>
      <c r="AN207" s="67"/>
      <c r="AO207" s="64"/>
      <c r="AP207" s="64"/>
      <c r="AQ207" s="64"/>
      <c r="AR207" s="64"/>
      <c r="AS207" s="64"/>
      <c r="AT207" s="64"/>
      <c r="AU207" s="64"/>
      <c r="AV207" s="64"/>
      <c r="AW207" s="64"/>
      <c r="AX207" s="64"/>
      <c r="AY207" s="64"/>
      <c r="AZ207" s="64"/>
      <c r="BA207" s="64"/>
      <c r="BB207" s="64"/>
      <c r="BC207" s="64"/>
      <c r="BD207" s="64"/>
      <c r="BE207" s="657"/>
      <c r="BF207" s="67"/>
      <c r="BG207" s="64"/>
      <c r="BH207" s="64"/>
      <c r="BI207" s="64"/>
      <c r="BJ207" s="64"/>
      <c r="BK207" s="788"/>
      <c r="BL207" s="64"/>
      <c r="BM207" s="64"/>
      <c r="BN207" s="64"/>
      <c r="BO207" s="64"/>
      <c r="BP207" s="64"/>
      <c r="BQ207" s="788"/>
      <c r="BR207" s="69"/>
      <c r="BS207" s="69"/>
      <c r="BT207" s="64"/>
    </row>
    <row r="208" spans="1:72" ht="12.75" customHeight="1">
      <c r="A208" s="64"/>
      <c r="B208" s="64" t="s">
        <v>2772</v>
      </c>
      <c r="C208" s="64"/>
      <c r="D208" s="64" t="s">
        <v>2785</v>
      </c>
      <c r="E208" s="64"/>
      <c r="F208" s="130">
        <f>'Sterne-Rechner - GI'!AS11</f>
        <v>0</v>
      </c>
      <c r="G208" s="639"/>
      <c r="H208" s="64"/>
      <c r="I208" s="64"/>
      <c r="J208" s="64"/>
      <c r="K208" s="67"/>
      <c r="L208" s="639"/>
      <c r="M208" s="64"/>
      <c r="N208" s="64"/>
      <c r="O208" s="64"/>
      <c r="P208" s="67"/>
      <c r="Q208" s="64"/>
      <c r="R208" s="64"/>
      <c r="S208" s="64"/>
      <c r="T208" s="64"/>
      <c r="U208" s="64"/>
      <c r="V208" s="67"/>
      <c r="W208" s="64"/>
      <c r="X208" s="64"/>
      <c r="Y208" s="64"/>
      <c r="Z208" s="64"/>
      <c r="AA208" s="64"/>
      <c r="AB208" s="67"/>
      <c r="AC208" s="64"/>
      <c r="AD208" s="64"/>
      <c r="AE208" s="64"/>
      <c r="AF208" s="64"/>
      <c r="AG208" s="64"/>
      <c r="AH208" s="67"/>
      <c r="AI208" s="64"/>
      <c r="AJ208" s="64"/>
      <c r="AK208" s="64"/>
      <c r="AL208" s="64"/>
      <c r="AM208" s="64"/>
      <c r="AN208" s="67"/>
      <c r="AO208" s="64"/>
      <c r="AP208" s="64"/>
      <c r="AQ208" s="64"/>
      <c r="AR208" s="64"/>
      <c r="AS208" s="64"/>
      <c r="AT208" s="64"/>
      <c r="AU208" s="64"/>
      <c r="AV208" s="64"/>
      <c r="AW208" s="64"/>
      <c r="AX208" s="64"/>
      <c r="AY208" s="64"/>
      <c r="AZ208" s="64"/>
      <c r="BA208" s="64"/>
      <c r="BB208" s="64"/>
      <c r="BC208" s="64"/>
      <c r="BD208" s="64"/>
      <c r="BE208" s="657"/>
      <c r="BF208" s="67"/>
      <c r="BG208" s="64"/>
      <c r="BH208" s="64"/>
      <c r="BI208" s="64"/>
      <c r="BJ208" s="64"/>
      <c r="BK208" s="788"/>
      <c r="BL208" s="64"/>
      <c r="BM208" s="64"/>
      <c r="BN208" s="64"/>
      <c r="BO208" s="64"/>
      <c r="BP208" s="64"/>
      <c r="BQ208" s="788"/>
      <c r="BR208" s="69"/>
      <c r="BS208" s="69"/>
      <c r="BT208" s="64"/>
    </row>
    <row r="209" spans="1:72" ht="12.75" customHeight="1">
      <c r="A209" s="64"/>
      <c r="B209" s="64" t="s">
        <v>2772</v>
      </c>
      <c r="C209" s="64"/>
      <c r="D209" s="64" t="s">
        <v>2786</v>
      </c>
      <c r="E209" s="64"/>
      <c r="F209" s="130">
        <f>'Sterne-Rechner - GI'!AS12</f>
        <v>0</v>
      </c>
      <c r="G209" s="639"/>
      <c r="H209" s="64"/>
      <c r="I209" s="64"/>
      <c r="J209" s="64"/>
      <c r="K209" s="67"/>
      <c r="L209" s="639"/>
      <c r="M209" s="64"/>
      <c r="N209" s="64"/>
      <c r="O209" s="64"/>
      <c r="P209" s="67"/>
      <c r="Q209" s="64"/>
      <c r="R209" s="64"/>
      <c r="S209" s="64"/>
      <c r="T209" s="64"/>
      <c r="U209" s="64"/>
      <c r="V209" s="67"/>
      <c r="W209" s="64"/>
      <c r="X209" s="64"/>
      <c r="Y209" s="64"/>
      <c r="Z209" s="64"/>
      <c r="AA209" s="64"/>
      <c r="AB209" s="67"/>
      <c r="AC209" s="64"/>
      <c r="AD209" s="64"/>
      <c r="AE209" s="64"/>
      <c r="AF209" s="64"/>
      <c r="AG209" s="64"/>
      <c r="AH209" s="67"/>
      <c r="AI209" s="64"/>
      <c r="AJ209" s="64"/>
      <c r="AK209" s="64"/>
      <c r="AL209" s="64"/>
      <c r="AM209" s="64"/>
      <c r="AN209" s="67"/>
      <c r="AO209" s="64"/>
      <c r="AP209" s="64"/>
      <c r="AQ209" s="64"/>
      <c r="AR209" s="64"/>
      <c r="AS209" s="64"/>
      <c r="AT209" s="64"/>
      <c r="AU209" s="64"/>
      <c r="AV209" s="64"/>
      <c r="AW209" s="64"/>
      <c r="AX209" s="64"/>
      <c r="AY209" s="64"/>
      <c r="AZ209" s="64"/>
      <c r="BA209" s="64"/>
      <c r="BB209" s="64"/>
      <c r="BC209" s="64"/>
      <c r="BD209" s="64"/>
      <c r="BE209" s="657"/>
      <c r="BF209" s="67"/>
      <c r="BG209" s="64"/>
      <c r="BH209" s="64"/>
      <c r="BI209" s="64"/>
      <c r="BJ209" s="64"/>
      <c r="BK209" s="788"/>
      <c r="BL209" s="64"/>
      <c r="BM209" s="64"/>
      <c r="BN209" s="64"/>
      <c r="BO209" s="64"/>
      <c r="BP209" s="64"/>
      <c r="BQ209" s="788"/>
      <c r="BR209" s="69"/>
      <c r="BS209" s="69"/>
      <c r="BT209" s="64"/>
    </row>
    <row r="210" spans="1:72" ht="12.75" customHeight="1">
      <c r="A210" s="64"/>
      <c r="B210" s="64" t="s">
        <v>2772</v>
      </c>
      <c r="C210" s="64"/>
      <c r="D210" s="64" t="s">
        <v>2787</v>
      </c>
      <c r="E210" s="64"/>
      <c r="F210" s="67"/>
      <c r="G210" s="640"/>
      <c r="H210" s="64"/>
      <c r="I210" s="64"/>
      <c r="J210" s="64"/>
      <c r="K210" s="130">
        <f>'Sterne-Rechner - Angebot'!N10</f>
        <v>0</v>
      </c>
      <c r="L210" s="640"/>
      <c r="M210" s="64"/>
      <c r="N210" s="64"/>
      <c r="O210" s="64"/>
      <c r="P210" s="67"/>
      <c r="Q210" s="64"/>
      <c r="R210" s="64"/>
      <c r="S210" s="64"/>
      <c r="T210" s="64"/>
      <c r="U210" s="64"/>
      <c r="V210" s="67"/>
      <c r="W210" s="64"/>
      <c r="X210" s="64"/>
      <c r="Y210" s="64"/>
      <c r="Z210" s="64"/>
      <c r="AA210" s="64"/>
      <c r="AB210" s="67"/>
      <c r="AC210" s="64"/>
      <c r="AD210" s="64"/>
      <c r="AE210" s="64"/>
      <c r="AF210" s="64"/>
      <c r="AG210" s="64"/>
      <c r="AH210" s="67"/>
      <c r="AI210" s="64"/>
      <c r="AJ210" s="64"/>
      <c r="AK210" s="64"/>
      <c r="AL210" s="64"/>
      <c r="AM210" s="64"/>
      <c r="AN210" s="67"/>
      <c r="AO210" s="64"/>
      <c r="AP210" s="64"/>
      <c r="AQ210" s="64"/>
      <c r="AR210" s="64"/>
      <c r="AS210" s="64"/>
      <c r="AT210" s="64"/>
      <c r="AU210" s="64"/>
      <c r="AV210" s="64"/>
      <c r="AW210" s="64"/>
      <c r="AX210" s="64"/>
      <c r="AY210" s="64"/>
      <c r="AZ210" s="64"/>
      <c r="BA210" s="64"/>
      <c r="BB210" s="64"/>
      <c r="BC210" s="64"/>
      <c r="BD210" s="64"/>
      <c r="BE210" s="657"/>
      <c r="BF210" s="67"/>
      <c r="BG210" s="64"/>
      <c r="BH210" s="64"/>
      <c r="BI210" s="64"/>
      <c r="BJ210" s="64"/>
      <c r="BK210" s="788"/>
      <c r="BL210" s="64"/>
      <c r="BM210" s="64"/>
      <c r="BN210" s="64"/>
      <c r="BO210" s="64"/>
      <c r="BP210" s="64"/>
      <c r="BQ210" s="788"/>
      <c r="BR210" s="69"/>
      <c r="BS210" s="69"/>
      <c r="BT210" s="64"/>
    </row>
    <row r="211" spans="1:72" ht="12.75" customHeight="1">
      <c r="A211" s="64"/>
      <c r="B211" s="64" t="s">
        <v>2772</v>
      </c>
      <c r="C211" s="64"/>
      <c r="D211" s="64" t="s">
        <v>2788</v>
      </c>
      <c r="E211" s="64"/>
      <c r="F211" s="67"/>
      <c r="G211" s="640"/>
      <c r="H211" s="64"/>
      <c r="I211" s="64"/>
      <c r="J211" s="64"/>
      <c r="K211" s="130">
        <f>'Sterne-Rechner - Angebot'!N11</f>
        <v>0</v>
      </c>
      <c r="L211" s="640"/>
      <c r="M211" s="64"/>
      <c r="N211" s="64"/>
      <c r="O211" s="64"/>
      <c r="P211" s="67"/>
      <c r="Q211" s="64"/>
      <c r="R211" s="64"/>
      <c r="S211" s="64"/>
      <c r="T211" s="64"/>
      <c r="U211" s="64"/>
      <c r="V211" s="67"/>
      <c r="W211" s="64"/>
      <c r="X211" s="64"/>
      <c r="Y211" s="64"/>
      <c r="Z211" s="64"/>
      <c r="AA211" s="64"/>
      <c r="AB211" s="67"/>
      <c r="AC211" s="64"/>
      <c r="AD211" s="64"/>
      <c r="AE211" s="64"/>
      <c r="AF211" s="64"/>
      <c r="AG211" s="64"/>
      <c r="AH211" s="67"/>
      <c r="AI211" s="64"/>
      <c r="AJ211" s="64"/>
      <c r="AK211" s="64"/>
      <c r="AL211" s="64"/>
      <c r="AM211" s="64"/>
      <c r="AN211" s="67"/>
      <c r="AO211" s="64"/>
      <c r="AP211" s="64"/>
      <c r="AQ211" s="64"/>
      <c r="AR211" s="64"/>
      <c r="AS211" s="64"/>
      <c r="AT211" s="64"/>
      <c r="AU211" s="64"/>
      <c r="AV211" s="64"/>
      <c r="AW211" s="64"/>
      <c r="AX211" s="64"/>
      <c r="AY211" s="64"/>
      <c r="AZ211" s="64"/>
      <c r="BA211" s="64"/>
      <c r="BB211" s="64"/>
      <c r="BC211" s="64"/>
      <c r="BD211" s="64"/>
      <c r="BE211" s="657"/>
      <c r="BF211" s="67"/>
      <c r="BG211" s="64"/>
      <c r="BH211" s="64"/>
      <c r="BI211" s="64"/>
      <c r="BJ211" s="64"/>
      <c r="BK211" s="788"/>
      <c r="BL211" s="64"/>
      <c r="BM211" s="64"/>
      <c r="BN211" s="64"/>
      <c r="BO211" s="64"/>
      <c r="BP211" s="64"/>
      <c r="BQ211" s="788"/>
      <c r="BR211" s="69"/>
      <c r="BS211" s="69"/>
      <c r="BT211" s="64"/>
    </row>
    <row r="212" spans="1:72" ht="12.75" customHeight="1">
      <c r="A212" s="64"/>
      <c r="B212" s="64" t="s">
        <v>2772</v>
      </c>
      <c r="C212" s="64"/>
      <c r="D212" s="64" t="s">
        <v>2789</v>
      </c>
      <c r="E212" s="64"/>
      <c r="F212" s="67"/>
      <c r="G212" s="640"/>
      <c r="H212" s="64"/>
      <c r="I212" s="64"/>
      <c r="J212" s="64"/>
      <c r="K212" s="130">
        <f>'Sterne-Rechner - Angebot'!N12</f>
        <v>0</v>
      </c>
      <c r="L212" s="640"/>
      <c r="M212" s="64"/>
      <c r="N212" s="64"/>
      <c r="O212" s="64"/>
      <c r="P212" s="67"/>
      <c r="Q212" s="64"/>
      <c r="R212" s="64"/>
      <c r="S212" s="64"/>
      <c r="T212" s="64"/>
      <c r="U212" s="64"/>
      <c r="V212" s="67"/>
      <c r="W212" s="64"/>
      <c r="X212" s="64"/>
      <c r="Y212" s="64"/>
      <c r="Z212" s="64"/>
      <c r="AA212" s="64"/>
      <c r="AB212" s="67"/>
      <c r="AC212" s="64"/>
      <c r="AD212" s="64"/>
      <c r="AE212" s="64"/>
      <c r="AF212" s="64"/>
      <c r="AG212" s="64"/>
      <c r="AH212" s="67"/>
      <c r="AI212" s="64"/>
      <c r="AJ212" s="64"/>
      <c r="AK212" s="64"/>
      <c r="AL212" s="64"/>
      <c r="AM212" s="64"/>
      <c r="AN212" s="67"/>
      <c r="AO212" s="64"/>
      <c r="AP212" s="64"/>
      <c r="AQ212" s="64"/>
      <c r="AR212" s="64"/>
      <c r="AS212" s="64"/>
      <c r="AT212" s="64"/>
      <c r="AU212" s="64"/>
      <c r="AV212" s="64"/>
      <c r="AW212" s="64"/>
      <c r="AX212" s="64"/>
      <c r="AY212" s="64"/>
      <c r="AZ212" s="64"/>
      <c r="BA212" s="64"/>
      <c r="BB212" s="64"/>
      <c r="BC212" s="64"/>
      <c r="BD212" s="64"/>
      <c r="BE212" s="657"/>
      <c r="BF212" s="67"/>
      <c r="BG212" s="64"/>
      <c r="BH212" s="64"/>
      <c r="BI212" s="64"/>
      <c r="BJ212" s="64"/>
      <c r="BK212" s="788"/>
      <c r="BL212" s="64"/>
      <c r="BM212" s="64"/>
      <c r="BN212" s="64"/>
      <c r="BO212" s="64"/>
      <c r="BP212" s="64"/>
      <c r="BQ212" s="788"/>
      <c r="BR212" s="69"/>
      <c r="BS212" s="69"/>
      <c r="BT212" s="64"/>
    </row>
    <row r="213" spans="1:72" ht="12.75" customHeight="1">
      <c r="A213" s="64"/>
      <c r="B213" s="64" t="s">
        <v>2772</v>
      </c>
      <c r="C213" s="64"/>
      <c r="D213" s="64"/>
      <c r="E213" s="64"/>
      <c r="F213" s="67"/>
      <c r="G213" s="640"/>
      <c r="H213" s="64"/>
      <c r="I213" s="64"/>
      <c r="J213" s="64"/>
      <c r="K213" s="67"/>
      <c r="L213" s="640"/>
      <c r="M213" s="64"/>
      <c r="N213" s="64"/>
      <c r="O213" s="64"/>
      <c r="P213" s="67"/>
      <c r="Q213" s="64"/>
      <c r="R213" s="64"/>
      <c r="S213" s="64"/>
      <c r="T213" s="64"/>
      <c r="U213" s="64"/>
      <c r="V213" s="67"/>
      <c r="W213" s="64"/>
      <c r="X213" s="64"/>
      <c r="Y213" s="64"/>
      <c r="Z213" s="64"/>
      <c r="AA213" s="64"/>
      <c r="AB213" s="67"/>
      <c r="AC213" s="64"/>
      <c r="AD213" s="64"/>
      <c r="AE213" s="64"/>
      <c r="AF213" s="64"/>
      <c r="AG213" s="64"/>
      <c r="AH213" s="67"/>
      <c r="AI213" s="64"/>
      <c r="AJ213" s="64"/>
      <c r="AK213" s="64"/>
      <c r="AL213" s="64"/>
      <c r="AM213" s="64"/>
      <c r="AN213" s="67"/>
      <c r="AO213" s="64"/>
      <c r="AP213" s="64"/>
      <c r="AQ213" s="64"/>
      <c r="AR213" s="64"/>
      <c r="AS213" s="64"/>
      <c r="AT213" s="64"/>
      <c r="AU213" s="64"/>
      <c r="AV213" s="64"/>
      <c r="AW213" s="64"/>
      <c r="AX213" s="64"/>
      <c r="AY213" s="64"/>
      <c r="AZ213" s="64"/>
      <c r="BA213" s="64"/>
      <c r="BB213" s="64"/>
      <c r="BC213" s="64"/>
      <c r="BD213" s="64"/>
      <c r="BE213" s="657"/>
      <c r="BF213" s="67"/>
      <c r="BG213" s="64"/>
      <c r="BH213" s="64"/>
      <c r="BI213" s="64"/>
      <c r="BJ213" s="64"/>
      <c r="BK213" s="788"/>
      <c r="BL213" s="64"/>
      <c r="BM213" s="64"/>
      <c r="BN213" s="64"/>
      <c r="BO213" s="64"/>
      <c r="BP213" s="64"/>
      <c r="BQ213" s="788"/>
      <c r="BR213" s="69"/>
      <c r="BS213" s="69"/>
      <c r="BT213" s="64"/>
    </row>
    <row r="214" spans="1:72" ht="12.75" customHeight="1">
      <c r="A214" s="64"/>
      <c r="B214" s="64" t="s">
        <v>2772</v>
      </c>
      <c r="C214" s="64"/>
      <c r="D214" s="64" t="s">
        <v>2790</v>
      </c>
      <c r="E214" s="64"/>
      <c r="F214" s="67"/>
      <c r="G214" s="640"/>
      <c r="H214" s="64"/>
      <c r="I214" s="64"/>
      <c r="J214" s="64"/>
      <c r="K214" s="67"/>
      <c r="L214" s="640"/>
      <c r="M214" s="64"/>
      <c r="N214" s="64"/>
      <c r="O214" s="64"/>
      <c r="P214" s="67"/>
      <c r="Q214" s="64"/>
      <c r="R214" s="64"/>
      <c r="S214" s="64"/>
      <c r="T214" s="64"/>
      <c r="U214" s="64"/>
      <c r="V214" s="67"/>
      <c r="W214" s="64"/>
      <c r="X214" s="64"/>
      <c r="Y214" s="64"/>
      <c r="Z214" s="64"/>
      <c r="AA214" s="64"/>
      <c r="AB214" s="67"/>
      <c r="AC214" s="64"/>
      <c r="AD214" s="64"/>
      <c r="AE214" s="64"/>
      <c r="AF214" s="64"/>
      <c r="AG214" s="64"/>
      <c r="AH214" s="67"/>
      <c r="AI214" s="64"/>
      <c r="AJ214" s="64"/>
      <c r="AK214" s="64"/>
      <c r="AL214" s="64"/>
      <c r="AM214" s="64"/>
      <c r="AN214" s="67"/>
      <c r="AO214" s="64"/>
      <c r="AP214" s="64"/>
      <c r="AQ214" s="64"/>
      <c r="AR214" s="64"/>
      <c r="AS214" s="64"/>
      <c r="AT214" s="64"/>
      <c r="AU214" s="64"/>
      <c r="AV214" s="64"/>
      <c r="AW214" s="64"/>
      <c r="AX214" s="64"/>
      <c r="AY214" s="64"/>
      <c r="AZ214" s="64"/>
      <c r="BA214" s="64"/>
      <c r="BB214" s="64"/>
      <c r="BC214" s="64"/>
      <c r="BD214" s="64"/>
      <c r="BE214" s="657"/>
      <c r="BF214" s="67"/>
      <c r="BG214" s="64"/>
      <c r="BH214" s="64"/>
      <c r="BI214" s="64"/>
      <c r="BJ214" s="64"/>
      <c r="BK214" s="788"/>
      <c r="BL214" s="64"/>
      <c r="BM214" s="64"/>
      <c r="BN214" s="64"/>
      <c r="BO214" s="64"/>
      <c r="BP214" s="64"/>
      <c r="BQ214" s="788"/>
      <c r="BR214" s="69"/>
      <c r="BS214" s="69"/>
      <c r="BT214" s="64"/>
    </row>
    <row r="215" spans="1:72" ht="12.75" customHeight="1">
      <c r="A215" s="64"/>
      <c r="B215" s="64" t="s">
        <v>2772</v>
      </c>
      <c r="C215" s="64"/>
      <c r="D215" s="64" t="s">
        <v>2791</v>
      </c>
      <c r="E215" s="64"/>
      <c r="F215" s="67"/>
      <c r="G215" s="640"/>
      <c r="H215" s="64"/>
      <c r="I215" s="64"/>
      <c r="J215" s="64"/>
      <c r="K215" s="67"/>
      <c r="L215" s="640"/>
      <c r="M215" s="64"/>
      <c r="N215" s="64"/>
      <c r="O215" s="64"/>
      <c r="P215" s="67"/>
      <c r="Q215" s="64"/>
      <c r="R215" s="64"/>
      <c r="S215" s="64"/>
      <c r="T215" s="64"/>
      <c r="U215" s="64"/>
      <c r="V215" s="67"/>
      <c r="W215" s="64"/>
      <c r="X215" s="64"/>
      <c r="Y215" s="64"/>
      <c r="Z215" s="64"/>
      <c r="AA215" s="64"/>
      <c r="AB215" s="67"/>
      <c r="AC215" s="64"/>
      <c r="AD215" s="64"/>
      <c r="AE215" s="64"/>
      <c r="AF215" s="64"/>
      <c r="AG215" s="64"/>
      <c r="AH215" s="67"/>
      <c r="AI215" s="64"/>
      <c r="AJ215" s="64"/>
      <c r="AK215" s="64"/>
      <c r="AL215" s="64"/>
      <c r="AM215" s="64"/>
      <c r="AN215" s="67"/>
      <c r="AO215" s="64"/>
      <c r="AP215" s="64"/>
      <c r="AQ215" s="64"/>
      <c r="AR215" s="64"/>
      <c r="AS215" s="64"/>
      <c r="AT215" s="64"/>
      <c r="AU215" s="64"/>
      <c r="AV215" s="64"/>
      <c r="AW215" s="64"/>
      <c r="AX215" s="64"/>
      <c r="AY215" s="64"/>
      <c r="AZ215" s="64"/>
      <c r="BA215" s="64"/>
      <c r="BB215" s="64"/>
      <c r="BC215" s="64"/>
      <c r="BD215" s="64"/>
      <c r="BE215" s="657"/>
      <c r="BF215" s="67"/>
      <c r="BG215" s="64"/>
      <c r="BH215" s="64"/>
      <c r="BI215" s="64"/>
      <c r="BJ215" s="64"/>
      <c r="BK215" s="788"/>
      <c r="BL215" s="64"/>
      <c r="BM215" s="64"/>
      <c r="BN215" s="64"/>
      <c r="BO215" s="64"/>
      <c r="BP215" s="64"/>
      <c r="BQ215" s="788"/>
      <c r="BR215" s="69"/>
      <c r="BS215" s="69"/>
      <c r="BT215" s="64"/>
    </row>
    <row r="216" spans="1:72" ht="12.75" customHeight="1">
      <c r="A216" s="64"/>
      <c r="B216" s="64" t="s">
        <v>2772</v>
      </c>
      <c r="C216" s="64"/>
      <c r="D216" s="64" t="s">
        <v>2792</v>
      </c>
      <c r="E216" s="64"/>
      <c r="F216" s="67"/>
      <c r="G216" s="640"/>
      <c r="H216" s="64"/>
      <c r="I216" s="64"/>
      <c r="J216" s="64"/>
      <c r="K216" s="67"/>
      <c r="L216" s="640"/>
      <c r="M216" s="64"/>
      <c r="N216" s="64"/>
      <c r="O216" s="64"/>
      <c r="P216" s="67"/>
      <c r="Q216" s="64"/>
      <c r="R216" s="64"/>
      <c r="S216" s="64"/>
      <c r="T216" s="64"/>
      <c r="U216" s="64"/>
      <c r="V216" s="67"/>
      <c r="W216" s="64"/>
      <c r="X216" s="64"/>
      <c r="Y216" s="64"/>
      <c r="Z216" s="64"/>
      <c r="AA216" s="64"/>
      <c r="AB216" s="67"/>
      <c r="AC216" s="64"/>
      <c r="AD216" s="64"/>
      <c r="AE216" s="64"/>
      <c r="AF216" s="64"/>
      <c r="AG216" s="64"/>
      <c r="AH216" s="67"/>
      <c r="AI216" s="64"/>
      <c r="AJ216" s="64"/>
      <c r="AK216" s="64"/>
      <c r="AL216" s="64"/>
      <c r="AM216" s="64"/>
      <c r="AN216" s="67"/>
      <c r="AO216" s="64"/>
      <c r="AP216" s="64"/>
      <c r="AQ216" s="64"/>
      <c r="AR216" s="64"/>
      <c r="AS216" s="64"/>
      <c r="AT216" s="64"/>
      <c r="AU216" s="64"/>
      <c r="AV216" s="64"/>
      <c r="AW216" s="64"/>
      <c r="AX216" s="64"/>
      <c r="AY216" s="64"/>
      <c r="AZ216" s="64"/>
      <c r="BA216" s="64"/>
      <c r="BB216" s="64"/>
      <c r="BC216" s="64"/>
      <c r="BD216" s="64"/>
      <c r="BE216" s="657"/>
      <c r="BF216" s="67"/>
      <c r="BG216" s="64"/>
      <c r="BH216" s="64"/>
      <c r="BI216" s="64"/>
      <c r="BJ216" s="64"/>
      <c r="BK216" s="788"/>
      <c r="BL216" s="64"/>
      <c r="BM216" s="64"/>
      <c r="BN216" s="64"/>
      <c r="BO216" s="64"/>
      <c r="BP216" s="64"/>
      <c r="BQ216" s="788"/>
      <c r="BR216" s="69"/>
      <c r="BS216" s="69"/>
      <c r="BT216" s="64"/>
    </row>
    <row r="217" spans="1:72" ht="12.75" customHeight="1">
      <c r="A217" s="64"/>
      <c r="B217" s="64" t="s">
        <v>2772</v>
      </c>
      <c r="C217" s="64"/>
      <c r="D217" s="64" t="s">
        <v>2793</v>
      </c>
      <c r="E217" s="64"/>
      <c r="F217" s="67"/>
      <c r="G217" s="639"/>
      <c r="H217" s="64"/>
      <c r="I217" s="64"/>
      <c r="J217" s="64"/>
      <c r="K217" s="67"/>
      <c r="L217" s="639"/>
      <c r="M217" s="64"/>
      <c r="N217" s="64"/>
      <c r="O217" s="64"/>
      <c r="P217" s="67"/>
      <c r="Q217" s="64"/>
      <c r="R217" s="64"/>
      <c r="S217" s="64"/>
      <c r="T217" s="64"/>
      <c r="U217" s="64"/>
      <c r="V217" s="67"/>
      <c r="W217" s="64"/>
      <c r="X217" s="64"/>
      <c r="Y217" s="64"/>
      <c r="Z217" s="64"/>
      <c r="AA217" s="64"/>
      <c r="AB217" s="67"/>
      <c r="AC217" s="64"/>
      <c r="AD217" s="64"/>
      <c r="AE217" s="64"/>
      <c r="AF217" s="64"/>
      <c r="AG217" s="64"/>
      <c r="AH217" s="67"/>
      <c r="AI217" s="64"/>
      <c r="AJ217" s="64"/>
      <c r="AK217" s="64"/>
      <c r="AL217" s="64"/>
      <c r="AM217" s="64"/>
      <c r="AN217" s="67"/>
      <c r="AO217" s="64"/>
      <c r="AP217" s="64"/>
      <c r="AQ217" s="64"/>
      <c r="AR217" s="64"/>
      <c r="AS217" s="64"/>
      <c r="AT217" s="64"/>
      <c r="AU217" s="64"/>
      <c r="AV217" s="64"/>
      <c r="AW217" s="64"/>
      <c r="AX217" s="64"/>
      <c r="AY217" s="64"/>
      <c r="AZ217" s="64"/>
      <c r="BA217" s="64"/>
      <c r="BB217" s="64"/>
      <c r="BC217" s="64"/>
      <c r="BD217" s="64"/>
      <c r="BE217" s="657"/>
      <c r="BF217" s="67"/>
      <c r="BG217" s="64"/>
      <c r="BH217" s="64"/>
      <c r="BI217" s="64"/>
      <c r="BJ217" s="64"/>
      <c r="BK217" s="788"/>
      <c r="BL217" s="64"/>
      <c r="BM217" s="64"/>
      <c r="BN217" s="64"/>
      <c r="BO217" s="64"/>
      <c r="BP217" s="64"/>
      <c r="BQ217" s="788"/>
      <c r="BR217" s="69"/>
      <c r="BS217" s="69"/>
      <c r="BT217" s="64"/>
    </row>
    <row r="218" spans="1:72" ht="12.75" customHeight="1">
      <c r="A218" s="64"/>
      <c r="B218" s="64" t="s">
        <v>2772</v>
      </c>
      <c r="C218" s="64"/>
      <c r="D218" s="128" t="s">
        <v>2796</v>
      </c>
      <c r="E218" s="128"/>
      <c r="F218" s="67"/>
      <c r="G218" s="639"/>
      <c r="H218" s="64"/>
      <c r="I218" s="64"/>
      <c r="J218" s="64"/>
      <c r="K218" s="67"/>
      <c r="L218" s="639"/>
      <c r="M218" s="64"/>
      <c r="N218" s="64"/>
      <c r="O218" s="64"/>
      <c r="P218" s="67"/>
      <c r="Q218" s="64"/>
      <c r="R218" s="64"/>
      <c r="S218" s="64"/>
      <c r="T218" s="64"/>
      <c r="U218" s="64"/>
      <c r="V218" s="67"/>
      <c r="W218" s="64"/>
      <c r="X218" s="64"/>
      <c r="Y218" s="64"/>
      <c r="Z218" s="64"/>
      <c r="AA218" s="64"/>
      <c r="AB218" s="67"/>
      <c r="AC218" s="64"/>
      <c r="AD218" s="64"/>
      <c r="AE218" s="64"/>
      <c r="AF218" s="64"/>
      <c r="AG218" s="64"/>
      <c r="AH218" s="67"/>
      <c r="AI218" s="64"/>
      <c r="AJ218" s="64"/>
      <c r="AK218" s="64"/>
      <c r="AL218" s="64"/>
      <c r="AM218" s="64"/>
      <c r="AN218" s="67"/>
      <c r="AO218" s="64"/>
      <c r="AP218" s="64"/>
      <c r="AQ218" s="64"/>
      <c r="AR218" s="64"/>
      <c r="AS218" s="64"/>
      <c r="AT218" s="64"/>
      <c r="AU218" s="64"/>
      <c r="AV218" s="64"/>
      <c r="AW218" s="64"/>
      <c r="AX218" s="64"/>
      <c r="AY218" s="64"/>
      <c r="AZ218" s="64"/>
      <c r="BA218" s="64"/>
      <c r="BB218" s="64"/>
      <c r="BC218" s="64"/>
      <c r="BD218" s="64"/>
      <c r="BE218" s="657"/>
      <c r="BF218" s="67"/>
      <c r="BG218" s="64"/>
      <c r="BH218" s="64"/>
      <c r="BI218" s="64"/>
      <c r="BJ218" s="64"/>
      <c r="BK218" s="788"/>
      <c r="BL218" s="64"/>
      <c r="BM218" s="64"/>
      <c r="BN218" s="64"/>
      <c r="BO218" s="64"/>
      <c r="BP218" s="64"/>
      <c r="BQ218" s="788"/>
      <c r="BR218" s="69"/>
      <c r="BS218" s="69"/>
      <c r="BT218" s="64"/>
    </row>
    <row r="219" spans="1:72" ht="12.75" customHeight="1">
      <c r="A219" s="64"/>
      <c r="B219" s="64" t="s">
        <v>2772</v>
      </c>
      <c r="C219" s="64"/>
      <c r="D219" s="64" t="s">
        <v>2774</v>
      </c>
      <c r="E219" s="64"/>
      <c r="F219" s="67"/>
      <c r="G219" s="639"/>
      <c r="H219" s="64"/>
      <c r="I219" s="64"/>
      <c r="J219" s="64"/>
      <c r="K219" s="67"/>
      <c r="L219" s="639"/>
      <c r="M219" s="64"/>
      <c r="N219" s="64"/>
      <c r="O219" s="64"/>
      <c r="P219" s="67"/>
      <c r="Q219" s="64"/>
      <c r="R219" s="64"/>
      <c r="S219" s="64"/>
      <c r="T219" s="64"/>
      <c r="U219" s="64"/>
      <c r="V219" s="67"/>
      <c r="W219" s="64"/>
      <c r="X219" s="64"/>
      <c r="Y219" s="64"/>
      <c r="Z219" s="64"/>
      <c r="AA219" s="64"/>
      <c r="AB219" s="67"/>
      <c r="AC219" s="64"/>
      <c r="AD219" s="64"/>
      <c r="AE219" s="64"/>
      <c r="AF219" s="64"/>
      <c r="AG219" s="64"/>
      <c r="AH219" s="67"/>
      <c r="AI219" s="64"/>
      <c r="AJ219" s="64"/>
      <c r="AK219" s="64"/>
      <c r="AL219" s="64"/>
      <c r="AM219" s="64"/>
      <c r="AN219" s="67"/>
      <c r="AO219" s="64"/>
      <c r="AP219" s="64"/>
      <c r="AQ219" s="64"/>
      <c r="AR219" s="64"/>
      <c r="AS219" s="64"/>
      <c r="AT219" s="64"/>
      <c r="AU219" s="64"/>
      <c r="AV219" s="64"/>
      <c r="AW219" s="64"/>
      <c r="AX219" s="64"/>
      <c r="AY219" s="64"/>
      <c r="AZ219" s="64"/>
      <c r="BA219" s="64"/>
      <c r="BB219" s="64"/>
      <c r="BC219" s="64"/>
      <c r="BD219" s="64"/>
      <c r="BE219" s="657"/>
      <c r="BF219" s="67"/>
      <c r="BG219" s="64"/>
      <c r="BH219" s="64"/>
      <c r="BI219" s="64"/>
      <c r="BJ219" s="64"/>
      <c r="BK219" s="788"/>
      <c r="BL219" s="64"/>
      <c r="BM219" s="64"/>
      <c r="BN219" s="64"/>
      <c r="BO219" s="64"/>
      <c r="BP219" s="64"/>
      <c r="BQ219" s="788"/>
      <c r="BR219" s="69"/>
      <c r="BS219" s="69"/>
      <c r="BT219" s="64"/>
    </row>
    <row r="220" spans="1:72" ht="12.75" customHeight="1">
      <c r="A220" s="64"/>
      <c r="B220" s="64" t="s">
        <v>2772</v>
      </c>
      <c r="C220" s="64"/>
      <c r="D220" s="64" t="s">
        <v>2775</v>
      </c>
      <c r="E220" s="64"/>
      <c r="F220" s="67"/>
      <c r="G220" s="639"/>
      <c r="H220" s="64"/>
      <c r="I220" s="64"/>
      <c r="J220" s="64"/>
      <c r="K220" s="67"/>
      <c r="L220" s="639"/>
      <c r="M220" s="64"/>
      <c r="N220" s="64"/>
      <c r="O220" s="64"/>
      <c r="P220" s="67"/>
      <c r="Q220" s="64"/>
      <c r="R220" s="64"/>
      <c r="S220" s="64"/>
      <c r="T220" s="64"/>
      <c r="U220" s="64"/>
      <c r="V220" s="67"/>
      <c r="W220" s="64"/>
      <c r="X220" s="64"/>
      <c r="Y220" s="64"/>
      <c r="Z220" s="64"/>
      <c r="AA220" s="64"/>
      <c r="AB220" s="67"/>
      <c r="AC220" s="64"/>
      <c r="AD220" s="64"/>
      <c r="AE220" s="64"/>
      <c r="AF220" s="64"/>
      <c r="AG220" s="64"/>
      <c r="AH220" s="67"/>
      <c r="AI220" s="64"/>
      <c r="AJ220" s="64"/>
      <c r="AK220" s="64"/>
      <c r="AL220" s="64"/>
      <c r="AM220" s="64"/>
      <c r="AN220" s="67"/>
      <c r="AO220" s="64"/>
      <c r="AP220" s="64"/>
      <c r="AQ220" s="64"/>
      <c r="AR220" s="64"/>
      <c r="AS220" s="64"/>
      <c r="AT220" s="64"/>
      <c r="AU220" s="64"/>
      <c r="AV220" s="64"/>
      <c r="AW220" s="64"/>
      <c r="AX220" s="64"/>
      <c r="AY220" s="64"/>
      <c r="AZ220" s="64"/>
      <c r="BA220" s="64"/>
      <c r="BB220" s="64"/>
      <c r="BC220" s="64"/>
      <c r="BD220" s="64"/>
      <c r="BE220" s="657"/>
      <c r="BF220" s="67"/>
      <c r="BG220" s="64"/>
      <c r="BH220" s="64"/>
      <c r="BI220" s="64"/>
      <c r="BJ220" s="64"/>
      <c r="BK220" s="788"/>
      <c r="BL220" s="64"/>
      <c r="BM220" s="64"/>
      <c r="BN220" s="64"/>
      <c r="BO220" s="64"/>
      <c r="BP220" s="64"/>
      <c r="BQ220" s="788"/>
      <c r="BR220" s="69"/>
      <c r="BS220" s="69"/>
      <c r="BT220" s="64"/>
    </row>
    <row r="221" spans="1:72" ht="12.75" customHeight="1">
      <c r="A221" s="64"/>
      <c r="B221" s="64" t="s">
        <v>2772</v>
      </c>
      <c r="C221" s="64"/>
      <c r="D221" s="64" t="s">
        <v>2776</v>
      </c>
      <c r="E221" s="64"/>
      <c r="F221" s="67"/>
      <c r="G221" s="639"/>
      <c r="H221" s="64"/>
      <c r="I221" s="64"/>
      <c r="J221" s="64"/>
      <c r="K221" s="67"/>
      <c r="L221" s="639"/>
      <c r="M221" s="64"/>
      <c r="N221" s="64"/>
      <c r="O221" s="64"/>
      <c r="P221" s="67"/>
      <c r="Q221" s="64"/>
      <c r="R221" s="64"/>
      <c r="S221" s="64"/>
      <c r="T221" s="64"/>
      <c r="U221" s="64"/>
      <c r="V221" s="67"/>
      <c r="W221" s="64"/>
      <c r="X221" s="64"/>
      <c r="Y221" s="64"/>
      <c r="Z221" s="64"/>
      <c r="AA221" s="64"/>
      <c r="AB221" s="67"/>
      <c r="AC221" s="64"/>
      <c r="AD221" s="64"/>
      <c r="AE221" s="64"/>
      <c r="AF221" s="64"/>
      <c r="AG221" s="64"/>
      <c r="AH221" s="67"/>
      <c r="AI221" s="64"/>
      <c r="AJ221" s="64"/>
      <c r="AK221" s="64"/>
      <c r="AL221" s="64"/>
      <c r="AM221" s="64"/>
      <c r="AN221" s="67"/>
      <c r="AO221" s="64"/>
      <c r="AP221" s="64"/>
      <c r="AQ221" s="64"/>
      <c r="AR221" s="64"/>
      <c r="AS221" s="64"/>
      <c r="AT221" s="64"/>
      <c r="AU221" s="64"/>
      <c r="AV221" s="64"/>
      <c r="AW221" s="64"/>
      <c r="AX221" s="64"/>
      <c r="AY221" s="64"/>
      <c r="AZ221" s="64"/>
      <c r="BA221" s="64"/>
      <c r="BB221" s="64"/>
      <c r="BC221" s="64"/>
      <c r="BD221" s="64"/>
      <c r="BE221" s="657"/>
      <c r="BF221" s="67"/>
      <c r="BG221" s="64"/>
      <c r="BH221" s="64"/>
      <c r="BI221" s="64"/>
      <c r="BJ221" s="64"/>
      <c r="BK221" s="788"/>
      <c r="BL221" s="64"/>
      <c r="BM221" s="64"/>
      <c r="BN221" s="64"/>
      <c r="BO221" s="64"/>
      <c r="BP221" s="64"/>
      <c r="BQ221" s="788"/>
      <c r="BR221" s="69"/>
      <c r="BS221" s="69"/>
      <c r="BT221" s="64"/>
    </row>
    <row r="222" spans="1:72" ht="12.75" customHeight="1">
      <c r="A222" s="64"/>
      <c r="B222" s="64" t="s">
        <v>2772</v>
      </c>
      <c r="C222" s="64"/>
      <c r="D222" s="64" t="s">
        <v>2777</v>
      </c>
      <c r="E222" s="64"/>
      <c r="F222" s="67"/>
      <c r="G222" s="639"/>
      <c r="H222" s="64"/>
      <c r="I222" s="64"/>
      <c r="J222" s="64"/>
      <c r="K222" s="67"/>
      <c r="L222" s="639"/>
      <c r="M222" s="64"/>
      <c r="N222" s="64"/>
      <c r="O222" s="64"/>
      <c r="P222" s="67"/>
      <c r="Q222" s="64"/>
      <c r="R222" s="64"/>
      <c r="S222" s="64"/>
      <c r="T222" s="64"/>
      <c r="U222" s="64"/>
      <c r="V222" s="67"/>
      <c r="W222" s="64"/>
      <c r="X222" s="64"/>
      <c r="Y222" s="64"/>
      <c r="Z222" s="64"/>
      <c r="AA222" s="64"/>
      <c r="AB222" s="67"/>
      <c r="AC222" s="64"/>
      <c r="AD222" s="64"/>
      <c r="AE222" s="64"/>
      <c r="AF222" s="64"/>
      <c r="AG222" s="64"/>
      <c r="AH222" s="67"/>
      <c r="AI222" s="64"/>
      <c r="AJ222" s="64"/>
      <c r="AK222" s="64"/>
      <c r="AL222" s="64"/>
      <c r="AM222" s="64"/>
      <c r="AN222" s="67"/>
      <c r="AO222" s="64"/>
      <c r="AP222" s="64"/>
      <c r="AQ222" s="64"/>
      <c r="AR222" s="64"/>
      <c r="AS222" s="64"/>
      <c r="AT222" s="64"/>
      <c r="AU222" s="64"/>
      <c r="AV222" s="64"/>
      <c r="AW222" s="64"/>
      <c r="AX222" s="64"/>
      <c r="AY222" s="64"/>
      <c r="AZ222" s="64"/>
      <c r="BA222" s="64"/>
      <c r="BB222" s="64"/>
      <c r="BC222" s="64"/>
      <c r="BD222" s="64"/>
      <c r="BE222" s="657"/>
      <c r="BF222" s="67"/>
      <c r="BG222" s="64"/>
      <c r="BH222" s="64"/>
      <c r="BI222" s="64"/>
      <c r="BJ222" s="64"/>
      <c r="BK222" s="788"/>
      <c r="BL222" s="64"/>
      <c r="BM222" s="64"/>
      <c r="BN222" s="64"/>
      <c r="BO222" s="64"/>
      <c r="BP222" s="64"/>
      <c r="BQ222" s="788"/>
      <c r="BR222" s="69"/>
      <c r="BS222" s="69"/>
      <c r="BT222" s="64"/>
    </row>
    <row r="223" spans="1:72" ht="12.75" customHeight="1">
      <c r="A223" s="64"/>
      <c r="B223" s="64" t="s">
        <v>2772</v>
      </c>
      <c r="C223" s="64"/>
      <c r="D223" s="64" t="s">
        <v>2778</v>
      </c>
      <c r="E223" s="64"/>
      <c r="F223" s="129" t="str">
        <f>'Sterne-Rechner - GI'!AO13</f>
        <v/>
      </c>
      <c r="G223" s="639"/>
      <c r="H223" s="64"/>
      <c r="I223" s="64"/>
      <c r="J223" s="64"/>
      <c r="K223" s="67"/>
      <c r="L223" s="639"/>
      <c r="M223" s="64"/>
      <c r="N223" s="64"/>
      <c r="O223" s="64"/>
      <c r="P223" s="67"/>
      <c r="Q223" s="64"/>
      <c r="R223" s="64"/>
      <c r="S223" s="64"/>
      <c r="T223" s="64"/>
      <c r="U223" s="64"/>
      <c r="V223" s="67"/>
      <c r="W223" s="64"/>
      <c r="X223" s="64"/>
      <c r="Y223" s="64"/>
      <c r="Z223" s="64"/>
      <c r="AA223" s="64"/>
      <c r="AB223" s="67"/>
      <c r="AC223" s="64"/>
      <c r="AD223" s="64"/>
      <c r="AE223" s="64"/>
      <c r="AF223" s="64"/>
      <c r="AG223" s="64"/>
      <c r="AH223" s="67"/>
      <c r="AI223" s="64"/>
      <c r="AJ223" s="64"/>
      <c r="AK223" s="64"/>
      <c r="AL223" s="64"/>
      <c r="AM223" s="64"/>
      <c r="AN223" s="67"/>
      <c r="AO223" s="64"/>
      <c r="AP223" s="64"/>
      <c r="AQ223" s="64"/>
      <c r="AR223" s="64"/>
      <c r="AS223" s="64"/>
      <c r="AT223" s="64"/>
      <c r="AU223" s="64"/>
      <c r="AV223" s="64"/>
      <c r="AW223" s="64"/>
      <c r="AX223" s="64"/>
      <c r="AY223" s="64"/>
      <c r="AZ223" s="64"/>
      <c r="BA223" s="64"/>
      <c r="BB223" s="64"/>
      <c r="BC223" s="64"/>
      <c r="BD223" s="64"/>
      <c r="BE223" s="657"/>
      <c r="BF223" s="67"/>
      <c r="BG223" s="64"/>
      <c r="BH223" s="64"/>
      <c r="BI223" s="64"/>
      <c r="BJ223" s="64"/>
      <c r="BK223" s="788"/>
      <c r="BL223" s="64"/>
      <c r="BM223" s="64"/>
      <c r="BN223" s="64"/>
      <c r="BO223" s="64"/>
      <c r="BP223" s="64"/>
      <c r="BQ223" s="788"/>
      <c r="BR223" s="69"/>
      <c r="BS223" s="69"/>
      <c r="BT223" s="64"/>
    </row>
    <row r="224" spans="1:72" ht="12.75" customHeight="1">
      <c r="A224" s="64"/>
      <c r="B224" s="64" t="s">
        <v>2772</v>
      </c>
      <c r="C224" s="64"/>
      <c r="D224" s="64" t="s">
        <v>2779</v>
      </c>
      <c r="E224" s="64"/>
      <c r="F224" s="129" t="str">
        <f>'Sterne-Rechner - GI'!AP14</f>
        <v/>
      </c>
      <c r="G224" s="639"/>
      <c r="H224" s="64"/>
      <c r="I224" s="64"/>
      <c r="J224" s="64"/>
      <c r="K224" s="67"/>
      <c r="L224" s="639"/>
      <c r="M224" s="64"/>
      <c r="N224" s="64"/>
      <c r="O224" s="64"/>
      <c r="P224" s="67"/>
      <c r="Q224" s="64"/>
      <c r="R224" s="64"/>
      <c r="S224" s="64"/>
      <c r="T224" s="64"/>
      <c r="U224" s="64"/>
      <c r="V224" s="67"/>
      <c r="W224" s="64"/>
      <c r="X224" s="64"/>
      <c r="Y224" s="64"/>
      <c r="Z224" s="64"/>
      <c r="AA224" s="64"/>
      <c r="AB224" s="67"/>
      <c r="AC224" s="64"/>
      <c r="AD224" s="64"/>
      <c r="AE224" s="64"/>
      <c r="AF224" s="64"/>
      <c r="AG224" s="64"/>
      <c r="AH224" s="67"/>
      <c r="AI224" s="64"/>
      <c r="AJ224" s="64"/>
      <c r="AK224" s="64"/>
      <c r="AL224" s="64"/>
      <c r="AM224" s="64"/>
      <c r="AN224" s="67"/>
      <c r="AO224" s="64"/>
      <c r="AP224" s="64"/>
      <c r="AQ224" s="64"/>
      <c r="AR224" s="64"/>
      <c r="AS224" s="64"/>
      <c r="AT224" s="64"/>
      <c r="AU224" s="64"/>
      <c r="AV224" s="64"/>
      <c r="AW224" s="64"/>
      <c r="AX224" s="64"/>
      <c r="AY224" s="64"/>
      <c r="AZ224" s="64"/>
      <c r="BA224" s="64"/>
      <c r="BB224" s="64"/>
      <c r="BC224" s="64"/>
      <c r="BD224" s="64"/>
      <c r="BE224" s="657"/>
      <c r="BF224" s="67"/>
      <c r="BG224" s="64"/>
      <c r="BH224" s="64"/>
      <c r="BI224" s="64"/>
      <c r="BJ224" s="64"/>
      <c r="BK224" s="788"/>
      <c r="BL224" s="64"/>
      <c r="BM224" s="64"/>
      <c r="BN224" s="64"/>
      <c r="BO224" s="64"/>
      <c r="BP224" s="64"/>
      <c r="BQ224" s="788"/>
      <c r="BR224" s="69"/>
      <c r="BS224" s="69"/>
      <c r="BT224" s="64"/>
    </row>
    <row r="225" spans="1:72" ht="12.75" customHeight="1">
      <c r="A225" s="64"/>
      <c r="B225" s="64" t="s">
        <v>2772</v>
      </c>
      <c r="C225" s="64"/>
      <c r="D225" s="64" t="s">
        <v>2780</v>
      </c>
      <c r="E225" s="64"/>
      <c r="F225" s="129" t="str">
        <f>'Sterne-Rechner - GI'!AQ15</f>
        <v/>
      </c>
      <c r="G225" s="639"/>
      <c r="H225" s="64"/>
      <c r="I225" s="64"/>
      <c r="J225" s="64"/>
      <c r="K225" s="67"/>
      <c r="L225" s="639"/>
      <c r="M225" s="64"/>
      <c r="N225" s="64"/>
      <c r="O225" s="64"/>
      <c r="P225" s="67"/>
      <c r="Q225" s="64"/>
      <c r="R225" s="64"/>
      <c r="S225" s="64"/>
      <c r="T225" s="64"/>
      <c r="U225" s="64"/>
      <c r="V225" s="67"/>
      <c r="W225" s="64"/>
      <c r="X225" s="64"/>
      <c r="Y225" s="64"/>
      <c r="Z225" s="64"/>
      <c r="AA225" s="64"/>
      <c r="AB225" s="67"/>
      <c r="AC225" s="64"/>
      <c r="AD225" s="64"/>
      <c r="AE225" s="64"/>
      <c r="AF225" s="64"/>
      <c r="AG225" s="64"/>
      <c r="AH225" s="67"/>
      <c r="AI225" s="64"/>
      <c r="AJ225" s="64"/>
      <c r="AK225" s="64"/>
      <c r="AL225" s="64"/>
      <c r="AM225" s="64"/>
      <c r="AN225" s="67"/>
      <c r="AO225" s="64"/>
      <c r="AP225" s="64"/>
      <c r="AQ225" s="64"/>
      <c r="AR225" s="64"/>
      <c r="AS225" s="64"/>
      <c r="AT225" s="64"/>
      <c r="AU225" s="64"/>
      <c r="AV225" s="64"/>
      <c r="AW225" s="64"/>
      <c r="AX225" s="64"/>
      <c r="AY225" s="64"/>
      <c r="AZ225" s="64"/>
      <c r="BA225" s="64"/>
      <c r="BB225" s="64"/>
      <c r="BC225" s="64"/>
      <c r="BD225" s="64"/>
      <c r="BE225" s="657"/>
      <c r="BF225" s="67"/>
      <c r="BG225" s="64"/>
      <c r="BH225" s="64"/>
      <c r="BI225" s="64"/>
      <c r="BJ225" s="64"/>
      <c r="BK225" s="788"/>
      <c r="BL225" s="64"/>
      <c r="BM225" s="64"/>
      <c r="BN225" s="64"/>
      <c r="BO225" s="64"/>
      <c r="BP225" s="64"/>
      <c r="BQ225" s="788"/>
      <c r="BR225" s="69"/>
      <c r="BS225" s="69"/>
      <c r="BT225" s="64"/>
    </row>
    <row r="226" spans="1:72" ht="12.75" customHeight="1">
      <c r="A226" s="64"/>
      <c r="B226" s="64" t="s">
        <v>2772</v>
      </c>
      <c r="C226" s="64"/>
      <c r="D226" s="64" t="s">
        <v>2781</v>
      </c>
      <c r="E226" s="64"/>
      <c r="F226" s="67"/>
      <c r="G226" s="640"/>
      <c r="H226" s="64"/>
      <c r="I226" s="64"/>
      <c r="J226" s="64"/>
      <c r="K226" s="129" t="str">
        <f ca="1">'Sterne-Rechner - Angebot'!Y13</f>
        <v/>
      </c>
      <c r="L226" s="640"/>
      <c r="M226" s="64"/>
      <c r="N226" s="64"/>
      <c r="O226" s="64"/>
      <c r="P226" s="67"/>
      <c r="Q226" s="64"/>
      <c r="R226" s="64"/>
      <c r="S226" s="64"/>
      <c r="T226" s="64"/>
      <c r="U226" s="64"/>
      <c r="V226" s="67"/>
      <c r="W226" s="64"/>
      <c r="X226" s="64"/>
      <c r="Y226" s="64"/>
      <c r="Z226" s="64"/>
      <c r="AA226" s="64"/>
      <c r="AB226" s="67"/>
      <c r="AC226" s="64"/>
      <c r="AD226" s="64"/>
      <c r="AE226" s="64"/>
      <c r="AF226" s="64"/>
      <c r="AG226" s="64"/>
      <c r="AH226" s="67"/>
      <c r="AI226" s="64"/>
      <c r="AJ226" s="64"/>
      <c r="AK226" s="64"/>
      <c r="AL226" s="64"/>
      <c r="AM226" s="64"/>
      <c r="AN226" s="67"/>
      <c r="AO226" s="64"/>
      <c r="AP226" s="64"/>
      <c r="AQ226" s="64"/>
      <c r="AR226" s="64"/>
      <c r="AS226" s="64"/>
      <c r="AT226" s="64"/>
      <c r="AU226" s="64"/>
      <c r="AV226" s="64"/>
      <c r="AW226" s="64"/>
      <c r="AX226" s="64"/>
      <c r="AY226" s="64"/>
      <c r="AZ226" s="64"/>
      <c r="BA226" s="64"/>
      <c r="BB226" s="64"/>
      <c r="BC226" s="64"/>
      <c r="BD226" s="64"/>
      <c r="BE226" s="657"/>
      <c r="BF226" s="67"/>
      <c r="BG226" s="64"/>
      <c r="BH226" s="64"/>
      <c r="BI226" s="64"/>
      <c r="BJ226" s="64"/>
      <c r="BK226" s="788"/>
      <c r="BL226" s="64"/>
      <c r="BM226" s="64"/>
      <c r="BN226" s="64"/>
      <c r="BO226" s="64"/>
      <c r="BP226" s="64"/>
      <c r="BQ226" s="788"/>
      <c r="BR226" s="69"/>
      <c r="BS226" s="69"/>
      <c r="BT226" s="64"/>
    </row>
    <row r="227" spans="1:72" ht="12.75" customHeight="1">
      <c r="A227" s="64"/>
      <c r="B227" s="64" t="s">
        <v>2772</v>
      </c>
      <c r="C227" s="64"/>
      <c r="D227" s="64" t="s">
        <v>2782</v>
      </c>
      <c r="E227" s="64"/>
      <c r="F227" s="67"/>
      <c r="G227" s="640"/>
      <c r="H227" s="64"/>
      <c r="I227" s="64"/>
      <c r="J227" s="64"/>
      <c r="K227" s="129" t="str">
        <f ca="1">'Sterne-Rechner - Angebot'!Y14</f>
        <v/>
      </c>
      <c r="L227" s="640"/>
      <c r="M227" s="64"/>
      <c r="N227" s="64"/>
      <c r="O227" s="64"/>
      <c r="P227" s="67"/>
      <c r="Q227" s="64"/>
      <c r="R227" s="64"/>
      <c r="S227" s="64"/>
      <c r="T227" s="64"/>
      <c r="U227" s="64"/>
      <c r="V227" s="67"/>
      <c r="W227" s="64"/>
      <c r="X227" s="64"/>
      <c r="Y227" s="64"/>
      <c r="Z227" s="64"/>
      <c r="AA227" s="64"/>
      <c r="AB227" s="67"/>
      <c r="AC227" s="64"/>
      <c r="AD227" s="64"/>
      <c r="AE227" s="64"/>
      <c r="AF227" s="64"/>
      <c r="AG227" s="64"/>
      <c r="AH227" s="67"/>
      <c r="AI227" s="64"/>
      <c r="AJ227" s="64"/>
      <c r="AK227" s="64"/>
      <c r="AL227" s="64"/>
      <c r="AM227" s="64"/>
      <c r="AN227" s="67"/>
      <c r="AO227" s="64"/>
      <c r="AP227" s="64"/>
      <c r="AQ227" s="64"/>
      <c r="AR227" s="64"/>
      <c r="AS227" s="64"/>
      <c r="AT227" s="64"/>
      <c r="AU227" s="64"/>
      <c r="AV227" s="64"/>
      <c r="AW227" s="64"/>
      <c r="AX227" s="64"/>
      <c r="AY227" s="64"/>
      <c r="AZ227" s="64"/>
      <c r="BA227" s="64"/>
      <c r="BB227" s="64"/>
      <c r="BC227" s="64"/>
      <c r="BD227" s="64"/>
      <c r="BE227" s="657"/>
      <c r="BF227" s="67"/>
      <c r="BG227" s="64"/>
      <c r="BH227" s="64"/>
      <c r="BI227" s="64"/>
      <c r="BJ227" s="64"/>
      <c r="BK227" s="788"/>
      <c r="BL227" s="64"/>
      <c r="BM227" s="64"/>
      <c r="BN227" s="64"/>
      <c r="BO227" s="64"/>
      <c r="BP227" s="64"/>
      <c r="BQ227" s="788"/>
      <c r="BR227" s="69"/>
      <c r="BS227" s="69"/>
      <c r="BT227" s="64"/>
    </row>
    <row r="228" spans="1:72" ht="12.75" customHeight="1">
      <c r="A228" s="64"/>
      <c r="B228" s="64" t="s">
        <v>2772</v>
      </c>
      <c r="C228" s="64"/>
      <c r="D228" s="64" t="s">
        <v>2783</v>
      </c>
      <c r="E228" s="64"/>
      <c r="F228" s="67"/>
      <c r="G228" s="640"/>
      <c r="H228" s="64"/>
      <c r="I228" s="64"/>
      <c r="J228" s="64"/>
      <c r="K228" s="129" t="str">
        <f ca="1">'Sterne-Rechner - Angebot'!Y15</f>
        <v/>
      </c>
      <c r="L228" s="640"/>
      <c r="M228" s="64"/>
      <c r="N228" s="64"/>
      <c r="O228" s="64"/>
      <c r="P228" s="67"/>
      <c r="Q228" s="64"/>
      <c r="R228" s="64"/>
      <c r="S228" s="64"/>
      <c r="T228" s="64"/>
      <c r="U228" s="64"/>
      <c r="V228" s="67"/>
      <c r="W228" s="64"/>
      <c r="X228" s="64"/>
      <c r="Y228" s="64"/>
      <c r="Z228" s="64"/>
      <c r="AA228" s="64"/>
      <c r="AB228" s="67"/>
      <c r="AC228" s="64"/>
      <c r="AD228" s="64"/>
      <c r="AE228" s="64"/>
      <c r="AF228" s="64"/>
      <c r="AG228" s="64"/>
      <c r="AH228" s="67"/>
      <c r="AI228" s="64"/>
      <c r="AJ228" s="64"/>
      <c r="AK228" s="64"/>
      <c r="AL228" s="64"/>
      <c r="AM228" s="64"/>
      <c r="AN228" s="67"/>
      <c r="AO228" s="64"/>
      <c r="AP228" s="64"/>
      <c r="AQ228" s="64"/>
      <c r="AR228" s="64"/>
      <c r="AS228" s="64"/>
      <c r="AT228" s="64"/>
      <c r="AU228" s="64"/>
      <c r="AV228" s="64"/>
      <c r="AW228" s="64"/>
      <c r="AX228" s="64"/>
      <c r="AY228" s="64"/>
      <c r="AZ228" s="64"/>
      <c r="BA228" s="64"/>
      <c r="BB228" s="64"/>
      <c r="BC228" s="64"/>
      <c r="BD228" s="64"/>
      <c r="BE228" s="657"/>
      <c r="BF228" s="67"/>
      <c r="BG228" s="64"/>
      <c r="BH228" s="64"/>
      <c r="BI228" s="64"/>
      <c r="BJ228" s="64"/>
      <c r="BK228" s="788"/>
      <c r="BL228" s="64"/>
      <c r="BM228" s="64"/>
      <c r="BN228" s="64"/>
      <c r="BO228" s="64"/>
      <c r="BP228" s="64"/>
      <c r="BQ228" s="788"/>
      <c r="BR228" s="69"/>
      <c r="BS228" s="69"/>
      <c r="BT228" s="64"/>
    </row>
    <row r="229" spans="1:72" ht="12.75" customHeight="1">
      <c r="A229" s="64"/>
      <c r="B229" s="64" t="s">
        <v>2772</v>
      </c>
      <c r="C229" s="64"/>
      <c r="D229" s="64" t="s">
        <v>2784</v>
      </c>
      <c r="E229" s="64"/>
      <c r="F229" s="130" t="str">
        <f>'AIG Facility - Preisrechner'!B8</f>
        <v/>
      </c>
      <c r="G229" s="639"/>
      <c r="H229" s="132"/>
      <c r="I229" s="64"/>
      <c r="J229" s="64"/>
      <c r="K229" s="67"/>
      <c r="L229" s="639"/>
      <c r="M229" s="132"/>
      <c r="N229" s="64"/>
      <c r="O229" s="64"/>
      <c r="P229" s="67"/>
      <c r="Q229" s="64"/>
      <c r="R229" s="64"/>
      <c r="S229" s="64"/>
      <c r="T229" s="64"/>
      <c r="U229" s="64"/>
      <c r="V229" s="67"/>
      <c r="W229" s="64"/>
      <c r="X229" s="64"/>
      <c r="Y229" s="64"/>
      <c r="Z229" s="64"/>
      <c r="AA229" s="64"/>
      <c r="AB229" s="67"/>
      <c r="AC229" s="64"/>
      <c r="AD229" s="64"/>
      <c r="AE229" s="64"/>
      <c r="AF229" s="64"/>
      <c r="AG229" s="64"/>
      <c r="AH229" s="67"/>
      <c r="AI229" s="64"/>
      <c r="AJ229" s="64"/>
      <c r="AK229" s="64"/>
      <c r="AL229" s="64"/>
      <c r="AM229" s="64"/>
      <c r="AN229" s="67"/>
      <c r="AO229" s="64"/>
      <c r="AP229" s="64"/>
      <c r="AQ229" s="64"/>
      <c r="AR229" s="64"/>
      <c r="AS229" s="64"/>
      <c r="AT229" s="64"/>
      <c r="AU229" s="64"/>
      <c r="AV229" s="64"/>
      <c r="AW229" s="64"/>
      <c r="AX229" s="64"/>
      <c r="AY229" s="64"/>
      <c r="AZ229" s="64"/>
      <c r="BA229" s="64"/>
      <c r="BB229" s="64"/>
      <c r="BC229" s="64"/>
      <c r="BD229" s="64"/>
      <c r="BE229" s="657"/>
      <c r="BF229" s="67"/>
      <c r="BG229" s="64"/>
      <c r="BH229" s="64"/>
      <c r="BI229" s="64"/>
      <c r="BJ229" s="64"/>
      <c r="BK229" s="788"/>
      <c r="BL229" s="64"/>
      <c r="BM229" s="64"/>
      <c r="BN229" s="64"/>
      <c r="BO229" s="64"/>
      <c r="BP229" s="64"/>
      <c r="BQ229" s="788"/>
      <c r="BR229" s="69"/>
      <c r="BS229" s="69"/>
      <c r="BT229" s="64"/>
    </row>
    <row r="230" spans="1:72" ht="12.75" customHeight="1">
      <c r="A230" s="64"/>
      <c r="B230" s="64" t="s">
        <v>2772</v>
      </c>
      <c r="C230" s="64"/>
      <c r="D230" s="64" t="s">
        <v>2785</v>
      </c>
      <c r="E230" s="64"/>
      <c r="F230" s="130" t="str">
        <f>'AIG Facility - Preisrechner'!C8</f>
        <v/>
      </c>
      <c r="G230" s="639"/>
      <c r="H230" s="132"/>
      <c r="I230" s="64"/>
      <c r="J230" s="64"/>
      <c r="K230" s="67"/>
      <c r="L230" s="639"/>
      <c r="M230" s="132"/>
      <c r="N230" s="64"/>
      <c r="O230" s="64"/>
      <c r="P230" s="67"/>
      <c r="Q230" s="64"/>
      <c r="R230" s="64"/>
      <c r="S230" s="64"/>
      <c r="T230" s="64"/>
      <c r="U230" s="64"/>
      <c r="V230" s="67"/>
      <c r="W230" s="64"/>
      <c r="X230" s="64"/>
      <c r="Y230" s="64"/>
      <c r="Z230" s="64"/>
      <c r="AA230" s="64"/>
      <c r="AB230" s="67"/>
      <c r="AC230" s="64"/>
      <c r="AD230" s="64"/>
      <c r="AE230" s="64"/>
      <c r="AF230" s="64"/>
      <c r="AG230" s="64"/>
      <c r="AH230" s="67"/>
      <c r="AI230" s="64"/>
      <c r="AJ230" s="64"/>
      <c r="AK230" s="64"/>
      <c r="AL230" s="64"/>
      <c r="AM230" s="64"/>
      <c r="AN230" s="67"/>
      <c r="AO230" s="64"/>
      <c r="AP230" s="64"/>
      <c r="AQ230" s="64"/>
      <c r="AR230" s="64"/>
      <c r="AS230" s="64"/>
      <c r="AT230" s="64"/>
      <c r="AU230" s="64"/>
      <c r="AV230" s="64"/>
      <c r="AW230" s="64"/>
      <c r="AX230" s="64"/>
      <c r="AY230" s="64"/>
      <c r="AZ230" s="64"/>
      <c r="BA230" s="64"/>
      <c r="BB230" s="64"/>
      <c r="BC230" s="64"/>
      <c r="BD230" s="64"/>
      <c r="BE230" s="657"/>
      <c r="BF230" s="67"/>
      <c r="BG230" s="64"/>
      <c r="BH230" s="64"/>
      <c r="BI230" s="64"/>
      <c r="BJ230" s="64"/>
      <c r="BK230" s="788"/>
      <c r="BL230" s="64"/>
      <c r="BM230" s="64"/>
      <c r="BN230" s="64"/>
      <c r="BO230" s="64"/>
      <c r="BP230" s="64"/>
      <c r="BQ230" s="788"/>
      <c r="BR230" s="69"/>
      <c r="BS230" s="69"/>
      <c r="BT230" s="64"/>
    </row>
    <row r="231" spans="1:72" ht="12.75" customHeight="1">
      <c r="A231" s="64"/>
      <c r="B231" s="64" t="s">
        <v>2772</v>
      </c>
      <c r="C231" s="64"/>
      <c r="D231" s="64" t="s">
        <v>2786</v>
      </c>
      <c r="E231" s="64"/>
      <c r="F231" s="130" t="str">
        <f>'AIG Facility - Preisrechner'!D8</f>
        <v/>
      </c>
      <c r="G231" s="639"/>
      <c r="H231" s="132"/>
      <c r="I231" s="64"/>
      <c r="J231" s="64"/>
      <c r="K231" s="67"/>
      <c r="L231" s="639"/>
      <c r="M231" s="132"/>
      <c r="N231" s="64"/>
      <c r="O231" s="64"/>
      <c r="P231" s="67"/>
      <c r="Q231" s="64"/>
      <c r="R231" s="64"/>
      <c r="S231" s="64"/>
      <c r="T231" s="64"/>
      <c r="U231" s="64"/>
      <c r="V231" s="67"/>
      <c r="W231" s="64"/>
      <c r="X231" s="64"/>
      <c r="Y231" s="64"/>
      <c r="Z231" s="64"/>
      <c r="AA231" s="64"/>
      <c r="AB231" s="67"/>
      <c r="AC231" s="64"/>
      <c r="AD231" s="64"/>
      <c r="AE231" s="64"/>
      <c r="AF231" s="64"/>
      <c r="AG231" s="64"/>
      <c r="AH231" s="67"/>
      <c r="AI231" s="64"/>
      <c r="AJ231" s="64"/>
      <c r="AK231" s="64"/>
      <c r="AL231" s="64"/>
      <c r="AM231" s="64"/>
      <c r="AN231" s="67"/>
      <c r="AO231" s="64"/>
      <c r="AP231" s="64"/>
      <c r="AQ231" s="64"/>
      <c r="AR231" s="64"/>
      <c r="AS231" s="64"/>
      <c r="AT231" s="64"/>
      <c r="AU231" s="64"/>
      <c r="AV231" s="64"/>
      <c r="AW231" s="64"/>
      <c r="AX231" s="64"/>
      <c r="AY231" s="64"/>
      <c r="AZ231" s="64"/>
      <c r="BA231" s="64"/>
      <c r="BB231" s="64"/>
      <c r="BC231" s="64"/>
      <c r="BD231" s="64"/>
      <c r="BE231" s="657"/>
      <c r="BF231" s="67"/>
      <c r="BG231" s="64"/>
      <c r="BH231" s="64"/>
      <c r="BI231" s="64"/>
      <c r="BJ231" s="64"/>
      <c r="BK231" s="788"/>
      <c r="BL231" s="64"/>
      <c r="BM231" s="64"/>
      <c r="BN231" s="64"/>
      <c r="BO231" s="64"/>
      <c r="BP231" s="64"/>
      <c r="BQ231" s="788"/>
      <c r="BR231" s="69"/>
      <c r="BS231" s="69"/>
      <c r="BT231" s="64"/>
    </row>
    <row r="232" spans="1:72" ht="12.75" customHeight="1">
      <c r="A232" s="64"/>
      <c r="B232" s="64" t="s">
        <v>2772</v>
      </c>
      <c r="C232" s="64"/>
      <c r="D232" s="64" t="s">
        <v>2787</v>
      </c>
      <c r="E232" s="64"/>
      <c r="F232" s="67"/>
      <c r="G232" s="640"/>
      <c r="H232" s="64"/>
      <c r="I232" s="64"/>
      <c r="J232" s="64"/>
      <c r="K232" s="130" t="str">
        <f>'Sterne-Rechner - Angebot'!N13</f>
        <v/>
      </c>
      <c r="L232" s="640"/>
      <c r="M232" s="64"/>
      <c r="N232" s="64"/>
      <c r="O232" s="64"/>
      <c r="P232" s="67"/>
      <c r="Q232" s="64"/>
      <c r="R232" s="64"/>
      <c r="S232" s="64"/>
      <c r="T232" s="64"/>
      <c r="U232" s="64"/>
      <c r="V232" s="67"/>
      <c r="W232" s="64"/>
      <c r="X232" s="64"/>
      <c r="Y232" s="64"/>
      <c r="Z232" s="64"/>
      <c r="AA232" s="64"/>
      <c r="AB232" s="67"/>
      <c r="AC232" s="64"/>
      <c r="AD232" s="64"/>
      <c r="AE232" s="64"/>
      <c r="AF232" s="64"/>
      <c r="AG232" s="64"/>
      <c r="AH232" s="67"/>
      <c r="AI232" s="64"/>
      <c r="AJ232" s="64"/>
      <c r="AK232" s="64"/>
      <c r="AL232" s="64"/>
      <c r="AM232" s="64"/>
      <c r="AN232" s="67"/>
      <c r="AO232" s="64"/>
      <c r="AP232" s="64"/>
      <c r="AQ232" s="64"/>
      <c r="AR232" s="64"/>
      <c r="AS232" s="64"/>
      <c r="AT232" s="64"/>
      <c r="AU232" s="64"/>
      <c r="AV232" s="64"/>
      <c r="AW232" s="64"/>
      <c r="AX232" s="64"/>
      <c r="AY232" s="64"/>
      <c r="AZ232" s="64"/>
      <c r="BA232" s="64"/>
      <c r="BB232" s="64"/>
      <c r="BC232" s="64"/>
      <c r="BD232" s="64"/>
      <c r="BE232" s="657"/>
      <c r="BF232" s="67"/>
      <c r="BG232" s="64"/>
      <c r="BH232" s="64"/>
      <c r="BI232" s="64"/>
      <c r="BJ232" s="64"/>
      <c r="BK232" s="788"/>
      <c r="BL232" s="64"/>
      <c r="BM232" s="64"/>
      <c r="BN232" s="64"/>
      <c r="BO232" s="64"/>
      <c r="BP232" s="64"/>
      <c r="BQ232" s="788"/>
      <c r="BR232" s="69"/>
      <c r="BS232" s="69"/>
      <c r="BT232" s="64"/>
    </row>
    <row r="233" spans="1:72" ht="12.75" customHeight="1">
      <c r="A233" s="64"/>
      <c r="B233" s="64" t="s">
        <v>2772</v>
      </c>
      <c r="C233" s="64"/>
      <c r="D233" s="64" t="s">
        <v>2788</v>
      </c>
      <c r="E233" s="64"/>
      <c r="F233" s="67"/>
      <c r="G233" s="640"/>
      <c r="H233" s="132"/>
      <c r="I233" s="64"/>
      <c r="J233" s="64"/>
      <c r="K233" s="130" t="str">
        <f>'Sterne-Rechner - Angebot'!N14</f>
        <v/>
      </c>
      <c r="L233" s="640"/>
      <c r="M233" s="132"/>
      <c r="N233" s="64"/>
      <c r="O233" s="64"/>
      <c r="P233" s="67"/>
      <c r="Q233" s="64"/>
      <c r="R233" s="64"/>
      <c r="S233" s="64"/>
      <c r="T233" s="64"/>
      <c r="U233" s="64"/>
      <c r="V233" s="67"/>
      <c r="W233" s="64"/>
      <c r="X233" s="64"/>
      <c r="Y233" s="64"/>
      <c r="Z233" s="64"/>
      <c r="AA233" s="64"/>
      <c r="AB233" s="67"/>
      <c r="AC233" s="64"/>
      <c r="AD233" s="64"/>
      <c r="AE233" s="64"/>
      <c r="AF233" s="64"/>
      <c r="AG233" s="64"/>
      <c r="AH233" s="67"/>
      <c r="AI233" s="64"/>
      <c r="AJ233" s="64"/>
      <c r="AK233" s="64"/>
      <c r="AL233" s="64"/>
      <c r="AM233" s="64"/>
      <c r="AN233" s="67"/>
      <c r="AO233" s="64"/>
      <c r="AP233" s="64"/>
      <c r="AQ233" s="64"/>
      <c r="AR233" s="64"/>
      <c r="AS233" s="64"/>
      <c r="AT233" s="64"/>
      <c r="AU233" s="64"/>
      <c r="AV233" s="64"/>
      <c r="AW233" s="64"/>
      <c r="AX233" s="64"/>
      <c r="AY233" s="64"/>
      <c r="AZ233" s="64"/>
      <c r="BA233" s="64"/>
      <c r="BB233" s="64"/>
      <c r="BC233" s="64"/>
      <c r="BD233" s="64"/>
      <c r="BE233" s="657"/>
      <c r="BF233" s="67"/>
      <c r="BG233" s="64"/>
      <c r="BH233" s="64"/>
      <c r="BI233" s="64"/>
      <c r="BJ233" s="64"/>
      <c r="BK233" s="788"/>
      <c r="BL233" s="64"/>
      <c r="BM233" s="64"/>
      <c r="BN233" s="64"/>
      <c r="BO233" s="64"/>
      <c r="BP233" s="64"/>
      <c r="BQ233" s="788"/>
      <c r="BR233" s="69"/>
      <c r="BS233" s="69"/>
      <c r="BT233" s="64"/>
    </row>
    <row r="234" spans="1:72" ht="12.75" customHeight="1">
      <c r="A234" s="64"/>
      <c r="B234" s="64" t="s">
        <v>2772</v>
      </c>
      <c r="C234" s="64"/>
      <c r="D234" s="64" t="s">
        <v>2789</v>
      </c>
      <c r="E234" s="64"/>
      <c r="F234" s="67"/>
      <c r="G234" s="640"/>
      <c r="H234" s="132"/>
      <c r="I234" s="64"/>
      <c r="J234" s="64"/>
      <c r="K234" s="130" t="str">
        <f>'Sterne-Rechner - Angebot'!N15</f>
        <v/>
      </c>
      <c r="L234" s="640"/>
      <c r="M234" s="132"/>
      <c r="N234" s="64"/>
      <c r="O234" s="64"/>
      <c r="P234" s="67"/>
      <c r="Q234" s="64"/>
      <c r="R234" s="64"/>
      <c r="S234" s="64"/>
      <c r="T234" s="64"/>
      <c r="U234" s="64"/>
      <c r="V234" s="67"/>
      <c r="W234" s="64"/>
      <c r="X234" s="64"/>
      <c r="Y234" s="64"/>
      <c r="Z234" s="64"/>
      <c r="AA234" s="64"/>
      <c r="AB234" s="67"/>
      <c r="AC234" s="64"/>
      <c r="AD234" s="64"/>
      <c r="AE234" s="64"/>
      <c r="AF234" s="64"/>
      <c r="AG234" s="64"/>
      <c r="AH234" s="67"/>
      <c r="AI234" s="64"/>
      <c r="AJ234" s="64"/>
      <c r="AK234" s="64"/>
      <c r="AL234" s="64"/>
      <c r="AM234" s="64"/>
      <c r="AN234" s="67"/>
      <c r="AO234" s="64"/>
      <c r="AP234" s="64"/>
      <c r="AQ234" s="64"/>
      <c r="AR234" s="64"/>
      <c r="AS234" s="64"/>
      <c r="AT234" s="64"/>
      <c r="AU234" s="64"/>
      <c r="AV234" s="64"/>
      <c r="AW234" s="64"/>
      <c r="AX234" s="64"/>
      <c r="AY234" s="64"/>
      <c r="AZ234" s="64"/>
      <c r="BA234" s="64"/>
      <c r="BB234" s="64"/>
      <c r="BC234" s="64"/>
      <c r="BD234" s="64"/>
      <c r="BE234" s="657"/>
      <c r="BF234" s="67"/>
      <c r="BG234" s="64"/>
      <c r="BH234" s="64"/>
      <c r="BI234" s="64"/>
      <c r="BJ234" s="64"/>
      <c r="BK234" s="788"/>
      <c r="BL234" s="64"/>
      <c r="BM234" s="64"/>
      <c r="BN234" s="64"/>
      <c r="BO234" s="64"/>
      <c r="BP234" s="64"/>
      <c r="BQ234" s="788"/>
      <c r="BR234" s="69"/>
      <c r="BS234" s="69"/>
      <c r="BT234" s="64"/>
    </row>
    <row r="235" spans="1:72" ht="12.75" customHeight="1">
      <c r="A235" s="64"/>
      <c r="B235" s="64" t="s">
        <v>2772</v>
      </c>
      <c r="C235" s="64"/>
      <c r="D235" s="64"/>
      <c r="E235" s="64"/>
      <c r="F235" s="67"/>
      <c r="G235" s="640"/>
      <c r="H235" s="64"/>
      <c r="I235" s="64"/>
      <c r="J235" s="64"/>
      <c r="K235" s="67"/>
      <c r="L235" s="640"/>
      <c r="M235" s="64"/>
      <c r="N235" s="64"/>
      <c r="O235" s="64"/>
      <c r="P235" s="67"/>
      <c r="Q235" s="64"/>
      <c r="R235" s="64"/>
      <c r="S235" s="64"/>
      <c r="T235" s="64"/>
      <c r="U235" s="64"/>
      <c r="V235" s="67"/>
      <c r="W235" s="64"/>
      <c r="X235" s="64"/>
      <c r="Y235" s="64"/>
      <c r="Z235" s="64"/>
      <c r="AA235" s="64"/>
      <c r="AB235" s="67"/>
      <c r="AC235" s="64"/>
      <c r="AD235" s="64"/>
      <c r="AE235" s="64"/>
      <c r="AF235" s="64"/>
      <c r="AG235" s="64"/>
      <c r="AH235" s="67"/>
      <c r="AI235" s="64"/>
      <c r="AJ235" s="64"/>
      <c r="AK235" s="64"/>
      <c r="AL235" s="64"/>
      <c r="AM235" s="64"/>
      <c r="AN235" s="67"/>
      <c r="AO235" s="64"/>
      <c r="AP235" s="64"/>
      <c r="AQ235" s="64"/>
      <c r="AR235" s="64"/>
      <c r="AS235" s="64"/>
      <c r="AT235" s="64"/>
      <c r="AU235" s="64"/>
      <c r="AV235" s="64"/>
      <c r="AW235" s="64"/>
      <c r="AX235" s="64"/>
      <c r="AY235" s="64"/>
      <c r="AZ235" s="64"/>
      <c r="BA235" s="64"/>
      <c r="BB235" s="64"/>
      <c r="BC235" s="64"/>
      <c r="BD235" s="64"/>
      <c r="BE235" s="657"/>
      <c r="BF235" s="67"/>
      <c r="BG235" s="64"/>
      <c r="BH235" s="64"/>
      <c r="BI235" s="64"/>
      <c r="BJ235" s="64"/>
      <c r="BK235" s="788"/>
      <c r="BL235" s="64"/>
      <c r="BM235" s="64"/>
      <c r="BN235" s="64"/>
      <c r="BO235" s="64"/>
      <c r="BP235" s="64"/>
      <c r="BQ235" s="788"/>
      <c r="BR235" s="69"/>
      <c r="BS235" s="69"/>
      <c r="BT235" s="64"/>
    </row>
    <row r="236" spans="1:72" ht="12.75" customHeight="1">
      <c r="A236" s="64"/>
      <c r="B236" s="64" t="s">
        <v>2772</v>
      </c>
      <c r="C236" s="64"/>
      <c r="D236" s="64" t="s">
        <v>2790</v>
      </c>
      <c r="E236" s="64"/>
      <c r="F236" s="67"/>
      <c r="G236" s="640"/>
      <c r="H236" s="64"/>
      <c r="I236" s="64"/>
      <c r="J236" s="64"/>
      <c r="K236" s="129" t="str">
        <f ca="1">StatusAIGFacility</f>
        <v>OFFER_REFERRAL</v>
      </c>
      <c r="L236" s="640"/>
      <c r="M236" s="64"/>
      <c r="N236" s="64"/>
      <c r="O236" s="64"/>
      <c r="P236" s="67"/>
      <c r="Q236" s="64"/>
      <c r="R236" s="64"/>
      <c r="S236" s="64"/>
      <c r="T236" s="64"/>
      <c r="U236" s="64"/>
      <c r="V236" s="67"/>
      <c r="W236" s="64"/>
      <c r="X236" s="64"/>
      <c r="Y236" s="64"/>
      <c r="Z236" s="64"/>
      <c r="AA236" s="64"/>
      <c r="AB236" s="67"/>
      <c r="AC236" s="64"/>
      <c r="AD236" s="64"/>
      <c r="AE236" s="64"/>
      <c r="AF236" s="64"/>
      <c r="AG236" s="64"/>
      <c r="AH236" s="67"/>
      <c r="AI236" s="64"/>
      <c r="AJ236" s="64"/>
      <c r="AK236" s="64"/>
      <c r="AL236" s="64"/>
      <c r="AM236" s="64"/>
      <c r="AN236" s="67"/>
      <c r="AO236" s="64"/>
      <c r="AP236" s="64"/>
      <c r="AQ236" s="64"/>
      <c r="AR236" s="64"/>
      <c r="AS236" s="64"/>
      <c r="AT236" s="64"/>
      <c r="AU236" s="64"/>
      <c r="AV236" s="64"/>
      <c r="AW236" s="64"/>
      <c r="AX236" s="64"/>
      <c r="AY236" s="64"/>
      <c r="AZ236" s="64"/>
      <c r="BA236" s="64"/>
      <c r="BB236" s="64"/>
      <c r="BC236" s="64"/>
      <c r="BD236" s="64"/>
      <c r="BE236" s="657"/>
      <c r="BF236" s="67"/>
      <c r="BG236" s="64"/>
      <c r="BH236" s="64"/>
      <c r="BI236" s="64"/>
      <c r="BJ236" s="64"/>
      <c r="BK236" s="788"/>
      <c r="BL236" s="64"/>
      <c r="BM236" s="64"/>
      <c r="BN236" s="64"/>
      <c r="BO236" s="64"/>
      <c r="BP236" s="64"/>
      <c r="BQ236" s="788"/>
      <c r="BR236" s="69"/>
      <c r="BS236" s="69"/>
      <c r="BT236" s="64"/>
    </row>
    <row r="237" spans="1:72" ht="12.75" customHeight="1">
      <c r="A237" s="64"/>
      <c r="B237" s="64" t="s">
        <v>2772</v>
      </c>
      <c r="C237" s="64"/>
      <c r="D237" s="64" t="s">
        <v>2791</v>
      </c>
      <c r="E237" s="64"/>
      <c r="F237" s="67"/>
      <c r="G237" s="640"/>
      <c r="H237" s="64"/>
      <c r="I237" s="64"/>
      <c r="J237" s="64"/>
      <c r="K237" s="67"/>
      <c r="L237" s="640"/>
      <c r="M237" s="64"/>
      <c r="N237" s="64"/>
      <c r="O237" s="64"/>
      <c r="P237" s="67"/>
      <c r="Q237" s="64"/>
      <c r="R237" s="64"/>
      <c r="S237" s="64"/>
      <c r="T237" s="64"/>
      <c r="U237" s="64"/>
      <c r="V237" s="67"/>
      <c r="W237" s="64"/>
      <c r="X237" s="64"/>
      <c r="Y237" s="64"/>
      <c r="Z237" s="64"/>
      <c r="AA237" s="64"/>
      <c r="AB237" s="67"/>
      <c r="AC237" s="64"/>
      <c r="AD237" s="64"/>
      <c r="AE237" s="64"/>
      <c r="AF237" s="64"/>
      <c r="AG237" s="64"/>
      <c r="AH237" s="67"/>
      <c r="AI237" s="64"/>
      <c r="AJ237" s="64"/>
      <c r="AK237" s="64"/>
      <c r="AL237" s="64"/>
      <c r="AM237" s="64"/>
      <c r="AN237" s="67"/>
      <c r="AO237" s="64"/>
      <c r="AP237" s="64"/>
      <c r="AQ237" s="64"/>
      <c r="AR237" s="64"/>
      <c r="AS237" s="64"/>
      <c r="AT237" s="64"/>
      <c r="AU237" s="64"/>
      <c r="AV237" s="64"/>
      <c r="AW237" s="64"/>
      <c r="AX237" s="64"/>
      <c r="AY237" s="64"/>
      <c r="AZ237" s="64"/>
      <c r="BA237" s="64"/>
      <c r="BB237" s="64"/>
      <c r="BC237" s="64"/>
      <c r="BD237" s="64"/>
      <c r="BE237" s="657"/>
      <c r="BF237" s="67"/>
      <c r="BG237" s="64"/>
      <c r="BH237" s="64"/>
      <c r="BI237" s="64"/>
      <c r="BJ237" s="64"/>
      <c r="BK237" s="788"/>
      <c r="BL237" s="64"/>
      <c r="BM237" s="64"/>
      <c r="BN237" s="64"/>
      <c r="BO237" s="64"/>
      <c r="BP237" s="64"/>
      <c r="BQ237" s="788"/>
      <c r="BR237" s="69"/>
      <c r="BS237" s="69"/>
      <c r="BT237" s="64"/>
    </row>
    <row r="238" spans="1:72" ht="12.75" customHeight="1">
      <c r="A238" s="64"/>
      <c r="B238" s="64" t="s">
        <v>2772</v>
      </c>
      <c r="C238" s="64"/>
      <c r="D238" s="64" t="s">
        <v>2792</v>
      </c>
      <c r="E238" s="64"/>
      <c r="F238" s="67"/>
      <c r="G238" s="640"/>
      <c r="H238" s="64"/>
      <c r="I238" s="64"/>
      <c r="J238" s="64"/>
      <c r="K238" s="67"/>
      <c r="L238" s="640"/>
      <c r="M238" s="64"/>
      <c r="N238" s="64"/>
      <c r="O238" s="64"/>
      <c r="P238" s="67"/>
      <c r="Q238" s="64"/>
      <c r="R238" s="64"/>
      <c r="S238" s="64"/>
      <c r="T238" s="64"/>
      <c r="U238" s="64"/>
      <c r="V238" s="67"/>
      <c r="W238" s="64"/>
      <c r="X238" s="64"/>
      <c r="Y238" s="64"/>
      <c r="Z238" s="64"/>
      <c r="AA238" s="64"/>
      <c r="AB238" s="67"/>
      <c r="AC238" s="64"/>
      <c r="AD238" s="64"/>
      <c r="AE238" s="64"/>
      <c r="AF238" s="64"/>
      <c r="AG238" s="64"/>
      <c r="AH238" s="67"/>
      <c r="AI238" s="64"/>
      <c r="AJ238" s="64"/>
      <c r="AK238" s="64"/>
      <c r="AL238" s="64"/>
      <c r="AM238" s="64"/>
      <c r="AN238" s="67"/>
      <c r="AO238" s="64"/>
      <c r="AP238" s="64"/>
      <c r="AQ238" s="64"/>
      <c r="AR238" s="64"/>
      <c r="AS238" s="64"/>
      <c r="AT238" s="64"/>
      <c r="AU238" s="64"/>
      <c r="AV238" s="64"/>
      <c r="AW238" s="64"/>
      <c r="AX238" s="64"/>
      <c r="AY238" s="64"/>
      <c r="AZ238" s="64"/>
      <c r="BA238" s="64"/>
      <c r="BB238" s="64"/>
      <c r="BC238" s="64"/>
      <c r="BD238" s="64"/>
      <c r="BE238" s="657"/>
      <c r="BF238" s="67"/>
      <c r="BG238" s="64"/>
      <c r="BH238" s="64"/>
      <c r="BI238" s="64"/>
      <c r="BJ238" s="64"/>
      <c r="BK238" s="788"/>
      <c r="BL238" s="64"/>
      <c r="BM238" s="64"/>
      <c r="BN238" s="64"/>
      <c r="BO238" s="64"/>
      <c r="BP238" s="64"/>
      <c r="BQ238" s="788"/>
      <c r="BR238" s="69"/>
      <c r="BS238" s="69"/>
      <c r="BT238" s="64"/>
    </row>
    <row r="239" spans="1:72" ht="12.75" customHeight="1">
      <c r="A239" s="64"/>
      <c r="B239" s="64" t="s">
        <v>2772</v>
      </c>
      <c r="C239" s="64"/>
      <c r="D239" s="64" t="s">
        <v>2793</v>
      </c>
      <c r="E239" s="64"/>
      <c r="F239" s="67"/>
      <c r="G239" s="639"/>
      <c r="H239" s="64"/>
      <c r="I239" s="64"/>
      <c r="J239" s="64"/>
      <c r="K239" s="67"/>
      <c r="L239" s="639"/>
      <c r="M239" s="64"/>
      <c r="N239" s="64"/>
      <c r="O239" s="64"/>
      <c r="P239" s="67"/>
      <c r="Q239" s="64"/>
      <c r="R239" s="64"/>
      <c r="S239" s="64"/>
      <c r="T239" s="64"/>
      <c r="U239" s="64"/>
      <c r="V239" s="67"/>
      <c r="W239" s="64"/>
      <c r="X239" s="64"/>
      <c r="Y239" s="64"/>
      <c r="Z239" s="64"/>
      <c r="AA239" s="64"/>
      <c r="AB239" s="67"/>
      <c r="AC239" s="64"/>
      <c r="AD239" s="64"/>
      <c r="AE239" s="64"/>
      <c r="AF239" s="64"/>
      <c r="AG239" s="64"/>
      <c r="AH239" s="67"/>
      <c r="AI239" s="64"/>
      <c r="AJ239" s="64"/>
      <c r="AK239" s="64"/>
      <c r="AL239" s="64"/>
      <c r="AM239" s="64"/>
      <c r="AN239" s="67"/>
      <c r="AO239" s="64"/>
      <c r="AP239" s="64"/>
      <c r="AQ239" s="64"/>
      <c r="AR239" s="64"/>
      <c r="AS239" s="64"/>
      <c r="AT239" s="64"/>
      <c r="AU239" s="64"/>
      <c r="AV239" s="64"/>
      <c r="AW239" s="64"/>
      <c r="AX239" s="64"/>
      <c r="AY239" s="64"/>
      <c r="AZ239" s="64"/>
      <c r="BA239" s="64"/>
      <c r="BB239" s="64"/>
      <c r="BC239" s="64"/>
      <c r="BD239" s="64"/>
      <c r="BE239" s="657"/>
      <c r="BF239" s="67"/>
      <c r="BG239" s="64"/>
      <c r="BH239" s="64"/>
      <c r="BI239" s="64"/>
      <c r="BJ239" s="64"/>
      <c r="BK239" s="788"/>
      <c r="BL239" s="64"/>
      <c r="BM239" s="64"/>
      <c r="BN239" s="64"/>
      <c r="BO239" s="64"/>
      <c r="BP239" s="64"/>
      <c r="BQ239" s="788"/>
      <c r="BR239" s="69"/>
      <c r="BS239" s="69"/>
      <c r="BT239" s="64"/>
    </row>
    <row r="240" spans="1:72" ht="12.75" customHeight="1">
      <c r="A240" s="64"/>
      <c r="B240" s="64" t="s">
        <v>2772</v>
      </c>
      <c r="C240" s="64"/>
      <c r="D240" s="128" t="s">
        <v>2797</v>
      </c>
      <c r="E240" s="128"/>
      <c r="F240" s="67"/>
      <c r="G240" s="639"/>
      <c r="H240" s="64"/>
      <c r="I240" s="64"/>
      <c r="J240" s="64"/>
      <c r="K240" s="67"/>
      <c r="L240" s="639"/>
      <c r="M240" s="64"/>
      <c r="N240" s="64"/>
      <c r="O240" s="64"/>
      <c r="P240" s="67"/>
      <c r="Q240" s="64"/>
      <c r="R240" s="64"/>
      <c r="S240" s="64"/>
      <c r="T240" s="64"/>
      <c r="U240" s="64"/>
      <c r="V240" s="67"/>
      <c r="W240" s="64"/>
      <c r="X240" s="64"/>
      <c r="Y240" s="64"/>
      <c r="Z240" s="64"/>
      <c r="AA240" s="64"/>
      <c r="AB240" s="67"/>
      <c r="AC240" s="64"/>
      <c r="AD240" s="64"/>
      <c r="AE240" s="64"/>
      <c r="AF240" s="64"/>
      <c r="AG240" s="64"/>
      <c r="AH240" s="67"/>
      <c r="AI240" s="64"/>
      <c r="AJ240" s="64"/>
      <c r="AK240" s="64"/>
      <c r="AL240" s="64"/>
      <c r="AM240" s="64"/>
      <c r="AN240" s="67"/>
      <c r="AO240" s="64"/>
      <c r="AP240" s="64"/>
      <c r="AQ240" s="64"/>
      <c r="AR240" s="64"/>
      <c r="AS240" s="64"/>
      <c r="AT240" s="64"/>
      <c r="AU240" s="64"/>
      <c r="AV240" s="64"/>
      <c r="AW240" s="64"/>
      <c r="AX240" s="64"/>
      <c r="AY240" s="64"/>
      <c r="AZ240" s="64"/>
      <c r="BA240" s="64"/>
      <c r="BB240" s="64"/>
      <c r="BC240" s="64"/>
      <c r="BD240" s="64"/>
      <c r="BE240" s="657"/>
      <c r="BF240" s="67"/>
      <c r="BG240" s="64"/>
      <c r="BH240" s="64"/>
      <c r="BI240" s="64"/>
      <c r="BJ240" s="64"/>
      <c r="BK240" s="788"/>
      <c r="BL240" s="64"/>
      <c r="BM240" s="64"/>
      <c r="BN240" s="64"/>
      <c r="BO240" s="64"/>
      <c r="BP240" s="64"/>
      <c r="BQ240" s="788"/>
      <c r="BR240" s="69"/>
      <c r="BS240" s="69"/>
      <c r="BT240" s="64"/>
    </row>
    <row r="241" spans="1:72" ht="12.75" customHeight="1">
      <c r="A241" s="64"/>
      <c r="B241" s="64" t="s">
        <v>2772</v>
      </c>
      <c r="C241" s="64"/>
      <c r="D241" s="64" t="s">
        <v>2774</v>
      </c>
      <c r="E241" s="64"/>
      <c r="F241" s="67"/>
      <c r="G241" s="639"/>
      <c r="H241" s="64"/>
      <c r="I241" s="64"/>
      <c r="J241" s="64"/>
      <c r="K241" s="67"/>
      <c r="L241" s="639"/>
      <c r="M241" s="64"/>
      <c r="N241" s="64"/>
      <c r="O241" s="64"/>
      <c r="P241" s="67"/>
      <c r="Q241" s="64"/>
      <c r="R241" s="64"/>
      <c r="S241" s="64"/>
      <c r="T241" s="64"/>
      <c r="U241" s="64"/>
      <c r="V241" s="67"/>
      <c r="W241" s="64"/>
      <c r="X241" s="64"/>
      <c r="Y241" s="64"/>
      <c r="Z241" s="64"/>
      <c r="AA241" s="64"/>
      <c r="AB241" s="67"/>
      <c r="AC241" s="64"/>
      <c r="AD241" s="64"/>
      <c r="AE241" s="64"/>
      <c r="AF241" s="64"/>
      <c r="AG241" s="64"/>
      <c r="AH241" s="67"/>
      <c r="AI241" s="64"/>
      <c r="AJ241" s="64"/>
      <c r="AK241" s="64"/>
      <c r="AL241" s="64"/>
      <c r="AM241" s="64"/>
      <c r="AN241" s="67"/>
      <c r="AO241" s="64"/>
      <c r="AP241" s="64"/>
      <c r="AQ241" s="64"/>
      <c r="AR241" s="64"/>
      <c r="AS241" s="64"/>
      <c r="AT241" s="64"/>
      <c r="AU241" s="64"/>
      <c r="AV241" s="64"/>
      <c r="AW241" s="64"/>
      <c r="AX241" s="64"/>
      <c r="AY241" s="64"/>
      <c r="AZ241" s="64"/>
      <c r="BA241" s="64"/>
      <c r="BB241" s="64"/>
      <c r="BC241" s="64"/>
      <c r="BD241" s="64"/>
      <c r="BE241" s="657"/>
      <c r="BF241" s="67"/>
      <c r="BG241" s="64"/>
      <c r="BH241" s="64"/>
      <c r="BI241" s="64"/>
      <c r="BJ241" s="64"/>
      <c r="BK241" s="788"/>
      <c r="BL241" s="64"/>
      <c r="BM241" s="64"/>
      <c r="BN241" s="64"/>
      <c r="BO241" s="64"/>
      <c r="BP241" s="64"/>
      <c r="BQ241" s="788"/>
      <c r="BR241" s="69"/>
      <c r="BS241" s="69"/>
      <c r="BT241" s="64"/>
    </row>
    <row r="242" spans="1:72" ht="12.75" customHeight="1">
      <c r="A242" s="64"/>
      <c r="B242" s="64" t="s">
        <v>2772</v>
      </c>
      <c r="C242" s="64"/>
      <c r="D242" s="64" t="s">
        <v>2775</v>
      </c>
      <c r="E242" s="64"/>
      <c r="F242" s="67"/>
      <c r="G242" s="639"/>
      <c r="H242" s="64"/>
      <c r="I242" s="64"/>
      <c r="J242" s="64"/>
      <c r="K242" s="67"/>
      <c r="L242" s="639"/>
      <c r="M242" s="64"/>
      <c r="N242" s="64"/>
      <c r="O242" s="64"/>
      <c r="P242" s="67"/>
      <c r="Q242" s="64"/>
      <c r="R242" s="64"/>
      <c r="S242" s="64"/>
      <c r="T242" s="64"/>
      <c r="U242" s="64"/>
      <c r="V242" s="67"/>
      <c r="W242" s="64"/>
      <c r="X242" s="64"/>
      <c r="Y242" s="64"/>
      <c r="Z242" s="64"/>
      <c r="AA242" s="64"/>
      <c r="AB242" s="67"/>
      <c r="AC242" s="64"/>
      <c r="AD242" s="64"/>
      <c r="AE242" s="64"/>
      <c r="AF242" s="64"/>
      <c r="AG242" s="64"/>
      <c r="AH242" s="67"/>
      <c r="AI242" s="64"/>
      <c r="AJ242" s="64"/>
      <c r="AK242" s="64"/>
      <c r="AL242" s="64"/>
      <c r="AM242" s="64"/>
      <c r="AN242" s="67"/>
      <c r="AO242" s="64"/>
      <c r="AP242" s="64"/>
      <c r="AQ242" s="64"/>
      <c r="AR242" s="64"/>
      <c r="AS242" s="64"/>
      <c r="AT242" s="64"/>
      <c r="AU242" s="64"/>
      <c r="AV242" s="64"/>
      <c r="AW242" s="64"/>
      <c r="AX242" s="64"/>
      <c r="AY242" s="64"/>
      <c r="AZ242" s="64"/>
      <c r="BA242" s="64"/>
      <c r="BB242" s="64"/>
      <c r="BC242" s="64"/>
      <c r="BD242" s="64"/>
      <c r="BE242" s="657"/>
      <c r="BF242" s="67"/>
      <c r="BG242" s="64"/>
      <c r="BH242" s="64"/>
      <c r="BI242" s="64"/>
      <c r="BJ242" s="64"/>
      <c r="BK242" s="788"/>
      <c r="BL242" s="64"/>
      <c r="BM242" s="64"/>
      <c r="BN242" s="64"/>
      <c r="BO242" s="64"/>
      <c r="BP242" s="64"/>
      <c r="BQ242" s="788"/>
      <c r="BR242" s="69"/>
      <c r="BS242" s="69"/>
      <c r="BT242" s="64"/>
    </row>
    <row r="243" spans="1:72" ht="12.75" customHeight="1">
      <c r="A243" s="64"/>
      <c r="B243" s="64" t="s">
        <v>2772</v>
      </c>
      <c r="C243" s="64"/>
      <c r="D243" s="64" t="s">
        <v>2776</v>
      </c>
      <c r="E243" s="64"/>
      <c r="F243" s="67"/>
      <c r="G243" s="639"/>
      <c r="H243" s="64"/>
      <c r="I243" s="64"/>
      <c r="J243" s="64"/>
      <c r="K243" s="67"/>
      <c r="L243" s="639"/>
      <c r="M243" s="64"/>
      <c r="N243" s="64"/>
      <c r="O243" s="64"/>
      <c r="P243" s="67"/>
      <c r="Q243" s="64"/>
      <c r="R243" s="64"/>
      <c r="S243" s="64"/>
      <c r="T243" s="64"/>
      <c r="U243" s="64"/>
      <c r="V243" s="67"/>
      <c r="W243" s="64"/>
      <c r="X243" s="64"/>
      <c r="Y243" s="64"/>
      <c r="Z243" s="64"/>
      <c r="AA243" s="64"/>
      <c r="AB243" s="67"/>
      <c r="AC243" s="64"/>
      <c r="AD243" s="64"/>
      <c r="AE243" s="64"/>
      <c r="AF243" s="64"/>
      <c r="AG243" s="64"/>
      <c r="AH243" s="67"/>
      <c r="AI243" s="64"/>
      <c r="AJ243" s="64"/>
      <c r="AK243" s="64"/>
      <c r="AL243" s="64"/>
      <c r="AM243" s="64"/>
      <c r="AN243" s="67"/>
      <c r="AO243" s="64"/>
      <c r="AP243" s="64"/>
      <c r="AQ243" s="64"/>
      <c r="AR243" s="64"/>
      <c r="AS243" s="64"/>
      <c r="AT243" s="64"/>
      <c r="AU243" s="64"/>
      <c r="AV243" s="64"/>
      <c r="AW243" s="64"/>
      <c r="AX243" s="64"/>
      <c r="AY243" s="64"/>
      <c r="AZ243" s="64"/>
      <c r="BA243" s="64"/>
      <c r="BB243" s="64"/>
      <c r="BC243" s="64"/>
      <c r="BD243" s="64"/>
      <c r="BE243" s="657"/>
      <c r="BF243" s="67"/>
      <c r="BG243" s="64"/>
      <c r="BH243" s="64"/>
      <c r="BI243" s="64"/>
      <c r="BJ243" s="64"/>
      <c r="BK243" s="788"/>
      <c r="BL243" s="64"/>
      <c r="BM243" s="64"/>
      <c r="BN243" s="64"/>
      <c r="BO243" s="64"/>
      <c r="BP243" s="64"/>
      <c r="BQ243" s="788"/>
      <c r="BR243" s="69"/>
      <c r="BS243" s="69"/>
      <c r="BT243" s="64"/>
    </row>
    <row r="244" spans="1:72" ht="12.75" customHeight="1">
      <c r="A244" s="64"/>
      <c r="B244" s="64" t="s">
        <v>2772</v>
      </c>
      <c r="C244" s="64"/>
      <c r="D244" s="64" t="s">
        <v>2777</v>
      </c>
      <c r="E244" s="64"/>
      <c r="F244" s="67"/>
      <c r="G244" s="639"/>
      <c r="H244" s="64"/>
      <c r="I244" s="64"/>
      <c r="J244" s="64"/>
      <c r="K244" s="67"/>
      <c r="L244" s="639"/>
      <c r="M244" s="64"/>
      <c r="N244" s="64"/>
      <c r="O244" s="64"/>
      <c r="P244" s="67"/>
      <c r="Q244" s="64"/>
      <c r="R244" s="64"/>
      <c r="S244" s="64"/>
      <c r="T244" s="64"/>
      <c r="U244" s="64"/>
      <c r="V244" s="67"/>
      <c r="W244" s="64"/>
      <c r="X244" s="64"/>
      <c r="Y244" s="64"/>
      <c r="Z244" s="64"/>
      <c r="AA244" s="64"/>
      <c r="AB244" s="67"/>
      <c r="AC244" s="64"/>
      <c r="AD244" s="64"/>
      <c r="AE244" s="64"/>
      <c r="AF244" s="64"/>
      <c r="AG244" s="64"/>
      <c r="AH244" s="67"/>
      <c r="AI244" s="64"/>
      <c r="AJ244" s="64"/>
      <c r="AK244" s="64"/>
      <c r="AL244" s="64"/>
      <c r="AM244" s="64"/>
      <c r="AN244" s="67"/>
      <c r="AO244" s="64"/>
      <c r="AP244" s="64"/>
      <c r="AQ244" s="64"/>
      <c r="AR244" s="64"/>
      <c r="AS244" s="64"/>
      <c r="AT244" s="64"/>
      <c r="AU244" s="64"/>
      <c r="AV244" s="64"/>
      <c r="AW244" s="64"/>
      <c r="AX244" s="64"/>
      <c r="AY244" s="64"/>
      <c r="AZ244" s="64"/>
      <c r="BA244" s="64"/>
      <c r="BB244" s="64"/>
      <c r="BC244" s="64"/>
      <c r="BD244" s="64"/>
      <c r="BE244" s="657"/>
      <c r="BF244" s="67"/>
      <c r="BG244" s="64"/>
      <c r="BH244" s="64"/>
      <c r="BI244" s="64"/>
      <c r="BJ244" s="64"/>
      <c r="BK244" s="788"/>
      <c r="BL244" s="64"/>
      <c r="BM244" s="64"/>
      <c r="BN244" s="64"/>
      <c r="BO244" s="64"/>
      <c r="BP244" s="64"/>
      <c r="BQ244" s="788"/>
      <c r="BR244" s="69"/>
      <c r="BS244" s="69"/>
      <c r="BT244" s="64"/>
    </row>
    <row r="245" spans="1:72" ht="12.75" customHeight="1">
      <c r="A245" s="64"/>
      <c r="B245" s="64" t="s">
        <v>2772</v>
      </c>
      <c r="C245" s="64"/>
      <c r="D245" s="64" t="s">
        <v>2778</v>
      </c>
      <c r="E245" s="64"/>
      <c r="F245" s="129" t="str">
        <f>'Sterne-Rechner - GI'!AO16</f>
        <v/>
      </c>
      <c r="G245" s="639"/>
      <c r="H245" s="64"/>
      <c r="I245" s="64"/>
      <c r="J245" s="64"/>
      <c r="K245" s="67"/>
      <c r="L245" s="639"/>
      <c r="M245" s="64"/>
      <c r="N245" s="64"/>
      <c r="O245" s="64"/>
      <c r="P245" s="67"/>
      <c r="Q245" s="64"/>
      <c r="R245" s="64"/>
      <c r="S245" s="64"/>
      <c r="T245" s="64"/>
      <c r="U245" s="64"/>
      <c r="V245" s="67"/>
      <c r="W245" s="64"/>
      <c r="X245" s="64"/>
      <c r="Y245" s="64"/>
      <c r="Z245" s="64"/>
      <c r="AA245" s="64"/>
      <c r="AB245" s="67"/>
      <c r="AC245" s="64"/>
      <c r="AD245" s="64"/>
      <c r="AE245" s="64"/>
      <c r="AF245" s="64"/>
      <c r="AG245" s="64"/>
      <c r="AH245" s="67"/>
      <c r="AI245" s="64"/>
      <c r="AJ245" s="64"/>
      <c r="AK245" s="64"/>
      <c r="AL245" s="64"/>
      <c r="AM245" s="64"/>
      <c r="AN245" s="67"/>
      <c r="AO245" s="64"/>
      <c r="AP245" s="64"/>
      <c r="AQ245" s="64"/>
      <c r="AR245" s="64"/>
      <c r="AS245" s="64"/>
      <c r="AT245" s="64"/>
      <c r="AU245" s="64"/>
      <c r="AV245" s="64"/>
      <c r="AW245" s="64"/>
      <c r="AX245" s="64"/>
      <c r="AY245" s="64"/>
      <c r="AZ245" s="64"/>
      <c r="BA245" s="64"/>
      <c r="BB245" s="64"/>
      <c r="BC245" s="64"/>
      <c r="BD245" s="64"/>
      <c r="BE245" s="657"/>
      <c r="BF245" s="67"/>
      <c r="BG245" s="64"/>
      <c r="BH245" s="64"/>
      <c r="BI245" s="64"/>
      <c r="BJ245" s="64"/>
      <c r="BK245" s="788"/>
      <c r="BL245" s="64"/>
      <c r="BM245" s="64"/>
      <c r="BN245" s="64"/>
      <c r="BO245" s="64"/>
      <c r="BP245" s="64"/>
      <c r="BQ245" s="788"/>
      <c r="BR245" s="69"/>
      <c r="BS245" s="69"/>
      <c r="BT245" s="64"/>
    </row>
    <row r="246" spans="1:72" ht="12.75" customHeight="1">
      <c r="A246" s="64"/>
      <c r="B246" s="64" t="s">
        <v>2772</v>
      </c>
      <c r="C246" s="64"/>
      <c r="D246" s="64" t="s">
        <v>2779</v>
      </c>
      <c r="E246" s="64"/>
      <c r="F246" s="129" t="str">
        <f>'Sterne-Rechner - GI'!AP17</f>
        <v/>
      </c>
      <c r="G246" s="639"/>
      <c r="H246" s="64"/>
      <c r="I246" s="64"/>
      <c r="J246" s="64"/>
      <c r="K246" s="67"/>
      <c r="L246" s="639"/>
      <c r="M246" s="64"/>
      <c r="N246" s="64"/>
      <c r="O246" s="64"/>
      <c r="P246" s="67"/>
      <c r="Q246" s="64"/>
      <c r="R246" s="64"/>
      <c r="S246" s="64"/>
      <c r="T246" s="64"/>
      <c r="U246" s="64"/>
      <c r="V246" s="67"/>
      <c r="W246" s="64"/>
      <c r="X246" s="64"/>
      <c r="Y246" s="64"/>
      <c r="Z246" s="64"/>
      <c r="AA246" s="64"/>
      <c r="AB246" s="67"/>
      <c r="AC246" s="64"/>
      <c r="AD246" s="64"/>
      <c r="AE246" s="64"/>
      <c r="AF246" s="64"/>
      <c r="AG246" s="64"/>
      <c r="AH246" s="67"/>
      <c r="AI246" s="64"/>
      <c r="AJ246" s="64"/>
      <c r="AK246" s="64"/>
      <c r="AL246" s="64"/>
      <c r="AM246" s="64"/>
      <c r="AN246" s="67"/>
      <c r="AO246" s="64"/>
      <c r="AP246" s="64"/>
      <c r="AQ246" s="64"/>
      <c r="AR246" s="64"/>
      <c r="AS246" s="64"/>
      <c r="AT246" s="64"/>
      <c r="AU246" s="64"/>
      <c r="AV246" s="64"/>
      <c r="AW246" s="64"/>
      <c r="AX246" s="64"/>
      <c r="AY246" s="64"/>
      <c r="AZ246" s="64"/>
      <c r="BA246" s="64"/>
      <c r="BB246" s="64"/>
      <c r="BC246" s="64"/>
      <c r="BD246" s="64"/>
      <c r="BE246" s="657"/>
      <c r="BF246" s="67"/>
      <c r="BG246" s="64"/>
      <c r="BH246" s="64"/>
      <c r="BI246" s="64"/>
      <c r="BJ246" s="64"/>
      <c r="BK246" s="788"/>
      <c r="BL246" s="64"/>
      <c r="BM246" s="64"/>
      <c r="BN246" s="64"/>
      <c r="BO246" s="64"/>
      <c r="BP246" s="64"/>
      <c r="BQ246" s="788"/>
      <c r="BR246" s="69"/>
      <c r="BS246" s="69"/>
      <c r="BT246" s="64"/>
    </row>
    <row r="247" spans="1:72" ht="12.75" customHeight="1">
      <c r="A247" s="64"/>
      <c r="B247" s="64" t="s">
        <v>2772</v>
      </c>
      <c r="C247" s="64"/>
      <c r="D247" s="64" t="s">
        <v>2780</v>
      </c>
      <c r="E247" s="64"/>
      <c r="F247" s="129" t="str">
        <f>'Sterne-Rechner - GI'!AQ18</f>
        <v/>
      </c>
      <c r="G247" s="639"/>
      <c r="H247" s="64"/>
      <c r="I247" s="64"/>
      <c r="J247" s="64"/>
      <c r="K247" s="67"/>
      <c r="L247" s="639"/>
      <c r="M247" s="64"/>
      <c r="N247" s="64"/>
      <c r="O247" s="64"/>
      <c r="P247" s="67"/>
      <c r="Q247" s="64"/>
      <c r="R247" s="64"/>
      <c r="S247" s="64"/>
      <c r="T247" s="64"/>
      <c r="U247" s="64"/>
      <c r="V247" s="67"/>
      <c r="W247" s="64"/>
      <c r="X247" s="64"/>
      <c r="Y247" s="64"/>
      <c r="Z247" s="64"/>
      <c r="AA247" s="64"/>
      <c r="AB247" s="67"/>
      <c r="AC247" s="64"/>
      <c r="AD247" s="64"/>
      <c r="AE247" s="64"/>
      <c r="AF247" s="64"/>
      <c r="AG247" s="64"/>
      <c r="AH247" s="67"/>
      <c r="AI247" s="64"/>
      <c r="AJ247" s="64"/>
      <c r="AK247" s="64"/>
      <c r="AL247" s="64"/>
      <c r="AM247" s="64"/>
      <c r="AN247" s="67"/>
      <c r="AO247" s="64"/>
      <c r="AP247" s="64"/>
      <c r="AQ247" s="64"/>
      <c r="AR247" s="64"/>
      <c r="AS247" s="64"/>
      <c r="AT247" s="64"/>
      <c r="AU247" s="64"/>
      <c r="AV247" s="64"/>
      <c r="AW247" s="64"/>
      <c r="AX247" s="64"/>
      <c r="AY247" s="64"/>
      <c r="AZ247" s="64"/>
      <c r="BA247" s="64"/>
      <c r="BB247" s="64"/>
      <c r="BC247" s="64"/>
      <c r="BD247" s="64"/>
      <c r="BE247" s="657"/>
      <c r="BF247" s="67"/>
      <c r="BG247" s="64"/>
      <c r="BH247" s="64"/>
      <c r="BI247" s="64"/>
      <c r="BJ247" s="64"/>
      <c r="BK247" s="788"/>
      <c r="BL247" s="64"/>
      <c r="BM247" s="64"/>
      <c r="BN247" s="64"/>
      <c r="BO247" s="64"/>
      <c r="BP247" s="64"/>
      <c r="BQ247" s="788"/>
      <c r="BR247" s="69"/>
      <c r="BS247" s="69"/>
      <c r="BT247" s="64"/>
    </row>
    <row r="248" spans="1:72" ht="12.75" customHeight="1">
      <c r="A248" s="64"/>
      <c r="B248" s="64" t="s">
        <v>2772</v>
      </c>
      <c r="C248" s="64"/>
      <c r="D248" s="64" t="s">
        <v>2781</v>
      </c>
      <c r="E248" s="64"/>
      <c r="F248" s="67"/>
      <c r="G248" s="640"/>
      <c r="H248" s="64"/>
      <c r="I248" s="64"/>
      <c r="J248" s="64"/>
      <c r="K248" s="129" t="str">
        <f ca="1">'Sterne-Rechner - Angebot'!Y16</f>
        <v/>
      </c>
      <c r="L248" s="640"/>
      <c r="M248" s="64"/>
      <c r="N248" s="64"/>
      <c r="O248" s="64"/>
      <c r="P248" s="67"/>
      <c r="Q248" s="64"/>
      <c r="R248" s="64"/>
      <c r="S248" s="64"/>
      <c r="T248" s="64"/>
      <c r="U248" s="64"/>
      <c r="V248" s="67"/>
      <c r="W248" s="64"/>
      <c r="X248" s="64"/>
      <c r="Y248" s="64"/>
      <c r="Z248" s="64"/>
      <c r="AA248" s="64"/>
      <c r="AB248" s="67"/>
      <c r="AC248" s="64"/>
      <c r="AD248" s="64"/>
      <c r="AE248" s="64"/>
      <c r="AF248" s="64"/>
      <c r="AG248" s="64"/>
      <c r="AH248" s="67"/>
      <c r="AI248" s="64"/>
      <c r="AJ248" s="64"/>
      <c r="AK248" s="64"/>
      <c r="AL248" s="64"/>
      <c r="AM248" s="64"/>
      <c r="AN248" s="67"/>
      <c r="AO248" s="64"/>
      <c r="AP248" s="64"/>
      <c r="AQ248" s="64"/>
      <c r="AR248" s="64"/>
      <c r="AS248" s="64"/>
      <c r="AT248" s="64"/>
      <c r="AU248" s="64"/>
      <c r="AV248" s="64"/>
      <c r="AW248" s="64"/>
      <c r="AX248" s="64"/>
      <c r="AY248" s="64"/>
      <c r="AZ248" s="64"/>
      <c r="BA248" s="64"/>
      <c r="BB248" s="64"/>
      <c r="BC248" s="64"/>
      <c r="BD248" s="64"/>
      <c r="BE248" s="657"/>
      <c r="BF248" s="67"/>
      <c r="BG248" s="64"/>
      <c r="BH248" s="64"/>
      <c r="BI248" s="64"/>
      <c r="BJ248" s="64"/>
      <c r="BK248" s="788"/>
      <c r="BL248" s="64"/>
      <c r="BM248" s="64"/>
      <c r="BN248" s="64"/>
      <c r="BO248" s="64"/>
      <c r="BP248" s="64"/>
      <c r="BQ248" s="788"/>
      <c r="BR248" s="69"/>
      <c r="BS248" s="69"/>
      <c r="BT248" s="64"/>
    </row>
    <row r="249" spans="1:72" ht="12.75" customHeight="1">
      <c r="A249" s="64"/>
      <c r="B249" s="64" t="s">
        <v>2772</v>
      </c>
      <c r="C249" s="64"/>
      <c r="D249" s="64" t="s">
        <v>2782</v>
      </c>
      <c r="E249" s="64"/>
      <c r="F249" s="67"/>
      <c r="G249" s="640"/>
      <c r="H249" s="64"/>
      <c r="I249" s="64"/>
      <c r="J249" s="64"/>
      <c r="K249" s="129" t="str">
        <f ca="1">'Sterne-Rechner - Angebot'!Y17</f>
        <v/>
      </c>
      <c r="L249" s="640"/>
      <c r="M249" s="64"/>
      <c r="N249" s="64"/>
      <c r="O249" s="64"/>
      <c r="P249" s="67"/>
      <c r="Q249" s="64"/>
      <c r="R249" s="64"/>
      <c r="S249" s="64"/>
      <c r="T249" s="64"/>
      <c r="U249" s="64"/>
      <c r="V249" s="67"/>
      <c r="W249" s="64"/>
      <c r="X249" s="64"/>
      <c r="Y249" s="64"/>
      <c r="Z249" s="64"/>
      <c r="AA249" s="64"/>
      <c r="AB249" s="67"/>
      <c r="AC249" s="64"/>
      <c r="AD249" s="64"/>
      <c r="AE249" s="64"/>
      <c r="AF249" s="64"/>
      <c r="AG249" s="64"/>
      <c r="AH249" s="67"/>
      <c r="AI249" s="64"/>
      <c r="AJ249" s="64"/>
      <c r="AK249" s="64"/>
      <c r="AL249" s="64"/>
      <c r="AM249" s="64"/>
      <c r="AN249" s="67"/>
      <c r="AO249" s="64"/>
      <c r="AP249" s="64"/>
      <c r="AQ249" s="64"/>
      <c r="AR249" s="64"/>
      <c r="AS249" s="64"/>
      <c r="AT249" s="64"/>
      <c r="AU249" s="64"/>
      <c r="AV249" s="64"/>
      <c r="AW249" s="64"/>
      <c r="AX249" s="64"/>
      <c r="AY249" s="64"/>
      <c r="AZ249" s="64"/>
      <c r="BA249" s="64"/>
      <c r="BB249" s="64"/>
      <c r="BC249" s="64"/>
      <c r="BD249" s="64"/>
      <c r="BE249" s="657"/>
      <c r="BF249" s="67"/>
      <c r="BG249" s="64"/>
      <c r="BH249" s="64"/>
      <c r="BI249" s="64"/>
      <c r="BJ249" s="64"/>
      <c r="BK249" s="788"/>
      <c r="BL249" s="64"/>
      <c r="BM249" s="64"/>
      <c r="BN249" s="64"/>
      <c r="BO249" s="64"/>
      <c r="BP249" s="64"/>
      <c r="BQ249" s="788"/>
      <c r="BR249" s="69"/>
      <c r="BS249" s="69"/>
      <c r="BT249" s="64"/>
    </row>
    <row r="250" spans="1:72" ht="12.75" customHeight="1">
      <c r="A250" s="64"/>
      <c r="B250" s="64" t="s">
        <v>2772</v>
      </c>
      <c r="C250" s="64"/>
      <c r="D250" s="64" t="s">
        <v>2783</v>
      </c>
      <c r="E250" s="64"/>
      <c r="F250" s="67"/>
      <c r="G250" s="640"/>
      <c r="H250" s="64"/>
      <c r="I250" s="64"/>
      <c r="J250" s="64"/>
      <c r="K250" s="129" t="str">
        <f ca="1">'Sterne-Rechner - Angebot'!Y18</f>
        <v/>
      </c>
      <c r="L250" s="640"/>
      <c r="M250" s="64"/>
      <c r="N250" s="64"/>
      <c r="O250" s="64"/>
      <c r="P250" s="67"/>
      <c r="Q250" s="64"/>
      <c r="R250" s="64"/>
      <c r="S250" s="64"/>
      <c r="T250" s="64"/>
      <c r="U250" s="64"/>
      <c r="V250" s="67"/>
      <c r="W250" s="64"/>
      <c r="X250" s="64"/>
      <c r="Y250" s="64"/>
      <c r="Z250" s="64"/>
      <c r="AA250" s="64"/>
      <c r="AB250" s="67"/>
      <c r="AC250" s="64"/>
      <c r="AD250" s="64"/>
      <c r="AE250" s="64"/>
      <c r="AF250" s="64"/>
      <c r="AG250" s="64"/>
      <c r="AH250" s="67"/>
      <c r="AI250" s="64"/>
      <c r="AJ250" s="64"/>
      <c r="AK250" s="64"/>
      <c r="AL250" s="64"/>
      <c r="AM250" s="64"/>
      <c r="AN250" s="67"/>
      <c r="AO250" s="64"/>
      <c r="AP250" s="64"/>
      <c r="AQ250" s="64"/>
      <c r="AR250" s="64"/>
      <c r="AS250" s="64"/>
      <c r="AT250" s="64"/>
      <c r="AU250" s="64"/>
      <c r="AV250" s="64"/>
      <c r="AW250" s="64"/>
      <c r="AX250" s="64"/>
      <c r="AY250" s="64"/>
      <c r="AZ250" s="64"/>
      <c r="BA250" s="64"/>
      <c r="BB250" s="64"/>
      <c r="BC250" s="64"/>
      <c r="BD250" s="64"/>
      <c r="BE250" s="657"/>
      <c r="BF250" s="67"/>
      <c r="BG250" s="64"/>
      <c r="BH250" s="64"/>
      <c r="BI250" s="64"/>
      <c r="BJ250" s="64"/>
      <c r="BK250" s="788"/>
      <c r="BL250" s="64"/>
      <c r="BM250" s="64"/>
      <c r="BN250" s="64"/>
      <c r="BO250" s="64"/>
      <c r="BP250" s="64"/>
      <c r="BQ250" s="788"/>
      <c r="BR250" s="69"/>
      <c r="BS250" s="69"/>
      <c r="BT250" s="64"/>
    </row>
    <row r="251" spans="1:72" ht="12.75" customHeight="1">
      <c r="A251" s="64"/>
      <c r="B251" s="64" t="s">
        <v>2772</v>
      </c>
      <c r="C251" s="64"/>
      <c r="D251" s="64" t="s">
        <v>2784</v>
      </c>
      <c r="E251" s="64"/>
      <c r="F251" s="130" t="str">
        <f>'DUAL - Tarif'!C22</f>
        <v/>
      </c>
      <c r="G251" s="639"/>
      <c r="H251" s="132"/>
      <c r="I251" s="64"/>
      <c r="J251" s="64"/>
      <c r="K251" s="67"/>
      <c r="L251" s="639"/>
      <c r="M251" s="132"/>
      <c r="N251" s="64"/>
      <c r="O251" s="64"/>
      <c r="P251" s="67"/>
      <c r="Q251" s="64"/>
      <c r="R251" s="64"/>
      <c r="S251" s="64"/>
      <c r="T251" s="64"/>
      <c r="U251" s="64"/>
      <c r="V251" s="67"/>
      <c r="W251" s="64"/>
      <c r="X251" s="64"/>
      <c r="Y251" s="64"/>
      <c r="Z251" s="64"/>
      <c r="AA251" s="64"/>
      <c r="AB251" s="67"/>
      <c r="AC251" s="64"/>
      <c r="AD251" s="64"/>
      <c r="AE251" s="64"/>
      <c r="AF251" s="64"/>
      <c r="AG251" s="64"/>
      <c r="AH251" s="67"/>
      <c r="AI251" s="64"/>
      <c r="AJ251" s="64"/>
      <c r="AK251" s="64"/>
      <c r="AL251" s="64"/>
      <c r="AM251" s="64"/>
      <c r="AN251" s="67"/>
      <c r="AO251" s="64"/>
      <c r="AP251" s="64"/>
      <c r="AQ251" s="64"/>
      <c r="AR251" s="64"/>
      <c r="AS251" s="64"/>
      <c r="AT251" s="64"/>
      <c r="AU251" s="64"/>
      <c r="AV251" s="64"/>
      <c r="AW251" s="64"/>
      <c r="AX251" s="64"/>
      <c r="AY251" s="64"/>
      <c r="AZ251" s="64"/>
      <c r="BA251" s="64"/>
      <c r="BB251" s="64"/>
      <c r="BC251" s="64"/>
      <c r="BD251" s="64"/>
      <c r="BE251" s="657"/>
      <c r="BF251" s="67"/>
      <c r="BG251" s="64"/>
      <c r="BH251" s="64"/>
      <c r="BI251" s="64"/>
      <c r="BJ251" s="64"/>
      <c r="BK251" s="788"/>
      <c r="BL251" s="64"/>
      <c r="BM251" s="64"/>
      <c r="BN251" s="64"/>
      <c r="BO251" s="64"/>
      <c r="BP251" s="64"/>
      <c r="BQ251" s="788"/>
      <c r="BR251" s="69"/>
      <c r="BS251" s="69"/>
      <c r="BT251" s="64"/>
    </row>
    <row r="252" spans="1:72" ht="12.75" customHeight="1">
      <c r="A252" s="64"/>
      <c r="B252" s="64" t="s">
        <v>2772</v>
      </c>
      <c r="C252" s="64"/>
      <c r="D252" s="64" t="s">
        <v>2785</v>
      </c>
      <c r="E252" s="64"/>
      <c r="F252" s="130" t="str">
        <f>'DUAL - Tarif'!D22</f>
        <v/>
      </c>
      <c r="G252" s="639"/>
      <c r="H252" s="132"/>
      <c r="I252" s="64"/>
      <c r="J252" s="64"/>
      <c r="K252" s="67"/>
      <c r="L252" s="639"/>
      <c r="M252" s="132"/>
      <c r="N252" s="64"/>
      <c r="O252" s="64"/>
      <c r="P252" s="67"/>
      <c r="Q252" s="64"/>
      <c r="R252" s="64"/>
      <c r="S252" s="64"/>
      <c r="T252" s="64"/>
      <c r="U252" s="64"/>
      <c r="V252" s="67"/>
      <c r="W252" s="64"/>
      <c r="X252" s="64"/>
      <c r="Y252" s="64"/>
      <c r="Z252" s="64"/>
      <c r="AA252" s="64"/>
      <c r="AB252" s="67"/>
      <c r="AC252" s="64"/>
      <c r="AD252" s="64"/>
      <c r="AE252" s="64"/>
      <c r="AF252" s="64"/>
      <c r="AG252" s="64"/>
      <c r="AH252" s="67"/>
      <c r="AI252" s="64"/>
      <c r="AJ252" s="64"/>
      <c r="AK252" s="64"/>
      <c r="AL252" s="64"/>
      <c r="AM252" s="64"/>
      <c r="AN252" s="67"/>
      <c r="AO252" s="64"/>
      <c r="AP252" s="64"/>
      <c r="AQ252" s="64"/>
      <c r="AR252" s="64"/>
      <c r="AS252" s="64"/>
      <c r="AT252" s="64"/>
      <c r="AU252" s="64"/>
      <c r="AV252" s="64"/>
      <c r="AW252" s="64"/>
      <c r="AX252" s="64"/>
      <c r="AY252" s="64"/>
      <c r="AZ252" s="64"/>
      <c r="BA252" s="64"/>
      <c r="BB252" s="64"/>
      <c r="BC252" s="64"/>
      <c r="BD252" s="64"/>
      <c r="BE252" s="657"/>
      <c r="BF252" s="67"/>
      <c r="BG252" s="64"/>
      <c r="BH252" s="64"/>
      <c r="BI252" s="64"/>
      <c r="BJ252" s="64"/>
      <c r="BK252" s="788"/>
      <c r="BL252" s="64"/>
      <c r="BM252" s="64"/>
      <c r="BN252" s="64"/>
      <c r="BO252" s="64"/>
      <c r="BP252" s="64"/>
      <c r="BQ252" s="788"/>
      <c r="BR252" s="69"/>
      <c r="BS252" s="69"/>
      <c r="BT252" s="64"/>
    </row>
    <row r="253" spans="1:72" ht="12.75" customHeight="1">
      <c r="A253" s="64"/>
      <c r="B253" s="64" t="s">
        <v>2772</v>
      </c>
      <c r="C253" s="64"/>
      <c r="D253" s="64" t="s">
        <v>2786</v>
      </c>
      <c r="E253" s="64"/>
      <c r="F253" s="130" t="str">
        <f>'DUAL - Tarif'!E22</f>
        <v/>
      </c>
      <c r="G253" s="639"/>
      <c r="H253" s="132"/>
      <c r="I253" s="64"/>
      <c r="J253" s="64"/>
      <c r="K253" s="67"/>
      <c r="L253" s="639"/>
      <c r="M253" s="132"/>
      <c r="N253" s="64"/>
      <c r="O253" s="64"/>
      <c r="P253" s="67"/>
      <c r="Q253" s="64"/>
      <c r="R253" s="64"/>
      <c r="S253" s="64"/>
      <c r="T253" s="64"/>
      <c r="U253" s="64"/>
      <c r="V253" s="67"/>
      <c r="W253" s="64"/>
      <c r="X253" s="64"/>
      <c r="Y253" s="64"/>
      <c r="Z253" s="64"/>
      <c r="AA253" s="64"/>
      <c r="AB253" s="67"/>
      <c r="AC253" s="64"/>
      <c r="AD253" s="64"/>
      <c r="AE253" s="64"/>
      <c r="AF253" s="64"/>
      <c r="AG253" s="64"/>
      <c r="AH253" s="67"/>
      <c r="AI253" s="64"/>
      <c r="AJ253" s="64"/>
      <c r="AK253" s="64"/>
      <c r="AL253" s="64"/>
      <c r="AM253" s="64"/>
      <c r="AN253" s="67"/>
      <c r="AO253" s="64"/>
      <c r="AP253" s="64"/>
      <c r="AQ253" s="64"/>
      <c r="AR253" s="64"/>
      <c r="AS253" s="64"/>
      <c r="AT253" s="64"/>
      <c r="AU253" s="64"/>
      <c r="AV253" s="64"/>
      <c r="AW253" s="64"/>
      <c r="AX253" s="64"/>
      <c r="AY253" s="64"/>
      <c r="AZ253" s="64"/>
      <c r="BA253" s="64"/>
      <c r="BB253" s="64"/>
      <c r="BC253" s="64"/>
      <c r="BD253" s="64"/>
      <c r="BE253" s="657"/>
      <c r="BF253" s="67"/>
      <c r="BG253" s="64"/>
      <c r="BH253" s="64"/>
      <c r="BI253" s="64"/>
      <c r="BJ253" s="64"/>
      <c r="BK253" s="788"/>
      <c r="BL253" s="64"/>
      <c r="BM253" s="64"/>
      <c r="BN253" s="64"/>
      <c r="BO253" s="64"/>
      <c r="BP253" s="64"/>
      <c r="BQ253" s="788"/>
      <c r="BR253" s="69"/>
      <c r="BS253" s="69"/>
      <c r="BT253" s="64"/>
    </row>
    <row r="254" spans="1:72" ht="12.75" customHeight="1">
      <c r="A254" s="64"/>
      <c r="B254" s="64" t="s">
        <v>2772</v>
      </c>
      <c r="C254" s="64"/>
      <c r="D254" s="64" t="s">
        <v>2787</v>
      </c>
      <c r="E254" s="64"/>
      <c r="F254" s="67"/>
      <c r="G254" s="640"/>
      <c r="H254" s="64"/>
      <c r="I254" s="64"/>
      <c r="J254" s="64"/>
      <c r="K254" s="130" t="str">
        <f>'Sterne-Rechner - Angebot'!N16</f>
        <v/>
      </c>
      <c r="L254" s="640"/>
      <c r="M254" s="64"/>
      <c r="N254" s="64"/>
      <c r="O254" s="64"/>
      <c r="P254" s="67"/>
      <c r="Q254" s="64"/>
      <c r="R254" s="64"/>
      <c r="S254" s="64"/>
      <c r="T254" s="64"/>
      <c r="U254" s="64"/>
      <c r="V254" s="67"/>
      <c r="W254" s="64"/>
      <c r="X254" s="64"/>
      <c r="Y254" s="64"/>
      <c r="Z254" s="64"/>
      <c r="AA254" s="64"/>
      <c r="AB254" s="67"/>
      <c r="AC254" s="64"/>
      <c r="AD254" s="64"/>
      <c r="AE254" s="64"/>
      <c r="AF254" s="64"/>
      <c r="AG254" s="64"/>
      <c r="AH254" s="67"/>
      <c r="AI254" s="64"/>
      <c r="AJ254" s="64"/>
      <c r="AK254" s="64"/>
      <c r="AL254" s="64"/>
      <c r="AM254" s="64"/>
      <c r="AN254" s="67"/>
      <c r="AO254" s="64"/>
      <c r="AP254" s="64"/>
      <c r="AQ254" s="64"/>
      <c r="AR254" s="64"/>
      <c r="AS254" s="64"/>
      <c r="AT254" s="64"/>
      <c r="AU254" s="64"/>
      <c r="AV254" s="64"/>
      <c r="AW254" s="64"/>
      <c r="AX254" s="64"/>
      <c r="AY254" s="64"/>
      <c r="AZ254" s="64"/>
      <c r="BA254" s="64"/>
      <c r="BB254" s="64"/>
      <c r="BC254" s="64"/>
      <c r="BD254" s="64"/>
      <c r="BE254" s="657"/>
      <c r="BF254" s="67"/>
      <c r="BG254" s="64"/>
      <c r="BH254" s="64"/>
      <c r="BI254" s="64"/>
      <c r="BJ254" s="64"/>
      <c r="BK254" s="788"/>
      <c r="BL254" s="64"/>
      <c r="BM254" s="64"/>
      <c r="BN254" s="64"/>
      <c r="BO254" s="64"/>
      <c r="BP254" s="64"/>
      <c r="BQ254" s="788"/>
      <c r="BR254" s="69"/>
      <c r="BS254" s="69"/>
      <c r="BT254" s="64"/>
    </row>
    <row r="255" spans="1:72" ht="12.75" customHeight="1">
      <c r="A255" s="64"/>
      <c r="B255" s="64" t="s">
        <v>2772</v>
      </c>
      <c r="C255" s="64"/>
      <c r="D255" s="64" t="s">
        <v>2788</v>
      </c>
      <c r="E255" s="64"/>
      <c r="F255" s="67"/>
      <c r="G255" s="640"/>
      <c r="H255" s="64"/>
      <c r="I255" s="64"/>
      <c r="J255" s="64"/>
      <c r="K255" s="130" t="str">
        <f>'Sterne-Rechner - Angebot'!N17</f>
        <v/>
      </c>
      <c r="L255" s="640"/>
      <c r="M255" s="64"/>
      <c r="N255" s="64"/>
      <c r="O255" s="64"/>
      <c r="P255" s="67"/>
      <c r="Q255" s="64"/>
      <c r="R255" s="64"/>
      <c r="S255" s="64"/>
      <c r="T255" s="64"/>
      <c r="U255" s="64"/>
      <c r="V255" s="67"/>
      <c r="W255" s="64"/>
      <c r="X255" s="64"/>
      <c r="Y255" s="64"/>
      <c r="Z255" s="64"/>
      <c r="AA255" s="64"/>
      <c r="AB255" s="67"/>
      <c r="AC255" s="64"/>
      <c r="AD255" s="64"/>
      <c r="AE255" s="64"/>
      <c r="AF255" s="64"/>
      <c r="AG255" s="64"/>
      <c r="AH255" s="67"/>
      <c r="AI255" s="64"/>
      <c r="AJ255" s="64"/>
      <c r="AK255" s="64"/>
      <c r="AL255" s="64"/>
      <c r="AM255" s="64"/>
      <c r="AN255" s="67"/>
      <c r="AO255" s="64"/>
      <c r="AP255" s="64"/>
      <c r="AQ255" s="64"/>
      <c r="AR255" s="64"/>
      <c r="AS255" s="64"/>
      <c r="AT255" s="64"/>
      <c r="AU255" s="64"/>
      <c r="AV255" s="64"/>
      <c r="AW255" s="64"/>
      <c r="AX255" s="64"/>
      <c r="AY255" s="64"/>
      <c r="AZ255" s="64"/>
      <c r="BA255" s="64"/>
      <c r="BB255" s="64"/>
      <c r="BC255" s="64"/>
      <c r="BD255" s="64"/>
      <c r="BE255" s="657"/>
      <c r="BF255" s="67"/>
      <c r="BG255" s="64"/>
      <c r="BH255" s="64"/>
      <c r="BI255" s="64"/>
      <c r="BJ255" s="64"/>
      <c r="BK255" s="788"/>
      <c r="BL255" s="64"/>
      <c r="BM255" s="64"/>
      <c r="BN255" s="64"/>
      <c r="BO255" s="64"/>
      <c r="BP255" s="64"/>
      <c r="BQ255" s="788"/>
      <c r="BR255" s="69"/>
      <c r="BS255" s="69"/>
      <c r="BT255" s="64"/>
    </row>
    <row r="256" spans="1:72" ht="12.75" customHeight="1">
      <c r="A256" s="64"/>
      <c r="B256" s="64" t="s">
        <v>2772</v>
      </c>
      <c r="C256" s="64"/>
      <c r="D256" s="64" t="s">
        <v>2789</v>
      </c>
      <c r="E256" s="64"/>
      <c r="F256" s="67"/>
      <c r="G256" s="640"/>
      <c r="H256" s="64"/>
      <c r="I256" s="64"/>
      <c r="J256" s="64"/>
      <c r="K256" s="130" t="str">
        <f>'Sterne-Rechner - Angebot'!N18</f>
        <v/>
      </c>
      <c r="L256" s="640"/>
      <c r="M256" s="64"/>
      <c r="N256" s="64"/>
      <c r="O256" s="64"/>
      <c r="P256" s="67"/>
      <c r="Q256" s="64"/>
      <c r="R256" s="64"/>
      <c r="S256" s="64"/>
      <c r="T256" s="64"/>
      <c r="U256" s="64"/>
      <c r="V256" s="67"/>
      <c r="W256" s="64"/>
      <c r="X256" s="64"/>
      <c r="Y256" s="64"/>
      <c r="Z256" s="64"/>
      <c r="AA256" s="64"/>
      <c r="AB256" s="67"/>
      <c r="AC256" s="64"/>
      <c r="AD256" s="64"/>
      <c r="AE256" s="64"/>
      <c r="AF256" s="64"/>
      <c r="AG256" s="64"/>
      <c r="AH256" s="67"/>
      <c r="AI256" s="64"/>
      <c r="AJ256" s="64"/>
      <c r="AK256" s="64"/>
      <c r="AL256" s="64"/>
      <c r="AM256" s="64"/>
      <c r="AN256" s="67"/>
      <c r="AO256" s="64"/>
      <c r="AP256" s="64"/>
      <c r="AQ256" s="64"/>
      <c r="AR256" s="64"/>
      <c r="AS256" s="64"/>
      <c r="AT256" s="64"/>
      <c r="AU256" s="64"/>
      <c r="AV256" s="64"/>
      <c r="AW256" s="64"/>
      <c r="AX256" s="64"/>
      <c r="AY256" s="64"/>
      <c r="AZ256" s="64"/>
      <c r="BA256" s="64"/>
      <c r="BB256" s="64"/>
      <c r="BC256" s="64"/>
      <c r="BD256" s="64"/>
      <c r="BE256" s="657"/>
      <c r="BF256" s="67"/>
      <c r="BG256" s="64"/>
      <c r="BH256" s="64"/>
      <c r="BI256" s="64"/>
      <c r="BJ256" s="64"/>
      <c r="BK256" s="788"/>
      <c r="BL256" s="64"/>
      <c r="BM256" s="64"/>
      <c r="BN256" s="64"/>
      <c r="BO256" s="64"/>
      <c r="BP256" s="64"/>
      <c r="BQ256" s="788"/>
      <c r="BR256" s="69"/>
      <c r="BS256" s="69"/>
      <c r="BT256" s="64"/>
    </row>
    <row r="257" spans="1:72" ht="12.75" customHeight="1">
      <c r="A257" s="64"/>
      <c r="B257" s="64" t="s">
        <v>2772</v>
      </c>
      <c r="C257" s="64"/>
      <c r="D257" s="64"/>
      <c r="E257" s="64"/>
      <c r="F257" s="67"/>
      <c r="G257" s="640"/>
      <c r="H257" s="132"/>
      <c r="I257" s="64"/>
      <c r="J257" s="64"/>
      <c r="K257" s="67"/>
      <c r="L257" s="640"/>
      <c r="M257" s="132"/>
      <c r="N257" s="64"/>
      <c r="O257" s="64"/>
      <c r="P257" s="67"/>
      <c r="Q257" s="64"/>
      <c r="R257" s="64"/>
      <c r="S257" s="64"/>
      <c r="T257" s="64"/>
      <c r="U257" s="64"/>
      <c r="V257" s="67"/>
      <c r="W257" s="64"/>
      <c r="X257" s="64"/>
      <c r="Y257" s="64"/>
      <c r="Z257" s="64"/>
      <c r="AA257" s="64"/>
      <c r="AB257" s="67"/>
      <c r="AC257" s="64"/>
      <c r="AD257" s="64"/>
      <c r="AE257" s="64"/>
      <c r="AF257" s="64"/>
      <c r="AG257" s="64"/>
      <c r="AH257" s="67"/>
      <c r="AI257" s="64"/>
      <c r="AJ257" s="64"/>
      <c r="AK257" s="64"/>
      <c r="AL257" s="64"/>
      <c r="AM257" s="64"/>
      <c r="AN257" s="67"/>
      <c r="AO257" s="64"/>
      <c r="AP257" s="64"/>
      <c r="AQ257" s="64"/>
      <c r="AR257" s="64"/>
      <c r="AS257" s="64"/>
      <c r="AT257" s="64"/>
      <c r="AU257" s="64"/>
      <c r="AV257" s="64"/>
      <c r="AW257" s="64"/>
      <c r="AX257" s="64"/>
      <c r="AY257" s="64"/>
      <c r="AZ257" s="64"/>
      <c r="BA257" s="64"/>
      <c r="BB257" s="64"/>
      <c r="BC257" s="64"/>
      <c r="BD257" s="64"/>
      <c r="BE257" s="657"/>
      <c r="BF257" s="67"/>
      <c r="BG257" s="64"/>
      <c r="BH257" s="64"/>
      <c r="BI257" s="64"/>
      <c r="BJ257" s="64"/>
      <c r="BK257" s="788"/>
      <c r="BL257" s="64"/>
      <c r="BM257" s="64"/>
      <c r="BN257" s="64"/>
      <c r="BO257" s="64"/>
      <c r="BP257" s="64"/>
      <c r="BQ257" s="788"/>
      <c r="BR257" s="69"/>
      <c r="BS257" s="69"/>
      <c r="BT257" s="64"/>
    </row>
    <row r="258" spans="1:72" ht="12.75" customHeight="1">
      <c r="A258" s="64"/>
      <c r="B258" s="64" t="s">
        <v>2772</v>
      </c>
      <c r="C258" s="64"/>
      <c r="D258" s="64" t="s">
        <v>2790</v>
      </c>
      <c r="E258" s="64"/>
      <c r="F258" s="67"/>
      <c r="G258" s="640"/>
      <c r="H258" s="64"/>
      <c r="I258" s="64"/>
      <c r="J258" s="64"/>
      <c r="K258" s="129" t="str">
        <f ca="1">StatusDual</f>
        <v>OFFER_REFERRAL</v>
      </c>
      <c r="L258" s="640"/>
      <c r="M258" s="64"/>
      <c r="N258" s="64"/>
      <c r="O258" s="64"/>
      <c r="P258" s="67"/>
      <c r="Q258" s="64"/>
      <c r="R258" s="64"/>
      <c r="S258" s="64"/>
      <c r="T258" s="64"/>
      <c r="U258" s="64"/>
      <c r="V258" s="67"/>
      <c r="W258" s="64"/>
      <c r="X258" s="64"/>
      <c r="Y258" s="64"/>
      <c r="Z258" s="64"/>
      <c r="AA258" s="64"/>
      <c r="AB258" s="67"/>
      <c r="AC258" s="64"/>
      <c r="AD258" s="64"/>
      <c r="AE258" s="64"/>
      <c r="AF258" s="64"/>
      <c r="AG258" s="64"/>
      <c r="AH258" s="67"/>
      <c r="AI258" s="64"/>
      <c r="AJ258" s="64"/>
      <c r="AK258" s="64"/>
      <c r="AL258" s="64"/>
      <c r="AM258" s="64"/>
      <c r="AN258" s="67"/>
      <c r="AO258" s="64"/>
      <c r="AP258" s="64"/>
      <c r="AQ258" s="64"/>
      <c r="AR258" s="64"/>
      <c r="AS258" s="64"/>
      <c r="AT258" s="64"/>
      <c r="AU258" s="64"/>
      <c r="AV258" s="64"/>
      <c r="AW258" s="64"/>
      <c r="AX258" s="64"/>
      <c r="AY258" s="64"/>
      <c r="AZ258" s="64"/>
      <c r="BA258" s="64"/>
      <c r="BB258" s="64"/>
      <c r="BC258" s="64"/>
      <c r="BD258" s="64"/>
      <c r="BE258" s="657"/>
      <c r="BF258" s="67"/>
      <c r="BG258" s="64"/>
      <c r="BH258" s="64"/>
      <c r="BI258" s="64"/>
      <c r="BJ258" s="64"/>
      <c r="BK258" s="788"/>
      <c r="BL258" s="64"/>
      <c r="BM258" s="64"/>
      <c r="BN258" s="64"/>
      <c r="BO258" s="64"/>
      <c r="BP258" s="64"/>
      <c r="BQ258" s="788"/>
      <c r="BR258" s="69"/>
      <c r="BS258" s="69"/>
      <c r="BT258" s="64"/>
    </row>
    <row r="259" spans="1:72" ht="12.75" customHeight="1">
      <c r="A259" s="64"/>
      <c r="B259" s="64" t="s">
        <v>2772</v>
      </c>
      <c r="C259" s="64"/>
      <c r="D259" s="64" t="s">
        <v>2791</v>
      </c>
      <c r="E259" s="64"/>
      <c r="F259" s="67"/>
      <c r="G259" s="640"/>
      <c r="H259" s="64"/>
      <c r="I259" s="64"/>
      <c r="J259" s="64"/>
      <c r="K259" s="67"/>
      <c r="L259" s="640"/>
      <c r="M259" s="64"/>
      <c r="N259" s="64"/>
      <c r="O259" s="64"/>
      <c r="P259" s="67"/>
      <c r="Q259" s="64"/>
      <c r="R259" s="64"/>
      <c r="S259" s="64"/>
      <c r="T259" s="64"/>
      <c r="U259" s="64"/>
      <c r="V259" s="67"/>
      <c r="W259" s="64"/>
      <c r="X259" s="64"/>
      <c r="Y259" s="64"/>
      <c r="Z259" s="64"/>
      <c r="AA259" s="64"/>
      <c r="AB259" s="67"/>
      <c r="AC259" s="64"/>
      <c r="AD259" s="64"/>
      <c r="AE259" s="64"/>
      <c r="AF259" s="64"/>
      <c r="AG259" s="64"/>
      <c r="AH259" s="67"/>
      <c r="AI259" s="64"/>
      <c r="AJ259" s="64"/>
      <c r="AK259" s="64"/>
      <c r="AL259" s="64"/>
      <c r="AM259" s="64"/>
      <c r="AN259" s="67"/>
      <c r="AO259" s="64"/>
      <c r="AP259" s="64"/>
      <c r="AQ259" s="64"/>
      <c r="AR259" s="64"/>
      <c r="AS259" s="64"/>
      <c r="AT259" s="64"/>
      <c r="AU259" s="64"/>
      <c r="AV259" s="64"/>
      <c r="AW259" s="64"/>
      <c r="AX259" s="64"/>
      <c r="AY259" s="64"/>
      <c r="AZ259" s="64"/>
      <c r="BA259" s="64"/>
      <c r="BB259" s="64"/>
      <c r="BC259" s="64"/>
      <c r="BD259" s="64"/>
      <c r="BE259" s="657"/>
      <c r="BF259" s="67"/>
      <c r="BG259" s="64"/>
      <c r="BH259" s="64"/>
      <c r="BI259" s="64"/>
      <c r="BJ259" s="64"/>
      <c r="BK259" s="788"/>
      <c r="BL259" s="64"/>
      <c r="BM259" s="64"/>
      <c r="BN259" s="64"/>
      <c r="BO259" s="64"/>
      <c r="BP259" s="64"/>
      <c r="BQ259" s="788"/>
      <c r="BR259" s="69"/>
      <c r="BS259" s="69"/>
      <c r="BT259" s="64"/>
    </row>
    <row r="260" spans="1:72" ht="12.75" customHeight="1">
      <c r="A260" s="64"/>
      <c r="B260" s="64" t="s">
        <v>2772</v>
      </c>
      <c r="C260" s="64"/>
      <c r="D260" s="64" t="s">
        <v>2792</v>
      </c>
      <c r="E260" s="64"/>
      <c r="F260" s="67"/>
      <c r="G260" s="640"/>
      <c r="H260" s="64"/>
      <c r="I260" s="64"/>
      <c r="J260" s="64"/>
      <c r="K260" s="67"/>
      <c r="L260" s="640"/>
      <c r="M260" s="64"/>
      <c r="N260" s="64"/>
      <c r="O260" s="64"/>
      <c r="P260" s="67"/>
      <c r="Q260" s="64"/>
      <c r="R260" s="64"/>
      <c r="S260" s="64"/>
      <c r="T260" s="64"/>
      <c r="U260" s="64"/>
      <c r="V260" s="67"/>
      <c r="W260" s="64"/>
      <c r="X260" s="64"/>
      <c r="Y260" s="64"/>
      <c r="Z260" s="64"/>
      <c r="AA260" s="64"/>
      <c r="AB260" s="67"/>
      <c r="AC260" s="64"/>
      <c r="AD260" s="64"/>
      <c r="AE260" s="64"/>
      <c r="AF260" s="64"/>
      <c r="AG260" s="64"/>
      <c r="AH260" s="67"/>
      <c r="AI260" s="64"/>
      <c r="AJ260" s="64"/>
      <c r="AK260" s="64"/>
      <c r="AL260" s="64"/>
      <c r="AM260" s="64"/>
      <c r="AN260" s="67"/>
      <c r="AO260" s="64"/>
      <c r="AP260" s="64"/>
      <c r="AQ260" s="64"/>
      <c r="AR260" s="64"/>
      <c r="AS260" s="64"/>
      <c r="AT260" s="64"/>
      <c r="AU260" s="64"/>
      <c r="AV260" s="64"/>
      <c r="AW260" s="64"/>
      <c r="AX260" s="64"/>
      <c r="AY260" s="64"/>
      <c r="AZ260" s="64"/>
      <c r="BA260" s="64"/>
      <c r="BB260" s="64"/>
      <c r="BC260" s="64"/>
      <c r="BD260" s="64"/>
      <c r="BE260" s="657"/>
      <c r="BF260" s="67"/>
      <c r="BG260" s="64"/>
      <c r="BH260" s="64"/>
      <c r="BI260" s="64"/>
      <c r="BJ260" s="64"/>
      <c r="BK260" s="788"/>
      <c r="BL260" s="64"/>
      <c r="BM260" s="64"/>
      <c r="BN260" s="64"/>
      <c r="BO260" s="64"/>
      <c r="BP260" s="64"/>
      <c r="BQ260" s="788"/>
      <c r="BR260" s="69"/>
      <c r="BS260" s="69"/>
      <c r="BT260" s="64"/>
    </row>
    <row r="261" spans="1:72" ht="12.75" customHeight="1">
      <c r="A261" s="64"/>
      <c r="B261" s="64" t="s">
        <v>2772</v>
      </c>
      <c r="C261" s="64"/>
      <c r="D261" s="64" t="s">
        <v>2793</v>
      </c>
      <c r="E261" s="64"/>
      <c r="F261" s="67"/>
      <c r="G261" s="639"/>
      <c r="H261" s="64"/>
      <c r="I261" s="64"/>
      <c r="J261" s="64"/>
      <c r="K261" s="67"/>
      <c r="L261" s="639"/>
      <c r="M261" s="64"/>
      <c r="N261" s="64"/>
      <c r="O261" s="64"/>
      <c r="P261" s="67"/>
      <c r="Q261" s="64"/>
      <c r="R261" s="64"/>
      <c r="S261" s="64"/>
      <c r="T261" s="64"/>
      <c r="U261" s="64"/>
      <c r="V261" s="67"/>
      <c r="W261" s="64"/>
      <c r="X261" s="64"/>
      <c r="Y261" s="64"/>
      <c r="Z261" s="64"/>
      <c r="AA261" s="64"/>
      <c r="AB261" s="67"/>
      <c r="AC261" s="64"/>
      <c r="AD261" s="64"/>
      <c r="AE261" s="64"/>
      <c r="AF261" s="64"/>
      <c r="AG261" s="64"/>
      <c r="AH261" s="67"/>
      <c r="AI261" s="64"/>
      <c r="AJ261" s="64"/>
      <c r="AK261" s="64"/>
      <c r="AL261" s="64"/>
      <c r="AM261" s="64"/>
      <c r="AN261" s="67"/>
      <c r="AO261" s="64"/>
      <c r="AP261" s="64"/>
      <c r="AQ261" s="64"/>
      <c r="AR261" s="64"/>
      <c r="AS261" s="64"/>
      <c r="AT261" s="64"/>
      <c r="AU261" s="64"/>
      <c r="AV261" s="64"/>
      <c r="AW261" s="64"/>
      <c r="AX261" s="64"/>
      <c r="AY261" s="64"/>
      <c r="AZ261" s="64"/>
      <c r="BA261" s="64"/>
      <c r="BB261" s="64"/>
      <c r="BC261" s="64"/>
      <c r="BD261" s="64"/>
      <c r="BE261" s="657"/>
      <c r="BF261" s="67"/>
      <c r="BG261" s="64"/>
      <c r="BH261" s="64"/>
      <c r="BI261" s="64"/>
      <c r="BJ261" s="64"/>
      <c r="BK261" s="788"/>
      <c r="BL261" s="64"/>
      <c r="BM261" s="64"/>
      <c r="BN261" s="64"/>
      <c r="BO261" s="64"/>
      <c r="BP261" s="64"/>
      <c r="BQ261" s="788"/>
      <c r="BR261" s="69"/>
      <c r="BS261" s="69"/>
      <c r="BT261" s="64"/>
    </row>
    <row r="262" spans="1:72" ht="12.75" customHeight="1">
      <c r="A262" s="64"/>
      <c r="B262" s="64" t="s">
        <v>2772</v>
      </c>
      <c r="C262" s="64"/>
      <c r="D262" s="128" t="s">
        <v>2401</v>
      </c>
      <c r="E262" s="128"/>
      <c r="F262" s="67"/>
      <c r="G262" s="639"/>
      <c r="H262" s="64"/>
      <c r="I262" s="64"/>
      <c r="J262" s="64"/>
      <c r="K262" s="67"/>
      <c r="L262" s="639"/>
      <c r="M262" s="64"/>
      <c r="N262" s="64"/>
      <c r="O262" s="64"/>
      <c r="P262" s="67"/>
      <c r="Q262" s="64"/>
      <c r="R262" s="64"/>
      <c r="S262" s="64"/>
      <c r="T262" s="64"/>
      <c r="U262" s="64"/>
      <c r="V262" s="67"/>
      <c r="W262" s="64"/>
      <c r="X262" s="64"/>
      <c r="Y262" s="64"/>
      <c r="Z262" s="64"/>
      <c r="AA262" s="64"/>
      <c r="AB262" s="67"/>
      <c r="AC262" s="64"/>
      <c r="AD262" s="64"/>
      <c r="AE262" s="64"/>
      <c r="AF262" s="64"/>
      <c r="AG262" s="64"/>
      <c r="AH262" s="67"/>
      <c r="AI262" s="64"/>
      <c r="AJ262" s="64"/>
      <c r="AK262" s="64"/>
      <c r="AL262" s="64"/>
      <c r="AM262" s="64"/>
      <c r="AN262" s="67"/>
      <c r="AO262" s="64"/>
      <c r="AP262" s="64"/>
      <c r="AQ262" s="64"/>
      <c r="AR262" s="64"/>
      <c r="AS262" s="64"/>
      <c r="AT262" s="64"/>
      <c r="AU262" s="64"/>
      <c r="AV262" s="64"/>
      <c r="AW262" s="64"/>
      <c r="AX262" s="64"/>
      <c r="AY262" s="64"/>
      <c r="AZ262" s="64"/>
      <c r="BA262" s="64"/>
      <c r="BB262" s="64"/>
      <c r="BC262" s="64"/>
      <c r="BD262" s="64"/>
      <c r="BE262" s="657"/>
      <c r="BF262" s="67"/>
      <c r="BG262" s="64"/>
      <c r="BH262" s="64"/>
      <c r="BI262" s="64"/>
      <c r="BJ262" s="64"/>
      <c r="BK262" s="788"/>
      <c r="BL262" s="64"/>
      <c r="BM262" s="64"/>
      <c r="BN262" s="64"/>
      <c r="BO262" s="64"/>
      <c r="BP262" s="64"/>
      <c r="BQ262" s="788"/>
      <c r="BR262" s="69"/>
      <c r="BS262" s="69"/>
      <c r="BT262" s="64"/>
    </row>
    <row r="263" spans="1:72" ht="12.75" customHeight="1">
      <c r="A263" s="64"/>
      <c r="B263" s="64" t="s">
        <v>2772</v>
      </c>
      <c r="C263" s="64"/>
      <c r="D263" s="64" t="s">
        <v>2774</v>
      </c>
      <c r="E263" s="64"/>
      <c r="F263" s="67"/>
      <c r="G263" s="639"/>
      <c r="H263" s="64"/>
      <c r="I263" s="64"/>
      <c r="J263" s="64"/>
      <c r="K263" s="67"/>
      <c r="L263" s="639"/>
      <c r="M263" s="64"/>
      <c r="N263" s="64"/>
      <c r="O263" s="64"/>
      <c r="P263" s="67"/>
      <c r="Q263" s="64"/>
      <c r="R263" s="64"/>
      <c r="S263" s="64"/>
      <c r="T263" s="64"/>
      <c r="U263" s="64"/>
      <c r="V263" s="67"/>
      <c r="W263" s="64"/>
      <c r="X263" s="64"/>
      <c r="Y263" s="64"/>
      <c r="Z263" s="64"/>
      <c r="AA263" s="64"/>
      <c r="AB263" s="67"/>
      <c r="AC263" s="64"/>
      <c r="AD263" s="64"/>
      <c r="AE263" s="64"/>
      <c r="AF263" s="64"/>
      <c r="AG263" s="64"/>
      <c r="AH263" s="67"/>
      <c r="AI263" s="64"/>
      <c r="AJ263" s="64"/>
      <c r="AK263" s="64"/>
      <c r="AL263" s="64"/>
      <c r="AM263" s="64"/>
      <c r="AN263" s="67"/>
      <c r="AO263" s="64"/>
      <c r="AP263" s="64"/>
      <c r="AQ263" s="64"/>
      <c r="AR263" s="64"/>
      <c r="AS263" s="64"/>
      <c r="AT263" s="64"/>
      <c r="AU263" s="64"/>
      <c r="AV263" s="64"/>
      <c r="AW263" s="64"/>
      <c r="AX263" s="64"/>
      <c r="AY263" s="64"/>
      <c r="AZ263" s="64"/>
      <c r="BA263" s="64"/>
      <c r="BB263" s="64"/>
      <c r="BC263" s="64"/>
      <c r="BD263" s="64"/>
      <c r="BE263" s="657"/>
      <c r="BF263" s="67"/>
      <c r="BG263" s="64"/>
      <c r="BH263" s="64"/>
      <c r="BI263" s="64"/>
      <c r="BJ263" s="64"/>
      <c r="BK263" s="788"/>
      <c r="BL263" s="64"/>
      <c r="BM263" s="64"/>
      <c r="BN263" s="64"/>
      <c r="BO263" s="64"/>
      <c r="BP263" s="64"/>
      <c r="BQ263" s="788"/>
      <c r="BR263" s="69"/>
      <c r="BS263" s="69"/>
      <c r="BT263" s="64"/>
    </row>
    <row r="264" spans="1:72" ht="12.75" customHeight="1">
      <c r="A264" s="64"/>
      <c r="B264" s="64" t="s">
        <v>2772</v>
      </c>
      <c r="C264" s="64"/>
      <c r="D264" s="64" t="s">
        <v>2775</v>
      </c>
      <c r="E264" s="64"/>
      <c r="F264" s="67"/>
      <c r="G264" s="639"/>
      <c r="H264" s="64"/>
      <c r="I264" s="64"/>
      <c r="J264" s="64"/>
      <c r="K264" s="67"/>
      <c r="L264" s="639"/>
      <c r="M264" s="64"/>
      <c r="N264" s="64"/>
      <c r="O264" s="64"/>
      <c r="P264" s="67"/>
      <c r="Q264" s="64"/>
      <c r="R264" s="64"/>
      <c r="S264" s="64"/>
      <c r="T264" s="64"/>
      <c r="U264" s="64"/>
      <c r="V264" s="67"/>
      <c r="W264" s="64"/>
      <c r="X264" s="64"/>
      <c r="Y264" s="64"/>
      <c r="Z264" s="64"/>
      <c r="AA264" s="64"/>
      <c r="AB264" s="67"/>
      <c r="AC264" s="64"/>
      <c r="AD264" s="64"/>
      <c r="AE264" s="64"/>
      <c r="AF264" s="64"/>
      <c r="AG264" s="64"/>
      <c r="AH264" s="67"/>
      <c r="AI264" s="64"/>
      <c r="AJ264" s="64"/>
      <c r="AK264" s="64"/>
      <c r="AL264" s="64"/>
      <c r="AM264" s="64"/>
      <c r="AN264" s="67"/>
      <c r="AO264" s="64"/>
      <c r="AP264" s="64"/>
      <c r="AQ264" s="64"/>
      <c r="AR264" s="64"/>
      <c r="AS264" s="64"/>
      <c r="AT264" s="64"/>
      <c r="AU264" s="64"/>
      <c r="AV264" s="64"/>
      <c r="AW264" s="64"/>
      <c r="AX264" s="64"/>
      <c r="AY264" s="64"/>
      <c r="AZ264" s="64"/>
      <c r="BA264" s="64"/>
      <c r="BB264" s="64"/>
      <c r="BC264" s="64"/>
      <c r="BD264" s="64"/>
      <c r="BE264" s="657"/>
      <c r="BF264" s="67"/>
      <c r="BG264" s="64"/>
      <c r="BH264" s="64"/>
      <c r="BI264" s="64"/>
      <c r="BJ264" s="64"/>
      <c r="BK264" s="788"/>
      <c r="BL264" s="64"/>
      <c r="BM264" s="64"/>
      <c r="BN264" s="64"/>
      <c r="BO264" s="64"/>
      <c r="BP264" s="64"/>
      <c r="BQ264" s="788"/>
      <c r="BR264" s="69"/>
      <c r="BS264" s="69"/>
      <c r="BT264" s="64"/>
    </row>
    <row r="265" spans="1:72" ht="12.75" customHeight="1">
      <c r="A265" s="64"/>
      <c r="B265" s="64" t="s">
        <v>2772</v>
      </c>
      <c r="C265" s="64"/>
      <c r="D265" s="64" t="s">
        <v>2776</v>
      </c>
      <c r="E265" s="64"/>
      <c r="F265" s="67"/>
      <c r="G265" s="639"/>
      <c r="H265" s="64"/>
      <c r="I265" s="64"/>
      <c r="J265" s="64"/>
      <c r="K265" s="67"/>
      <c r="L265" s="639"/>
      <c r="M265" s="64"/>
      <c r="N265" s="64"/>
      <c r="O265" s="64"/>
      <c r="P265" s="67"/>
      <c r="Q265" s="64"/>
      <c r="R265" s="64"/>
      <c r="S265" s="64"/>
      <c r="T265" s="64"/>
      <c r="U265" s="64"/>
      <c r="V265" s="67"/>
      <c r="W265" s="64"/>
      <c r="X265" s="64"/>
      <c r="Y265" s="64"/>
      <c r="Z265" s="64"/>
      <c r="AA265" s="64"/>
      <c r="AB265" s="67"/>
      <c r="AC265" s="64"/>
      <c r="AD265" s="64"/>
      <c r="AE265" s="64"/>
      <c r="AF265" s="64"/>
      <c r="AG265" s="64"/>
      <c r="AH265" s="67"/>
      <c r="AI265" s="64"/>
      <c r="AJ265" s="64"/>
      <c r="AK265" s="64"/>
      <c r="AL265" s="64"/>
      <c r="AM265" s="64"/>
      <c r="AN265" s="67"/>
      <c r="AO265" s="64"/>
      <c r="AP265" s="64"/>
      <c r="AQ265" s="64"/>
      <c r="AR265" s="64"/>
      <c r="AS265" s="64"/>
      <c r="AT265" s="64"/>
      <c r="AU265" s="64"/>
      <c r="AV265" s="64"/>
      <c r="AW265" s="64"/>
      <c r="AX265" s="64"/>
      <c r="AY265" s="64"/>
      <c r="AZ265" s="64"/>
      <c r="BA265" s="64"/>
      <c r="BB265" s="64"/>
      <c r="BC265" s="64"/>
      <c r="BD265" s="64"/>
      <c r="BE265" s="657"/>
      <c r="BF265" s="67"/>
      <c r="BG265" s="64"/>
      <c r="BH265" s="64"/>
      <c r="BI265" s="64"/>
      <c r="BJ265" s="64"/>
      <c r="BK265" s="788"/>
      <c r="BL265" s="64"/>
      <c r="BM265" s="64"/>
      <c r="BN265" s="64"/>
      <c r="BO265" s="64"/>
      <c r="BP265" s="64"/>
      <c r="BQ265" s="788"/>
      <c r="BR265" s="69"/>
      <c r="BS265" s="69"/>
      <c r="BT265" s="64"/>
    </row>
    <row r="266" spans="1:72" ht="12.75" customHeight="1">
      <c r="A266" s="64"/>
      <c r="B266" s="64" t="s">
        <v>2772</v>
      </c>
      <c r="C266" s="64"/>
      <c r="D266" s="64" t="s">
        <v>2777</v>
      </c>
      <c r="E266" s="64"/>
      <c r="F266" s="67"/>
      <c r="G266" s="639"/>
      <c r="H266" s="64"/>
      <c r="I266" s="64"/>
      <c r="J266" s="64"/>
      <c r="K266" s="67"/>
      <c r="L266" s="639"/>
      <c r="M266" s="64"/>
      <c r="N266" s="64"/>
      <c r="O266" s="64"/>
      <c r="P266" s="67"/>
      <c r="Q266" s="64"/>
      <c r="R266" s="64"/>
      <c r="S266" s="64"/>
      <c r="T266" s="64"/>
      <c r="U266" s="64"/>
      <c r="V266" s="67"/>
      <c r="W266" s="64"/>
      <c r="X266" s="64"/>
      <c r="Y266" s="64"/>
      <c r="Z266" s="64"/>
      <c r="AA266" s="64"/>
      <c r="AB266" s="67"/>
      <c r="AC266" s="64"/>
      <c r="AD266" s="64"/>
      <c r="AE266" s="64"/>
      <c r="AF266" s="64"/>
      <c r="AG266" s="64"/>
      <c r="AH266" s="67"/>
      <c r="AI266" s="64"/>
      <c r="AJ266" s="64"/>
      <c r="AK266" s="64"/>
      <c r="AL266" s="64"/>
      <c r="AM266" s="64"/>
      <c r="AN266" s="67"/>
      <c r="AO266" s="64"/>
      <c r="AP266" s="64"/>
      <c r="AQ266" s="64"/>
      <c r="AR266" s="64"/>
      <c r="AS266" s="64"/>
      <c r="AT266" s="64"/>
      <c r="AU266" s="64"/>
      <c r="AV266" s="64"/>
      <c r="AW266" s="64"/>
      <c r="AX266" s="64"/>
      <c r="AY266" s="64"/>
      <c r="AZ266" s="64"/>
      <c r="BA266" s="64"/>
      <c r="BB266" s="64"/>
      <c r="BC266" s="64"/>
      <c r="BD266" s="64"/>
      <c r="BE266" s="657"/>
      <c r="BF266" s="67"/>
      <c r="BG266" s="64"/>
      <c r="BH266" s="64"/>
      <c r="BI266" s="64"/>
      <c r="BJ266" s="64"/>
      <c r="BK266" s="788"/>
      <c r="BL266" s="64"/>
      <c r="BM266" s="64"/>
      <c r="BN266" s="64"/>
      <c r="BO266" s="64"/>
      <c r="BP266" s="64"/>
      <c r="BQ266" s="788"/>
      <c r="BR266" s="69"/>
      <c r="BS266" s="69"/>
      <c r="BT266" s="64"/>
    </row>
    <row r="267" spans="1:72" ht="12.75" customHeight="1">
      <c r="A267" s="64"/>
      <c r="B267" s="64" t="s">
        <v>2772</v>
      </c>
      <c r="C267" s="64"/>
      <c r="D267" s="64" t="s">
        <v>2778</v>
      </c>
      <c r="E267" s="64"/>
      <c r="F267" s="130" t="str">
        <f>'Sterne-Rechner - GI'!AO19</f>
        <v/>
      </c>
      <c r="G267" s="639"/>
      <c r="H267" s="64"/>
      <c r="I267" s="64"/>
      <c r="J267" s="64"/>
      <c r="K267" s="67"/>
      <c r="L267" s="639"/>
      <c r="M267" s="64"/>
      <c r="N267" s="64"/>
      <c r="O267" s="64"/>
      <c r="P267" s="67"/>
      <c r="Q267" s="64"/>
      <c r="R267" s="64"/>
      <c r="S267" s="64"/>
      <c r="T267" s="64"/>
      <c r="U267" s="64"/>
      <c r="V267" s="67"/>
      <c r="W267" s="64"/>
      <c r="X267" s="64"/>
      <c r="Y267" s="64"/>
      <c r="Z267" s="64"/>
      <c r="AA267" s="64"/>
      <c r="AB267" s="67"/>
      <c r="AC267" s="64"/>
      <c r="AD267" s="64"/>
      <c r="AE267" s="64"/>
      <c r="AF267" s="64"/>
      <c r="AG267" s="64"/>
      <c r="AH267" s="67"/>
      <c r="AI267" s="64"/>
      <c r="AJ267" s="64"/>
      <c r="AK267" s="64"/>
      <c r="AL267" s="64"/>
      <c r="AM267" s="64"/>
      <c r="AN267" s="67"/>
      <c r="AO267" s="64"/>
      <c r="AP267" s="64"/>
      <c r="AQ267" s="64"/>
      <c r="AR267" s="64"/>
      <c r="AS267" s="64"/>
      <c r="AT267" s="64"/>
      <c r="AU267" s="64"/>
      <c r="AV267" s="64"/>
      <c r="AW267" s="64"/>
      <c r="AX267" s="64"/>
      <c r="AY267" s="64"/>
      <c r="AZ267" s="64"/>
      <c r="BA267" s="64"/>
      <c r="BB267" s="64"/>
      <c r="BC267" s="64"/>
      <c r="BD267" s="64"/>
      <c r="BE267" s="657"/>
      <c r="BF267" s="67"/>
      <c r="BG267" s="64"/>
      <c r="BH267" s="64"/>
      <c r="BI267" s="64"/>
      <c r="BJ267" s="64"/>
      <c r="BK267" s="788"/>
      <c r="BL267" s="64"/>
      <c r="BM267" s="64"/>
      <c r="BN267" s="64"/>
      <c r="BO267" s="64"/>
      <c r="BP267" s="64"/>
      <c r="BQ267" s="788"/>
      <c r="BR267" s="69"/>
      <c r="BS267" s="69"/>
      <c r="BT267" s="64"/>
    </row>
    <row r="268" spans="1:72" ht="12.75" customHeight="1">
      <c r="A268" s="64"/>
      <c r="B268" s="64" t="s">
        <v>2772</v>
      </c>
      <c r="C268" s="64"/>
      <c r="D268" s="64" t="s">
        <v>2779</v>
      </c>
      <c r="E268" s="64"/>
      <c r="F268" s="129" t="str">
        <f>'Sterne-Rechner - GI'!AP20</f>
        <v/>
      </c>
      <c r="G268" s="639"/>
      <c r="H268" s="64"/>
      <c r="I268" s="64"/>
      <c r="J268" s="64"/>
      <c r="K268" s="67"/>
      <c r="L268" s="639"/>
      <c r="M268" s="64"/>
      <c r="N268" s="64"/>
      <c r="O268" s="64"/>
      <c r="P268" s="67"/>
      <c r="Q268" s="64"/>
      <c r="R268" s="64"/>
      <c r="S268" s="64"/>
      <c r="T268" s="64"/>
      <c r="U268" s="64"/>
      <c r="V268" s="67"/>
      <c r="W268" s="64"/>
      <c r="X268" s="64"/>
      <c r="Y268" s="64"/>
      <c r="Z268" s="64"/>
      <c r="AA268" s="64"/>
      <c r="AB268" s="67"/>
      <c r="AC268" s="64"/>
      <c r="AD268" s="64"/>
      <c r="AE268" s="64"/>
      <c r="AF268" s="64"/>
      <c r="AG268" s="64"/>
      <c r="AH268" s="67"/>
      <c r="AI268" s="64"/>
      <c r="AJ268" s="64"/>
      <c r="AK268" s="64"/>
      <c r="AL268" s="64"/>
      <c r="AM268" s="64"/>
      <c r="AN268" s="67"/>
      <c r="AO268" s="64"/>
      <c r="AP268" s="64"/>
      <c r="AQ268" s="64"/>
      <c r="AR268" s="64"/>
      <c r="AS268" s="64"/>
      <c r="AT268" s="64"/>
      <c r="AU268" s="64"/>
      <c r="AV268" s="64"/>
      <c r="AW268" s="64"/>
      <c r="AX268" s="64"/>
      <c r="AY268" s="64"/>
      <c r="AZ268" s="64"/>
      <c r="BA268" s="64"/>
      <c r="BB268" s="64"/>
      <c r="BC268" s="64"/>
      <c r="BD268" s="64"/>
      <c r="BE268" s="657"/>
      <c r="BF268" s="67"/>
      <c r="BG268" s="64"/>
      <c r="BH268" s="64"/>
      <c r="BI268" s="64"/>
      <c r="BJ268" s="64"/>
      <c r="BK268" s="788"/>
      <c r="BL268" s="64"/>
      <c r="BM268" s="64"/>
      <c r="BN268" s="64"/>
      <c r="BO268" s="64"/>
      <c r="BP268" s="64"/>
      <c r="BQ268" s="788"/>
      <c r="BR268" s="69"/>
      <c r="BS268" s="69"/>
      <c r="BT268" s="64"/>
    </row>
    <row r="269" spans="1:72" ht="12.75" customHeight="1">
      <c r="A269" s="64"/>
      <c r="B269" s="64" t="s">
        <v>2772</v>
      </c>
      <c r="C269" s="64"/>
      <c r="D269" s="64" t="s">
        <v>2780</v>
      </c>
      <c r="E269" s="64"/>
      <c r="F269" s="129" t="str">
        <f>'Sterne-Rechner - GI'!AQ21</f>
        <v/>
      </c>
      <c r="G269" s="639"/>
      <c r="H269" s="64"/>
      <c r="I269" s="64"/>
      <c r="J269" s="64"/>
      <c r="K269" s="67"/>
      <c r="L269" s="639"/>
      <c r="M269" s="64"/>
      <c r="N269" s="64"/>
      <c r="O269" s="64"/>
      <c r="P269" s="67"/>
      <c r="Q269" s="64"/>
      <c r="R269" s="64"/>
      <c r="S269" s="64"/>
      <c r="T269" s="64"/>
      <c r="U269" s="64"/>
      <c r="V269" s="67"/>
      <c r="W269" s="64"/>
      <c r="X269" s="64"/>
      <c r="Y269" s="64"/>
      <c r="Z269" s="64"/>
      <c r="AA269" s="64"/>
      <c r="AB269" s="67"/>
      <c r="AC269" s="64"/>
      <c r="AD269" s="64"/>
      <c r="AE269" s="64"/>
      <c r="AF269" s="64"/>
      <c r="AG269" s="64"/>
      <c r="AH269" s="67"/>
      <c r="AI269" s="64"/>
      <c r="AJ269" s="64"/>
      <c r="AK269" s="64"/>
      <c r="AL269" s="64"/>
      <c r="AM269" s="64"/>
      <c r="AN269" s="67"/>
      <c r="AO269" s="64"/>
      <c r="AP269" s="64"/>
      <c r="AQ269" s="64"/>
      <c r="AR269" s="64"/>
      <c r="AS269" s="64"/>
      <c r="AT269" s="64"/>
      <c r="AU269" s="64"/>
      <c r="AV269" s="64"/>
      <c r="AW269" s="64"/>
      <c r="AX269" s="64"/>
      <c r="AY269" s="64"/>
      <c r="AZ269" s="64"/>
      <c r="BA269" s="64"/>
      <c r="BB269" s="64"/>
      <c r="BC269" s="64"/>
      <c r="BD269" s="64"/>
      <c r="BE269" s="657"/>
      <c r="BF269" s="67"/>
      <c r="BG269" s="64"/>
      <c r="BH269" s="64"/>
      <c r="BI269" s="64"/>
      <c r="BJ269" s="64"/>
      <c r="BK269" s="788"/>
      <c r="BL269" s="64"/>
      <c r="BM269" s="64"/>
      <c r="BN269" s="64"/>
      <c r="BO269" s="64"/>
      <c r="BP269" s="64"/>
      <c r="BQ269" s="788"/>
      <c r="BR269" s="69"/>
      <c r="BS269" s="69"/>
      <c r="BT269" s="64"/>
    </row>
    <row r="270" spans="1:72" ht="12.75" customHeight="1">
      <c r="A270" s="64"/>
      <c r="B270" s="64" t="s">
        <v>2772</v>
      </c>
      <c r="C270" s="64"/>
      <c r="D270" s="64" t="s">
        <v>2781</v>
      </c>
      <c r="E270" s="64"/>
      <c r="F270" s="67"/>
      <c r="G270" s="640"/>
      <c r="H270" s="64"/>
      <c r="I270" s="64"/>
      <c r="J270" s="64"/>
      <c r="K270" s="129" t="str">
        <f ca="1">'Sterne-Rechner - Angebot'!Y19</f>
        <v/>
      </c>
      <c r="L270" s="640"/>
      <c r="M270" s="64"/>
      <c r="N270" s="64"/>
      <c r="O270" s="64"/>
      <c r="P270" s="67"/>
      <c r="Q270" s="64"/>
      <c r="R270" s="64"/>
      <c r="S270" s="64"/>
      <c r="T270" s="64"/>
      <c r="U270" s="64"/>
      <c r="V270" s="67"/>
      <c r="W270" s="64"/>
      <c r="X270" s="64"/>
      <c r="Y270" s="64"/>
      <c r="Z270" s="64"/>
      <c r="AA270" s="64"/>
      <c r="AB270" s="67"/>
      <c r="AC270" s="64"/>
      <c r="AD270" s="64"/>
      <c r="AE270" s="64"/>
      <c r="AF270" s="64"/>
      <c r="AG270" s="64"/>
      <c r="AH270" s="67"/>
      <c r="AI270" s="64"/>
      <c r="AJ270" s="64"/>
      <c r="AK270" s="64"/>
      <c r="AL270" s="64"/>
      <c r="AM270" s="64"/>
      <c r="AN270" s="67"/>
      <c r="AO270" s="64"/>
      <c r="AP270" s="64"/>
      <c r="AQ270" s="64"/>
      <c r="AR270" s="64"/>
      <c r="AS270" s="64"/>
      <c r="AT270" s="64"/>
      <c r="AU270" s="64"/>
      <c r="AV270" s="64"/>
      <c r="AW270" s="64"/>
      <c r="AX270" s="64"/>
      <c r="AY270" s="64"/>
      <c r="AZ270" s="64"/>
      <c r="BA270" s="64"/>
      <c r="BB270" s="64"/>
      <c r="BC270" s="64"/>
      <c r="BD270" s="64"/>
      <c r="BE270" s="657"/>
      <c r="BF270" s="67"/>
      <c r="BG270" s="64"/>
      <c r="BH270" s="64"/>
      <c r="BI270" s="64"/>
      <c r="BJ270" s="64"/>
      <c r="BK270" s="788"/>
      <c r="BL270" s="64"/>
      <c r="BM270" s="64"/>
      <c r="BN270" s="64"/>
      <c r="BO270" s="64"/>
      <c r="BP270" s="64"/>
      <c r="BQ270" s="788"/>
      <c r="BR270" s="69"/>
      <c r="BS270" s="69"/>
      <c r="BT270" s="64"/>
    </row>
    <row r="271" spans="1:72" ht="12.75" customHeight="1">
      <c r="A271" s="64"/>
      <c r="B271" s="64" t="s">
        <v>2772</v>
      </c>
      <c r="C271" s="64"/>
      <c r="D271" s="64" t="s">
        <v>2782</v>
      </c>
      <c r="E271" s="64"/>
      <c r="F271" s="67"/>
      <c r="G271" s="640"/>
      <c r="H271" s="64"/>
      <c r="I271" s="64"/>
      <c r="J271" s="64"/>
      <c r="K271" s="129" t="str">
        <f ca="1">'Sterne-Rechner - Angebot'!Y20</f>
        <v/>
      </c>
      <c r="L271" s="640"/>
      <c r="M271" s="64"/>
      <c r="N271" s="64"/>
      <c r="O271" s="64"/>
      <c r="P271" s="67"/>
      <c r="Q271" s="64"/>
      <c r="R271" s="64"/>
      <c r="S271" s="64"/>
      <c r="T271" s="64"/>
      <c r="U271" s="64"/>
      <c r="V271" s="67"/>
      <c r="W271" s="64"/>
      <c r="X271" s="64"/>
      <c r="Y271" s="64"/>
      <c r="Z271" s="64"/>
      <c r="AA271" s="64"/>
      <c r="AB271" s="67"/>
      <c r="AC271" s="64"/>
      <c r="AD271" s="64"/>
      <c r="AE271" s="64"/>
      <c r="AF271" s="64"/>
      <c r="AG271" s="64"/>
      <c r="AH271" s="67"/>
      <c r="AI271" s="64"/>
      <c r="AJ271" s="64"/>
      <c r="AK271" s="64"/>
      <c r="AL271" s="64"/>
      <c r="AM271" s="64"/>
      <c r="AN271" s="67"/>
      <c r="AO271" s="64"/>
      <c r="AP271" s="64"/>
      <c r="AQ271" s="64"/>
      <c r="AR271" s="64"/>
      <c r="AS271" s="64"/>
      <c r="AT271" s="64"/>
      <c r="AU271" s="64"/>
      <c r="AV271" s="64"/>
      <c r="AW271" s="64"/>
      <c r="AX271" s="64"/>
      <c r="AY271" s="64"/>
      <c r="AZ271" s="64"/>
      <c r="BA271" s="64"/>
      <c r="BB271" s="64"/>
      <c r="BC271" s="64"/>
      <c r="BD271" s="64"/>
      <c r="BE271" s="657"/>
      <c r="BF271" s="67"/>
      <c r="BG271" s="64"/>
      <c r="BH271" s="64"/>
      <c r="BI271" s="64"/>
      <c r="BJ271" s="64"/>
      <c r="BK271" s="788"/>
      <c r="BL271" s="64"/>
      <c r="BM271" s="64"/>
      <c r="BN271" s="64"/>
      <c r="BO271" s="64"/>
      <c r="BP271" s="64"/>
      <c r="BQ271" s="788"/>
      <c r="BR271" s="69"/>
      <c r="BS271" s="69"/>
      <c r="BT271" s="64"/>
    </row>
    <row r="272" spans="1:72" ht="12.75" customHeight="1">
      <c r="A272" s="64"/>
      <c r="B272" s="64" t="s">
        <v>2772</v>
      </c>
      <c r="C272" s="64"/>
      <c r="D272" s="64" t="s">
        <v>2783</v>
      </c>
      <c r="E272" s="64"/>
      <c r="F272" s="67"/>
      <c r="G272" s="640"/>
      <c r="H272" s="64"/>
      <c r="I272" s="64"/>
      <c r="J272" s="64"/>
      <c r="K272" s="129"/>
      <c r="L272" s="640"/>
      <c r="M272" s="64"/>
      <c r="N272" s="64"/>
      <c r="O272" s="64"/>
      <c r="P272" s="67"/>
      <c r="Q272" s="64"/>
      <c r="R272" s="64"/>
      <c r="S272" s="64"/>
      <c r="T272" s="64"/>
      <c r="U272" s="64"/>
      <c r="V272" s="67"/>
      <c r="W272" s="64"/>
      <c r="X272" s="64"/>
      <c r="Y272" s="64"/>
      <c r="Z272" s="64"/>
      <c r="AA272" s="64"/>
      <c r="AB272" s="67"/>
      <c r="AC272" s="64"/>
      <c r="AD272" s="64"/>
      <c r="AE272" s="64"/>
      <c r="AF272" s="64"/>
      <c r="AG272" s="64"/>
      <c r="AH272" s="67"/>
      <c r="AI272" s="64"/>
      <c r="AJ272" s="64"/>
      <c r="AK272" s="64"/>
      <c r="AL272" s="64"/>
      <c r="AM272" s="64"/>
      <c r="AN272" s="67"/>
      <c r="AO272" s="64"/>
      <c r="AP272" s="64"/>
      <c r="AQ272" s="64"/>
      <c r="AR272" s="64"/>
      <c r="AS272" s="64"/>
      <c r="AT272" s="64"/>
      <c r="AU272" s="64"/>
      <c r="AV272" s="64"/>
      <c r="AW272" s="64"/>
      <c r="AX272" s="64"/>
      <c r="AY272" s="64"/>
      <c r="AZ272" s="64"/>
      <c r="BA272" s="64"/>
      <c r="BB272" s="64"/>
      <c r="BC272" s="64"/>
      <c r="BD272" s="64"/>
      <c r="BE272" s="657"/>
      <c r="BF272" s="67"/>
      <c r="BG272" s="64"/>
      <c r="BH272" s="64"/>
      <c r="BI272" s="64"/>
      <c r="BJ272" s="64"/>
      <c r="BK272" s="788"/>
      <c r="BL272" s="64"/>
      <c r="BM272" s="64"/>
      <c r="BN272" s="64"/>
      <c r="BO272" s="64"/>
      <c r="BP272" s="64"/>
      <c r="BQ272" s="788"/>
      <c r="BR272" s="69"/>
      <c r="BS272" s="69"/>
      <c r="BT272" s="64"/>
    </row>
    <row r="273" spans="1:72" ht="12.75" customHeight="1">
      <c r="A273" s="64"/>
      <c r="B273" s="64" t="s">
        <v>2772</v>
      </c>
      <c r="C273" s="64"/>
      <c r="D273" s="64" t="s">
        <v>2784</v>
      </c>
      <c r="E273" s="64"/>
      <c r="F273" s="130" t="str">
        <f>'Sterne-Rechner - GI'!AS19</f>
        <v/>
      </c>
      <c r="G273" s="639"/>
      <c r="H273" s="132"/>
      <c r="I273" s="64"/>
      <c r="J273" s="64"/>
      <c r="K273" s="67"/>
      <c r="L273" s="639"/>
      <c r="M273" s="132"/>
      <c r="N273" s="64"/>
      <c r="O273" s="64"/>
      <c r="P273" s="67"/>
      <c r="Q273" s="64"/>
      <c r="R273" s="64"/>
      <c r="S273" s="64"/>
      <c r="T273" s="64"/>
      <c r="U273" s="64"/>
      <c r="V273" s="67"/>
      <c r="W273" s="64"/>
      <c r="X273" s="64"/>
      <c r="Y273" s="64"/>
      <c r="Z273" s="64"/>
      <c r="AA273" s="64"/>
      <c r="AB273" s="67"/>
      <c r="AC273" s="64"/>
      <c r="AD273" s="64"/>
      <c r="AE273" s="64"/>
      <c r="AF273" s="64"/>
      <c r="AG273" s="64"/>
      <c r="AH273" s="67"/>
      <c r="AI273" s="64"/>
      <c r="AJ273" s="64"/>
      <c r="AK273" s="64"/>
      <c r="AL273" s="64"/>
      <c r="AM273" s="64"/>
      <c r="AN273" s="67"/>
      <c r="AO273" s="64"/>
      <c r="AP273" s="64"/>
      <c r="AQ273" s="64"/>
      <c r="AR273" s="64"/>
      <c r="AS273" s="64"/>
      <c r="AT273" s="64"/>
      <c r="AU273" s="64"/>
      <c r="AV273" s="64"/>
      <c r="AW273" s="64"/>
      <c r="AX273" s="64"/>
      <c r="AY273" s="64"/>
      <c r="AZ273" s="64"/>
      <c r="BA273" s="64"/>
      <c r="BB273" s="64"/>
      <c r="BC273" s="64"/>
      <c r="BD273" s="64"/>
      <c r="BE273" s="657"/>
      <c r="BF273" s="67"/>
      <c r="BG273" s="64"/>
      <c r="BH273" s="64"/>
      <c r="BI273" s="64"/>
      <c r="BJ273" s="64"/>
      <c r="BK273" s="788"/>
      <c r="BL273" s="64"/>
      <c r="BM273" s="64"/>
      <c r="BN273" s="64"/>
      <c r="BO273" s="64"/>
      <c r="BP273" s="64"/>
      <c r="BQ273" s="788"/>
      <c r="BR273" s="69"/>
      <c r="BS273" s="69"/>
      <c r="BT273" s="64"/>
    </row>
    <row r="274" spans="1:72" ht="12.75" customHeight="1">
      <c r="A274" s="64"/>
      <c r="B274" s="64" t="s">
        <v>2772</v>
      </c>
      <c r="C274" s="64"/>
      <c r="D274" s="64" t="s">
        <v>2785</v>
      </c>
      <c r="E274" s="64"/>
      <c r="F274" s="130" t="str">
        <f>'Sterne-Rechner - GI'!AS20</f>
        <v/>
      </c>
      <c r="G274" s="639"/>
      <c r="H274" s="132"/>
      <c r="I274" s="64"/>
      <c r="J274" s="64"/>
      <c r="K274" s="67"/>
      <c r="L274" s="639"/>
      <c r="M274" s="132"/>
      <c r="N274" s="64"/>
      <c r="O274" s="64"/>
      <c r="P274" s="67"/>
      <c r="Q274" s="64"/>
      <c r="R274" s="64"/>
      <c r="S274" s="64"/>
      <c r="T274" s="64"/>
      <c r="U274" s="64"/>
      <c r="V274" s="67"/>
      <c r="W274" s="64"/>
      <c r="X274" s="64"/>
      <c r="Y274" s="64"/>
      <c r="Z274" s="64"/>
      <c r="AA274" s="64"/>
      <c r="AB274" s="67"/>
      <c r="AC274" s="64"/>
      <c r="AD274" s="64"/>
      <c r="AE274" s="64"/>
      <c r="AF274" s="64"/>
      <c r="AG274" s="64"/>
      <c r="AH274" s="67"/>
      <c r="AI274" s="64"/>
      <c r="AJ274" s="64"/>
      <c r="AK274" s="64"/>
      <c r="AL274" s="64"/>
      <c r="AM274" s="64"/>
      <c r="AN274" s="67"/>
      <c r="AO274" s="64"/>
      <c r="AP274" s="64"/>
      <c r="AQ274" s="64"/>
      <c r="AR274" s="64"/>
      <c r="AS274" s="64"/>
      <c r="AT274" s="64"/>
      <c r="AU274" s="64"/>
      <c r="AV274" s="64"/>
      <c r="AW274" s="64"/>
      <c r="AX274" s="64"/>
      <c r="AY274" s="64"/>
      <c r="AZ274" s="64"/>
      <c r="BA274" s="64"/>
      <c r="BB274" s="64"/>
      <c r="BC274" s="64"/>
      <c r="BD274" s="64"/>
      <c r="BE274" s="657"/>
      <c r="BF274" s="67"/>
      <c r="BG274" s="64"/>
      <c r="BH274" s="64"/>
      <c r="BI274" s="64"/>
      <c r="BJ274" s="64"/>
      <c r="BK274" s="788"/>
      <c r="BL274" s="64"/>
      <c r="BM274" s="64"/>
      <c r="BN274" s="64"/>
      <c r="BO274" s="64"/>
      <c r="BP274" s="64"/>
      <c r="BQ274" s="788"/>
      <c r="BR274" s="69"/>
      <c r="BS274" s="69"/>
      <c r="BT274" s="64"/>
    </row>
    <row r="275" spans="1:72" ht="12.75" customHeight="1">
      <c r="A275" s="64"/>
      <c r="B275" s="64" t="s">
        <v>2772</v>
      </c>
      <c r="C275" s="64"/>
      <c r="D275" s="64" t="s">
        <v>2786</v>
      </c>
      <c r="E275" s="64"/>
      <c r="F275" s="130" t="str">
        <f>'Sterne-Rechner - GI'!AS21</f>
        <v/>
      </c>
      <c r="G275" s="639"/>
      <c r="H275" s="132"/>
      <c r="I275" s="64"/>
      <c r="J275" s="64"/>
      <c r="K275" s="67"/>
      <c r="L275" s="639"/>
      <c r="M275" s="132"/>
      <c r="N275" s="64"/>
      <c r="O275" s="64"/>
      <c r="P275" s="67"/>
      <c r="Q275" s="64"/>
      <c r="R275" s="64"/>
      <c r="S275" s="64"/>
      <c r="T275" s="64"/>
      <c r="U275" s="64"/>
      <c r="V275" s="67"/>
      <c r="W275" s="64"/>
      <c r="X275" s="64"/>
      <c r="Y275" s="64"/>
      <c r="Z275" s="64"/>
      <c r="AA275" s="64"/>
      <c r="AB275" s="67"/>
      <c r="AC275" s="64"/>
      <c r="AD275" s="64"/>
      <c r="AE275" s="64"/>
      <c r="AF275" s="64"/>
      <c r="AG275" s="64"/>
      <c r="AH275" s="67"/>
      <c r="AI275" s="64"/>
      <c r="AJ275" s="64"/>
      <c r="AK275" s="64"/>
      <c r="AL275" s="64"/>
      <c r="AM275" s="64"/>
      <c r="AN275" s="67"/>
      <c r="AO275" s="64"/>
      <c r="AP275" s="64"/>
      <c r="AQ275" s="64"/>
      <c r="AR275" s="64"/>
      <c r="AS275" s="64"/>
      <c r="AT275" s="64"/>
      <c r="AU275" s="64"/>
      <c r="AV275" s="64"/>
      <c r="AW275" s="64"/>
      <c r="AX275" s="64"/>
      <c r="AY275" s="64"/>
      <c r="AZ275" s="64"/>
      <c r="BA275" s="64"/>
      <c r="BB275" s="64"/>
      <c r="BC275" s="64"/>
      <c r="BD275" s="64"/>
      <c r="BE275" s="657"/>
      <c r="BF275" s="67"/>
      <c r="BG275" s="64"/>
      <c r="BH275" s="64"/>
      <c r="BI275" s="64"/>
      <c r="BJ275" s="64"/>
      <c r="BK275" s="788"/>
      <c r="BL275" s="64"/>
      <c r="BM275" s="64"/>
      <c r="BN275" s="64"/>
      <c r="BO275" s="64"/>
      <c r="BP275" s="64"/>
      <c r="BQ275" s="788"/>
      <c r="BR275" s="69"/>
      <c r="BS275" s="69"/>
      <c r="BT275" s="64"/>
    </row>
    <row r="276" spans="1:72" ht="12.75" customHeight="1">
      <c r="A276" s="64"/>
      <c r="B276" s="64" t="s">
        <v>2772</v>
      </c>
      <c r="C276" s="64"/>
      <c r="D276" s="64" t="s">
        <v>2787</v>
      </c>
      <c r="E276" s="64"/>
      <c r="F276" s="67"/>
      <c r="G276" s="640"/>
      <c r="H276" s="64"/>
      <c r="I276" s="64"/>
      <c r="J276" s="64"/>
      <c r="K276" s="130" t="str">
        <f>'Sterne-Rechner - Angebot'!N19</f>
        <v/>
      </c>
      <c r="L276" s="640"/>
      <c r="M276" s="64"/>
      <c r="N276" s="64"/>
      <c r="O276" s="64"/>
      <c r="P276" s="67"/>
      <c r="Q276" s="64"/>
      <c r="R276" s="64"/>
      <c r="S276" s="64"/>
      <c r="T276" s="64"/>
      <c r="U276" s="64"/>
      <c r="V276" s="67"/>
      <c r="W276" s="64"/>
      <c r="X276" s="64"/>
      <c r="Y276" s="64"/>
      <c r="Z276" s="64"/>
      <c r="AA276" s="64"/>
      <c r="AB276" s="67"/>
      <c r="AC276" s="64"/>
      <c r="AD276" s="64"/>
      <c r="AE276" s="64"/>
      <c r="AF276" s="64"/>
      <c r="AG276" s="64"/>
      <c r="AH276" s="67"/>
      <c r="AI276" s="64"/>
      <c r="AJ276" s="64"/>
      <c r="AK276" s="64"/>
      <c r="AL276" s="64"/>
      <c r="AM276" s="64"/>
      <c r="AN276" s="67"/>
      <c r="AO276" s="64"/>
      <c r="AP276" s="64"/>
      <c r="AQ276" s="64"/>
      <c r="AR276" s="64"/>
      <c r="AS276" s="64"/>
      <c r="AT276" s="64"/>
      <c r="AU276" s="64"/>
      <c r="AV276" s="64"/>
      <c r="AW276" s="64"/>
      <c r="AX276" s="64"/>
      <c r="AY276" s="64"/>
      <c r="AZ276" s="64"/>
      <c r="BA276" s="64"/>
      <c r="BB276" s="64"/>
      <c r="BC276" s="64"/>
      <c r="BD276" s="64"/>
      <c r="BE276" s="657"/>
      <c r="BF276" s="67"/>
      <c r="BG276" s="64"/>
      <c r="BH276" s="64"/>
      <c r="BI276" s="64"/>
      <c r="BJ276" s="64"/>
      <c r="BK276" s="788"/>
      <c r="BL276" s="64"/>
      <c r="BM276" s="64"/>
      <c r="BN276" s="64"/>
      <c r="BO276" s="64"/>
      <c r="BP276" s="64"/>
      <c r="BQ276" s="788"/>
      <c r="BR276" s="69"/>
      <c r="BS276" s="69"/>
      <c r="BT276" s="64"/>
    </row>
    <row r="277" spans="1:72" ht="12.75" customHeight="1">
      <c r="A277" s="64"/>
      <c r="B277" s="64" t="s">
        <v>2772</v>
      </c>
      <c r="C277" s="64"/>
      <c r="D277" s="64" t="s">
        <v>2788</v>
      </c>
      <c r="E277" s="64"/>
      <c r="F277" s="67"/>
      <c r="G277" s="640"/>
      <c r="H277" s="64"/>
      <c r="I277" s="64"/>
      <c r="J277" s="64"/>
      <c r="K277" s="130" t="str">
        <f>'Sterne-Rechner - Angebot'!N20</f>
        <v/>
      </c>
      <c r="L277" s="640"/>
      <c r="M277" s="64"/>
      <c r="N277" s="64"/>
      <c r="O277" s="64"/>
      <c r="P277" s="67"/>
      <c r="Q277" s="64"/>
      <c r="R277" s="64"/>
      <c r="S277" s="64"/>
      <c r="T277" s="64"/>
      <c r="U277" s="64"/>
      <c r="V277" s="67"/>
      <c r="W277" s="64"/>
      <c r="X277" s="64"/>
      <c r="Y277" s="64"/>
      <c r="Z277" s="64"/>
      <c r="AA277" s="64"/>
      <c r="AB277" s="67"/>
      <c r="AC277" s="64"/>
      <c r="AD277" s="64"/>
      <c r="AE277" s="64"/>
      <c r="AF277" s="64"/>
      <c r="AG277" s="64"/>
      <c r="AH277" s="67"/>
      <c r="AI277" s="64"/>
      <c r="AJ277" s="64"/>
      <c r="AK277" s="64"/>
      <c r="AL277" s="64"/>
      <c r="AM277" s="64"/>
      <c r="AN277" s="67"/>
      <c r="AO277" s="64"/>
      <c r="AP277" s="64"/>
      <c r="AQ277" s="64"/>
      <c r="AR277" s="64"/>
      <c r="AS277" s="64"/>
      <c r="AT277" s="64"/>
      <c r="AU277" s="64"/>
      <c r="AV277" s="64"/>
      <c r="AW277" s="64"/>
      <c r="AX277" s="64"/>
      <c r="AY277" s="64"/>
      <c r="AZ277" s="64"/>
      <c r="BA277" s="64"/>
      <c r="BB277" s="64"/>
      <c r="BC277" s="64"/>
      <c r="BD277" s="64"/>
      <c r="BE277" s="657"/>
      <c r="BF277" s="67"/>
      <c r="BG277" s="64"/>
      <c r="BH277" s="64"/>
      <c r="BI277" s="64"/>
      <c r="BJ277" s="64"/>
      <c r="BK277" s="788"/>
      <c r="BL277" s="64"/>
      <c r="BM277" s="64"/>
      <c r="BN277" s="64"/>
      <c r="BO277" s="64"/>
      <c r="BP277" s="64"/>
      <c r="BQ277" s="788"/>
      <c r="BR277" s="69"/>
      <c r="BS277" s="69"/>
      <c r="BT277" s="64"/>
    </row>
    <row r="278" spans="1:72" ht="12.75" customHeight="1">
      <c r="A278" s="64"/>
      <c r="B278" s="64" t="s">
        <v>2772</v>
      </c>
      <c r="C278" s="64"/>
      <c r="D278" s="64" t="s">
        <v>2789</v>
      </c>
      <c r="E278" s="64"/>
      <c r="F278" s="67"/>
      <c r="G278" s="640"/>
      <c r="H278" s="132"/>
      <c r="I278" s="64"/>
      <c r="J278" s="64"/>
      <c r="K278" s="130" t="str">
        <f>'Sterne-Rechner - Angebot'!N21</f>
        <v/>
      </c>
      <c r="L278" s="640"/>
      <c r="M278" s="132"/>
      <c r="N278" s="64"/>
      <c r="O278" s="64"/>
      <c r="P278" s="67"/>
      <c r="Q278" s="64"/>
      <c r="R278" s="64"/>
      <c r="S278" s="64"/>
      <c r="T278" s="64"/>
      <c r="U278" s="64"/>
      <c r="V278" s="67"/>
      <c r="W278" s="64"/>
      <c r="X278" s="64"/>
      <c r="Y278" s="64"/>
      <c r="Z278" s="64"/>
      <c r="AA278" s="64"/>
      <c r="AB278" s="67"/>
      <c r="AC278" s="64"/>
      <c r="AD278" s="64"/>
      <c r="AE278" s="64"/>
      <c r="AF278" s="64"/>
      <c r="AG278" s="64"/>
      <c r="AH278" s="67"/>
      <c r="AI278" s="64"/>
      <c r="AJ278" s="64"/>
      <c r="AK278" s="64"/>
      <c r="AL278" s="64"/>
      <c r="AM278" s="64"/>
      <c r="AN278" s="67"/>
      <c r="AO278" s="64"/>
      <c r="AP278" s="64"/>
      <c r="AQ278" s="64"/>
      <c r="AR278" s="64"/>
      <c r="AS278" s="64"/>
      <c r="AT278" s="64"/>
      <c r="AU278" s="64"/>
      <c r="AV278" s="64"/>
      <c r="AW278" s="64"/>
      <c r="AX278" s="64"/>
      <c r="AY278" s="64"/>
      <c r="AZ278" s="64"/>
      <c r="BA278" s="64"/>
      <c r="BB278" s="64"/>
      <c r="BC278" s="64"/>
      <c r="BD278" s="64"/>
      <c r="BE278" s="657"/>
      <c r="BF278" s="67"/>
      <c r="BG278" s="64"/>
      <c r="BH278" s="64"/>
      <c r="BI278" s="64"/>
      <c r="BJ278" s="64"/>
      <c r="BK278" s="788"/>
      <c r="BL278" s="64"/>
      <c r="BM278" s="64"/>
      <c r="BN278" s="64"/>
      <c r="BO278" s="64"/>
      <c r="BP278" s="64"/>
      <c r="BQ278" s="788"/>
      <c r="BR278" s="69"/>
      <c r="BS278" s="69"/>
      <c r="BT278" s="64"/>
    </row>
    <row r="279" spans="1:72" ht="12.75" customHeight="1">
      <c r="A279" s="64"/>
      <c r="B279" s="64" t="s">
        <v>2772</v>
      </c>
      <c r="C279" s="64"/>
      <c r="D279" s="64"/>
      <c r="E279" s="64"/>
      <c r="F279" s="67"/>
      <c r="G279" s="640"/>
      <c r="H279" s="64"/>
      <c r="I279" s="64"/>
      <c r="J279" s="64"/>
      <c r="K279" s="67"/>
      <c r="L279" s="640"/>
      <c r="M279" s="64"/>
      <c r="N279" s="64"/>
      <c r="O279" s="64"/>
      <c r="P279" s="67"/>
      <c r="Q279" s="64"/>
      <c r="R279" s="64"/>
      <c r="S279" s="64"/>
      <c r="T279" s="64"/>
      <c r="U279" s="64"/>
      <c r="V279" s="67"/>
      <c r="W279" s="64"/>
      <c r="X279" s="64"/>
      <c r="Y279" s="64"/>
      <c r="Z279" s="64"/>
      <c r="AA279" s="64"/>
      <c r="AB279" s="67"/>
      <c r="AC279" s="64"/>
      <c r="AD279" s="64"/>
      <c r="AE279" s="64"/>
      <c r="AF279" s="64"/>
      <c r="AG279" s="64"/>
      <c r="AH279" s="67"/>
      <c r="AI279" s="64"/>
      <c r="AJ279" s="64"/>
      <c r="AK279" s="64"/>
      <c r="AL279" s="64"/>
      <c r="AM279" s="64"/>
      <c r="AN279" s="67"/>
      <c r="AO279" s="64"/>
      <c r="AP279" s="64"/>
      <c r="AQ279" s="64"/>
      <c r="AR279" s="64"/>
      <c r="AS279" s="64"/>
      <c r="AT279" s="64"/>
      <c r="AU279" s="64"/>
      <c r="AV279" s="64"/>
      <c r="AW279" s="64"/>
      <c r="AX279" s="64"/>
      <c r="AY279" s="64"/>
      <c r="AZ279" s="64"/>
      <c r="BA279" s="64"/>
      <c r="BB279" s="64"/>
      <c r="BC279" s="64"/>
      <c r="BD279" s="64"/>
      <c r="BE279" s="657"/>
      <c r="BF279" s="67"/>
      <c r="BG279" s="64"/>
      <c r="BH279" s="64"/>
      <c r="BI279" s="64"/>
      <c r="BJ279" s="64"/>
      <c r="BK279" s="788"/>
      <c r="BL279" s="64"/>
      <c r="BM279" s="64"/>
      <c r="BN279" s="64"/>
      <c r="BO279" s="64"/>
      <c r="BP279" s="64"/>
      <c r="BQ279" s="788"/>
      <c r="BR279" s="69"/>
      <c r="BS279" s="69"/>
      <c r="BT279" s="64"/>
    </row>
    <row r="280" spans="1:72" ht="12.75" customHeight="1">
      <c r="A280" s="64"/>
      <c r="B280" s="64" t="s">
        <v>2772</v>
      </c>
      <c r="C280" s="64"/>
      <c r="D280" s="64" t="s">
        <v>2790</v>
      </c>
      <c r="E280" s="64"/>
      <c r="F280" s="67"/>
      <c r="G280" s="640"/>
      <c r="H280" s="64"/>
      <c r="I280" s="64"/>
      <c r="J280" s="64"/>
      <c r="K280" s="129" t="str">
        <f ca="1">StatusNewline</f>
        <v>OFFER_REFERRAL</v>
      </c>
      <c r="L280" s="640"/>
      <c r="M280" s="64"/>
      <c r="N280" s="64"/>
      <c r="O280" s="64"/>
      <c r="P280" s="67"/>
      <c r="Q280" s="64"/>
      <c r="R280" s="64"/>
      <c r="S280" s="64"/>
      <c r="T280" s="64"/>
      <c r="U280" s="64"/>
      <c r="V280" s="67"/>
      <c r="W280" s="64"/>
      <c r="X280" s="64"/>
      <c r="Y280" s="64"/>
      <c r="Z280" s="64"/>
      <c r="AA280" s="64"/>
      <c r="AB280" s="67"/>
      <c r="AC280" s="64"/>
      <c r="AD280" s="64"/>
      <c r="AE280" s="64"/>
      <c r="AF280" s="64"/>
      <c r="AG280" s="64"/>
      <c r="AH280" s="67"/>
      <c r="AI280" s="64"/>
      <c r="AJ280" s="64"/>
      <c r="AK280" s="64"/>
      <c r="AL280" s="64"/>
      <c r="AM280" s="64"/>
      <c r="AN280" s="67"/>
      <c r="AO280" s="64"/>
      <c r="AP280" s="64"/>
      <c r="AQ280" s="64"/>
      <c r="AR280" s="64"/>
      <c r="AS280" s="64"/>
      <c r="AT280" s="64"/>
      <c r="AU280" s="64"/>
      <c r="AV280" s="64"/>
      <c r="AW280" s="64"/>
      <c r="AX280" s="64"/>
      <c r="AY280" s="64"/>
      <c r="AZ280" s="64"/>
      <c r="BA280" s="64"/>
      <c r="BB280" s="64"/>
      <c r="BC280" s="64"/>
      <c r="BD280" s="64"/>
      <c r="BE280" s="657"/>
      <c r="BF280" s="67"/>
      <c r="BG280" s="64"/>
      <c r="BH280" s="64"/>
      <c r="BI280" s="64"/>
      <c r="BJ280" s="64"/>
      <c r="BK280" s="788"/>
      <c r="BL280" s="64"/>
      <c r="BM280" s="64"/>
      <c r="BN280" s="64"/>
      <c r="BO280" s="64"/>
      <c r="BP280" s="64"/>
      <c r="BQ280" s="788"/>
      <c r="BR280" s="69"/>
      <c r="BS280" s="69"/>
      <c r="BT280" s="64"/>
    </row>
    <row r="281" spans="1:72" ht="12.75" customHeight="1">
      <c r="A281" s="64"/>
      <c r="B281" s="64" t="s">
        <v>2772</v>
      </c>
      <c r="C281" s="64"/>
      <c r="D281" s="64" t="s">
        <v>2791</v>
      </c>
      <c r="E281" s="64"/>
      <c r="F281" s="67"/>
      <c r="G281" s="640"/>
      <c r="H281" s="64"/>
      <c r="I281" s="64"/>
      <c r="J281" s="64"/>
      <c r="K281" s="67"/>
      <c r="L281" s="640"/>
      <c r="M281" s="64"/>
      <c r="N281" s="64"/>
      <c r="O281" s="64"/>
      <c r="P281" s="67"/>
      <c r="Q281" s="64"/>
      <c r="R281" s="64"/>
      <c r="S281" s="64"/>
      <c r="T281" s="64"/>
      <c r="U281" s="64"/>
      <c r="V281" s="67"/>
      <c r="W281" s="64"/>
      <c r="X281" s="64"/>
      <c r="Y281" s="64"/>
      <c r="Z281" s="64"/>
      <c r="AA281" s="64"/>
      <c r="AB281" s="67"/>
      <c r="AC281" s="64"/>
      <c r="AD281" s="64"/>
      <c r="AE281" s="64"/>
      <c r="AF281" s="64"/>
      <c r="AG281" s="64"/>
      <c r="AH281" s="67"/>
      <c r="AI281" s="64"/>
      <c r="AJ281" s="64"/>
      <c r="AK281" s="64"/>
      <c r="AL281" s="64"/>
      <c r="AM281" s="64"/>
      <c r="AN281" s="67"/>
      <c r="AO281" s="64"/>
      <c r="AP281" s="64"/>
      <c r="AQ281" s="64"/>
      <c r="AR281" s="64"/>
      <c r="AS281" s="64"/>
      <c r="AT281" s="64"/>
      <c r="AU281" s="64"/>
      <c r="AV281" s="64"/>
      <c r="AW281" s="64"/>
      <c r="AX281" s="64"/>
      <c r="AY281" s="64"/>
      <c r="AZ281" s="64"/>
      <c r="BA281" s="64"/>
      <c r="BB281" s="64"/>
      <c r="BC281" s="64"/>
      <c r="BD281" s="64"/>
      <c r="BE281" s="657"/>
      <c r="BF281" s="67"/>
      <c r="BG281" s="64"/>
      <c r="BH281" s="64"/>
      <c r="BI281" s="64"/>
      <c r="BJ281" s="64"/>
      <c r="BK281" s="788"/>
      <c r="BL281" s="64"/>
      <c r="BM281" s="64"/>
      <c r="BN281" s="64"/>
      <c r="BO281" s="64"/>
      <c r="BP281" s="64"/>
      <c r="BQ281" s="788"/>
      <c r="BR281" s="69"/>
      <c r="BS281" s="69"/>
      <c r="BT281" s="64"/>
    </row>
    <row r="282" spans="1:72" ht="12.75" customHeight="1">
      <c r="A282" s="64"/>
      <c r="B282" s="64" t="s">
        <v>2772</v>
      </c>
      <c r="C282" s="64"/>
      <c r="D282" s="64" t="s">
        <v>2792</v>
      </c>
      <c r="E282" s="64"/>
      <c r="F282" s="67"/>
      <c r="G282" s="640"/>
      <c r="H282" s="64"/>
      <c r="I282" s="64"/>
      <c r="J282" s="64"/>
      <c r="K282" s="67"/>
      <c r="L282" s="640"/>
      <c r="M282" s="64"/>
      <c r="N282" s="64"/>
      <c r="O282" s="64"/>
      <c r="P282" s="67"/>
      <c r="Q282" s="64"/>
      <c r="R282" s="64"/>
      <c r="S282" s="64"/>
      <c r="T282" s="64"/>
      <c r="U282" s="64"/>
      <c r="V282" s="67"/>
      <c r="W282" s="64"/>
      <c r="X282" s="64"/>
      <c r="Y282" s="64"/>
      <c r="Z282" s="64"/>
      <c r="AA282" s="64"/>
      <c r="AB282" s="67"/>
      <c r="AC282" s="64"/>
      <c r="AD282" s="64"/>
      <c r="AE282" s="64"/>
      <c r="AF282" s="64"/>
      <c r="AG282" s="64"/>
      <c r="AH282" s="67"/>
      <c r="AI282" s="64"/>
      <c r="AJ282" s="64"/>
      <c r="AK282" s="64"/>
      <c r="AL282" s="64"/>
      <c r="AM282" s="64"/>
      <c r="AN282" s="67"/>
      <c r="AO282" s="64"/>
      <c r="AP282" s="64"/>
      <c r="AQ282" s="64"/>
      <c r="AR282" s="64"/>
      <c r="AS282" s="64"/>
      <c r="AT282" s="64"/>
      <c r="AU282" s="64"/>
      <c r="AV282" s="64"/>
      <c r="AW282" s="64"/>
      <c r="AX282" s="64"/>
      <c r="AY282" s="64"/>
      <c r="AZ282" s="64"/>
      <c r="BA282" s="64"/>
      <c r="BB282" s="64"/>
      <c r="BC282" s="64"/>
      <c r="BD282" s="64"/>
      <c r="BE282" s="657"/>
      <c r="BF282" s="67"/>
      <c r="BG282" s="64"/>
      <c r="BH282" s="64"/>
      <c r="BI282" s="64"/>
      <c r="BJ282" s="64"/>
      <c r="BK282" s="788"/>
      <c r="BL282" s="64"/>
      <c r="BM282" s="64"/>
      <c r="BN282" s="64"/>
      <c r="BO282" s="64"/>
      <c r="BP282" s="64"/>
      <c r="BQ282" s="788"/>
      <c r="BR282" s="69"/>
      <c r="BS282" s="69"/>
      <c r="BT282" s="64"/>
    </row>
    <row r="283" spans="1:72" ht="12.75" customHeight="1">
      <c r="A283" s="64"/>
      <c r="B283" s="64" t="s">
        <v>2772</v>
      </c>
      <c r="C283" s="64"/>
      <c r="D283" s="64" t="s">
        <v>2793</v>
      </c>
      <c r="E283" s="64"/>
      <c r="F283" s="67"/>
      <c r="G283" s="639"/>
      <c r="H283" s="64"/>
      <c r="I283" s="64"/>
      <c r="J283" s="64"/>
      <c r="K283" s="67"/>
      <c r="L283" s="639"/>
      <c r="M283" s="64"/>
      <c r="N283" s="64"/>
      <c r="O283" s="64"/>
      <c r="P283" s="67"/>
      <c r="Q283" s="64"/>
      <c r="R283" s="64"/>
      <c r="S283" s="64"/>
      <c r="T283" s="64"/>
      <c r="U283" s="64"/>
      <c r="V283" s="67"/>
      <c r="W283" s="64"/>
      <c r="X283" s="64"/>
      <c r="Y283" s="64"/>
      <c r="Z283" s="64"/>
      <c r="AA283" s="64"/>
      <c r="AB283" s="67"/>
      <c r="AC283" s="64"/>
      <c r="AD283" s="64"/>
      <c r="AE283" s="64"/>
      <c r="AF283" s="64"/>
      <c r="AG283" s="64"/>
      <c r="AH283" s="67"/>
      <c r="AI283" s="64"/>
      <c r="AJ283" s="64"/>
      <c r="AK283" s="64"/>
      <c r="AL283" s="64"/>
      <c r="AM283" s="64"/>
      <c r="AN283" s="67"/>
      <c r="AO283" s="64"/>
      <c r="AP283" s="64"/>
      <c r="AQ283" s="64"/>
      <c r="AR283" s="64"/>
      <c r="AS283" s="64"/>
      <c r="AT283" s="64"/>
      <c r="AU283" s="64"/>
      <c r="AV283" s="64"/>
      <c r="AW283" s="64"/>
      <c r="AX283" s="64"/>
      <c r="AY283" s="64"/>
      <c r="AZ283" s="64"/>
      <c r="BA283" s="64"/>
      <c r="BB283" s="64"/>
      <c r="BC283" s="64"/>
      <c r="BD283" s="64"/>
      <c r="BE283" s="657"/>
      <c r="BF283" s="67"/>
      <c r="BG283" s="64"/>
      <c r="BH283" s="64"/>
      <c r="BI283" s="64"/>
      <c r="BJ283" s="64"/>
      <c r="BK283" s="788"/>
      <c r="BL283" s="64"/>
      <c r="BM283" s="64"/>
      <c r="BN283" s="64"/>
      <c r="BO283" s="64"/>
      <c r="BP283" s="64"/>
      <c r="BQ283" s="788"/>
      <c r="BR283" s="69"/>
      <c r="BS283" s="69"/>
      <c r="BT283" s="64"/>
    </row>
    <row r="284" spans="1:72" ht="12.75" customHeight="1">
      <c r="A284" s="64"/>
      <c r="B284" s="64" t="s">
        <v>2772</v>
      </c>
      <c r="C284" s="64"/>
      <c r="D284" s="128" t="s">
        <v>2392</v>
      </c>
      <c r="E284" s="128"/>
      <c r="F284" s="67"/>
      <c r="G284" s="639"/>
      <c r="H284" s="64"/>
      <c r="I284" s="64"/>
      <c r="J284" s="64"/>
      <c r="K284" s="67"/>
      <c r="L284" s="639"/>
      <c r="M284" s="64"/>
      <c r="N284" s="64"/>
      <c r="O284" s="64"/>
      <c r="P284" s="67"/>
      <c r="Q284" s="64"/>
      <c r="R284" s="64"/>
      <c r="S284" s="64"/>
      <c r="T284" s="64"/>
      <c r="U284" s="64"/>
      <c r="V284" s="67"/>
      <c r="W284" s="64"/>
      <c r="X284" s="64"/>
      <c r="Y284" s="64"/>
      <c r="Z284" s="64"/>
      <c r="AA284" s="64"/>
      <c r="AB284" s="67"/>
      <c r="AC284" s="64"/>
      <c r="AD284" s="64"/>
      <c r="AE284" s="64"/>
      <c r="AF284" s="64"/>
      <c r="AG284" s="64"/>
      <c r="AH284" s="67"/>
      <c r="AI284" s="64"/>
      <c r="AJ284" s="64"/>
      <c r="AK284" s="64"/>
      <c r="AL284" s="64"/>
      <c r="AM284" s="64"/>
      <c r="AN284" s="67"/>
      <c r="AO284" s="64"/>
      <c r="AP284" s="64"/>
      <c r="AQ284" s="64"/>
      <c r="AR284" s="64"/>
      <c r="AS284" s="64"/>
      <c r="AT284" s="64"/>
      <c r="AU284" s="64"/>
      <c r="AV284" s="64"/>
      <c r="AW284" s="64"/>
      <c r="AX284" s="64"/>
      <c r="AY284" s="64"/>
      <c r="AZ284" s="64"/>
      <c r="BA284" s="64"/>
      <c r="BB284" s="64"/>
      <c r="BC284" s="64"/>
      <c r="BD284" s="64"/>
      <c r="BE284" s="657"/>
      <c r="BF284" s="67"/>
      <c r="BG284" s="64"/>
      <c r="BH284" s="64"/>
      <c r="BI284" s="64"/>
      <c r="BJ284" s="64"/>
      <c r="BK284" s="788"/>
      <c r="BL284" s="64"/>
      <c r="BM284" s="64"/>
      <c r="BN284" s="64"/>
      <c r="BO284" s="64"/>
      <c r="BP284" s="64"/>
      <c r="BQ284" s="788"/>
      <c r="BR284" s="69"/>
      <c r="BS284" s="69"/>
      <c r="BT284" s="64"/>
    </row>
    <row r="285" spans="1:72" ht="12.75" customHeight="1">
      <c r="A285" s="64"/>
      <c r="B285" s="64" t="s">
        <v>2772</v>
      </c>
      <c r="C285" s="64"/>
      <c r="D285" s="64" t="s">
        <v>2774</v>
      </c>
      <c r="E285" s="64"/>
      <c r="F285" s="67"/>
      <c r="G285" s="639"/>
      <c r="H285" s="64"/>
      <c r="I285" s="64"/>
      <c r="J285" s="64"/>
      <c r="K285" s="67"/>
      <c r="L285" s="639"/>
      <c r="M285" s="64"/>
      <c r="N285" s="64"/>
      <c r="O285" s="64"/>
      <c r="P285" s="67"/>
      <c r="Q285" s="64"/>
      <c r="R285" s="64"/>
      <c r="S285" s="64"/>
      <c r="T285" s="64"/>
      <c r="U285" s="64"/>
      <c r="V285" s="67"/>
      <c r="W285" s="64"/>
      <c r="X285" s="64"/>
      <c r="Y285" s="64"/>
      <c r="Z285" s="64"/>
      <c r="AA285" s="64"/>
      <c r="AB285" s="67"/>
      <c r="AC285" s="64"/>
      <c r="AD285" s="64"/>
      <c r="AE285" s="64"/>
      <c r="AF285" s="64"/>
      <c r="AG285" s="64"/>
      <c r="AH285" s="67"/>
      <c r="AI285" s="64"/>
      <c r="AJ285" s="64"/>
      <c r="AK285" s="64"/>
      <c r="AL285" s="64"/>
      <c r="AM285" s="64"/>
      <c r="AN285" s="67"/>
      <c r="AO285" s="64"/>
      <c r="AP285" s="64"/>
      <c r="AQ285" s="64"/>
      <c r="AR285" s="64"/>
      <c r="AS285" s="64"/>
      <c r="AT285" s="64"/>
      <c r="AU285" s="64"/>
      <c r="AV285" s="64"/>
      <c r="AW285" s="64"/>
      <c r="AX285" s="64"/>
      <c r="AY285" s="64"/>
      <c r="AZ285" s="64"/>
      <c r="BA285" s="64"/>
      <c r="BB285" s="64"/>
      <c r="BC285" s="64"/>
      <c r="BD285" s="64"/>
      <c r="BE285" s="657"/>
      <c r="BF285" s="67"/>
      <c r="BG285" s="64"/>
      <c r="BH285" s="64"/>
      <c r="BI285" s="64"/>
      <c r="BJ285" s="64"/>
      <c r="BK285" s="788"/>
      <c r="BL285" s="64"/>
      <c r="BM285" s="64"/>
      <c r="BN285" s="64"/>
      <c r="BO285" s="64"/>
      <c r="BP285" s="64"/>
      <c r="BQ285" s="788"/>
      <c r="BR285" s="69"/>
      <c r="BS285" s="69"/>
      <c r="BT285" s="64"/>
    </row>
    <row r="286" spans="1:72" ht="12.75" customHeight="1">
      <c r="A286" s="64"/>
      <c r="B286" s="64" t="s">
        <v>2772</v>
      </c>
      <c r="C286" s="64"/>
      <c r="D286" s="64" t="s">
        <v>2775</v>
      </c>
      <c r="E286" s="64"/>
      <c r="F286" s="67"/>
      <c r="G286" s="639"/>
      <c r="H286" s="64"/>
      <c r="I286" s="64"/>
      <c r="J286" s="64"/>
      <c r="K286" s="67"/>
      <c r="L286" s="639"/>
      <c r="M286" s="64"/>
      <c r="N286" s="64"/>
      <c r="O286" s="64"/>
      <c r="P286" s="67"/>
      <c r="Q286" s="64"/>
      <c r="R286" s="64"/>
      <c r="S286" s="64"/>
      <c r="T286" s="64"/>
      <c r="U286" s="64"/>
      <c r="V286" s="67"/>
      <c r="W286" s="64"/>
      <c r="X286" s="64"/>
      <c r="Y286" s="64"/>
      <c r="Z286" s="64"/>
      <c r="AA286" s="64"/>
      <c r="AB286" s="67"/>
      <c r="AC286" s="64"/>
      <c r="AD286" s="64"/>
      <c r="AE286" s="64"/>
      <c r="AF286" s="64"/>
      <c r="AG286" s="64"/>
      <c r="AH286" s="67"/>
      <c r="AI286" s="64"/>
      <c r="AJ286" s="64"/>
      <c r="AK286" s="64"/>
      <c r="AL286" s="64"/>
      <c r="AM286" s="64"/>
      <c r="AN286" s="67"/>
      <c r="AO286" s="64"/>
      <c r="AP286" s="64"/>
      <c r="AQ286" s="64"/>
      <c r="AR286" s="64"/>
      <c r="AS286" s="64"/>
      <c r="AT286" s="64"/>
      <c r="AU286" s="64"/>
      <c r="AV286" s="64"/>
      <c r="AW286" s="64"/>
      <c r="AX286" s="64"/>
      <c r="AY286" s="64"/>
      <c r="AZ286" s="64"/>
      <c r="BA286" s="64"/>
      <c r="BB286" s="64"/>
      <c r="BC286" s="64"/>
      <c r="BD286" s="64"/>
      <c r="BE286" s="657"/>
      <c r="BF286" s="67"/>
      <c r="BG286" s="64"/>
      <c r="BH286" s="64"/>
      <c r="BI286" s="64"/>
      <c r="BJ286" s="64"/>
      <c r="BK286" s="788"/>
      <c r="BL286" s="64"/>
      <c r="BM286" s="64"/>
      <c r="BN286" s="64"/>
      <c r="BO286" s="64"/>
      <c r="BP286" s="64"/>
      <c r="BQ286" s="788"/>
      <c r="BR286" s="69"/>
      <c r="BS286" s="69"/>
      <c r="BT286" s="64"/>
    </row>
    <row r="287" spans="1:72" ht="12.75" customHeight="1">
      <c r="A287" s="64"/>
      <c r="B287" s="64" t="s">
        <v>2772</v>
      </c>
      <c r="C287" s="64"/>
      <c r="D287" s="64" t="s">
        <v>2776</v>
      </c>
      <c r="E287" s="64"/>
      <c r="F287" s="67"/>
      <c r="G287" s="639"/>
      <c r="H287" s="64"/>
      <c r="I287" s="64"/>
      <c r="J287" s="64"/>
      <c r="K287" s="67"/>
      <c r="L287" s="639"/>
      <c r="M287" s="64"/>
      <c r="N287" s="64"/>
      <c r="O287" s="64"/>
      <c r="P287" s="67"/>
      <c r="Q287" s="64"/>
      <c r="R287" s="64"/>
      <c r="S287" s="64"/>
      <c r="T287" s="64"/>
      <c r="U287" s="64"/>
      <c r="V287" s="67"/>
      <c r="W287" s="64"/>
      <c r="X287" s="64"/>
      <c r="Y287" s="64"/>
      <c r="Z287" s="64"/>
      <c r="AA287" s="64"/>
      <c r="AB287" s="67"/>
      <c r="AC287" s="64"/>
      <c r="AD287" s="64"/>
      <c r="AE287" s="64"/>
      <c r="AF287" s="64"/>
      <c r="AG287" s="64"/>
      <c r="AH287" s="67"/>
      <c r="AI287" s="64"/>
      <c r="AJ287" s="64"/>
      <c r="AK287" s="64"/>
      <c r="AL287" s="64"/>
      <c r="AM287" s="64"/>
      <c r="AN287" s="67"/>
      <c r="AO287" s="64"/>
      <c r="AP287" s="64"/>
      <c r="AQ287" s="64"/>
      <c r="AR287" s="64"/>
      <c r="AS287" s="64"/>
      <c r="AT287" s="64"/>
      <c r="AU287" s="64"/>
      <c r="AV287" s="64"/>
      <c r="AW287" s="64"/>
      <c r="AX287" s="64"/>
      <c r="AY287" s="64"/>
      <c r="AZ287" s="64"/>
      <c r="BA287" s="64"/>
      <c r="BB287" s="64"/>
      <c r="BC287" s="64"/>
      <c r="BD287" s="64"/>
      <c r="BE287" s="657"/>
      <c r="BF287" s="67"/>
      <c r="BG287" s="64"/>
      <c r="BH287" s="64"/>
      <c r="BI287" s="64"/>
      <c r="BJ287" s="64"/>
      <c r="BK287" s="788"/>
      <c r="BL287" s="64"/>
      <c r="BM287" s="64"/>
      <c r="BN287" s="64"/>
      <c r="BO287" s="64"/>
      <c r="BP287" s="64"/>
      <c r="BQ287" s="788"/>
      <c r="BR287" s="69"/>
      <c r="BS287" s="69"/>
      <c r="BT287" s="64"/>
    </row>
    <row r="288" spans="1:72" ht="12.75" customHeight="1">
      <c r="A288" s="64"/>
      <c r="B288" s="64" t="s">
        <v>2772</v>
      </c>
      <c r="C288" s="64"/>
      <c r="D288" s="64" t="s">
        <v>2777</v>
      </c>
      <c r="E288" s="64"/>
      <c r="F288" s="67"/>
      <c r="G288" s="639"/>
      <c r="H288" s="64"/>
      <c r="I288" s="64"/>
      <c r="J288" s="64"/>
      <c r="K288" s="67"/>
      <c r="L288" s="639"/>
      <c r="M288" s="64"/>
      <c r="N288" s="64"/>
      <c r="O288" s="64"/>
      <c r="P288" s="67"/>
      <c r="Q288" s="64"/>
      <c r="R288" s="64"/>
      <c r="S288" s="64"/>
      <c r="T288" s="64"/>
      <c r="U288" s="64"/>
      <c r="V288" s="67"/>
      <c r="W288" s="64"/>
      <c r="X288" s="64"/>
      <c r="Y288" s="64"/>
      <c r="Z288" s="64"/>
      <c r="AA288" s="64"/>
      <c r="AB288" s="67"/>
      <c r="AC288" s="64"/>
      <c r="AD288" s="64"/>
      <c r="AE288" s="64"/>
      <c r="AF288" s="64"/>
      <c r="AG288" s="64"/>
      <c r="AH288" s="67"/>
      <c r="AI288" s="64"/>
      <c r="AJ288" s="64"/>
      <c r="AK288" s="64"/>
      <c r="AL288" s="64"/>
      <c r="AM288" s="64"/>
      <c r="AN288" s="67"/>
      <c r="AO288" s="64"/>
      <c r="AP288" s="64"/>
      <c r="AQ288" s="64"/>
      <c r="AR288" s="64"/>
      <c r="AS288" s="64"/>
      <c r="AT288" s="64"/>
      <c r="AU288" s="64"/>
      <c r="AV288" s="64"/>
      <c r="AW288" s="64"/>
      <c r="AX288" s="64"/>
      <c r="AY288" s="64"/>
      <c r="AZ288" s="64"/>
      <c r="BA288" s="64"/>
      <c r="BB288" s="64"/>
      <c r="BC288" s="64"/>
      <c r="BD288" s="64"/>
      <c r="BE288" s="657"/>
      <c r="BF288" s="67"/>
      <c r="BG288" s="64"/>
      <c r="BH288" s="64"/>
      <c r="BI288" s="64"/>
      <c r="BJ288" s="64"/>
      <c r="BK288" s="788"/>
      <c r="BL288" s="64"/>
      <c r="BM288" s="64"/>
      <c r="BN288" s="64"/>
      <c r="BO288" s="64"/>
      <c r="BP288" s="64"/>
      <c r="BQ288" s="788"/>
      <c r="BR288" s="69"/>
      <c r="BS288" s="69"/>
      <c r="BT288" s="64"/>
    </row>
    <row r="289" spans="1:72" ht="12.75" customHeight="1">
      <c r="A289" s="64"/>
      <c r="B289" s="64" t="s">
        <v>2772</v>
      </c>
      <c r="C289" s="64"/>
      <c r="D289" s="64" t="s">
        <v>2778</v>
      </c>
      <c r="E289" s="64"/>
      <c r="F289" s="129" t="str">
        <f>'Sterne-Rechner - GI'!AO22</f>
        <v/>
      </c>
      <c r="G289" s="639"/>
      <c r="H289" s="64"/>
      <c r="I289" s="64"/>
      <c r="J289" s="64"/>
      <c r="K289" s="67"/>
      <c r="L289" s="639"/>
      <c r="M289" s="64"/>
      <c r="N289" s="64"/>
      <c r="O289" s="64"/>
      <c r="P289" s="67"/>
      <c r="Q289" s="64"/>
      <c r="R289" s="64"/>
      <c r="S289" s="64"/>
      <c r="T289" s="64"/>
      <c r="U289" s="64"/>
      <c r="V289" s="67"/>
      <c r="W289" s="64"/>
      <c r="X289" s="64"/>
      <c r="Y289" s="64"/>
      <c r="Z289" s="64"/>
      <c r="AA289" s="64"/>
      <c r="AB289" s="67"/>
      <c r="AC289" s="64"/>
      <c r="AD289" s="64"/>
      <c r="AE289" s="64"/>
      <c r="AF289" s="64"/>
      <c r="AG289" s="64"/>
      <c r="AH289" s="67"/>
      <c r="AI289" s="64"/>
      <c r="AJ289" s="64"/>
      <c r="AK289" s="64"/>
      <c r="AL289" s="64"/>
      <c r="AM289" s="64"/>
      <c r="AN289" s="67"/>
      <c r="AO289" s="64"/>
      <c r="AP289" s="64"/>
      <c r="AQ289" s="64"/>
      <c r="AR289" s="64"/>
      <c r="AS289" s="64"/>
      <c r="AT289" s="64"/>
      <c r="AU289" s="64"/>
      <c r="AV289" s="64"/>
      <c r="AW289" s="64"/>
      <c r="AX289" s="64"/>
      <c r="AY289" s="64"/>
      <c r="AZ289" s="64"/>
      <c r="BA289" s="64"/>
      <c r="BB289" s="64"/>
      <c r="BC289" s="64"/>
      <c r="BD289" s="64"/>
      <c r="BE289" s="657"/>
      <c r="BF289" s="67"/>
      <c r="BG289" s="64"/>
      <c r="BH289" s="64"/>
      <c r="BI289" s="64"/>
      <c r="BJ289" s="64"/>
      <c r="BK289" s="788"/>
      <c r="BL289" s="64"/>
      <c r="BM289" s="64"/>
      <c r="BN289" s="64"/>
      <c r="BO289" s="64"/>
      <c r="BP289" s="64"/>
      <c r="BQ289" s="788"/>
      <c r="BR289" s="69"/>
      <c r="BS289" s="69"/>
      <c r="BT289" s="64"/>
    </row>
    <row r="290" spans="1:72" ht="12.75" customHeight="1">
      <c r="A290" s="64"/>
      <c r="B290" s="64" t="s">
        <v>2772</v>
      </c>
      <c r="C290" s="64"/>
      <c r="D290" s="64" t="s">
        <v>2779</v>
      </c>
      <c r="E290" s="64"/>
      <c r="F290" s="129" t="str">
        <f>'Sterne-Rechner - GI'!AP23</f>
        <v/>
      </c>
      <c r="G290" s="639"/>
      <c r="H290" s="64"/>
      <c r="I290" s="64"/>
      <c r="J290" s="64"/>
      <c r="K290" s="67"/>
      <c r="L290" s="639"/>
      <c r="M290" s="64"/>
      <c r="N290" s="64"/>
      <c r="O290" s="64"/>
      <c r="P290" s="67"/>
      <c r="Q290" s="64"/>
      <c r="R290" s="64"/>
      <c r="S290" s="64"/>
      <c r="T290" s="64"/>
      <c r="U290" s="64"/>
      <c r="V290" s="67"/>
      <c r="W290" s="64"/>
      <c r="X290" s="64"/>
      <c r="Y290" s="64"/>
      <c r="Z290" s="64"/>
      <c r="AA290" s="64"/>
      <c r="AB290" s="67"/>
      <c r="AC290" s="64"/>
      <c r="AD290" s="64"/>
      <c r="AE290" s="64"/>
      <c r="AF290" s="64"/>
      <c r="AG290" s="64"/>
      <c r="AH290" s="67"/>
      <c r="AI290" s="64"/>
      <c r="AJ290" s="64"/>
      <c r="AK290" s="64"/>
      <c r="AL290" s="64"/>
      <c r="AM290" s="64"/>
      <c r="AN290" s="67"/>
      <c r="AO290" s="64"/>
      <c r="AP290" s="64"/>
      <c r="AQ290" s="64"/>
      <c r="AR290" s="64"/>
      <c r="AS290" s="64"/>
      <c r="AT290" s="64"/>
      <c r="AU290" s="64"/>
      <c r="AV290" s="64"/>
      <c r="AW290" s="64"/>
      <c r="AX290" s="64"/>
      <c r="AY290" s="64"/>
      <c r="AZ290" s="64"/>
      <c r="BA290" s="64"/>
      <c r="BB290" s="64"/>
      <c r="BC290" s="64"/>
      <c r="BD290" s="64"/>
      <c r="BE290" s="657"/>
      <c r="BF290" s="67"/>
      <c r="BG290" s="64"/>
      <c r="BH290" s="64"/>
      <c r="BI290" s="64"/>
      <c r="BJ290" s="64"/>
      <c r="BK290" s="788"/>
      <c r="BL290" s="64"/>
      <c r="BM290" s="64"/>
      <c r="BN290" s="64"/>
      <c r="BO290" s="64"/>
      <c r="BP290" s="64"/>
      <c r="BQ290" s="788"/>
      <c r="BR290" s="69"/>
      <c r="BS290" s="69"/>
      <c r="BT290" s="64"/>
    </row>
    <row r="291" spans="1:72" ht="12.75" customHeight="1">
      <c r="A291" s="64"/>
      <c r="B291" s="64" t="s">
        <v>2772</v>
      </c>
      <c r="C291" s="64"/>
      <c r="D291" s="64" t="s">
        <v>2780</v>
      </c>
      <c r="E291" s="64"/>
      <c r="F291" s="129" t="str">
        <f>'Sterne-Rechner - GI'!AQ24</f>
        <v/>
      </c>
      <c r="G291" s="639"/>
      <c r="H291" s="64"/>
      <c r="I291" s="64"/>
      <c r="J291" s="64"/>
      <c r="K291" s="67"/>
      <c r="L291" s="639"/>
      <c r="M291" s="64"/>
      <c r="N291" s="64"/>
      <c r="O291" s="64"/>
      <c r="P291" s="67"/>
      <c r="Q291" s="64"/>
      <c r="R291" s="64"/>
      <c r="S291" s="64"/>
      <c r="T291" s="64"/>
      <c r="U291" s="64"/>
      <c r="V291" s="67"/>
      <c r="W291" s="64"/>
      <c r="X291" s="64"/>
      <c r="Y291" s="64"/>
      <c r="Z291" s="64"/>
      <c r="AA291" s="64"/>
      <c r="AB291" s="67"/>
      <c r="AC291" s="64"/>
      <c r="AD291" s="64"/>
      <c r="AE291" s="64"/>
      <c r="AF291" s="64"/>
      <c r="AG291" s="64"/>
      <c r="AH291" s="67"/>
      <c r="AI291" s="64"/>
      <c r="AJ291" s="64"/>
      <c r="AK291" s="64"/>
      <c r="AL291" s="64"/>
      <c r="AM291" s="64"/>
      <c r="AN291" s="67"/>
      <c r="AO291" s="64"/>
      <c r="AP291" s="64"/>
      <c r="AQ291" s="64"/>
      <c r="AR291" s="64"/>
      <c r="AS291" s="64"/>
      <c r="AT291" s="64"/>
      <c r="AU291" s="64"/>
      <c r="AV291" s="64"/>
      <c r="AW291" s="64"/>
      <c r="AX291" s="64"/>
      <c r="AY291" s="64"/>
      <c r="AZ291" s="64"/>
      <c r="BA291" s="64"/>
      <c r="BB291" s="64"/>
      <c r="BC291" s="64"/>
      <c r="BD291" s="64"/>
      <c r="BE291" s="657"/>
      <c r="BF291" s="67"/>
      <c r="BG291" s="64"/>
      <c r="BH291" s="64"/>
      <c r="BI291" s="64"/>
      <c r="BJ291" s="64"/>
      <c r="BK291" s="788"/>
      <c r="BL291" s="64"/>
      <c r="BM291" s="64"/>
      <c r="BN291" s="64"/>
      <c r="BO291" s="64"/>
      <c r="BP291" s="64"/>
      <c r="BQ291" s="788"/>
      <c r="BR291" s="69"/>
      <c r="BS291" s="69"/>
      <c r="BT291" s="64"/>
    </row>
    <row r="292" spans="1:72" ht="12.75" customHeight="1">
      <c r="A292" s="64"/>
      <c r="B292" s="64" t="s">
        <v>2772</v>
      </c>
      <c r="C292" s="64"/>
      <c r="D292" s="64" t="s">
        <v>2781</v>
      </c>
      <c r="E292" s="64"/>
      <c r="F292" s="67"/>
      <c r="G292" s="640"/>
      <c r="H292" s="64"/>
      <c r="I292" s="64"/>
      <c r="J292" s="64"/>
      <c r="K292" s="129" t="str">
        <f ca="1">'Sterne-Rechner - Angebot'!Y22</f>
        <v/>
      </c>
      <c r="L292" s="640"/>
      <c r="M292" s="64"/>
      <c r="N292" s="64"/>
      <c r="O292" s="64"/>
      <c r="P292" s="67"/>
      <c r="Q292" s="64"/>
      <c r="R292" s="64"/>
      <c r="S292" s="64"/>
      <c r="T292" s="64"/>
      <c r="U292" s="64"/>
      <c r="V292" s="67"/>
      <c r="W292" s="64"/>
      <c r="X292" s="64"/>
      <c r="Y292" s="64"/>
      <c r="Z292" s="64"/>
      <c r="AA292" s="64"/>
      <c r="AB292" s="67"/>
      <c r="AC292" s="64"/>
      <c r="AD292" s="64"/>
      <c r="AE292" s="64"/>
      <c r="AF292" s="64"/>
      <c r="AG292" s="64"/>
      <c r="AH292" s="67"/>
      <c r="AI292" s="64"/>
      <c r="AJ292" s="64"/>
      <c r="AK292" s="64"/>
      <c r="AL292" s="64"/>
      <c r="AM292" s="64"/>
      <c r="AN292" s="67"/>
      <c r="AO292" s="64"/>
      <c r="AP292" s="64"/>
      <c r="AQ292" s="64"/>
      <c r="AR292" s="64"/>
      <c r="AS292" s="64"/>
      <c r="AT292" s="64"/>
      <c r="AU292" s="64"/>
      <c r="AV292" s="64"/>
      <c r="AW292" s="64"/>
      <c r="AX292" s="64"/>
      <c r="AY292" s="64"/>
      <c r="AZ292" s="64"/>
      <c r="BA292" s="64"/>
      <c r="BB292" s="64"/>
      <c r="BC292" s="64"/>
      <c r="BD292" s="64"/>
      <c r="BE292" s="657"/>
      <c r="BF292" s="67"/>
      <c r="BG292" s="64"/>
      <c r="BH292" s="64"/>
      <c r="BI292" s="64"/>
      <c r="BJ292" s="64"/>
      <c r="BK292" s="788"/>
      <c r="BL292" s="64"/>
      <c r="BM292" s="64"/>
      <c r="BN292" s="64"/>
      <c r="BO292" s="64"/>
      <c r="BP292" s="64"/>
      <c r="BQ292" s="788"/>
      <c r="BR292" s="69"/>
      <c r="BS292" s="69"/>
      <c r="BT292" s="64"/>
    </row>
    <row r="293" spans="1:72" ht="12.75" customHeight="1">
      <c r="A293" s="64"/>
      <c r="B293" s="64" t="s">
        <v>2772</v>
      </c>
      <c r="C293" s="64"/>
      <c r="D293" s="64" t="s">
        <v>2782</v>
      </c>
      <c r="E293" s="64"/>
      <c r="F293" s="67"/>
      <c r="G293" s="640"/>
      <c r="H293" s="64"/>
      <c r="I293" s="64"/>
      <c r="J293" s="64"/>
      <c r="K293" s="129" t="str">
        <f ca="1">'Sterne-Rechner - Angebot'!Y23</f>
        <v/>
      </c>
      <c r="L293" s="640"/>
      <c r="M293" s="64"/>
      <c r="N293" s="64"/>
      <c r="O293" s="64"/>
      <c r="P293" s="67"/>
      <c r="Q293" s="64"/>
      <c r="R293" s="64"/>
      <c r="S293" s="64"/>
      <c r="T293" s="64"/>
      <c r="U293" s="64"/>
      <c r="V293" s="67"/>
      <c r="W293" s="64"/>
      <c r="X293" s="64"/>
      <c r="Y293" s="64"/>
      <c r="Z293" s="64"/>
      <c r="AA293" s="64"/>
      <c r="AB293" s="67"/>
      <c r="AC293" s="64"/>
      <c r="AD293" s="64"/>
      <c r="AE293" s="64"/>
      <c r="AF293" s="64"/>
      <c r="AG293" s="64"/>
      <c r="AH293" s="67"/>
      <c r="AI293" s="64"/>
      <c r="AJ293" s="64"/>
      <c r="AK293" s="64"/>
      <c r="AL293" s="64"/>
      <c r="AM293" s="64"/>
      <c r="AN293" s="67"/>
      <c r="AO293" s="64"/>
      <c r="AP293" s="64"/>
      <c r="AQ293" s="64"/>
      <c r="AR293" s="64"/>
      <c r="AS293" s="64"/>
      <c r="AT293" s="64"/>
      <c r="AU293" s="64"/>
      <c r="AV293" s="64"/>
      <c r="AW293" s="64"/>
      <c r="AX293" s="64"/>
      <c r="AY293" s="64"/>
      <c r="AZ293" s="64"/>
      <c r="BA293" s="64"/>
      <c r="BB293" s="64"/>
      <c r="BC293" s="64"/>
      <c r="BD293" s="64"/>
      <c r="BE293" s="657"/>
      <c r="BF293" s="67"/>
      <c r="BG293" s="64"/>
      <c r="BH293" s="64"/>
      <c r="BI293" s="64"/>
      <c r="BJ293" s="64"/>
      <c r="BK293" s="788"/>
      <c r="BL293" s="64"/>
      <c r="BM293" s="64"/>
      <c r="BN293" s="64"/>
      <c r="BO293" s="64"/>
      <c r="BP293" s="64"/>
      <c r="BQ293" s="788"/>
      <c r="BR293" s="69"/>
      <c r="BS293" s="69"/>
      <c r="BT293" s="64"/>
    </row>
    <row r="294" spans="1:72" ht="12.75" customHeight="1">
      <c r="A294" s="64"/>
      <c r="B294" s="64" t="s">
        <v>2772</v>
      </c>
      <c r="C294" s="64"/>
      <c r="D294" s="64" t="s">
        <v>2783</v>
      </c>
      <c r="E294" s="64"/>
      <c r="F294" s="67"/>
      <c r="G294" s="640"/>
      <c r="H294" s="64"/>
      <c r="I294" s="64"/>
      <c r="J294" s="64"/>
      <c r="K294" s="129" t="str">
        <f ca="1">'Sterne-Rechner - Angebot'!Y24</f>
        <v/>
      </c>
      <c r="L294" s="640"/>
      <c r="M294" s="64"/>
      <c r="N294" s="64"/>
      <c r="O294" s="64"/>
      <c r="P294" s="67"/>
      <c r="Q294" s="64"/>
      <c r="R294" s="64"/>
      <c r="S294" s="64"/>
      <c r="T294" s="64"/>
      <c r="U294" s="64"/>
      <c r="V294" s="67"/>
      <c r="W294" s="64"/>
      <c r="X294" s="64"/>
      <c r="Y294" s="64"/>
      <c r="Z294" s="64"/>
      <c r="AA294" s="64"/>
      <c r="AB294" s="67"/>
      <c r="AC294" s="64"/>
      <c r="AD294" s="64"/>
      <c r="AE294" s="64"/>
      <c r="AF294" s="64"/>
      <c r="AG294" s="64"/>
      <c r="AH294" s="67"/>
      <c r="AI294" s="64"/>
      <c r="AJ294" s="64"/>
      <c r="AK294" s="64"/>
      <c r="AL294" s="64"/>
      <c r="AM294" s="64"/>
      <c r="AN294" s="67"/>
      <c r="AO294" s="64"/>
      <c r="AP294" s="64"/>
      <c r="AQ294" s="64"/>
      <c r="AR294" s="64"/>
      <c r="AS294" s="64"/>
      <c r="AT294" s="64"/>
      <c r="AU294" s="64"/>
      <c r="AV294" s="64"/>
      <c r="AW294" s="64"/>
      <c r="AX294" s="64"/>
      <c r="AY294" s="64"/>
      <c r="AZ294" s="64"/>
      <c r="BA294" s="64"/>
      <c r="BB294" s="64"/>
      <c r="BC294" s="64"/>
      <c r="BD294" s="64"/>
      <c r="BE294" s="657"/>
      <c r="BF294" s="67"/>
      <c r="BG294" s="64"/>
      <c r="BH294" s="64"/>
      <c r="BI294" s="64"/>
      <c r="BJ294" s="64"/>
      <c r="BK294" s="788"/>
      <c r="BL294" s="64"/>
      <c r="BM294" s="64"/>
      <c r="BN294" s="64"/>
      <c r="BO294" s="64"/>
      <c r="BP294" s="64"/>
      <c r="BQ294" s="788"/>
      <c r="BR294" s="69"/>
      <c r="BS294" s="69"/>
      <c r="BT294" s="64"/>
    </row>
    <row r="295" spans="1:72" ht="12.75" customHeight="1">
      <c r="A295" s="64"/>
      <c r="B295" s="64" t="s">
        <v>2772</v>
      </c>
      <c r="C295" s="64"/>
      <c r="D295" s="64" t="s">
        <v>2784</v>
      </c>
      <c r="E295" s="64"/>
      <c r="F295" s="130" t="str">
        <f>'Berkley - Tarif'!D22</f>
        <v/>
      </c>
      <c r="G295" s="639"/>
      <c r="H295" s="64"/>
      <c r="I295" s="64"/>
      <c r="J295" s="64"/>
      <c r="K295" s="67"/>
      <c r="L295" s="639"/>
      <c r="M295" s="64"/>
      <c r="N295" s="64"/>
      <c r="O295" s="64"/>
      <c r="P295" s="67"/>
      <c r="Q295" s="64"/>
      <c r="R295" s="64"/>
      <c r="S295" s="64"/>
      <c r="T295" s="64"/>
      <c r="U295" s="64"/>
      <c r="V295" s="67"/>
      <c r="W295" s="64"/>
      <c r="X295" s="64"/>
      <c r="Y295" s="64"/>
      <c r="Z295" s="64"/>
      <c r="AA295" s="64"/>
      <c r="AB295" s="67"/>
      <c r="AC295" s="64"/>
      <c r="AD295" s="64"/>
      <c r="AE295" s="64"/>
      <c r="AF295" s="64"/>
      <c r="AG295" s="64"/>
      <c r="AH295" s="67"/>
      <c r="AI295" s="64"/>
      <c r="AJ295" s="64"/>
      <c r="AK295" s="64"/>
      <c r="AL295" s="64"/>
      <c r="AM295" s="64"/>
      <c r="AN295" s="67"/>
      <c r="AO295" s="64"/>
      <c r="AP295" s="64"/>
      <c r="AQ295" s="64"/>
      <c r="AR295" s="64"/>
      <c r="AS295" s="64"/>
      <c r="AT295" s="64"/>
      <c r="AU295" s="64"/>
      <c r="AV295" s="64"/>
      <c r="AW295" s="64"/>
      <c r="AX295" s="64"/>
      <c r="AY295" s="64"/>
      <c r="AZ295" s="64"/>
      <c r="BA295" s="64"/>
      <c r="BB295" s="64"/>
      <c r="BC295" s="64"/>
      <c r="BD295" s="64"/>
      <c r="BE295" s="657"/>
      <c r="BF295" s="67"/>
      <c r="BG295" s="64"/>
      <c r="BH295" s="64"/>
      <c r="BI295" s="64"/>
      <c r="BJ295" s="64"/>
      <c r="BK295" s="788"/>
      <c r="BL295" s="64"/>
      <c r="BM295" s="64"/>
      <c r="BN295" s="64"/>
      <c r="BO295" s="64"/>
      <c r="BP295" s="64"/>
      <c r="BQ295" s="788"/>
      <c r="BR295" s="69"/>
      <c r="BS295" s="69"/>
      <c r="BT295" s="64"/>
    </row>
    <row r="296" spans="1:72" ht="12.75" customHeight="1">
      <c r="A296" s="64"/>
      <c r="B296" s="64" t="s">
        <v>2772</v>
      </c>
      <c r="C296" s="64"/>
      <c r="D296" s="64" t="s">
        <v>2785</v>
      </c>
      <c r="E296" s="64"/>
      <c r="F296" s="130" t="str">
        <f>'Berkley - Tarif'!E22</f>
        <v/>
      </c>
      <c r="G296" s="639"/>
      <c r="H296" s="64"/>
      <c r="I296" s="64"/>
      <c r="J296" s="64"/>
      <c r="K296" s="67"/>
      <c r="L296" s="639"/>
      <c r="M296" s="64"/>
      <c r="N296" s="64"/>
      <c r="O296" s="64"/>
      <c r="P296" s="67"/>
      <c r="Q296" s="64"/>
      <c r="R296" s="64"/>
      <c r="S296" s="64"/>
      <c r="T296" s="64"/>
      <c r="U296" s="64"/>
      <c r="V296" s="67"/>
      <c r="W296" s="64"/>
      <c r="X296" s="64"/>
      <c r="Y296" s="64"/>
      <c r="Z296" s="64"/>
      <c r="AA296" s="64"/>
      <c r="AB296" s="67"/>
      <c r="AC296" s="64"/>
      <c r="AD296" s="64"/>
      <c r="AE296" s="64"/>
      <c r="AF296" s="64"/>
      <c r="AG296" s="64"/>
      <c r="AH296" s="67"/>
      <c r="AI296" s="64"/>
      <c r="AJ296" s="64"/>
      <c r="AK296" s="64"/>
      <c r="AL296" s="64"/>
      <c r="AM296" s="64"/>
      <c r="AN296" s="67"/>
      <c r="AO296" s="64"/>
      <c r="AP296" s="64"/>
      <c r="AQ296" s="64"/>
      <c r="AR296" s="64"/>
      <c r="AS296" s="64"/>
      <c r="AT296" s="64"/>
      <c r="AU296" s="64"/>
      <c r="AV296" s="64"/>
      <c r="AW296" s="64"/>
      <c r="AX296" s="64"/>
      <c r="AY296" s="64"/>
      <c r="AZ296" s="64"/>
      <c r="BA296" s="64"/>
      <c r="BB296" s="64"/>
      <c r="BC296" s="64"/>
      <c r="BD296" s="64"/>
      <c r="BE296" s="657"/>
      <c r="BF296" s="67"/>
      <c r="BG296" s="64"/>
      <c r="BH296" s="64"/>
      <c r="BI296" s="64"/>
      <c r="BJ296" s="64"/>
      <c r="BK296" s="788"/>
      <c r="BL296" s="64"/>
      <c r="BM296" s="64"/>
      <c r="BN296" s="64"/>
      <c r="BO296" s="64"/>
      <c r="BP296" s="64"/>
      <c r="BQ296" s="788"/>
      <c r="BR296" s="69"/>
      <c r="BS296" s="69"/>
      <c r="BT296" s="64"/>
    </row>
    <row r="297" spans="1:72" ht="12.75" customHeight="1">
      <c r="A297" s="64"/>
      <c r="B297" s="64" t="s">
        <v>2772</v>
      </c>
      <c r="C297" s="64"/>
      <c r="D297" s="64" t="s">
        <v>2786</v>
      </c>
      <c r="E297" s="64"/>
      <c r="F297" s="130" t="str">
        <f>'Berkley - Tarif'!F22</f>
        <v/>
      </c>
      <c r="G297" s="639"/>
      <c r="H297" s="64"/>
      <c r="I297" s="64"/>
      <c r="J297" s="64"/>
      <c r="K297" s="67"/>
      <c r="L297" s="639"/>
      <c r="M297" s="64"/>
      <c r="N297" s="64"/>
      <c r="O297" s="64"/>
      <c r="P297" s="67"/>
      <c r="Q297" s="64"/>
      <c r="R297" s="64"/>
      <c r="S297" s="64"/>
      <c r="T297" s="64"/>
      <c r="U297" s="64"/>
      <c r="V297" s="67"/>
      <c r="W297" s="64"/>
      <c r="X297" s="64"/>
      <c r="Y297" s="64"/>
      <c r="Z297" s="64"/>
      <c r="AA297" s="64"/>
      <c r="AB297" s="67"/>
      <c r="AC297" s="64"/>
      <c r="AD297" s="64"/>
      <c r="AE297" s="64"/>
      <c r="AF297" s="64"/>
      <c r="AG297" s="64"/>
      <c r="AH297" s="67"/>
      <c r="AI297" s="64"/>
      <c r="AJ297" s="64"/>
      <c r="AK297" s="64"/>
      <c r="AL297" s="64"/>
      <c r="AM297" s="64"/>
      <c r="AN297" s="67"/>
      <c r="AO297" s="64"/>
      <c r="AP297" s="64"/>
      <c r="AQ297" s="64"/>
      <c r="AR297" s="64"/>
      <c r="AS297" s="64"/>
      <c r="AT297" s="64"/>
      <c r="AU297" s="64"/>
      <c r="AV297" s="64"/>
      <c r="AW297" s="64"/>
      <c r="AX297" s="64"/>
      <c r="AY297" s="64"/>
      <c r="AZ297" s="64"/>
      <c r="BA297" s="64"/>
      <c r="BB297" s="64"/>
      <c r="BC297" s="64"/>
      <c r="BD297" s="64"/>
      <c r="BE297" s="657"/>
      <c r="BF297" s="67"/>
      <c r="BG297" s="64"/>
      <c r="BH297" s="64"/>
      <c r="BI297" s="64"/>
      <c r="BJ297" s="64"/>
      <c r="BK297" s="788"/>
      <c r="BL297" s="64"/>
      <c r="BM297" s="64"/>
      <c r="BN297" s="64"/>
      <c r="BO297" s="64"/>
      <c r="BP297" s="64"/>
      <c r="BQ297" s="788"/>
      <c r="BR297" s="69"/>
      <c r="BS297" s="69"/>
      <c r="BT297" s="64"/>
    </row>
    <row r="298" spans="1:72" ht="12.75" customHeight="1">
      <c r="A298" s="64"/>
      <c r="B298" s="64" t="s">
        <v>2772</v>
      </c>
      <c r="C298" s="64"/>
      <c r="D298" s="64" t="s">
        <v>2787</v>
      </c>
      <c r="E298" s="64"/>
      <c r="F298" s="67"/>
      <c r="G298" s="640"/>
      <c r="H298" s="64"/>
      <c r="I298" s="64"/>
      <c r="J298" s="64"/>
      <c r="K298" s="130" t="str">
        <f>'Sterne-Rechner - Angebot'!N22</f>
        <v/>
      </c>
      <c r="L298" s="640"/>
      <c r="M298" s="64"/>
      <c r="N298" s="64"/>
      <c r="O298" s="64"/>
      <c r="P298" s="67"/>
      <c r="Q298" s="64"/>
      <c r="R298" s="64"/>
      <c r="S298" s="64"/>
      <c r="T298" s="64"/>
      <c r="U298" s="64"/>
      <c r="V298" s="67"/>
      <c r="W298" s="64"/>
      <c r="X298" s="64"/>
      <c r="Y298" s="64"/>
      <c r="Z298" s="64"/>
      <c r="AA298" s="64"/>
      <c r="AB298" s="67"/>
      <c r="AC298" s="64"/>
      <c r="AD298" s="64"/>
      <c r="AE298" s="64"/>
      <c r="AF298" s="64"/>
      <c r="AG298" s="64"/>
      <c r="AH298" s="67"/>
      <c r="AI298" s="64"/>
      <c r="AJ298" s="64"/>
      <c r="AK298" s="64"/>
      <c r="AL298" s="64"/>
      <c r="AM298" s="64"/>
      <c r="AN298" s="67"/>
      <c r="AO298" s="64"/>
      <c r="AP298" s="64"/>
      <c r="AQ298" s="64"/>
      <c r="AR298" s="64"/>
      <c r="AS298" s="64"/>
      <c r="AT298" s="64"/>
      <c r="AU298" s="64"/>
      <c r="AV298" s="64"/>
      <c r="AW298" s="64"/>
      <c r="AX298" s="64"/>
      <c r="AY298" s="64"/>
      <c r="AZ298" s="64"/>
      <c r="BA298" s="64"/>
      <c r="BB298" s="64"/>
      <c r="BC298" s="64"/>
      <c r="BD298" s="64"/>
      <c r="BE298" s="657"/>
      <c r="BF298" s="67"/>
      <c r="BG298" s="64"/>
      <c r="BH298" s="64"/>
      <c r="BI298" s="64"/>
      <c r="BJ298" s="64"/>
      <c r="BK298" s="788"/>
      <c r="BL298" s="64"/>
      <c r="BM298" s="64"/>
      <c r="BN298" s="64"/>
      <c r="BO298" s="64"/>
      <c r="BP298" s="64"/>
      <c r="BQ298" s="788"/>
      <c r="BR298" s="69"/>
      <c r="BS298" s="69"/>
      <c r="BT298" s="64"/>
    </row>
    <row r="299" spans="1:72" ht="12.75" customHeight="1">
      <c r="A299" s="64"/>
      <c r="B299" s="64" t="s">
        <v>2772</v>
      </c>
      <c r="C299" s="64"/>
      <c r="D299" s="64" t="s">
        <v>2788</v>
      </c>
      <c r="E299" s="64"/>
      <c r="F299" s="67"/>
      <c r="G299" s="640"/>
      <c r="H299" s="64"/>
      <c r="I299" s="64"/>
      <c r="J299" s="64"/>
      <c r="K299" s="130" t="str">
        <f>'Sterne-Rechner - Angebot'!N23</f>
        <v/>
      </c>
      <c r="L299" s="640"/>
      <c r="M299" s="64"/>
      <c r="N299" s="64"/>
      <c r="O299" s="64"/>
      <c r="P299" s="67"/>
      <c r="Q299" s="64"/>
      <c r="R299" s="64"/>
      <c r="S299" s="64"/>
      <c r="T299" s="64"/>
      <c r="U299" s="64"/>
      <c r="V299" s="67"/>
      <c r="W299" s="64"/>
      <c r="X299" s="64"/>
      <c r="Y299" s="64"/>
      <c r="Z299" s="64"/>
      <c r="AA299" s="64"/>
      <c r="AB299" s="67"/>
      <c r="AC299" s="64"/>
      <c r="AD299" s="64"/>
      <c r="AE299" s="64"/>
      <c r="AF299" s="64"/>
      <c r="AG299" s="64"/>
      <c r="AH299" s="67"/>
      <c r="AI299" s="64"/>
      <c r="AJ299" s="64"/>
      <c r="AK299" s="64"/>
      <c r="AL299" s="64"/>
      <c r="AM299" s="64"/>
      <c r="AN299" s="67"/>
      <c r="AO299" s="64"/>
      <c r="AP299" s="64"/>
      <c r="AQ299" s="64"/>
      <c r="AR299" s="64"/>
      <c r="AS299" s="64"/>
      <c r="AT299" s="64"/>
      <c r="AU299" s="64"/>
      <c r="AV299" s="64"/>
      <c r="AW299" s="64"/>
      <c r="AX299" s="64"/>
      <c r="AY299" s="64"/>
      <c r="AZ299" s="64"/>
      <c r="BA299" s="64"/>
      <c r="BB299" s="64"/>
      <c r="BC299" s="64"/>
      <c r="BD299" s="64"/>
      <c r="BE299" s="657"/>
      <c r="BF299" s="67"/>
      <c r="BG299" s="64"/>
      <c r="BH299" s="64"/>
      <c r="BI299" s="64"/>
      <c r="BJ299" s="64"/>
      <c r="BK299" s="788"/>
      <c r="BL299" s="64"/>
      <c r="BM299" s="64"/>
      <c r="BN299" s="64"/>
      <c r="BO299" s="64"/>
      <c r="BP299" s="64"/>
      <c r="BQ299" s="788"/>
      <c r="BR299" s="69"/>
      <c r="BS299" s="69"/>
      <c r="BT299" s="64"/>
    </row>
    <row r="300" spans="1:72" ht="12.75" customHeight="1">
      <c r="A300" s="64"/>
      <c r="B300" s="64" t="s">
        <v>2772</v>
      </c>
      <c r="C300" s="64"/>
      <c r="D300" s="64" t="s">
        <v>2789</v>
      </c>
      <c r="E300" s="64"/>
      <c r="F300" s="67"/>
      <c r="G300" s="640"/>
      <c r="H300" s="64"/>
      <c r="I300" s="64"/>
      <c r="J300" s="64"/>
      <c r="K300" s="130" t="str">
        <f>'Sterne-Rechner - Angebot'!N24</f>
        <v/>
      </c>
      <c r="L300" s="640"/>
      <c r="M300" s="64"/>
      <c r="N300" s="64"/>
      <c r="O300" s="64"/>
      <c r="P300" s="67"/>
      <c r="Q300" s="64"/>
      <c r="R300" s="64"/>
      <c r="S300" s="64"/>
      <c r="T300" s="64"/>
      <c r="U300" s="64"/>
      <c r="V300" s="67"/>
      <c r="W300" s="64"/>
      <c r="X300" s="64"/>
      <c r="Y300" s="64"/>
      <c r="Z300" s="64"/>
      <c r="AA300" s="64"/>
      <c r="AB300" s="67"/>
      <c r="AC300" s="64"/>
      <c r="AD300" s="64"/>
      <c r="AE300" s="64"/>
      <c r="AF300" s="64"/>
      <c r="AG300" s="64"/>
      <c r="AH300" s="67"/>
      <c r="AI300" s="64"/>
      <c r="AJ300" s="64"/>
      <c r="AK300" s="64"/>
      <c r="AL300" s="64"/>
      <c r="AM300" s="64"/>
      <c r="AN300" s="67"/>
      <c r="AO300" s="64"/>
      <c r="AP300" s="64"/>
      <c r="AQ300" s="64"/>
      <c r="AR300" s="64"/>
      <c r="AS300" s="64"/>
      <c r="AT300" s="64"/>
      <c r="AU300" s="64"/>
      <c r="AV300" s="64"/>
      <c r="AW300" s="64"/>
      <c r="AX300" s="64"/>
      <c r="AY300" s="64"/>
      <c r="AZ300" s="64"/>
      <c r="BA300" s="64"/>
      <c r="BB300" s="64"/>
      <c r="BC300" s="64"/>
      <c r="BD300" s="64"/>
      <c r="BE300" s="657"/>
      <c r="BF300" s="67"/>
      <c r="BG300" s="64"/>
      <c r="BH300" s="64"/>
      <c r="BI300" s="64"/>
      <c r="BJ300" s="64"/>
      <c r="BK300" s="788"/>
      <c r="BL300" s="64"/>
      <c r="BM300" s="64"/>
      <c r="BN300" s="64"/>
      <c r="BO300" s="64"/>
      <c r="BP300" s="64"/>
      <c r="BQ300" s="788"/>
      <c r="BR300" s="69"/>
      <c r="BS300" s="69"/>
      <c r="BT300" s="64"/>
    </row>
    <row r="301" spans="1:72" ht="12.75" customHeight="1">
      <c r="A301" s="64"/>
      <c r="B301" s="64" t="s">
        <v>2772</v>
      </c>
      <c r="C301" s="64"/>
      <c r="D301" s="64"/>
      <c r="E301" s="64"/>
      <c r="F301" s="67"/>
      <c r="G301" s="640"/>
      <c r="H301" s="64"/>
      <c r="I301" s="64"/>
      <c r="J301" s="64"/>
      <c r="K301" s="67"/>
      <c r="L301" s="640"/>
      <c r="M301" s="64"/>
      <c r="N301" s="64"/>
      <c r="O301" s="64"/>
      <c r="P301" s="67"/>
      <c r="Q301" s="64"/>
      <c r="R301" s="64"/>
      <c r="S301" s="64"/>
      <c r="T301" s="64"/>
      <c r="U301" s="64"/>
      <c r="V301" s="67"/>
      <c r="W301" s="64"/>
      <c r="X301" s="64"/>
      <c r="Y301" s="64"/>
      <c r="Z301" s="64"/>
      <c r="AA301" s="64"/>
      <c r="AB301" s="67"/>
      <c r="AC301" s="64"/>
      <c r="AD301" s="64"/>
      <c r="AE301" s="64"/>
      <c r="AF301" s="64"/>
      <c r="AG301" s="64"/>
      <c r="AH301" s="67"/>
      <c r="AI301" s="64"/>
      <c r="AJ301" s="64"/>
      <c r="AK301" s="64"/>
      <c r="AL301" s="64"/>
      <c r="AM301" s="64"/>
      <c r="AN301" s="67"/>
      <c r="AO301" s="64"/>
      <c r="AP301" s="64"/>
      <c r="AQ301" s="64"/>
      <c r="AR301" s="64"/>
      <c r="AS301" s="64"/>
      <c r="AT301" s="64"/>
      <c r="AU301" s="64"/>
      <c r="AV301" s="64"/>
      <c r="AW301" s="64"/>
      <c r="AX301" s="64"/>
      <c r="AY301" s="64"/>
      <c r="AZ301" s="64"/>
      <c r="BA301" s="64"/>
      <c r="BB301" s="64"/>
      <c r="BC301" s="64"/>
      <c r="BD301" s="64"/>
      <c r="BE301" s="657"/>
      <c r="BF301" s="67"/>
      <c r="BG301" s="64"/>
      <c r="BH301" s="64"/>
      <c r="BI301" s="64"/>
      <c r="BJ301" s="64"/>
      <c r="BK301" s="788"/>
      <c r="BL301" s="64"/>
      <c r="BM301" s="64"/>
      <c r="BN301" s="64"/>
      <c r="BO301" s="64"/>
      <c r="BP301" s="64"/>
      <c r="BQ301" s="788"/>
      <c r="BR301" s="69"/>
      <c r="BS301" s="69"/>
      <c r="BT301" s="64"/>
    </row>
    <row r="302" spans="1:72" ht="12.75" customHeight="1">
      <c r="A302" s="64"/>
      <c r="B302" s="64" t="s">
        <v>2772</v>
      </c>
      <c r="C302" s="64"/>
      <c r="D302" s="64" t="s">
        <v>2790</v>
      </c>
      <c r="E302" s="64"/>
      <c r="F302" s="67"/>
      <c r="G302" s="640"/>
      <c r="H302" s="64"/>
      <c r="I302" s="64"/>
      <c r="J302" s="64"/>
      <c r="K302" s="129" t="str">
        <f ca="1">StatusBerkley</f>
        <v>OFFER_REFERRAL</v>
      </c>
      <c r="L302" s="640"/>
      <c r="M302" s="64"/>
      <c r="N302" s="64"/>
      <c r="O302" s="64"/>
      <c r="P302" s="67"/>
      <c r="Q302" s="64"/>
      <c r="R302" s="64"/>
      <c r="S302" s="64"/>
      <c r="T302" s="64"/>
      <c r="U302" s="64"/>
      <c r="V302" s="67"/>
      <c r="W302" s="64"/>
      <c r="X302" s="64"/>
      <c r="Y302" s="64"/>
      <c r="Z302" s="64"/>
      <c r="AA302" s="64"/>
      <c r="AB302" s="67"/>
      <c r="AC302" s="64"/>
      <c r="AD302" s="64"/>
      <c r="AE302" s="64"/>
      <c r="AF302" s="64"/>
      <c r="AG302" s="64"/>
      <c r="AH302" s="67"/>
      <c r="AI302" s="64"/>
      <c r="AJ302" s="64"/>
      <c r="AK302" s="64"/>
      <c r="AL302" s="64"/>
      <c r="AM302" s="64"/>
      <c r="AN302" s="67"/>
      <c r="AO302" s="64"/>
      <c r="AP302" s="64"/>
      <c r="AQ302" s="64"/>
      <c r="AR302" s="64"/>
      <c r="AS302" s="64"/>
      <c r="AT302" s="64"/>
      <c r="AU302" s="64"/>
      <c r="AV302" s="64"/>
      <c r="AW302" s="64"/>
      <c r="AX302" s="64"/>
      <c r="AY302" s="64"/>
      <c r="AZ302" s="64"/>
      <c r="BA302" s="64"/>
      <c r="BB302" s="64"/>
      <c r="BC302" s="64"/>
      <c r="BD302" s="64"/>
      <c r="BE302" s="657"/>
      <c r="BF302" s="67"/>
      <c r="BG302" s="64"/>
      <c r="BH302" s="64"/>
      <c r="BI302" s="64"/>
      <c r="BJ302" s="64"/>
      <c r="BK302" s="788"/>
      <c r="BL302" s="64"/>
      <c r="BM302" s="64"/>
      <c r="BN302" s="64"/>
      <c r="BO302" s="64"/>
      <c r="BP302" s="64"/>
      <c r="BQ302" s="788"/>
      <c r="BR302" s="69"/>
      <c r="BS302" s="69"/>
      <c r="BT302" s="64"/>
    </row>
    <row r="303" spans="1:72" ht="12.75" customHeight="1">
      <c r="A303" s="64"/>
      <c r="B303" s="64" t="s">
        <v>2772</v>
      </c>
      <c r="C303" s="64"/>
      <c r="D303" s="64" t="s">
        <v>2791</v>
      </c>
      <c r="E303" s="64"/>
      <c r="F303" s="67"/>
      <c r="G303" s="640"/>
      <c r="H303" s="64"/>
      <c r="I303" s="64"/>
      <c r="J303" s="64"/>
      <c r="K303" s="67"/>
      <c r="L303" s="640"/>
      <c r="M303" s="64"/>
      <c r="N303" s="64"/>
      <c r="O303" s="64"/>
      <c r="P303" s="67"/>
      <c r="Q303" s="64"/>
      <c r="R303" s="64"/>
      <c r="S303" s="64"/>
      <c r="T303" s="64"/>
      <c r="U303" s="64"/>
      <c r="V303" s="67"/>
      <c r="W303" s="64"/>
      <c r="X303" s="64"/>
      <c r="Y303" s="64"/>
      <c r="Z303" s="64"/>
      <c r="AA303" s="64"/>
      <c r="AB303" s="67"/>
      <c r="AC303" s="64"/>
      <c r="AD303" s="64"/>
      <c r="AE303" s="64"/>
      <c r="AF303" s="64"/>
      <c r="AG303" s="64"/>
      <c r="AH303" s="67"/>
      <c r="AI303" s="64"/>
      <c r="AJ303" s="64"/>
      <c r="AK303" s="64"/>
      <c r="AL303" s="64"/>
      <c r="AM303" s="64"/>
      <c r="AN303" s="67"/>
      <c r="AO303" s="64"/>
      <c r="AP303" s="64"/>
      <c r="AQ303" s="64"/>
      <c r="AR303" s="64"/>
      <c r="AS303" s="64"/>
      <c r="AT303" s="64"/>
      <c r="AU303" s="64"/>
      <c r="AV303" s="64"/>
      <c r="AW303" s="64"/>
      <c r="AX303" s="64"/>
      <c r="AY303" s="64"/>
      <c r="AZ303" s="64"/>
      <c r="BA303" s="64"/>
      <c r="BB303" s="64"/>
      <c r="BC303" s="64"/>
      <c r="BD303" s="64"/>
      <c r="BE303" s="657"/>
      <c r="BF303" s="67"/>
      <c r="BG303" s="64"/>
      <c r="BH303" s="64"/>
      <c r="BI303" s="64"/>
      <c r="BJ303" s="64"/>
      <c r="BK303" s="788"/>
      <c r="BL303" s="64"/>
      <c r="BM303" s="64"/>
      <c r="BN303" s="64"/>
      <c r="BO303" s="64"/>
      <c r="BP303" s="64"/>
      <c r="BQ303" s="788"/>
      <c r="BR303" s="69"/>
      <c r="BS303" s="69"/>
      <c r="BT303" s="64"/>
    </row>
    <row r="304" spans="1:72" ht="12.75" customHeight="1">
      <c r="A304" s="64"/>
      <c r="B304" s="64" t="s">
        <v>2772</v>
      </c>
      <c r="C304" s="64"/>
      <c r="D304" s="64" t="s">
        <v>2792</v>
      </c>
      <c r="E304" s="64"/>
      <c r="F304" s="67"/>
      <c r="G304" s="640"/>
      <c r="H304" s="64"/>
      <c r="I304" s="64"/>
      <c r="J304" s="64"/>
      <c r="K304" s="67"/>
      <c r="L304" s="640"/>
      <c r="M304" s="64"/>
      <c r="N304" s="64"/>
      <c r="O304" s="64"/>
      <c r="P304" s="67"/>
      <c r="Q304" s="64"/>
      <c r="R304" s="64"/>
      <c r="S304" s="64"/>
      <c r="T304" s="64"/>
      <c r="U304" s="64"/>
      <c r="V304" s="67"/>
      <c r="W304" s="64"/>
      <c r="X304" s="64"/>
      <c r="Y304" s="64"/>
      <c r="Z304" s="64"/>
      <c r="AA304" s="64"/>
      <c r="AB304" s="67"/>
      <c r="AC304" s="64"/>
      <c r="AD304" s="64"/>
      <c r="AE304" s="64"/>
      <c r="AF304" s="64"/>
      <c r="AG304" s="64"/>
      <c r="AH304" s="67"/>
      <c r="AI304" s="64"/>
      <c r="AJ304" s="64"/>
      <c r="AK304" s="64"/>
      <c r="AL304" s="64"/>
      <c r="AM304" s="64"/>
      <c r="AN304" s="67"/>
      <c r="AO304" s="64"/>
      <c r="AP304" s="64"/>
      <c r="AQ304" s="64"/>
      <c r="AR304" s="64"/>
      <c r="AS304" s="64"/>
      <c r="AT304" s="64"/>
      <c r="AU304" s="64"/>
      <c r="AV304" s="64"/>
      <c r="AW304" s="64"/>
      <c r="AX304" s="64"/>
      <c r="AY304" s="64"/>
      <c r="AZ304" s="64"/>
      <c r="BA304" s="64"/>
      <c r="BB304" s="64"/>
      <c r="BC304" s="64"/>
      <c r="BD304" s="64"/>
      <c r="BE304" s="657"/>
      <c r="BF304" s="67"/>
      <c r="BG304" s="64"/>
      <c r="BH304" s="64"/>
      <c r="BI304" s="64"/>
      <c r="BJ304" s="64"/>
      <c r="BK304" s="788"/>
      <c r="BL304" s="64"/>
      <c r="BM304" s="64"/>
      <c r="BN304" s="64"/>
      <c r="BO304" s="64"/>
      <c r="BP304" s="64"/>
      <c r="BQ304" s="788"/>
      <c r="BR304" s="69"/>
      <c r="BS304" s="69"/>
      <c r="BT304" s="64"/>
    </row>
    <row r="305" spans="1:72" ht="12.75" customHeight="1">
      <c r="A305" s="64"/>
      <c r="B305" s="64" t="s">
        <v>2772</v>
      </c>
      <c r="C305" s="64"/>
      <c r="D305" s="64" t="s">
        <v>2793</v>
      </c>
      <c r="E305" s="64"/>
      <c r="F305" s="67"/>
      <c r="G305" s="639"/>
      <c r="H305" s="64"/>
      <c r="I305" s="64"/>
      <c r="J305" s="64"/>
      <c r="K305" s="67"/>
      <c r="L305" s="639"/>
      <c r="M305" s="64"/>
      <c r="N305" s="64"/>
      <c r="O305" s="64"/>
      <c r="P305" s="67"/>
      <c r="Q305" s="64"/>
      <c r="R305" s="64"/>
      <c r="S305" s="64"/>
      <c r="T305" s="64"/>
      <c r="U305" s="64"/>
      <c r="V305" s="67"/>
      <c r="W305" s="64"/>
      <c r="X305" s="64"/>
      <c r="Y305" s="64"/>
      <c r="Z305" s="64"/>
      <c r="AA305" s="64"/>
      <c r="AB305" s="67"/>
      <c r="AC305" s="64"/>
      <c r="AD305" s="64"/>
      <c r="AE305" s="64"/>
      <c r="AF305" s="64"/>
      <c r="AG305" s="64"/>
      <c r="AH305" s="67"/>
      <c r="AI305" s="64"/>
      <c r="AJ305" s="64"/>
      <c r="AK305" s="64"/>
      <c r="AL305" s="64"/>
      <c r="AM305" s="64"/>
      <c r="AN305" s="67"/>
      <c r="AO305" s="64"/>
      <c r="AP305" s="64"/>
      <c r="AQ305" s="64"/>
      <c r="AR305" s="64"/>
      <c r="AS305" s="64"/>
      <c r="AT305" s="64"/>
      <c r="AU305" s="64"/>
      <c r="AV305" s="64"/>
      <c r="AW305" s="64"/>
      <c r="AX305" s="64"/>
      <c r="AY305" s="64"/>
      <c r="AZ305" s="64"/>
      <c r="BA305" s="64"/>
      <c r="BB305" s="64"/>
      <c r="BC305" s="64"/>
      <c r="BD305" s="64"/>
      <c r="BE305" s="657"/>
      <c r="BF305" s="67"/>
      <c r="BG305" s="64"/>
      <c r="BH305" s="64"/>
      <c r="BI305" s="64"/>
      <c r="BJ305" s="64"/>
      <c r="BK305" s="788"/>
      <c r="BL305" s="64"/>
      <c r="BM305" s="64"/>
      <c r="BN305" s="64"/>
      <c r="BO305" s="64"/>
      <c r="BP305" s="64"/>
      <c r="BQ305" s="788"/>
      <c r="BR305" s="69"/>
      <c r="BS305" s="69"/>
      <c r="BT305" s="64"/>
    </row>
    <row r="306" spans="1:72" ht="48.45" customHeight="1">
      <c r="A306" s="134" t="s">
        <v>2798</v>
      </c>
      <c r="B306" s="134" t="s">
        <v>2798</v>
      </c>
      <c r="C306" s="134" t="s">
        <v>2798</v>
      </c>
      <c r="D306" s="134" t="s">
        <v>2798</v>
      </c>
      <c r="E306" s="134"/>
      <c r="F306" s="135" t="s">
        <v>2798</v>
      </c>
      <c r="G306" s="134" t="s">
        <v>2798</v>
      </c>
      <c r="H306" s="134" t="s">
        <v>2798</v>
      </c>
      <c r="I306" s="134" t="s">
        <v>2798</v>
      </c>
      <c r="J306" s="134" t="s">
        <v>2798</v>
      </c>
      <c r="K306" s="135" t="s">
        <v>2798</v>
      </c>
      <c r="L306" s="644" t="s">
        <v>2798</v>
      </c>
      <c r="M306" s="134" t="s">
        <v>2798</v>
      </c>
      <c r="N306" s="134" t="s">
        <v>2798</v>
      </c>
      <c r="O306" s="134" t="s">
        <v>2798</v>
      </c>
      <c r="P306" s="135" t="s">
        <v>2798</v>
      </c>
      <c r="Q306" s="134" t="s">
        <v>2798</v>
      </c>
      <c r="R306" s="134" t="s">
        <v>2798</v>
      </c>
      <c r="S306" s="134" t="s">
        <v>2798</v>
      </c>
      <c r="T306" s="134"/>
      <c r="U306" s="134" t="s">
        <v>2798</v>
      </c>
      <c r="V306" s="135" t="s">
        <v>2798</v>
      </c>
      <c r="W306" s="134" t="s">
        <v>2798</v>
      </c>
      <c r="X306" s="134" t="s">
        <v>2798</v>
      </c>
      <c r="Y306" s="134" t="s">
        <v>2798</v>
      </c>
      <c r="Z306" s="134"/>
      <c r="AA306" s="134" t="s">
        <v>2798</v>
      </c>
      <c r="AB306" s="135" t="s">
        <v>2798</v>
      </c>
      <c r="AC306" s="134" t="s">
        <v>2798</v>
      </c>
      <c r="AD306" s="134" t="s">
        <v>2798</v>
      </c>
      <c r="AE306" s="134" t="s">
        <v>2798</v>
      </c>
      <c r="AF306" s="134"/>
      <c r="AG306" s="134" t="s">
        <v>2798</v>
      </c>
      <c r="AH306" s="135" t="s">
        <v>2798</v>
      </c>
      <c r="AI306" s="134" t="s">
        <v>2798</v>
      </c>
      <c r="AJ306" s="134" t="s">
        <v>2798</v>
      </c>
      <c r="AK306" s="134" t="s">
        <v>2798</v>
      </c>
      <c r="AL306" s="134"/>
      <c r="AM306" s="134" t="s">
        <v>2798</v>
      </c>
      <c r="AN306" s="135" t="s">
        <v>2798</v>
      </c>
      <c r="AO306" s="134" t="s">
        <v>2798</v>
      </c>
      <c r="AP306" s="134" t="s">
        <v>2798</v>
      </c>
      <c r="AQ306" s="134" t="s">
        <v>2798</v>
      </c>
      <c r="AR306" s="134"/>
      <c r="AS306" s="134" t="s">
        <v>2798</v>
      </c>
      <c r="AT306" s="64"/>
      <c r="AU306" s="64"/>
      <c r="AV306" s="64"/>
      <c r="AW306" s="64"/>
      <c r="AX306" s="64"/>
      <c r="AY306" s="64"/>
      <c r="AZ306" s="64"/>
      <c r="BA306" s="64"/>
      <c r="BB306" s="64"/>
      <c r="BC306" s="64"/>
      <c r="BD306" s="64"/>
      <c r="BE306" s="657"/>
      <c r="BF306" s="135" t="s">
        <v>2798</v>
      </c>
      <c r="BG306" s="134" t="s">
        <v>2798</v>
      </c>
      <c r="BH306" s="134" t="s">
        <v>2798</v>
      </c>
      <c r="BI306" s="134" t="s">
        <v>2798</v>
      </c>
      <c r="BJ306" s="134"/>
      <c r="BK306" s="822" t="s">
        <v>2798</v>
      </c>
      <c r="BL306" s="815"/>
      <c r="BM306" s="815"/>
      <c r="BN306" s="815"/>
      <c r="BO306" s="815"/>
      <c r="BP306" s="815"/>
      <c r="BQ306" s="822"/>
      <c r="BR306" s="69"/>
      <c r="BS306" s="69"/>
      <c r="BT306" s="64"/>
    </row>
    <row r="307" spans="1:72" ht="12.75" customHeight="1">
      <c r="A307" s="64"/>
      <c r="B307" s="64"/>
      <c r="C307" s="64"/>
      <c r="D307" s="64"/>
      <c r="E307" s="64"/>
      <c r="F307" s="67"/>
      <c r="G307" s="64"/>
      <c r="H307" s="64"/>
      <c r="I307" s="64"/>
      <c r="J307" s="64"/>
      <c r="K307" s="67"/>
      <c r="L307" s="64"/>
      <c r="M307" s="64"/>
      <c r="N307" s="64"/>
      <c r="O307" s="64"/>
      <c r="P307" s="67"/>
      <c r="Q307" s="64"/>
      <c r="R307" s="64"/>
      <c r="S307" s="64"/>
      <c r="T307" s="64"/>
      <c r="U307" s="64"/>
      <c r="V307" s="67"/>
      <c r="W307" s="64"/>
      <c r="X307" s="64"/>
      <c r="Y307" s="64"/>
      <c r="Z307" s="64"/>
      <c r="AA307" s="64"/>
      <c r="AB307" s="67"/>
      <c r="AC307" s="64"/>
      <c r="AD307" s="64"/>
      <c r="AE307" s="64"/>
      <c r="AF307" s="64"/>
      <c r="AG307" s="64"/>
      <c r="AH307" s="67"/>
      <c r="AI307" s="64"/>
      <c r="AJ307" s="64"/>
      <c r="AK307" s="64"/>
      <c r="AL307" s="64"/>
      <c r="AM307" s="64"/>
      <c r="AN307" s="67"/>
      <c r="AO307" s="64"/>
      <c r="AP307" s="64"/>
      <c r="AQ307" s="64"/>
      <c r="AR307" s="64"/>
      <c r="AS307" s="64"/>
      <c r="AT307" s="64"/>
      <c r="AU307" s="64"/>
      <c r="AV307" s="64"/>
      <c r="AW307" s="64"/>
      <c r="AX307" s="64"/>
      <c r="AY307" s="64"/>
      <c r="AZ307" s="64"/>
      <c r="BA307" s="64"/>
      <c r="BB307" s="64"/>
      <c r="BC307" s="64"/>
      <c r="BD307" s="64"/>
      <c r="BE307" s="657"/>
      <c r="BF307" s="67"/>
      <c r="BG307" s="64"/>
      <c r="BH307" s="64"/>
      <c r="BI307" s="64"/>
      <c r="BJ307" s="64"/>
      <c r="BK307" s="64"/>
      <c r="BL307" s="64"/>
      <c r="BM307" s="64"/>
      <c r="BN307" s="64"/>
      <c r="BO307" s="64"/>
      <c r="BP307" s="64"/>
      <c r="BQ307" s="64"/>
      <c r="BR307" s="69"/>
      <c r="BS307" s="69"/>
      <c r="BT307" s="64"/>
    </row>
    <row r="308" spans="1:72" ht="12.75" customHeight="1">
      <c r="A308" s="64"/>
      <c r="B308" s="64"/>
      <c r="C308" s="64"/>
      <c r="D308" s="64"/>
      <c r="E308" s="64"/>
      <c r="F308" s="67"/>
      <c r="G308" s="64"/>
      <c r="H308" s="64"/>
      <c r="I308" s="64"/>
      <c r="J308" s="64"/>
      <c r="K308" s="67"/>
      <c r="L308" s="64"/>
      <c r="M308" s="64"/>
      <c r="N308" s="64"/>
      <c r="O308" s="64"/>
      <c r="P308" s="67"/>
      <c r="Q308" s="64"/>
      <c r="R308" s="64"/>
      <c r="S308" s="64"/>
      <c r="T308" s="64"/>
      <c r="U308" s="64"/>
      <c r="V308" s="67"/>
      <c r="W308" s="64"/>
      <c r="X308" s="64"/>
      <c r="Y308" s="64"/>
      <c r="Z308" s="64"/>
      <c r="AA308" s="64"/>
      <c r="AB308" s="67"/>
      <c r="AC308" s="64"/>
      <c r="AD308" s="64"/>
      <c r="AE308" s="64"/>
      <c r="AF308" s="64"/>
      <c r="AG308" s="64"/>
      <c r="AH308" s="67"/>
      <c r="AI308" s="64"/>
      <c r="AJ308" s="64"/>
      <c r="AK308" s="64"/>
      <c r="AL308" s="64"/>
      <c r="AM308" s="64"/>
      <c r="AN308" s="67"/>
      <c r="AO308" s="64"/>
      <c r="AP308" s="64"/>
      <c r="AQ308" s="64"/>
      <c r="AR308" s="64"/>
      <c r="AS308" s="64"/>
      <c r="AT308" s="64"/>
      <c r="AU308" s="64"/>
      <c r="AV308" s="64"/>
      <c r="AW308" s="64"/>
      <c r="AX308" s="64"/>
      <c r="AY308" s="64"/>
      <c r="AZ308" s="64"/>
      <c r="BA308" s="64"/>
      <c r="BB308" s="64"/>
      <c r="BC308" s="64"/>
      <c r="BD308" s="64"/>
      <c r="BE308" s="657"/>
      <c r="BF308" s="67"/>
      <c r="BG308" s="64"/>
      <c r="BH308" s="64"/>
      <c r="BI308" s="64"/>
      <c r="BJ308" s="64"/>
      <c r="BK308" s="64"/>
      <c r="BL308" s="64"/>
      <c r="BM308" s="64"/>
      <c r="BN308" s="64"/>
      <c r="BO308" s="64"/>
      <c r="BP308" s="64"/>
      <c r="BQ308" s="64"/>
      <c r="BR308" s="69"/>
      <c r="BS308" s="69"/>
      <c r="BT308" s="64"/>
    </row>
    <row r="309" spans="1:72" ht="12.75" customHeight="1">
      <c r="B309" s="88" t="s">
        <v>3785</v>
      </c>
      <c r="C309" s="88" t="s">
        <v>3786</v>
      </c>
      <c r="D309" s="64"/>
      <c r="E309" s="64"/>
      <c r="F309" s="67"/>
      <c r="G309" s="64"/>
      <c r="H309" s="64"/>
      <c r="I309" s="64"/>
      <c r="J309" s="64"/>
      <c r="K309" s="67"/>
      <c r="L309" s="64"/>
      <c r="M309" s="64"/>
      <c r="N309" s="64"/>
      <c r="O309" s="64"/>
      <c r="P309" s="67"/>
      <c r="Q309" s="64"/>
      <c r="R309" s="64"/>
      <c r="S309" s="64"/>
      <c r="T309" s="64"/>
      <c r="U309" s="64"/>
      <c r="V309" s="67"/>
      <c r="W309" s="64"/>
      <c r="X309" s="64"/>
      <c r="Y309" s="64"/>
      <c r="Z309" s="64"/>
      <c r="AA309" s="64"/>
      <c r="AB309" s="67"/>
      <c r="AC309" s="64"/>
      <c r="AD309" s="64"/>
      <c r="AE309" s="64"/>
      <c r="AF309" s="64"/>
      <c r="AG309" s="64"/>
      <c r="AH309" s="67"/>
      <c r="AI309" s="64"/>
      <c r="AJ309" s="64"/>
      <c r="AK309" s="64"/>
      <c r="AL309" s="64"/>
      <c r="AM309" s="64"/>
      <c r="AN309" s="67"/>
      <c r="AO309" s="64"/>
      <c r="AP309" s="64"/>
      <c r="AQ309" s="64"/>
      <c r="AR309" s="64"/>
      <c r="AS309" s="64"/>
      <c r="AT309" s="64"/>
      <c r="AU309" s="64"/>
      <c r="AV309" s="64"/>
      <c r="AW309" s="64"/>
      <c r="AX309" s="64"/>
      <c r="AY309" s="64"/>
      <c r="AZ309" s="64"/>
      <c r="BA309" s="64"/>
      <c r="BB309" s="64"/>
      <c r="BC309" s="64"/>
      <c r="BD309" s="64"/>
      <c r="BE309" s="657"/>
      <c r="BF309" s="67"/>
      <c r="BG309" s="64"/>
      <c r="BH309" s="64"/>
      <c r="BI309" s="64"/>
      <c r="BJ309" s="64"/>
      <c r="BK309" s="64"/>
      <c r="BL309" s="64"/>
      <c r="BM309" s="64"/>
      <c r="BN309" s="64"/>
      <c r="BO309" s="64"/>
      <c r="BP309" s="64"/>
      <c r="BQ309" s="64"/>
      <c r="BR309" s="69"/>
      <c r="BS309" s="69"/>
      <c r="BT309" s="64"/>
    </row>
    <row r="310" spans="1:72" ht="12.75" customHeight="1">
      <c r="B310" s="64" t="s">
        <v>3787</v>
      </c>
      <c r="C310" s="64"/>
      <c r="D310" s="64"/>
      <c r="E310" s="64"/>
      <c r="F310" s="67"/>
      <c r="G310" s="64"/>
      <c r="H310" s="64"/>
      <c r="I310" s="64"/>
      <c r="J310" s="64"/>
      <c r="K310" s="67"/>
      <c r="L310" s="64"/>
      <c r="M310" s="64"/>
      <c r="N310" s="64"/>
      <c r="O310" s="64"/>
      <c r="P310" s="67"/>
      <c r="Q310" s="64"/>
      <c r="R310" s="64"/>
      <c r="S310" s="64"/>
      <c r="T310" s="64"/>
      <c r="U310" s="64"/>
      <c r="V310" s="67"/>
      <c r="W310" s="64"/>
      <c r="X310" s="64"/>
      <c r="Y310" s="64"/>
      <c r="Z310" s="64"/>
      <c r="AA310" s="64"/>
      <c r="AB310" s="67"/>
      <c r="AC310" s="64"/>
      <c r="AD310" s="64"/>
      <c r="AE310" s="64"/>
      <c r="AF310" s="64"/>
      <c r="AG310" s="64"/>
      <c r="AH310" s="67"/>
      <c r="AI310" s="64"/>
      <c r="AJ310" s="64"/>
      <c r="AK310" s="64"/>
      <c r="AL310" s="64"/>
      <c r="AM310" s="64"/>
      <c r="AN310" s="67"/>
      <c r="AO310" s="64"/>
      <c r="AP310" s="64"/>
      <c r="AQ310" s="64"/>
      <c r="AR310" s="64"/>
      <c r="AS310" s="64"/>
      <c r="AT310" s="64"/>
      <c r="AU310" s="64"/>
      <c r="AV310" s="64"/>
      <c r="AW310" s="64"/>
      <c r="AX310" s="64"/>
      <c r="AY310" s="64"/>
      <c r="AZ310" s="64"/>
      <c r="BA310" s="64"/>
      <c r="BB310" s="64"/>
      <c r="BC310" s="64"/>
      <c r="BD310" s="64"/>
      <c r="BE310" s="657"/>
      <c r="BF310" s="67"/>
      <c r="BG310" s="64"/>
      <c r="BH310" s="64"/>
      <c r="BI310" s="64"/>
      <c r="BJ310" s="64"/>
      <c r="BK310" s="64"/>
      <c r="BL310" s="64"/>
      <c r="BM310" s="64"/>
      <c r="BN310" s="64"/>
      <c r="BO310" s="64"/>
      <c r="BP310" s="64"/>
      <c r="BQ310" s="64"/>
      <c r="BR310" s="69"/>
      <c r="BS310" s="69"/>
      <c r="BT310" s="64"/>
    </row>
    <row r="311" spans="1:72" ht="12.75" customHeight="1">
      <c r="A311" s="64"/>
      <c r="B311" s="64" t="s">
        <v>3788</v>
      </c>
      <c r="C311" s="64"/>
      <c r="D311" s="64"/>
      <c r="E311" s="64"/>
      <c r="F311" s="67"/>
      <c r="G311" s="64"/>
      <c r="H311" s="64"/>
      <c r="I311" s="64"/>
      <c r="J311" s="64"/>
      <c r="K311" s="67"/>
      <c r="L311" s="64"/>
      <c r="M311" s="64"/>
      <c r="N311" s="64"/>
      <c r="O311" s="64"/>
      <c r="P311" s="67"/>
      <c r="Q311" s="64"/>
      <c r="R311" s="64"/>
      <c r="S311" s="64"/>
      <c r="T311" s="64"/>
      <c r="U311" s="64"/>
      <c r="V311" s="67"/>
      <c r="W311" s="64"/>
      <c r="X311" s="64"/>
      <c r="Y311" s="64"/>
      <c r="Z311" s="64"/>
      <c r="AA311" s="64"/>
      <c r="AB311" s="67"/>
      <c r="AC311" s="64"/>
      <c r="AD311" s="64"/>
      <c r="AE311" s="64"/>
      <c r="AF311" s="64"/>
      <c r="AG311" s="64"/>
      <c r="AH311" s="67"/>
      <c r="AI311" s="64"/>
      <c r="AJ311" s="64"/>
      <c r="AK311" s="64"/>
      <c r="AL311" s="64"/>
      <c r="AM311" s="64"/>
      <c r="AN311" s="67"/>
      <c r="AO311" s="64"/>
      <c r="AP311" s="64"/>
      <c r="AQ311" s="64"/>
      <c r="AR311" s="64"/>
      <c r="AS311" s="64"/>
      <c r="AT311" s="64"/>
      <c r="AU311" s="64"/>
      <c r="AV311" s="64"/>
      <c r="AW311" s="64"/>
      <c r="AX311" s="64"/>
      <c r="AY311" s="64"/>
      <c r="AZ311" s="64"/>
      <c r="BA311" s="64"/>
      <c r="BB311" s="64"/>
      <c r="BC311" s="64"/>
      <c r="BD311" s="64"/>
      <c r="BE311" s="657"/>
      <c r="BF311" s="67"/>
      <c r="BG311" s="64"/>
      <c r="BH311" s="64"/>
      <c r="BI311" s="64"/>
      <c r="BJ311" s="64"/>
      <c r="BK311" s="64"/>
      <c r="BL311" s="64"/>
      <c r="BM311" s="64"/>
      <c r="BN311" s="64"/>
      <c r="BO311" s="64"/>
      <c r="BP311" s="64"/>
      <c r="BQ311" s="64"/>
      <c r="BR311" s="69"/>
      <c r="BS311" s="69"/>
      <c r="BT311" s="64"/>
    </row>
    <row r="312" spans="1:72" ht="12.75" customHeight="1">
      <c r="A312" s="64"/>
      <c r="B312" s="64" t="s">
        <v>3789</v>
      </c>
      <c r="C312" s="64"/>
      <c r="D312" s="64"/>
      <c r="E312" s="64"/>
      <c r="F312" s="67"/>
      <c r="G312" s="64"/>
      <c r="H312" s="64"/>
      <c r="I312" s="64"/>
      <c r="J312" s="64"/>
      <c r="K312" s="67"/>
      <c r="L312" s="64"/>
      <c r="M312" s="64"/>
      <c r="N312" s="64"/>
      <c r="O312" s="64"/>
      <c r="P312" s="67"/>
      <c r="Q312" s="64"/>
      <c r="R312" s="64"/>
      <c r="S312" s="64"/>
      <c r="T312" s="64"/>
      <c r="U312" s="64"/>
      <c r="V312" s="67"/>
      <c r="W312" s="64"/>
      <c r="X312" s="64"/>
      <c r="Y312" s="64"/>
      <c r="Z312" s="64"/>
      <c r="AA312" s="64"/>
      <c r="AB312" s="67"/>
      <c r="AC312" s="64"/>
      <c r="AD312" s="64"/>
      <c r="AE312" s="64"/>
      <c r="AF312" s="64"/>
      <c r="AG312" s="64"/>
      <c r="AH312" s="67"/>
      <c r="AI312" s="64"/>
      <c r="AJ312" s="64"/>
      <c r="AK312" s="64"/>
      <c r="AL312" s="64"/>
      <c r="AM312" s="64"/>
      <c r="AN312" s="67"/>
      <c r="AO312" s="64"/>
      <c r="AP312" s="64"/>
      <c r="AQ312" s="64"/>
      <c r="AR312" s="64"/>
      <c r="AS312" s="64"/>
      <c r="AT312" s="64"/>
      <c r="AU312" s="64"/>
      <c r="AV312" s="64"/>
      <c r="AW312" s="64"/>
      <c r="AX312" s="64"/>
      <c r="AY312" s="64"/>
      <c r="AZ312" s="64"/>
      <c r="BA312" s="64"/>
      <c r="BB312" s="64"/>
      <c r="BC312" s="64"/>
      <c r="BD312" s="64"/>
      <c r="BE312" s="657"/>
      <c r="BF312" s="67"/>
      <c r="BG312" s="64"/>
      <c r="BH312" s="64"/>
      <c r="BI312" s="64"/>
      <c r="BJ312" s="64"/>
      <c r="BK312" s="64"/>
      <c r="BL312" s="64"/>
      <c r="BM312" s="64"/>
      <c r="BN312" s="64"/>
      <c r="BO312" s="64"/>
      <c r="BP312" s="64"/>
      <c r="BQ312" s="64"/>
      <c r="BR312" s="69"/>
      <c r="BS312" s="69"/>
      <c r="BT312" s="64"/>
    </row>
    <row r="313" spans="1:72" ht="12.75" customHeight="1">
      <c r="A313" s="64"/>
      <c r="B313" s="64" t="s">
        <v>3790</v>
      </c>
      <c r="C313" s="64"/>
      <c r="D313" s="64"/>
      <c r="E313" s="64"/>
      <c r="F313" s="67"/>
      <c r="G313" s="64"/>
      <c r="H313" s="64"/>
      <c r="I313" s="64"/>
      <c r="J313" s="64"/>
      <c r="K313" s="67"/>
      <c r="L313" s="64"/>
      <c r="M313" s="64"/>
      <c r="N313" s="64"/>
      <c r="O313" s="64"/>
      <c r="P313" s="67"/>
      <c r="Q313" s="64"/>
      <c r="R313" s="64"/>
      <c r="S313" s="64"/>
      <c r="T313" s="64"/>
      <c r="U313" s="64"/>
      <c r="V313" s="67"/>
      <c r="W313" s="64"/>
      <c r="X313" s="64"/>
      <c r="Y313" s="64"/>
      <c r="Z313" s="64"/>
      <c r="AA313" s="64"/>
      <c r="AB313" s="67"/>
      <c r="AC313" s="64"/>
      <c r="AD313" s="64"/>
      <c r="AE313" s="64"/>
      <c r="AF313" s="64"/>
      <c r="AG313" s="64"/>
      <c r="AH313" s="67"/>
      <c r="AI313" s="64"/>
      <c r="AJ313" s="64"/>
      <c r="AK313" s="64"/>
      <c r="AL313" s="64"/>
      <c r="AM313" s="64"/>
      <c r="AN313" s="67"/>
      <c r="AO313" s="64"/>
      <c r="AP313" s="64"/>
      <c r="AQ313" s="64"/>
      <c r="AR313" s="64"/>
      <c r="AS313" s="64"/>
      <c r="AT313" s="64"/>
      <c r="AU313" s="64"/>
      <c r="AV313" s="64"/>
      <c r="AW313" s="64"/>
      <c r="AX313" s="64"/>
      <c r="AY313" s="64"/>
      <c r="AZ313" s="64"/>
      <c r="BA313" s="64"/>
      <c r="BB313" s="64"/>
      <c r="BC313" s="64"/>
      <c r="BD313" s="64"/>
      <c r="BE313" s="657"/>
      <c r="BF313" s="67"/>
      <c r="BG313" s="64"/>
      <c r="BH313" s="64"/>
      <c r="BI313" s="64"/>
      <c r="BJ313" s="64"/>
      <c r="BK313" s="64"/>
      <c r="BL313" s="64"/>
      <c r="BM313" s="64"/>
      <c r="BN313" s="64"/>
      <c r="BO313" s="64"/>
      <c r="BP313" s="64"/>
      <c r="BQ313" s="64"/>
      <c r="BR313" s="69"/>
      <c r="BS313" s="69"/>
      <c r="BT313" s="64"/>
    </row>
    <row r="314" spans="1:72" ht="12.75" customHeight="1">
      <c r="A314" s="64"/>
      <c r="B314" s="64"/>
      <c r="C314" s="64"/>
      <c r="D314" s="64"/>
      <c r="E314" s="64"/>
      <c r="F314" s="67"/>
      <c r="G314" s="64"/>
      <c r="H314" s="64"/>
      <c r="I314" s="64"/>
      <c r="J314" s="64"/>
      <c r="K314" s="67"/>
      <c r="L314" s="64"/>
      <c r="M314" s="64"/>
      <c r="N314" s="64"/>
      <c r="O314" s="64"/>
      <c r="P314" s="67"/>
      <c r="Q314" s="64"/>
      <c r="R314" s="64"/>
      <c r="S314" s="64"/>
      <c r="T314" s="64"/>
      <c r="U314" s="64"/>
      <c r="V314" s="67"/>
      <c r="W314" s="64"/>
      <c r="X314" s="64"/>
      <c r="Y314" s="64"/>
      <c r="Z314" s="64"/>
      <c r="AA314" s="64"/>
      <c r="AB314" s="67"/>
      <c r="AC314" s="64"/>
      <c r="AD314" s="64"/>
      <c r="AE314" s="64"/>
      <c r="AF314" s="64"/>
      <c r="AG314" s="64"/>
      <c r="AH314" s="67"/>
      <c r="AI314" s="64"/>
      <c r="AJ314" s="64"/>
      <c r="AK314" s="64"/>
      <c r="AL314" s="64"/>
      <c r="AM314" s="64"/>
      <c r="AN314" s="67"/>
      <c r="AO314" s="64"/>
      <c r="AP314" s="64"/>
      <c r="AQ314" s="64"/>
      <c r="AR314" s="64"/>
      <c r="AS314" s="64"/>
      <c r="AT314" s="64"/>
      <c r="AU314" s="64"/>
      <c r="AV314" s="64"/>
      <c r="AW314" s="64"/>
      <c r="AX314" s="64"/>
      <c r="AY314" s="64"/>
      <c r="AZ314" s="64"/>
      <c r="BA314" s="64"/>
      <c r="BB314" s="64"/>
      <c r="BC314" s="64"/>
      <c r="BD314" s="64"/>
      <c r="BE314" s="657"/>
      <c r="BF314" s="67"/>
      <c r="BG314" s="64"/>
      <c r="BH314" s="64"/>
      <c r="BI314" s="64"/>
      <c r="BJ314" s="64"/>
      <c r="BK314" s="64"/>
      <c r="BL314" s="64"/>
      <c r="BM314" s="64"/>
      <c r="BN314" s="64"/>
      <c r="BO314" s="64"/>
      <c r="BP314" s="64"/>
      <c r="BQ314" s="64"/>
      <c r="BR314" s="69"/>
      <c r="BS314" s="69"/>
      <c r="BT314" s="64"/>
    </row>
    <row r="315" spans="1:72" ht="12.75" customHeight="1">
      <c r="A315" s="64"/>
      <c r="B315" s="64"/>
      <c r="C315" s="64"/>
      <c r="D315" s="64"/>
      <c r="E315" s="64"/>
      <c r="F315" s="67"/>
      <c r="G315" s="64"/>
      <c r="H315" s="64"/>
      <c r="I315" s="64"/>
      <c r="J315" s="64"/>
      <c r="K315" s="67"/>
      <c r="L315" s="64"/>
      <c r="M315" s="64"/>
      <c r="N315" s="64"/>
      <c r="O315" s="64"/>
      <c r="P315" s="67"/>
      <c r="Q315" s="64"/>
      <c r="R315" s="64"/>
      <c r="S315" s="64"/>
      <c r="T315" s="64"/>
      <c r="U315" s="64"/>
      <c r="V315" s="67"/>
      <c r="W315" s="64"/>
      <c r="X315" s="64"/>
      <c r="Y315" s="64"/>
      <c r="Z315" s="64"/>
      <c r="AA315" s="64"/>
      <c r="AB315" s="67"/>
      <c r="AC315" s="64"/>
      <c r="AD315" s="64"/>
      <c r="AE315" s="64"/>
      <c r="AF315" s="64"/>
      <c r="AG315" s="64"/>
      <c r="AH315" s="67"/>
      <c r="AI315" s="64"/>
      <c r="AJ315" s="64"/>
      <c r="AK315" s="64"/>
      <c r="AL315" s="64"/>
      <c r="AM315" s="64"/>
      <c r="AN315" s="67"/>
      <c r="AO315" s="64"/>
      <c r="AP315" s="64"/>
      <c r="AQ315" s="64"/>
      <c r="AR315" s="64"/>
      <c r="AS315" s="64"/>
      <c r="AT315" s="64"/>
      <c r="AU315" s="64"/>
      <c r="AV315" s="64"/>
      <c r="AW315" s="64"/>
      <c r="AX315" s="64"/>
      <c r="AY315" s="64"/>
      <c r="AZ315" s="64"/>
      <c r="BA315" s="64"/>
      <c r="BB315" s="64"/>
      <c r="BC315" s="64"/>
      <c r="BD315" s="64"/>
      <c r="BE315" s="657"/>
      <c r="BF315" s="67"/>
      <c r="BG315" s="64"/>
      <c r="BH315" s="64"/>
      <c r="BI315" s="64"/>
      <c r="BJ315" s="64"/>
      <c r="BK315" s="64"/>
      <c r="BL315" s="64"/>
      <c r="BM315" s="64"/>
      <c r="BN315" s="64"/>
      <c r="BO315" s="64"/>
      <c r="BP315" s="64"/>
      <c r="BQ315" s="64"/>
      <c r="BR315" s="69"/>
      <c r="BS315" s="69"/>
      <c r="BT315" s="64"/>
    </row>
    <row r="316" spans="1:72" ht="12.75" customHeight="1">
      <c r="A316" s="64"/>
      <c r="B316" s="64"/>
      <c r="C316" s="64"/>
      <c r="D316" s="64"/>
      <c r="E316" s="64"/>
      <c r="F316" s="67"/>
      <c r="G316" s="64"/>
      <c r="H316" s="64"/>
      <c r="I316" s="64"/>
      <c r="J316" s="64"/>
      <c r="K316" s="67"/>
      <c r="L316" s="64"/>
      <c r="M316" s="64"/>
      <c r="N316" s="64"/>
      <c r="O316" s="64"/>
      <c r="P316" s="67"/>
      <c r="Q316" s="64"/>
      <c r="R316" s="64"/>
      <c r="S316" s="64"/>
      <c r="T316" s="64"/>
      <c r="U316" s="64"/>
      <c r="V316" s="67"/>
      <c r="W316" s="64"/>
      <c r="X316" s="64"/>
      <c r="Y316" s="64"/>
      <c r="Z316" s="64"/>
      <c r="AA316" s="64"/>
      <c r="AB316" s="67"/>
      <c r="AC316" s="64"/>
      <c r="AD316" s="64"/>
      <c r="AE316" s="64"/>
      <c r="AF316" s="64"/>
      <c r="AG316" s="64"/>
      <c r="AH316" s="67"/>
      <c r="AI316" s="64"/>
      <c r="AJ316" s="64"/>
      <c r="AK316" s="64"/>
      <c r="AL316" s="64"/>
      <c r="AM316" s="64"/>
      <c r="AN316" s="67"/>
      <c r="AO316" s="64"/>
      <c r="AP316" s="64"/>
      <c r="AQ316" s="64"/>
      <c r="AR316" s="64"/>
      <c r="AS316" s="64"/>
      <c r="AT316" s="64"/>
      <c r="AU316" s="64"/>
      <c r="AV316" s="64"/>
      <c r="AW316" s="64"/>
      <c r="AX316" s="64"/>
      <c r="AY316" s="64"/>
      <c r="AZ316" s="64"/>
      <c r="BA316" s="64"/>
      <c r="BB316" s="64"/>
      <c r="BC316" s="64"/>
      <c r="BD316" s="64"/>
      <c r="BE316" s="657"/>
      <c r="BF316" s="67"/>
      <c r="BG316" s="64"/>
      <c r="BH316" s="64"/>
      <c r="BI316" s="64"/>
      <c r="BJ316" s="64"/>
      <c r="BK316" s="64"/>
      <c r="BL316" s="64"/>
      <c r="BM316" s="64"/>
      <c r="BN316" s="64"/>
      <c r="BO316" s="64"/>
      <c r="BP316" s="64"/>
      <c r="BQ316" s="64"/>
      <c r="BR316" s="69"/>
      <c r="BS316" s="69"/>
      <c r="BT316" s="64"/>
    </row>
    <row r="317" spans="1:72" ht="12.75" customHeight="1">
      <c r="A317" s="64"/>
      <c r="B317" s="64"/>
      <c r="C317" s="64"/>
      <c r="D317" s="64"/>
      <c r="E317" s="64"/>
      <c r="F317" s="67"/>
      <c r="G317" s="64"/>
      <c r="H317" s="64"/>
      <c r="I317" s="64"/>
      <c r="J317" s="64"/>
      <c r="K317" s="67"/>
      <c r="L317" s="64"/>
      <c r="M317" s="64"/>
      <c r="N317" s="64"/>
      <c r="O317" s="64"/>
      <c r="P317" s="67"/>
      <c r="Q317" s="64"/>
      <c r="R317" s="64"/>
      <c r="S317" s="64"/>
      <c r="T317" s="64"/>
      <c r="U317" s="64"/>
      <c r="V317" s="67"/>
      <c r="W317" s="64"/>
      <c r="X317" s="64"/>
      <c r="Y317" s="64"/>
      <c r="Z317" s="64"/>
      <c r="AA317" s="64"/>
      <c r="AB317" s="67"/>
      <c r="AC317" s="64"/>
      <c r="AD317" s="64"/>
      <c r="AE317" s="64"/>
      <c r="AF317" s="64"/>
      <c r="AG317" s="64"/>
      <c r="AH317" s="67"/>
      <c r="AI317" s="64"/>
      <c r="AJ317" s="64"/>
      <c r="AK317" s="64"/>
      <c r="AL317" s="64"/>
      <c r="AM317" s="64"/>
      <c r="AN317" s="67"/>
      <c r="AO317" s="64"/>
      <c r="AP317" s="64"/>
      <c r="AQ317" s="64"/>
      <c r="AR317" s="64"/>
      <c r="AS317" s="64"/>
      <c r="AT317" s="64"/>
      <c r="AU317" s="64"/>
      <c r="AV317" s="64"/>
      <c r="AW317" s="64"/>
      <c r="AX317" s="64"/>
      <c r="AY317" s="64"/>
      <c r="AZ317" s="64"/>
      <c r="BA317" s="64"/>
      <c r="BB317" s="64"/>
      <c r="BC317" s="64"/>
      <c r="BD317" s="64"/>
      <c r="BE317" s="657"/>
      <c r="BF317" s="67"/>
      <c r="BG317" s="64"/>
      <c r="BH317" s="64"/>
      <c r="BI317" s="64"/>
      <c r="BJ317" s="64"/>
      <c r="BK317" s="64"/>
      <c r="BL317" s="64"/>
      <c r="BM317" s="64"/>
      <c r="BN317" s="64"/>
      <c r="BO317" s="64"/>
      <c r="BP317" s="64"/>
      <c r="BQ317" s="64"/>
      <c r="BR317" s="69"/>
      <c r="BS317" s="69"/>
      <c r="BT317" s="64"/>
    </row>
    <row r="318" spans="1:72" ht="12.75" customHeight="1">
      <c r="A318" s="64"/>
      <c r="B318" s="64"/>
      <c r="C318" s="64"/>
      <c r="D318" s="64"/>
      <c r="E318" s="64"/>
      <c r="F318" s="67"/>
      <c r="G318" s="64"/>
      <c r="H318" s="64"/>
      <c r="I318" s="64"/>
      <c r="J318" s="64"/>
      <c r="K318" s="67"/>
      <c r="L318" s="64"/>
      <c r="M318" s="64"/>
      <c r="N318" s="64"/>
      <c r="O318" s="64"/>
      <c r="P318" s="67"/>
      <c r="Q318" s="64"/>
      <c r="R318" s="64"/>
      <c r="S318" s="64"/>
      <c r="T318" s="64"/>
      <c r="U318" s="64"/>
      <c r="V318" s="67"/>
      <c r="W318" s="64"/>
      <c r="X318" s="64"/>
      <c r="Y318" s="64"/>
      <c r="Z318" s="64"/>
      <c r="AA318" s="64"/>
      <c r="AB318" s="67"/>
      <c r="AC318" s="64"/>
      <c r="AD318" s="64"/>
      <c r="AE318" s="64"/>
      <c r="AF318" s="64"/>
      <c r="AG318" s="64"/>
      <c r="AH318" s="67"/>
      <c r="AI318" s="64"/>
      <c r="AJ318" s="64"/>
      <c r="AK318" s="64"/>
      <c r="AL318" s="64"/>
      <c r="AM318" s="64"/>
      <c r="AN318" s="67"/>
      <c r="AO318" s="64"/>
      <c r="AP318" s="64"/>
      <c r="AQ318" s="64"/>
      <c r="AR318" s="64"/>
      <c r="AS318" s="64"/>
      <c r="AT318" s="64"/>
      <c r="AU318" s="64"/>
      <c r="AV318" s="64"/>
      <c r="AW318" s="64"/>
      <c r="AX318" s="64"/>
      <c r="AY318" s="64"/>
      <c r="AZ318" s="64"/>
      <c r="BA318" s="64"/>
      <c r="BB318" s="64"/>
      <c r="BC318" s="64"/>
      <c r="BD318" s="64"/>
      <c r="BE318" s="657"/>
      <c r="BF318" s="67"/>
      <c r="BG318" s="64"/>
      <c r="BH318" s="64"/>
      <c r="BI318" s="64"/>
      <c r="BJ318" s="64"/>
      <c r="BK318" s="64"/>
      <c r="BL318" s="64"/>
      <c r="BM318" s="64"/>
      <c r="BN318" s="64"/>
      <c r="BO318" s="64"/>
      <c r="BP318" s="64"/>
      <c r="BQ318" s="64"/>
      <c r="BR318" s="69"/>
      <c r="BS318" s="69"/>
      <c r="BT318" s="64"/>
    </row>
    <row r="319" spans="1:72" ht="12.75" customHeight="1">
      <c r="A319" s="64"/>
      <c r="B319" s="64"/>
      <c r="C319" s="64"/>
      <c r="D319" s="64"/>
      <c r="E319" s="64"/>
      <c r="F319" s="67"/>
      <c r="G319" s="64"/>
      <c r="H319" s="64"/>
      <c r="I319" s="64"/>
      <c r="J319" s="64"/>
      <c r="K319" s="67"/>
      <c r="L319" s="64"/>
      <c r="M319" s="64"/>
      <c r="N319" s="64"/>
      <c r="O319" s="64"/>
      <c r="P319" s="67"/>
      <c r="Q319" s="64"/>
      <c r="R319" s="64"/>
      <c r="S319" s="64"/>
      <c r="T319" s="64"/>
      <c r="U319" s="64"/>
      <c r="V319" s="67"/>
      <c r="W319" s="64"/>
      <c r="X319" s="64"/>
      <c r="Y319" s="64"/>
      <c r="Z319" s="64"/>
      <c r="AA319" s="64"/>
      <c r="AB319" s="67"/>
      <c r="AC319" s="64"/>
      <c r="AD319" s="64"/>
      <c r="AE319" s="64"/>
      <c r="AF319" s="64"/>
      <c r="AG319" s="64"/>
      <c r="AH319" s="67"/>
      <c r="AI319" s="64"/>
      <c r="AJ319" s="64"/>
      <c r="AK319" s="64"/>
      <c r="AL319" s="64"/>
      <c r="AM319" s="64"/>
      <c r="AN319" s="67"/>
      <c r="AO319" s="64"/>
      <c r="AP319" s="64"/>
      <c r="AQ319" s="64"/>
      <c r="AR319" s="64"/>
      <c r="AS319" s="64"/>
      <c r="AT319" s="64"/>
      <c r="AU319" s="64"/>
      <c r="AV319" s="64"/>
      <c r="AW319" s="64"/>
      <c r="AX319" s="64"/>
      <c r="AY319" s="64"/>
      <c r="AZ319" s="64"/>
      <c r="BA319" s="64"/>
      <c r="BB319" s="64"/>
      <c r="BC319" s="64"/>
      <c r="BD319" s="64"/>
      <c r="BE319" s="657"/>
      <c r="BF319" s="67"/>
      <c r="BG319" s="64"/>
      <c r="BH319" s="64"/>
      <c r="BI319" s="64"/>
      <c r="BJ319" s="64"/>
      <c r="BK319" s="64"/>
      <c r="BL319" s="64"/>
      <c r="BM319" s="64"/>
      <c r="BN319" s="64"/>
      <c r="BO319" s="64"/>
      <c r="BP319" s="64"/>
      <c r="BQ319" s="64"/>
      <c r="BR319" s="69"/>
      <c r="BS319" s="69"/>
      <c r="BT319" s="64"/>
    </row>
    <row r="320" spans="1:72" ht="12.75" customHeight="1">
      <c r="A320" s="64"/>
      <c r="B320" s="64"/>
      <c r="C320" s="64"/>
      <c r="D320" s="64"/>
      <c r="E320" s="64"/>
      <c r="F320" s="67"/>
      <c r="G320" s="64"/>
      <c r="H320" s="64"/>
      <c r="I320" s="64"/>
      <c r="J320" s="64"/>
      <c r="K320" s="67"/>
      <c r="L320" s="64"/>
      <c r="M320" s="64"/>
      <c r="N320" s="64"/>
      <c r="O320" s="64"/>
      <c r="P320" s="67"/>
      <c r="Q320" s="64"/>
      <c r="R320" s="64"/>
      <c r="S320" s="64"/>
      <c r="T320" s="64"/>
      <c r="U320" s="64"/>
      <c r="V320" s="67"/>
      <c r="W320" s="64"/>
      <c r="X320" s="64"/>
      <c r="Y320" s="64"/>
      <c r="Z320" s="64"/>
      <c r="AA320" s="64"/>
      <c r="AB320" s="67"/>
      <c r="AC320" s="64"/>
      <c r="AD320" s="64"/>
      <c r="AE320" s="64"/>
      <c r="AF320" s="64"/>
      <c r="AG320" s="64"/>
      <c r="AH320" s="67"/>
      <c r="AI320" s="64"/>
      <c r="AJ320" s="64"/>
      <c r="AK320" s="64"/>
      <c r="AL320" s="64"/>
      <c r="AM320" s="64"/>
      <c r="AN320" s="67"/>
      <c r="AO320" s="64"/>
      <c r="AP320" s="64"/>
      <c r="AQ320" s="64"/>
      <c r="AR320" s="64"/>
      <c r="AS320" s="64"/>
      <c r="AT320" s="64"/>
      <c r="AU320" s="64"/>
      <c r="AV320" s="64"/>
      <c r="AW320" s="64"/>
      <c r="AX320" s="64"/>
      <c r="AY320" s="64"/>
      <c r="AZ320" s="64"/>
      <c r="BA320" s="64"/>
      <c r="BB320" s="64"/>
      <c r="BC320" s="64"/>
      <c r="BD320" s="64"/>
      <c r="BE320" s="657"/>
      <c r="BF320" s="67"/>
      <c r="BG320" s="64"/>
      <c r="BH320" s="64"/>
      <c r="BI320" s="64"/>
      <c r="BJ320" s="64"/>
      <c r="BK320" s="64"/>
      <c r="BL320" s="64"/>
      <c r="BM320" s="64"/>
      <c r="BN320" s="64"/>
      <c r="BO320" s="64"/>
      <c r="BP320" s="64"/>
      <c r="BQ320" s="64"/>
      <c r="BR320" s="69"/>
      <c r="BS320" s="69"/>
      <c r="BT320" s="64"/>
    </row>
    <row r="321" spans="1:72" ht="12.75" customHeight="1">
      <c r="A321" s="64"/>
      <c r="B321" s="64"/>
      <c r="C321" s="64"/>
      <c r="D321" s="64"/>
      <c r="E321" s="64"/>
      <c r="F321" s="67"/>
      <c r="G321" s="64"/>
      <c r="H321" s="64"/>
      <c r="I321" s="64"/>
      <c r="J321" s="64"/>
      <c r="K321" s="67"/>
      <c r="L321" s="64"/>
      <c r="M321" s="64"/>
      <c r="N321" s="64"/>
      <c r="O321" s="64"/>
      <c r="P321" s="67"/>
      <c r="Q321" s="64"/>
      <c r="R321" s="64"/>
      <c r="S321" s="64"/>
      <c r="T321" s="64"/>
      <c r="U321" s="64"/>
      <c r="V321" s="67"/>
      <c r="W321" s="64"/>
      <c r="X321" s="64"/>
      <c r="Y321" s="64"/>
      <c r="Z321" s="64"/>
      <c r="AA321" s="64"/>
      <c r="AB321" s="67"/>
      <c r="AC321" s="64"/>
      <c r="AD321" s="64"/>
      <c r="AE321" s="64"/>
      <c r="AF321" s="64"/>
      <c r="AG321" s="64"/>
      <c r="AH321" s="67"/>
      <c r="AI321" s="64"/>
      <c r="AJ321" s="64"/>
      <c r="AK321" s="64"/>
      <c r="AL321" s="64"/>
      <c r="AM321" s="64"/>
      <c r="AN321" s="67"/>
      <c r="AO321" s="64"/>
      <c r="AP321" s="64"/>
      <c r="AQ321" s="64"/>
      <c r="AR321" s="64"/>
      <c r="AS321" s="64"/>
      <c r="AT321" s="64"/>
      <c r="AU321" s="64"/>
      <c r="AV321" s="64"/>
      <c r="AW321" s="64"/>
      <c r="AX321" s="64"/>
      <c r="AY321" s="64"/>
      <c r="AZ321" s="64"/>
      <c r="BA321" s="64"/>
      <c r="BB321" s="64"/>
      <c r="BC321" s="64"/>
      <c r="BD321" s="64"/>
      <c r="BE321" s="657"/>
      <c r="BF321" s="67"/>
      <c r="BG321" s="64"/>
      <c r="BH321" s="64"/>
      <c r="BI321" s="64"/>
      <c r="BJ321" s="64"/>
      <c r="BK321" s="64"/>
      <c r="BL321" s="64"/>
      <c r="BM321" s="64"/>
      <c r="BN321" s="64"/>
      <c r="BO321" s="64"/>
      <c r="BP321" s="64"/>
      <c r="BQ321" s="64"/>
      <c r="BR321" s="69"/>
      <c r="BS321" s="69"/>
      <c r="BT321" s="64"/>
    </row>
    <row r="322" spans="1:72" ht="12.75" customHeight="1">
      <c r="A322" s="64"/>
      <c r="B322" s="64"/>
      <c r="C322" s="64"/>
      <c r="D322" s="64"/>
      <c r="E322" s="64"/>
      <c r="F322" s="67"/>
      <c r="G322" s="64"/>
      <c r="H322" s="64"/>
      <c r="I322" s="64"/>
      <c r="J322" s="64"/>
      <c r="K322" s="67"/>
      <c r="L322" s="64"/>
      <c r="M322" s="64"/>
      <c r="N322" s="64"/>
      <c r="O322" s="64"/>
      <c r="P322" s="67"/>
      <c r="Q322" s="64"/>
      <c r="R322" s="64"/>
      <c r="S322" s="64"/>
      <c r="T322" s="64"/>
      <c r="U322" s="64"/>
      <c r="V322" s="67"/>
      <c r="W322" s="64"/>
      <c r="X322" s="64"/>
      <c r="Y322" s="64"/>
      <c r="Z322" s="64"/>
      <c r="AA322" s="64"/>
      <c r="AB322" s="67"/>
      <c r="AC322" s="64"/>
      <c r="AD322" s="64"/>
      <c r="AE322" s="64"/>
      <c r="AF322" s="64"/>
      <c r="AG322" s="64"/>
      <c r="AH322" s="67"/>
      <c r="AI322" s="64"/>
      <c r="AJ322" s="64"/>
      <c r="AK322" s="64"/>
      <c r="AL322" s="64"/>
      <c r="AM322" s="64"/>
      <c r="AN322" s="67"/>
      <c r="AO322" s="64"/>
      <c r="AP322" s="64"/>
      <c r="AQ322" s="64"/>
      <c r="AR322" s="64"/>
      <c r="AS322" s="64"/>
      <c r="AT322" s="64"/>
      <c r="AU322" s="64"/>
      <c r="AV322" s="64"/>
      <c r="AW322" s="64"/>
      <c r="AX322" s="64"/>
      <c r="AY322" s="64"/>
      <c r="AZ322" s="64"/>
      <c r="BA322" s="64"/>
      <c r="BB322" s="64"/>
      <c r="BC322" s="64"/>
      <c r="BD322" s="64"/>
      <c r="BE322" s="657"/>
      <c r="BF322" s="67"/>
      <c r="BG322" s="64"/>
      <c r="BH322" s="64"/>
      <c r="BI322" s="64"/>
      <c r="BJ322" s="64"/>
      <c r="BK322" s="64"/>
      <c r="BL322" s="64"/>
      <c r="BM322" s="64"/>
      <c r="BN322" s="64"/>
      <c r="BO322" s="64"/>
      <c r="BP322" s="64"/>
      <c r="BQ322" s="64"/>
      <c r="BR322" s="69"/>
      <c r="BS322" s="69"/>
      <c r="BT322" s="64"/>
    </row>
    <row r="323" spans="1:72" ht="12.75" customHeight="1">
      <c r="A323" s="64"/>
      <c r="B323" s="64"/>
      <c r="C323" s="64"/>
      <c r="D323" s="64"/>
      <c r="E323" s="64"/>
      <c r="F323" s="67"/>
      <c r="G323" s="64"/>
      <c r="H323" s="64"/>
      <c r="I323" s="64"/>
      <c r="J323" s="64"/>
      <c r="K323" s="67"/>
      <c r="L323" s="64"/>
      <c r="M323" s="64"/>
      <c r="N323" s="64"/>
      <c r="O323" s="64"/>
      <c r="P323" s="67"/>
      <c r="Q323" s="64"/>
      <c r="R323" s="64"/>
      <c r="S323" s="64"/>
      <c r="T323" s="64"/>
      <c r="U323" s="64"/>
      <c r="V323" s="67"/>
      <c r="W323" s="64"/>
      <c r="X323" s="64"/>
      <c r="Y323" s="64"/>
      <c r="Z323" s="64"/>
      <c r="AA323" s="64"/>
      <c r="AB323" s="67"/>
      <c r="AC323" s="64"/>
      <c r="AD323" s="64"/>
      <c r="AE323" s="64"/>
      <c r="AF323" s="64"/>
      <c r="AG323" s="64"/>
      <c r="AH323" s="67"/>
      <c r="AI323" s="64"/>
      <c r="AJ323" s="64"/>
      <c r="AK323" s="64"/>
      <c r="AL323" s="64"/>
      <c r="AM323" s="64"/>
      <c r="AN323" s="67"/>
      <c r="AO323" s="64"/>
      <c r="AP323" s="64"/>
      <c r="AQ323" s="64"/>
      <c r="AR323" s="64"/>
      <c r="AS323" s="64"/>
      <c r="AT323" s="64"/>
      <c r="AU323" s="64"/>
      <c r="AV323" s="64"/>
      <c r="AW323" s="64"/>
      <c r="AX323" s="64"/>
      <c r="AY323" s="64"/>
      <c r="AZ323" s="64"/>
      <c r="BA323" s="64"/>
      <c r="BB323" s="64"/>
      <c r="BC323" s="64"/>
      <c r="BD323" s="64"/>
      <c r="BE323" s="657"/>
      <c r="BF323" s="67"/>
      <c r="BG323" s="64"/>
      <c r="BH323" s="64"/>
      <c r="BI323" s="64"/>
      <c r="BJ323" s="64"/>
      <c r="BK323" s="64"/>
      <c r="BL323" s="64"/>
      <c r="BM323" s="64"/>
      <c r="BN323" s="64"/>
      <c r="BO323" s="64"/>
      <c r="BP323" s="64"/>
      <c r="BQ323" s="64"/>
      <c r="BR323" s="69"/>
      <c r="BS323" s="69"/>
      <c r="BT323" s="64"/>
    </row>
    <row r="324" spans="1:72" ht="12.75" customHeight="1">
      <c r="A324" s="64"/>
      <c r="B324" s="64"/>
      <c r="C324" s="64"/>
      <c r="D324" s="64"/>
      <c r="E324" s="64"/>
      <c r="F324" s="67"/>
      <c r="G324" s="64"/>
      <c r="H324" s="64"/>
      <c r="I324" s="64"/>
      <c r="J324" s="64"/>
      <c r="K324" s="67"/>
      <c r="L324" s="64"/>
      <c r="M324" s="64"/>
      <c r="N324" s="64"/>
      <c r="O324" s="64"/>
      <c r="P324" s="67"/>
      <c r="Q324" s="64"/>
      <c r="R324" s="64"/>
      <c r="S324" s="64"/>
      <c r="T324" s="64"/>
      <c r="U324" s="64"/>
      <c r="V324" s="67"/>
      <c r="W324" s="64"/>
      <c r="X324" s="64"/>
      <c r="Y324" s="64"/>
      <c r="Z324" s="64"/>
      <c r="AA324" s="64"/>
      <c r="AB324" s="67"/>
      <c r="AC324" s="64"/>
      <c r="AD324" s="64"/>
      <c r="AE324" s="64"/>
      <c r="AF324" s="64"/>
      <c r="AG324" s="64"/>
      <c r="AH324" s="67"/>
      <c r="AI324" s="64"/>
      <c r="AJ324" s="64"/>
      <c r="AK324" s="64"/>
      <c r="AL324" s="64"/>
      <c r="AM324" s="64"/>
      <c r="AN324" s="67"/>
      <c r="AO324" s="64"/>
      <c r="AP324" s="64"/>
      <c r="AQ324" s="64"/>
      <c r="AR324" s="64"/>
      <c r="AS324" s="64"/>
      <c r="AT324" s="64"/>
      <c r="AU324" s="64"/>
      <c r="AV324" s="64"/>
      <c r="AW324" s="64"/>
      <c r="AX324" s="64"/>
      <c r="AY324" s="64"/>
      <c r="AZ324" s="64"/>
      <c r="BA324" s="64"/>
      <c r="BB324" s="64"/>
      <c r="BC324" s="64"/>
      <c r="BD324" s="64"/>
      <c r="BE324" s="657"/>
      <c r="BF324" s="67"/>
      <c r="BG324" s="64"/>
      <c r="BH324" s="64"/>
      <c r="BI324" s="64"/>
      <c r="BJ324" s="64"/>
      <c r="BK324" s="64"/>
      <c r="BL324" s="64"/>
      <c r="BM324" s="64"/>
      <c r="BN324" s="64"/>
      <c r="BO324" s="64"/>
      <c r="BP324" s="64"/>
      <c r="BQ324" s="64"/>
      <c r="BR324" s="69"/>
      <c r="BS324" s="69"/>
      <c r="BT324" s="64"/>
    </row>
    <row r="325" spans="1:72" ht="12.75" customHeight="1">
      <c r="A325" s="64"/>
      <c r="B325" s="64"/>
      <c r="C325" s="64"/>
      <c r="D325" s="64"/>
      <c r="E325" s="64"/>
      <c r="F325" s="67"/>
      <c r="G325" s="64"/>
      <c r="H325" s="64"/>
      <c r="I325" s="64"/>
      <c r="J325" s="64"/>
      <c r="K325" s="67"/>
      <c r="L325" s="64"/>
      <c r="M325" s="64"/>
      <c r="N325" s="64"/>
      <c r="O325" s="64"/>
      <c r="P325" s="67"/>
      <c r="Q325" s="64"/>
      <c r="R325" s="64"/>
      <c r="S325" s="64"/>
      <c r="T325" s="64"/>
      <c r="U325" s="64"/>
      <c r="V325" s="67"/>
      <c r="W325" s="64"/>
      <c r="X325" s="64"/>
      <c r="Y325" s="64"/>
      <c r="Z325" s="64"/>
      <c r="AA325" s="64"/>
      <c r="AB325" s="67"/>
      <c r="AC325" s="64"/>
      <c r="AD325" s="64"/>
      <c r="AE325" s="64"/>
      <c r="AF325" s="64"/>
      <c r="AG325" s="64"/>
      <c r="AH325" s="67"/>
      <c r="AI325" s="64"/>
      <c r="AJ325" s="64"/>
      <c r="AK325" s="64"/>
      <c r="AL325" s="64"/>
      <c r="AM325" s="64"/>
      <c r="AN325" s="67"/>
      <c r="AO325" s="64"/>
      <c r="AP325" s="64"/>
      <c r="AQ325" s="64"/>
      <c r="AR325" s="64"/>
      <c r="AS325" s="64"/>
      <c r="AT325" s="64"/>
      <c r="AU325" s="64"/>
      <c r="AV325" s="64"/>
      <c r="AW325" s="64"/>
      <c r="AX325" s="64"/>
      <c r="AY325" s="64"/>
      <c r="AZ325" s="64"/>
      <c r="BA325" s="64"/>
      <c r="BB325" s="64"/>
      <c r="BC325" s="64"/>
      <c r="BD325" s="64"/>
      <c r="BE325" s="657"/>
      <c r="BF325" s="67"/>
      <c r="BG325" s="64"/>
      <c r="BH325" s="64"/>
      <c r="BI325" s="64"/>
      <c r="BJ325" s="64"/>
      <c r="BK325" s="64"/>
      <c r="BL325" s="64"/>
      <c r="BM325" s="64"/>
      <c r="BN325" s="64"/>
      <c r="BO325" s="64"/>
      <c r="BP325" s="64"/>
      <c r="BQ325" s="64"/>
      <c r="BR325" s="69"/>
      <c r="BS325" s="69"/>
      <c r="BT325" s="64"/>
    </row>
    <row r="326" spans="1:72" ht="12.75" customHeight="1">
      <c r="A326" s="64"/>
      <c r="B326" s="64"/>
      <c r="C326" s="64"/>
      <c r="D326" s="64"/>
      <c r="E326" s="64"/>
      <c r="F326" s="67"/>
      <c r="G326" s="64"/>
      <c r="H326" s="64"/>
      <c r="I326" s="64"/>
      <c r="J326" s="64"/>
      <c r="K326" s="67"/>
      <c r="L326" s="64"/>
      <c r="M326" s="64"/>
      <c r="N326" s="64"/>
      <c r="O326" s="64"/>
      <c r="P326" s="67"/>
      <c r="Q326" s="64"/>
      <c r="R326" s="64"/>
      <c r="S326" s="64"/>
      <c r="T326" s="64"/>
      <c r="U326" s="64"/>
      <c r="V326" s="67"/>
      <c r="W326" s="64"/>
      <c r="X326" s="64"/>
      <c r="Y326" s="64"/>
      <c r="Z326" s="64"/>
      <c r="AA326" s="64"/>
      <c r="AB326" s="67"/>
      <c r="AC326" s="64"/>
      <c r="AD326" s="64"/>
      <c r="AE326" s="64"/>
      <c r="AF326" s="64"/>
      <c r="AG326" s="64"/>
      <c r="AH326" s="67"/>
      <c r="AI326" s="64"/>
      <c r="AJ326" s="64"/>
      <c r="AK326" s="64"/>
      <c r="AL326" s="64"/>
      <c r="AM326" s="64"/>
      <c r="AN326" s="67"/>
      <c r="AO326" s="64"/>
      <c r="AP326" s="64"/>
      <c r="AQ326" s="64"/>
      <c r="AR326" s="64"/>
      <c r="AS326" s="64"/>
      <c r="AT326" s="64"/>
      <c r="AU326" s="64"/>
      <c r="AV326" s="64"/>
      <c r="AW326" s="64"/>
      <c r="AX326" s="64"/>
      <c r="AY326" s="64"/>
      <c r="AZ326" s="64"/>
      <c r="BA326" s="64"/>
      <c r="BB326" s="64"/>
      <c r="BC326" s="64"/>
      <c r="BD326" s="64"/>
      <c r="BE326" s="657"/>
      <c r="BF326" s="67"/>
      <c r="BG326" s="64"/>
      <c r="BH326" s="64"/>
      <c r="BI326" s="64"/>
      <c r="BJ326" s="64"/>
      <c r="BK326" s="64"/>
      <c r="BL326" s="64"/>
      <c r="BM326" s="64"/>
      <c r="BN326" s="64"/>
      <c r="BO326" s="64"/>
      <c r="BP326" s="64"/>
      <c r="BQ326" s="64"/>
      <c r="BR326" s="69"/>
      <c r="BS326" s="69"/>
      <c r="BT326" s="64"/>
    </row>
    <row r="327" spans="1:72" ht="12.75" customHeight="1">
      <c r="A327" s="64"/>
      <c r="B327" s="64"/>
      <c r="C327" s="64"/>
      <c r="D327" s="64"/>
      <c r="E327" s="64"/>
      <c r="F327" s="67"/>
      <c r="G327" s="64"/>
      <c r="H327" s="64"/>
      <c r="I327" s="64"/>
      <c r="J327" s="64"/>
      <c r="K327" s="67"/>
      <c r="L327" s="64"/>
      <c r="M327" s="64"/>
      <c r="N327" s="64"/>
      <c r="O327" s="64"/>
      <c r="P327" s="67"/>
      <c r="Q327" s="64"/>
      <c r="R327" s="64"/>
      <c r="S327" s="64"/>
      <c r="T327" s="64"/>
      <c r="U327" s="64"/>
      <c r="V327" s="67"/>
      <c r="W327" s="64"/>
      <c r="X327" s="64"/>
      <c r="Y327" s="64"/>
      <c r="Z327" s="64"/>
      <c r="AA327" s="64"/>
      <c r="AB327" s="67"/>
      <c r="AC327" s="64"/>
      <c r="AD327" s="64"/>
      <c r="AE327" s="64"/>
      <c r="AF327" s="64"/>
      <c r="AG327" s="64"/>
      <c r="AH327" s="67"/>
      <c r="AI327" s="64"/>
      <c r="AJ327" s="64"/>
      <c r="AK327" s="64"/>
      <c r="AL327" s="64"/>
      <c r="AM327" s="64"/>
      <c r="AN327" s="67"/>
      <c r="AO327" s="64"/>
      <c r="AP327" s="64"/>
      <c r="AQ327" s="64"/>
      <c r="AR327" s="64"/>
      <c r="AS327" s="64"/>
      <c r="AT327" s="64"/>
      <c r="AU327" s="64"/>
      <c r="AV327" s="64"/>
      <c r="AW327" s="64"/>
      <c r="AX327" s="64"/>
      <c r="AY327" s="64"/>
      <c r="AZ327" s="64"/>
      <c r="BA327" s="64"/>
      <c r="BB327" s="64"/>
      <c r="BC327" s="64"/>
      <c r="BD327" s="64"/>
      <c r="BE327" s="657"/>
      <c r="BF327" s="67"/>
      <c r="BG327" s="64"/>
      <c r="BH327" s="64"/>
      <c r="BI327" s="64"/>
      <c r="BJ327" s="64"/>
      <c r="BK327" s="64"/>
      <c r="BL327" s="64"/>
      <c r="BM327" s="64"/>
      <c r="BN327" s="64"/>
      <c r="BO327" s="64"/>
      <c r="BP327" s="64"/>
      <c r="BQ327" s="64"/>
      <c r="BR327" s="69"/>
      <c r="BS327" s="69"/>
      <c r="BT327" s="64"/>
    </row>
    <row r="328" spans="1:72" ht="12.75" customHeight="1">
      <c r="A328" s="64"/>
      <c r="B328" s="64"/>
      <c r="C328" s="64"/>
      <c r="D328" s="64"/>
      <c r="E328" s="64"/>
      <c r="F328" s="67"/>
      <c r="G328" s="64"/>
      <c r="H328" s="64"/>
      <c r="I328" s="64"/>
      <c r="J328" s="64"/>
      <c r="K328" s="67"/>
      <c r="L328" s="64"/>
      <c r="M328" s="64"/>
      <c r="N328" s="64"/>
      <c r="O328" s="64"/>
      <c r="P328" s="67"/>
      <c r="Q328" s="64"/>
      <c r="R328" s="64"/>
      <c r="S328" s="64"/>
      <c r="T328" s="64"/>
      <c r="U328" s="64"/>
      <c r="V328" s="67"/>
      <c r="W328" s="64"/>
      <c r="X328" s="64"/>
      <c r="Y328" s="64"/>
      <c r="Z328" s="64"/>
      <c r="AA328" s="64"/>
      <c r="AB328" s="67"/>
      <c r="AC328" s="64"/>
      <c r="AD328" s="64"/>
      <c r="AE328" s="64"/>
      <c r="AF328" s="64"/>
      <c r="AG328" s="64"/>
      <c r="AH328" s="67"/>
      <c r="AI328" s="64"/>
      <c r="AJ328" s="64"/>
      <c r="AK328" s="64"/>
      <c r="AL328" s="64"/>
      <c r="AM328" s="64"/>
      <c r="AN328" s="67"/>
      <c r="AO328" s="64"/>
      <c r="AP328" s="64"/>
      <c r="AQ328" s="64"/>
      <c r="AR328" s="64"/>
      <c r="AS328" s="64"/>
      <c r="AT328" s="64"/>
      <c r="AU328" s="64"/>
      <c r="AV328" s="64"/>
      <c r="AW328" s="64"/>
      <c r="AX328" s="64"/>
      <c r="AY328" s="64"/>
      <c r="AZ328" s="64"/>
      <c r="BA328" s="64"/>
      <c r="BB328" s="64"/>
      <c r="BC328" s="64"/>
      <c r="BD328" s="64"/>
      <c r="BE328" s="657"/>
      <c r="BF328" s="67"/>
      <c r="BG328" s="64"/>
      <c r="BH328" s="64"/>
      <c r="BI328" s="64"/>
      <c r="BJ328" s="64"/>
      <c r="BK328" s="64"/>
      <c r="BL328" s="64"/>
      <c r="BM328" s="64"/>
      <c r="BN328" s="64"/>
      <c r="BO328" s="64"/>
      <c r="BP328" s="64"/>
      <c r="BQ328" s="64"/>
      <c r="BR328" s="69"/>
      <c r="BS328" s="69"/>
      <c r="BT328" s="64"/>
    </row>
    <row r="329" spans="1:72" ht="12.75" customHeight="1">
      <c r="A329" s="64"/>
      <c r="B329" s="64"/>
      <c r="C329" s="64"/>
      <c r="D329" s="64"/>
      <c r="E329" s="64"/>
      <c r="F329" s="67"/>
      <c r="G329" s="64"/>
      <c r="H329" s="64"/>
      <c r="I329" s="64"/>
      <c r="J329" s="64"/>
      <c r="K329" s="67"/>
      <c r="L329" s="64"/>
      <c r="M329" s="64"/>
      <c r="N329" s="64"/>
      <c r="O329" s="64"/>
      <c r="P329" s="67"/>
      <c r="Q329" s="64"/>
      <c r="R329" s="64"/>
      <c r="S329" s="64"/>
      <c r="T329" s="64"/>
      <c r="U329" s="64"/>
      <c r="V329" s="67"/>
      <c r="W329" s="64"/>
      <c r="X329" s="64"/>
      <c r="Y329" s="64"/>
      <c r="Z329" s="64"/>
      <c r="AA329" s="64"/>
      <c r="AB329" s="67"/>
      <c r="AC329" s="64"/>
      <c r="AD329" s="64"/>
      <c r="AE329" s="64"/>
      <c r="AF329" s="64"/>
      <c r="AG329" s="64"/>
      <c r="AH329" s="67"/>
      <c r="AI329" s="64"/>
      <c r="AJ329" s="64"/>
      <c r="AK329" s="64"/>
      <c r="AL329" s="64"/>
      <c r="AM329" s="64"/>
      <c r="AN329" s="67"/>
      <c r="AO329" s="64"/>
      <c r="AP329" s="64"/>
      <c r="AQ329" s="64"/>
      <c r="AR329" s="64"/>
      <c r="AS329" s="64"/>
      <c r="AT329" s="64"/>
      <c r="AU329" s="64"/>
      <c r="AV329" s="64"/>
      <c r="AW329" s="64"/>
      <c r="AX329" s="64"/>
      <c r="AY329" s="64"/>
      <c r="AZ329" s="64"/>
      <c r="BA329" s="64"/>
      <c r="BB329" s="64"/>
      <c r="BC329" s="64"/>
      <c r="BD329" s="64"/>
      <c r="BE329" s="657"/>
      <c r="BF329" s="67"/>
      <c r="BG329" s="64"/>
      <c r="BH329" s="64"/>
      <c r="BI329" s="64"/>
      <c r="BJ329" s="64"/>
      <c r="BK329" s="64"/>
      <c r="BL329" s="64"/>
      <c r="BM329" s="64"/>
      <c r="BN329" s="64"/>
      <c r="BO329" s="64"/>
      <c r="BP329" s="64"/>
      <c r="BQ329" s="64"/>
      <c r="BR329" s="69"/>
      <c r="BS329" s="69"/>
      <c r="BT329" s="64"/>
    </row>
    <row r="330" spans="1:72" ht="12.75" customHeight="1">
      <c r="A330" s="64"/>
      <c r="B330" s="64"/>
      <c r="C330" s="64"/>
      <c r="D330" s="64"/>
      <c r="E330" s="64"/>
      <c r="F330" s="67"/>
      <c r="G330" s="64"/>
      <c r="H330" s="64"/>
      <c r="I330" s="64"/>
      <c r="J330" s="64"/>
      <c r="K330" s="67"/>
      <c r="L330" s="64"/>
      <c r="M330" s="64"/>
      <c r="N330" s="64"/>
      <c r="O330" s="64"/>
      <c r="P330" s="67"/>
      <c r="Q330" s="64"/>
      <c r="R330" s="64"/>
      <c r="S330" s="64"/>
      <c r="T330" s="64"/>
      <c r="U330" s="64"/>
      <c r="V330" s="67"/>
      <c r="W330" s="64"/>
      <c r="X330" s="64"/>
      <c r="Y330" s="64"/>
      <c r="Z330" s="64"/>
      <c r="AA330" s="64"/>
      <c r="AB330" s="67"/>
      <c r="AC330" s="64"/>
      <c r="AD330" s="64"/>
      <c r="AE330" s="64"/>
      <c r="AF330" s="64"/>
      <c r="AG330" s="64"/>
      <c r="AH330" s="67"/>
      <c r="AI330" s="64"/>
      <c r="AJ330" s="64"/>
      <c r="AK330" s="64"/>
      <c r="AL330" s="64"/>
      <c r="AM330" s="64"/>
      <c r="AN330" s="67"/>
      <c r="AO330" s="64"/>
      <c r="AP330" s="64"/>
      <c r="AQ330" s="64"/>
      <c r="AR330" s="64"/>
      <c r="AS330" s="64"/>
      <c r="AT330" s="64"/>
      <c r="AU330" s="64"/>
      <c r="AV330" s="64"/>
      <c r="AW330" s="64"/>
      <c r="AX330" s="64"/>
      <c r="AY330" s="64"/>
      <c r="AZ330" s="64"/>
      <c r="BA330" s="64"/>
      <c r="BB330" s="64"/>
      <c r="BC330" s="64"/>
      <c r="BD330" s="64"/>
      <c r="BE330" s="657"/>
      <c r="BF330" s="67"/>
      <c r="BG330" s="64"/>
      <c r="BH330" s="64"/>
      <c r="BI330" s="64"/>
      <c r="BJ330" s="64"/>
      <c r="BK330" s="64"/>
      <c r="BL330" s="64"/>
      <c r="BM330" s="64"/>
      <c r="BN330" s="64"/>
      <c r="BO330" s="64"/>
      <c r="BP330" s="64"/>
      <c r="BQ330" s="64"/>
      <c r="BR330" s="69"/>
      <c r="BS330" s="69"/>
      <c r="BT330" s="64"/>
    </row>
    <row r="331" spans="1:72" ht="12.75" customHeight="1">
      <c r="A331" s="64"/>
      <c r="B331" s="64"/>
      <c r="C331" s="64"/>
      <c r="D331" s="64"/>
      <c r="E331" s="64"/>
      <c r="F331" s="67"/>
      <c r="G331" s="64"/>
      <c r="H331" s="64"/>
      <c r="I331" s="64"/>
      <c r="J331" s="64"/>
      <c r="K331" s="67"/>
      <c r="L331" s="64"/>
      <c r="M331" s="64"/>
      <c r="N331" s="64"/>
      <c r="O331" s="64"/>
      <c r="P331" s="67"/>
      <c r="Q331" s="64"/>
      <c r="R331" s="64"/>
      <c r="S331" s="64"/>
      <c r="T331" s="64"/>
      <c r="U331" s="64"/>
      <c r="V331" s="67"/>
      <c r="W331" s="64"/>
      <c r="X331" s="64"/>
      <c r="Y331" s="64"/>
      <c r="Z331" s="64"/>
      <c r="AA331" s="64"/>
      <c r="AB331" s="67"/>
      <c r="AC331" s="64"/>
      <c r="AD331" s="64"/>
      <c r="AE331" s="64"/>
      <c r="AF331" s="64"/>
      <c r="AG331" s="64"/>
      <c r="AH331" s="67"/>
      <c r="AI331" s="64"/>
      <c r="AJ331" s="64"/>
      <c r="AK331" s="64"/>
      <c r="AL331" s="64"/>
      <c r="AM331" s="64"/>
      <c r="AN331" s="67"/>
      <c r="AO331" s="64"/>
      <c r="AP331" s="64"/>
      <c r="AQ331" s="64"/>
      <c r="AR331" s="64"/>
      <c r="AS331" s="64"/>
      <c r="AT331" s="64"/>
      <c r="AU331" s="64"/>
      <c r="AV331" s="64"/>
      <c r="AW331" s="64"/>
      <c r="AX331" s="64"/>
      <c r="AY331" s="64"/>
      <c r="AZ331" s="64"/>
      <c r="BA331" s="64"/>
      <c r="BB331" s="64"/>
      <c r="BC331" s="64"/>
      <c r="BD331" s="64"/>
      <c r="BE331" s="657"/>
      <c r="BF331" s="67"/>
      <c r="BG331" s="64"/>
      <c r="BH331" s="64"/>
      <c r="BI331" s="64"/>
      <c r="BJ331" s="64"/>
      <c r="BK331" s="64"/>
      <c r="BL331" s="64"/>
      <c r="BM331" s="64"/>
      <c r="BN331" s="64"/>
      <c r="BO331" s="64"/>
      <c r="BP331" s="64"/>
      <c r="BQ331" s="64"/>
      <c r="BR331" s="69"/>
      <c r="BS331" s="69"/>
      <c r="BT331" s="64"/>
    </row>
    <row r="332" spans="1:72" ht="12.75" customHeight="1">
      <c r="A332" s="64"/>
      <c r="B332" s="64"/>
      <c r="C332" s="64"/>
      <c r="D332" s="64"/>
      <c r="E332" s="64"/>
      <c r="F332" s="67"/>
      <c r="G332" s="64"/>
      <c r="H332" s="64"/>
      <c r="I332" s="64"/>
      <c r="J332" s="64"/>
      <c r="K332" s="67"/>
      <c r="L332" s="64"/>
      <c r="M332" s="64"/>
      <c r="N332" s="64"/>
      <c r="O332" s="64"/>
      <c r="P332" s="67"/>
      <c r="Q332" s="64"/>
      <c r="R332" s="64"/>
      <c r="S332" s="64"/>
      <c r="T332" s="64"/>
      <c r="U332" s="64"/>
      <c r="V332" s="67"/>
      <c r="W332" s="64"/>
      <c r="X332" s="64"/>
      <c r="Y332" s="64"/>
      <c r="Z332" s="64"/>
      <c r="AA332" s="64"/>
      <c r="AB332" s="67"/>
      <c r="AC332" s="64"/>
      <c r="AD332" s="64"/>
      <c r="AE332" s="64"/>
      <c r="AF332" s="64"/>
      <c r="AG332" s="64"/>
      <c r="AH332" s="67"/>
      <c r="AI332" s="64"/>
      <c r="AJ332" s="64"/>
      <c r="AK332" s="64"/>
      <c r="AL332" s="64"/>
      <c r="AM332" s="64"/>
      <c r="AN332" s="67"/>
      <c r="AO332" s="64"/>
      <c r="AP332" s="64"/>
      <c r="AQ332" s="64"/>
      <c r="AR332" s="64"/>
      <c r="AS332" s="64"/>
      <c r="AT332" s="64"/>
      <c r="AU332" s="64"/>
      <c r="AV332" s="64"/>
      <c r="AW332" s="64"/>
      <c r="AX332" s="64"/>
      <c r="AY332" s="64"/>
      <c r="AZ332" s="64"/>
      <c r="BA332" s="64"/>
      <c r="BB332" s="64"/>
      <c r="BC332" s="64"/>
      <c r="BD332" s="64"/>
      <c r="BE332" s="657"/>
      <c r="BF332" s="67"/>
      <c r="BG332" s="64"/>
      <c r="BH332" s="64"/>
      <c r="BI332" s="64"/>
      <c r="BJ332" s="64"/>
      <c r="BK332" s="64"/>
      <c r="BL332" s="64"/>
      <c r="BM332" s="64"/>
      <c r="BN332" s="64"/>
      <c r="BO332" s="64"/>
      <c r="BP332" s="64"/>
      <c r="BQ332" s="64"/>
      <c r="BR332" s="69"/>
      <c r="BS332" s="69"/>
      <c r="BT332" s="64"/>
    </row>
    <row r="333" spans="1:72" ht="12.75" customHeight="1">
      <c r="A333" s="64"/>
      <c r="B333" s="64"/>
      <c r="C333" s="64"/>
      <c r="D333" s="64"/>
      <c r="E333" s="64"/>
      <c r="F333" s="67"/>
      <c r="G333" s="64"/>
      <c r="H333" s="64"/>
      <c r="I333" s="64"/>
      <c r="J333" s="64"/>
      <c r="K333" s="67"/>
      <c r="L333" s="64"/>
      <c r="M333" s="64"/>
      <c r="N333" s="64"/>
      <c r="O333" s="64"/>
      <c r="P333" s="67"/>
      <c r="Q333" s="64"/>
      <c r="R333" s="64"/>
      <c r="S333" s="64"/>
      <c r="T333" s="64"/>
      <c r="U333" s="64"/>
      <c r="V333" s="67"/>
      <c r="W333" s="64"/>
      <c r="X333" s="64"/>
      <c r="Y333" s="64"/>
      <c r="Z333" s="64"/>
      <c r="AA333" s="64"/>
      <c r="AB333" s="67"/>
      <c r="AC333" s="64"/>
      <c r="AD333" s="64"/>
      <c r="AE333" s="64"/>
      <c r="AF333" s="64"/>
      <c r="AG333" s="64"/>
      <c r="AH333" s="67"/>
      <c r="AI333" s="64"/>
      <c r="AJ333" s="64"/>
      <c r="AK333" s="64"/>
      <c r="AL333" s="64"/>
      <c r="AM333" s="64"/>
      <c r="AN333" s="67"/>
      <c r="AO333" s="64"/>
      <c r="AP333" s="64"/>
      <c r="AQ333" s="64"/>
      <c r="AR333" s="64"/>
      <c r="AS333" s="64"/>
      <c r="AT333" s="64"/>
      <c r="AU333" s="64"/>
      <c r="AV333" s="64"/>
      <c r="AW333" s="64"/>
      <c r="AX333" s="64"/>
      <c r="AY333" s="64"/>
      <c r="AZ333" s="64"/>
      <c r="BA333" s="64"/>
      <c r="BB333" s="64"/>
      <c r="BC333" s="64"/>
      <c r="BD333" s="64"/>
      <c r="BE333" s="657"/>
      <c r="BF333" s="67"/>
      <c r="BG333" s="64"/>
      <c r="BH333" s="64"/>
      <c r="BI333" s="64"/>
      <c r="BJ333" s="64"/>
      <c r="BK333" s="64"/>
      <c r="BL333" s="64"/>
      <c r="BM333" s="64"/>
      <c r="BN333" s="64"/>
      <c r="BO333" s="64"/>
      <c r="BP333" s="64"/>
      <c r="BQ333" s="64"/>
      <c r="BR333" s="69"/>
      <c r="BS333" s="69"/>
      <c r="BT333" s="64"/>
    </row>
    <row r="334" spans="1:72" ht="12.75" customHeight="1">
      <c r="A334" s="64"/>
      <c r="B334" s="64"/>
      <c r="C334" s="64"/>
      <c r="D334" s="64"/>
      <c r="E334" s="64"/>
      <c r="F334" s="67"/>
      <c r="G334" s="64"/>
      <c r="H334" s="64"/>
      <c r="I334" s="64"/>
      <c r="J334" s="64"/>
      <c r="K334" s="67"/>
      <c r="L334" s="64"/>
      <c r="M334" s="64"/>
      <c r="N334" s="64"/>
      <c r="O334" s="64"/>
      <c r="P334" s="67"/>
      <c r="Q334" s="64"/>
      <c r="R334" s="64"/>
      <c r="S334" s="64"/>
      <c r="T334" s="64"/>
      <c r="U334" s="64"/>
      <c r="V334" s="67"/>
      <c r="W334" s="64"/>
      <c r="X334" s="64"/>
      <c r="Y334" s="64"/>
      <c r="Z334" s="64"/>
      <c r="AA334" s="64"/>
      <c r="AB334" s="67"/>
      <c r="AC334" s="64"/>
      <c r="AD334" s="64"/>
      <c r="AE334" s="64"/>
      <c r="AF334" s="64"/>
      <c r="AG334" s="64"/>
      <c r="AH334" s="67"/>
      <c r="AI334" s="64"/>
      <c r="AJ334" s="64"/>
      <c r="AK334" s="64"/>
      <c r="AL334" s="64"/>
      <c r="AM334" s="64"/>
      <c r="AN334" s="67"/>
      <c r="AO334" s="64"/>
      <c r="AP334" s="64"/>
      <c r="AQ334" s="64"/>
      <c r="AR334" s="64"/>
      <c r="AS334" s="64"/>
      <c r="AT334" s="64"/>
      <c r="AU334" s="64"/>
      <c r="AV334" s="64"/>
      <c r="AW334" s="64"/>
      <c r="AX334" s="64"/>
      <c r="AY334" s="64"/>
      <c r="AZ334" s="64"/>
      <c r="BA334" s="64"/>
      <c r="BB334" s="64"/>
      <c r="BC334" s="64"/>
      <c r="BD334" s="64"/>
      <c r="BE334" s="657"/>
      <c r="BF334" s="67"/>
      <c r="BG334" s="64"/>
      <c r="BH334" s="64"/>
      <c r="BI334" s="64"/>
      <c r="BJ334" s="64"/>
      <c r="BK334" s="64"/>
      <c r="BL334" s="64"/>
      <c r="BM334" s="64"/>
      <c r="BN334" s="64"/>
      <c r="BO334" s="64"/>
      <c r="BP334" s="64"/>
      <c r="BQ334" s="64"/>
      <c r="BR334" s="69"/>
      <c r="BS334" s="69"/>
      <c r="BT334" s="64"/>
    </row>
    <row r="335" spans="1:72" ht="12.75" customHeight="1">
      <c r="A335" s="64"/>
      <c r="B335" s="64"/>
      <c r="C335" s="64"/>
      <c r="D335" s="64"/>
      <c r="E335" s="64"/>
      <c r="F335" s="67"/>
      <c r="G335" s="64"/>
      <c r="H335" s="64"/>
      <c r="I335" s="64"/>
      <c r="J335" s="64"/>
      <c r="K335" s="67"/>
      <c r="L335" s="64"/>
      <c r="M335" s="64"/>
      <c r="N335" s="64"/>
      <c r="O335" s="64"/>
      <c r="P335" s="67"/>
      <c r="Q335" s="64"/>
      <c r="R335" s="64"/>
      <c r="S335" s="64"/>
      <c r="T335" s="64"/>
      <c r="U335" s="64"/>
      <c r="V335" s="67"/>
      <c r="W335" s="64"/>
      <c r="X335" s="64"/>
      <c r="Y335" s="64"/>
      <c r="Z335" s="64"/>
      <c r="AA335" s="64"/>
      <c r="AB335" s="67"/>
      <c r="AC335" s="64"/>
      <c r="AD335" s="64"/>
      <c r="AE335" s="64"/>
      <c r="AF335" s="64"/>
      <c r="AG335" s="64"/>
      <c r="AH335" s="67"/>
      <c r="AI335" s="64"/>
      <c r="AJ335" s="64"/>
      <c r="AK335" s="64"/>
      <c r="AL335" s="64"/>
      <c r="AM335" s="64"/>
      <c r="AN335" s="67"/>
      <c r="AO335" s="64"/>
      <c r="AP335" s="64"/>
      <c r="AQ335" s="64"/>
      <c r="AR335" s="64"/>
      <c r="AS335" s="64"/>
      <c r="AT335" s="64"/>
      <c r="AU335" s="64"/>
      <c r="AV335" s="64"/>
      <c r="AW335" s="64"/>
      <c r="AX335" s="64"/>
      <c r="AY335" s="64"/>
      <c r="AZ335" s="64"/>
      <c r="BA335" s="64"/>
      <c r="BB335" s="64"/>
      <c r="BC335" s="64"/>
      <c r="BD335" s="64"/>
      <c r="BE335" s="657"/>
      <c r="BF335" s="67"/>
      <c r="BG335" s="64"/>
      <c r="BH335" s="64"/>
      <c r="BI335" s="64"/>
      <c r="BJ335" s="64"/>
      <c r="BK335" s="64"/>
      <c r="BL335" s="64"/>
      <c r="BM335" s="64"/>
      <c r="BN335" s="64"/>
      <c r="BO335" s="64"/>
      <c r="BP335" s="64"/>
      <c r="BQ335" s="64"/>
      <c r="BR335" s="69"/>
      <c r="BS335" s="69"/>
      <c r="BT335" s="64"/>
    </row>
    <row r="336" spans="1:72" ht="12.75" customHeight="1">
      <c r="A336" s="64"/>
      <c r="B336" s="64"/>
      <c r="C336" s="64"/>
      <c r="D336" s="64"/>
      <c r="E336" s="64"/>
      <c r="F336" s="67"/>
      <c r="G336" s="64"/>
      <c r="H336" s="64"/>
      <c r="I336" s="64"/>
      <c r="J336" s="64"/>
      <c r="K336" s="67"/>
      <c r="L336" s="64"/>
      <c r="M336" s="64"/>
      <c r="N336" s="64"/>
      <c r="O336" s="64"/>
      <c r="P336" s="67"/>
      <c r="Q336" s="64"/>
      <c r="R336" s="64"/>
      <c r="S336" s="64"/>
      <c r="T336" s="64"/>
      <c r="U336" s="64"/>
      <c r="V336" s="67"/>
      <c r="W336" s="64"/>
      <c r="X336" s="64"/>
      <c r="Y336" s="64"/>
      <c r="Z336" s="64"/>
      <c r="AA336" s="64"/>
      <c r="AB336" s="67"/>
      <c r="AC336" s="64"/>
      <c r="AD336" s="64"/>
      <c r="AE336" s="64"/>
      <c r="AF336" s="64"/>
      <c r="AG336" s="64"/>
      <c r="AH336" s="67"/>
      <c r="AI336" s="64"/>
      <c r="AJ336" s="64"/>
      <c r="AK336" s="64"/>
      <c r="AL336" s="64"/>
      <c r="AM336" s="64"/>
      <c r="AN336" s="67"/>
      <c r="AO336" s="64"/>
      <c r="AP336" s="64"/>
      <c r="AQ336" s="64"/>
      <c r="AR336" s="64"/>
      <c r="AS336" s="64"/>
      <c r="AT336" s="64"/>
      <c r="AU336" s="64"/>
      <c r="AV336" s="64"/>
      <c r="AW336" s="64"/>
      <c r="AX336" s="64"/>
      <c r="AY336" s="64"/>
      <c r="AZ336" s="64"/>
      <c r="BA336" s="64"/>
      <c r="BB336" s="64"/>
      <c r="BC336" s="64"/>
      <c r="BD336" s="64"/>
      <c r="BE336" s="657"/>
      <c r="BF336" s="67"/>
      <c r="BG336" s="64"/>
      <c r="BH336" s="64"/>
      <c r="BI336" s="64"/>
      <c r="BJ336" s="64"/>
      <c r="BK336" s="64"/>
      <c r="BL336" s="64"/>
      <c r="BM336" s="64"/>
      <c r="BN336" s="64"/>
      <c r="BO336" s="64"/>
      <c r="BP336" s="64"/>
      <c r="BQ336" s="64"/>
      <c r="BR336" s="69"/>
      <c r="BS336" s="69"/>
      <c r="BT336" s="64"/>
    </row>
    <row r="337" spans="1:72" ht="12.75" customHeight="1">
      <c r="A337" s="64"/>
      <c r="B337" s="64"/>
      <c r="C337" s="64"/>
      <c r="D337" s="64"/>
      <c r="E337" s="64"/>
      <c r="F337" s="67"/>
      <c r="G337" s="64"/>
      <c r="H337" s="64"/>
      <c r="I337" s="64"/>
      <c r="J337" s="64"/>
      <c r="K337" s="67"/>
      <c r="L337" s="64"/>
      <c r="M337" s="64"/>
      <c r="N337" s="64"/>
      <c r="O337" s="64"/>
      <c r="P337" s="67"/>
      <c r="Q337" s="64"/>
      <c r="R337" s="64"/>
      <c r="S337" s="64"/>
      <c r="T337" s="64"/>
      <c r="U337" s="64"/>
      <c r="V337" s="67"/>
      <c r="W337" s="64"/>
      <c r="X337" s="64"/>
      <c r="Y337" s="64"/>
      <c r="Z337" s="64"/>
      <c r="AA337" s="64"/>
      <c r="AB337" s="67"/>
      <c r="AC337" s="64"/>
      <c r="AD337" s="64"/>
      <c r="AE337" s="64"/>
      <c r="AF337" s="64"/>
      <c r="AG337" s="64"/>
      <c r="AH337" s="67"/>
      <c r="AI337" s="64"/>
      <c r="AJ337" s="64"/>
      <c r="AK337" s="64"/>
      <c r="AL337" s="64"/>
      <c r="AM337" s="64"/>
      <c r="AN337" s="67"/>
      <c r="AO337" s="64"/>
      <c r="AP337" s="64"/>
      <c r="AQ337" s="64"/>
      <c r="AR337" s="64"/>
      <c r="AS337" s="64"/>
      <c r="AT337" s="64"/>
      <c r="AU337" s="64"/>
      <c r="AV337" s="64"/>
      <c r="AW337" s="64"/>
      <c r="AX337" s="64"/>
      <c r="AY337" s="64"/>
      <c r="AZ337" s="64"/>
      <c r="BA337" s="64"/>
      <c r="BB337" s="64"/>
      <c r="BC337" s="64"/>
      <c r="BD337" s="64"/>
      <c r="BE337" s="657"/>
      <c r="BF337" s="67"/>
      <c r="BG337" s="64"/>
      <c r="BH337" s="64"/>
      <c r="BI337" s="64"/>
      <c r="BJ337" s="64"/>
      <c r="BK337" s="64"/>
      <c r="BL337" s="64"/>
      <c r="BM337" s="64"/>
      <c r="BN337" s="64"/>
      <c r="BO337" s="64"/>
      <c r="BP337" s="64"/>
      <c r="BQ337" s="64"/>
      <c r="BR337" s="69"/>
      <c r="BS337" s="69"/>
      <c r="BT337" s="64"/>
    </row>
    <row r="338" spans="1:72" ht="12.75" customHeight="1">
      <c r="A338" s="64"/>
      <c r="B338" s="64"/>
      <c r="C338" s="64"/>
      <c r="D338" s="64"/>
      <c r="E338" s="64"/>
      <c r="F338" s="67"/>
      <c r="G338" s="64"/>
      <c r="H338" s="64"/>
      <c r="I338" s="64"/>
      <c r="J338" s="64"/>
      <c r="K338" s="67"/>
      <c r="L338" s="64"/>
      <c r="M338" s="64"/>
      <c r="N338" s="64"/>
      <c r="O338" s="64"/>
      <c r="P338" s="67"/>
      <c r="Q338" s="64"/>
      <c r="R338" s="64"/>
      <c r="S338" s="64"/>
      <c r="T338" s="64"/>
      <c r="U338" s="64"/>
      <c r="V338" s="67"/>
      <c r="W338" s="64"/>
      <c r="X338" s="64"/>
      <c r="Y338" s="64"/>
      <c r="Z338" s="64"/>
      <c r="AA338" s="64"/>
      <c r="AB338" s="67"/>
      <c r="AC338" s="64"/>
      <c r="AD338" s="64"/>
      <c r="AE338" s="64"/>
      <c r="AF338" s="64"/>
      <c r="AG338" s="64"/>
      <c r="AH338" s="67"/>
      <c r="AI338" s="64"/>
      <c r="AJ338" s="64"/>
      <c r="AK338" s="64"/>
      <c r="AL338" s="64"/>
      <c r="AM338" s="64"/>
      <c r="AN338" s="67"/>
      <c r="AO338" s="64"/>
      <c r="AP338" s="64"/>
      <c r="AQ338" s="64"/>
      <c r="AR338" s="64"/>
      <c r="AS338" s="64"/>
      <c r="AT338" s="64"/>
      <c r="AU338" s="64"/>
      <c r="AV338" s="64"/>
      <c r="AW338" s="64"/>
      <c r="AX338" s="64"/>
      <c r="AY338" s="64"/>
      <c r="AZ338" s="64"/>
      <c r="BA338" s="64"/>
      <c r="BB338" s="64"/>
      <c r="BC338" s="64"/>
      <c r="BD338" s="64"/>
      <c r="BE338" s="657"/>
      <c r="BF338" s="67"/>
      <c r="BG338" s="64"/>
      <c r="BH338" s="64"/>
      <c r="BI338" s="64"/>
      <c r="BJ338" s="64"/>
      <c r="BK338" s="64"/>
      <c r="BL338" s="64"/>
      <c r="BM338" s="64"/>
      <c r="BN338" s="64"/>
      <c r="BO338" s="64"/>
      <c r="BP338" s="64"/>
      <c r="BQ338" s="64"/>
      <c r="BR338" s="69"/>
      <c r="BS338" s="69"/>
      <c r="BT338" s="64"/>
    </row>
    <row r="339" spans="1:72" ht="12.75" customHeight="1">
      <c r="A339" s="64"/>
      <c r="B339" s="64"/>
      <c r="C339" s="64"/>
      <c r="D339" s="64"/>
      <c r="E339" s="64"/>
      <c r="F339" s="67"/>
      <c r="G339" s="64"/>
      <c r="H339" s="64"/>
      <c r="I339" s="64"/>
      <c r="J339" s="64"/>
      <c r="K339" s="67"/>
      <c r="L339" s="64"/>
      <c r="M339" s="64"/>
      <c r="N339" s="64"/>
      <c r="O339" s="64"/>
      <c r="P339" s="67"/>
      <c r="Q339" s="64"/>
      <c r="R339" s="64"/>
      <c r="S339" s="64"/>
      <c r="T339" s="64"/>
      <c r="U339" s="64"/>
      <c r="V339" s="67"/>
      <c r="W339" s="64"/>
      <c r="X339" s="64"/>
      <c r="Y339" s="64"/>
      <c r="Z339" s="64"/>
      <c r="AA339" s="64"/>
      <c r="AB339" s="67"/>
      <c r="AC339" s="64"/>
      <c r="AD339" s="64"/>
      <c r="AE339" s="64"/>
      <c r="AF339" s="64"/>
      <c r="AG339" s="64"/>
      <c r="AH339" s="67"/>
      <c r="AI339" s="64"/>
      <c r="AJ339" s="64"/>
      <c r="AK339" s="64"/>
      <c r="AL339" s="64"/>
      <c r="AM339" s="64"/>
      <c r="AN339" s="67"/>
      <c r="AO339" s="64"/>
      <c r="AP339" s="64"/>
      <c r="AQ339" s="64"/>
      <c r="AR339" s="64"/>
      <c r="AS339" s="64"/>
      <c r="AT339" s="64"/>
      <c r="AU339" s="64"/>
      <c r="AV339" s="64"/>
      <c r="AW339" s="64"/>
      <c r="AX339" s="64"/>
      <c r="AY339" s="64"/>
      <c r="AZ339" s="64"/>
      <c r="BA339" s="64"/>
      <c r="BB339" s="64"/>
      <c r="BC339" s="64"/>
      <c r="BD339" s="64"/>
      <c r="BE339" s="657"/>
      <c r="BF339" s="67"/>
      <c r="BG339" s="64"/>
      <c r="BH339" s="64"/>
      <c r="BI339" s="64"/>
      <c r="BJ339" s="64"/>
      <c r="BK339" s="64"/>
      <c r="BL339" s="64"/>
      <c r="BM339" s="64"/>
      <c r="BN339" s="64"/>
      <c r="BO339" s="64"/>
      <c r="BP339" s="64"/>
      <c r="BQ339" s="64"/>
      <c r="BR339" s="69"/>
      <c r="BS339" s="69"/>
      <c r="BT339" s="64"/>
    </row>
    <row r="340" spans="1:72" ht="12.75" customHeight="1">
      <c r="A340" s="64"/>
      <c r="B340" s="64"/>
      <c r="C340" s="64"/>
      <c r="D340" s="64"/>
      <c r="E340" s="64"/>
      <c r="F340" s="67"/>
      <c r="G340" s="64"/>
      <c r="H340" s="64"/>
      <c r="I340" s="64"/>
      <c r="J340" s="64"/>
      <c r="K340" s="67"/>
      <c r="L340" s="64"/>
      <c r="M340" s="64"/>
      <c r="N340" s="64"/>
      <c r="O340" s="64"/>
      <c r="P340" s="67"/>
      <c r="Q340" s="64"/>
      <c r="R340" s="64"/>
      <c r="S340" s="64"/>
      <c r="T340" s="64"/>
      <c r="U340" s="64"/>
      <c r="V340" s="67"/>
      <c r="W340" s="64"/>
      <c r="X340" s="64"/>
      <c r="Y340" s="64"/>
      <c r="Z340" s="64"/>
      <c r="AA340" s="64"/>
      <c r="AB340" s="67"/>
      <c r="AC340" s="64"/>
      <c r="AD340" s="64"/>
      <c r="AE340" s="64"/>
      <c r="AF340" s="64"/>
      <c r="AG340" s="64"/>
      <c r="AH340" s="67"/>
      <c r="AI340" s="64"/>
      <c r="AJ340" s="64"/>
      <c r="AK340" s="64"/>
      <c r="AL340" s="64"/>
      <c r="AM340" s="64"/>
      <c r="AN340" s="67"/>
      <c r="AO340" s="64"/>
      <c r="AP340" s="64"/>
      <c r="AQ340" s="64"/>
      <c r="AR340" s="64"/>
      <c r="AS340" s="64"/>
      <c r="AT340" s="64"/>
      <c r="AU340" s="64"/>
      <c r="AV340" s="64"/>
      <c r="AW340" s="64"/>
      <c r="AX340" s="64"/>
      <c r="AY340" s="64"/>
      <c r="AZ340" s="64"/>
      <c r="BA340" s="64"/>
      <c r="BB340" s="64"/>
      <c r="BC340" s="64"/>
      <c r="BD340" s="64"/>
      <c r="BE340" s="657"/>
      <c r="BF340" s="67"/>
      <c r="BG340" s="64"/>
      <c r="BH340" s="64"/>
      <c r="BI340" s="64"/>
      <c r="BJ340" s="64"/>
      <c r="BK340" s="64"/>
      <c r="BL340" s="64"/>
      <c r="BM340" s="64"/>
      <c r="BN340" s="64"/>
      <c r="BO340" s="64"/>
      <c r="BP340" s="64"/>
      <c r="BQ340" s="64"/>
      <c r="BR340" s="69"/>
      <c r="BS340" s="69"/>
      <c r="BT340" s="64"/>
    </row>
    <row r="341" spans="1:72" ht="12.75" customHeight="1">
      <c r="A341" s="64"/>
      <c r="B341" s="64"/>
      <c r="C341" s="64"/>
      <c r="D341" s="64"/>
      <c r="E341" s="64"/>
      <c r="F341" s="67"/>
      <c r="G341" s="64"/>
      <c r="H341" s="64"/>
      <c r="I341" s="64"/>
      <c r="J341" s="64"/>
      <c r="K341" s="67"/>
      <c r="L341" s="64"/>
      <c r="M341" s="64"/>
      <c r="N341" s="64"/>
      <c r="O341" s="64"/>
      <c r="P341" s="67"/>
      <c r="Q341" s="64"/>
      <c r="R341" s="64"/>
      <c r="S341" s="64"/>
      <c r="T341" s="64"/>
      <c r="U341" s="64"/>
      <c r="V341" s="67"/>
      <c r="W341" s="64"/>
      <c r="X341" s="64"/>
      <c r="Y341" s="64"/>
      <c r="Z341" s="64"/>
      <c r="AA341" s="64"/>
      <c r="AB341" s="67"/>
      <c r="AC341" s="64"/>
      <c r="AD341" s="64"/>
      <c r="AE341" s="64"/>
      <c r="AF341" s="64"/>
      <c r="AG341" s="64"/>
      <c r="AH341" s="67"/>
      <c r="AI341" s="64"/>
      <c r="AJ341" s="64"/>
      <c r="AK341" s="64"/>
      <c r="AL341" s="64"/>
      <c r="AM341" s="64"/>
      <c r="AN341" s="67"/>
      <c r="AO341" s="64"/>
      <c r="AP341" s="64"/>
      <c r="AQ341" s="64"/>
      <c r="AR341" s="64"/>
      <c r="AS341" s="64"/>
      <c r="AT341" s="64"/>
      <c r="AU341" s="64"/>
      <c r="AV341" s="64"/>
      <c r="AW341" s="64"/>
      <c r="AX341" s="64"/>
      <c r="AY341" s="64"/>
      <c r="AZ341" s="64"/>
      <c r="BA341" s="64"/>
      <c r="BB341" s="64"/>
      <c r="BC341" s="64"/>
      <c r="BD341" s="64"/>
      <c r="BE341" s="657"/>
      <c r="BF341" s="67"/>
      <c r="BG341" s="64"/>
      <c r="BH341" s="64"/>
      <c r="BI341" s="64"/>
      <c r="BJ341" s="64"/>
      <c r="BK341" s="64"/>
      <c r="BL341" s="64"/>
      <c r="BM341" s="64"/>
      <c r="BN341" s="64"/>
      <c r="BO341" s="64"/>
      <c r="BP341" s="64"/>
      <c r="BQ341" s="64"/>
      <c r="BR341" s="69"/>
      <c r="BS341" s="69"/>
      <c r="BT341" s="64"/>
    </row>
    <row r="342" spans="1:72" ht="12.75" customHeight="1">
      <c r="A342" s="64"/>
      <c r="B342" s="64"/>
      <c r="C342" s="64"/>
      <c r="D342" s="64"/>
      <c r="E342" s="64"/>
      <c r="F342" s="67"/>
      <c r="G342" s="64"/>
      <c r="H342" s="64"/>
      <c r="I342" s="64"/>
      <c r="J342" s="64"/>
      <c r="K342" s="67"/>
      <c r="L342" s="64"/>
      <c r="M342" s="64"/>
      <c r="N342" s="64"/>
      <c r="O342" s="64"/>
      <c r="P342" s="67"/>
      <c r="Q342" s="64"/>
      <c r="R342" s="64"/>
      <c r="S342" s="64"/>
      <c r="T342" s="64"/>
      <c r="U342" s="64"/>
      <c r="V342" s="67"/>
      <c r="W342" s="64"/>
      <c r="X342" s="64"/>
      <c r="Y342" s="64"/>
      <c r="Z342" s="64"/>
      <c r="AA342" s="64"/>
      <c r="AB342" s="67"/>
      <c r="AC342" s="64"/>
      <c r="AD342" s="64"/>
      <c r="AE342" s="64"/>
      <c r="AF342" s="64"/>
      <c r="AG342" s="64"/>
      <c r="AH342" s="67"/>
      <c r="AI342" s="64"/>
      <c r="AJ342" s="64"/>
      <c r="AK342" s="64"/>
      <c r="AL342" s="64"/>
      <c r="AM342" s="64"/>
      <c r="AN342" s="67"/>
      <c r="AO342" s="64"/>
      <c r="AP342" s="64"/>
      <c r="AQ342" s="64"/>
      <c r="AR342" s="64"/>
      <c r="AS342" s="64"/>
      <c r="AT342" s="64"/>
      <c r="AU342" s="64"/>
      <c r="AV342" s="64"/>
      <c r="AW342" s="64"/>
      <c r="AX342" s="64"/>
      <c r="AY342" s="64"/>
      <c r="AZ342" s="64"/>
      <c r="BA342" s="64"/>
      <c r="BB342" s="64"/>
      <c r="BC342" s="64"/>
      <c r="BD342" s="64"/>
      <c r="BE342" s="657"/>
      <c r="BF342" s="67"/>
      <c r="BG342" s="64"/>
      <c r="BH342" s="64"/>
      <c r="BI342" s="64"/>
      <c r="BJ342" s="64"/>
      <c r="BK342" s="64"/>
      <c r="BL342" s="64"/>
      <c r="BM342" s="64"/>
      <c r="BN342" s="64"/>
      <c r="BO342" s="64"/>
      <c r="BP342" s="64"/>
      <c r="BQ342" s="64"/>
      <c r="BR342" s="69"/>
      <c r="BS342" s="69"/>
      <c r="BT342" s="64"/>
    </row>
    <row r="343" spans="1:72" ht="12.75" customHeight="1">
      <c r="A343" s="64"/>
      <c r="B343" s="64"/>
      <c r="C343" s="64"/>
      <c r="D343" s="64"/>
      <c r="E343" s="64"/>
      <c r="F343" s="67"/>
      <c r="G343" s="64"/>
      <c r="H343" s="64"/>
      <c r="I343" s="64"/>
      <c r="J343" s="64"/>
      <c r="K343" s="67"/>
      <c r="L343" s="64"/>
      <c r="M343" s="64"/>
      <c r="N343" s="64"/>
      <c r="O343" s="64"/>
      <c r="P343" s="67"/>
      <c r="Q343" s="64"/>
      <c r="R343" s="64"/>
      <c r="S343" s="64"/>
      <c r="T343" s="64"/>
      <c r="U343" s="64"/>
      <c r="V343" s="67"/>
      <c r="W343" s="64"/>
      <c r="X343" s="64"/>
      <c r="Y343" s="64"/>
      <c r="Z343" s="64"/>
      <c r="AA343" s="64"/>
      <c r="AB343" s="67"/>
      <c r="AC343" s="64"/>
      <c r="AD343" s="64"/>
      <c r="AE343" s="64"/>
      <c r="AF343" s="64"/>
      <c r="AG343" s="64"/>
      <c r="AH343" s="67"/>
      <c r="AI343" s="64"/>
      <c r="AJ343" s="64"/>
      <c r="AK343" s="64"/>
      <c r="AL343" s="64"/>
      <c r="AM343" s="64"/>
      <c r="AN343" s="67"/>
      <c r="AO343" s="64"/>
      <c r="AP343" s="64"/>
      <c r="AQ343" s="64"/>
      <c r="AR343" s="64"/>
      <c r="AS343" s="64"/>
      <c r="AT343" s="64"/>
      <c r="AU343" s="64"/>
      <c r="AV343" s="64"/>
      <c r="AW343" s="64"/>
      <c r="AX343" s="64"/>
      <c r="AY343" s="64"/>
      <c r="AZ343" s="64"/>
      <c r="BA343" s="64"/>
      <c r="BB343" s="64"/>
      <c r="BC343" s="64"/>
      <c r="BD343" s="64"/>
      <c r="BE343" s="657"/>
      <c r="BF343" s="67"/>
      <c r="BG343" s="64"/>
      <c r="BH343" s="64"/>
      <c r="BI343" s="64"/>
      <c r="BJ343" s="64"/>
      <c r="BK343" s="64"/>
      <c r="BL343" s="64"/>
      <c r="BM343" s="64"/>
      <c r="BN343" s="64"/>
      <c r="BO343" s="64"/>
      <c r="BP343" s="64"/>
      <c r="BQ343" s="64"/>
      <c r="BR343" s="69"/>
      <c r="BS343" s="69"/>
      <c r="BT343" s="64"/>
    </row>
    <row r="344" spans="1:72" ht="12.75" customHeight="1">
      <c r="A344" s="64"/>
      <c r="B344" s="64"/>
      <c r="C344" s="64"/>
      <c r="D344" s="64"/>
      <c r="E344" s="64"/>
      <c r="F344" s="67"/>
      <c r="G344" s="64"/>
      <c r="H344" s="64"/>
      <c r="I344" s="64"/>
      <c r="J344" s="64"/>
      <c r="K344" s="67"/>
      <c r="L344" s="64"/>
      <c r="M344" s="64"/>
      <c r="N344" s="64"/>
      <c r="O344" s="64"/>
      <c r="P344" s="67"/>
      <c r="Q344" s="64"/>
      <c r="R344" s="64"/>
      <c r="S344" s="64"/>
      <c r="T344" s="64"/>
      <c r="U344" s="64"/>
      <c r="V344" s="67"/>
      <c r="W344" s="64"/>
      <c r="X344" s="64"/>
      <c r="Y344" s="64"/>
      <c r="Z344" s="64"/>
      <c r="AA344" s="64"/>
      <c r="AB344" s="67"/>
      <c r="AC344" s="64"/>
      <c r="AD344" s="64"/>
      <c r="AE344" s="64"/>
      <c r="AF344" s="64"/>
      <c r="AG344" s="64"/>
      <c r="AH344" s="67"/>
      <c r="AI344" s="64"/>
      <c r="AJ344" s="64"/>
      <c r="AK344" s="64"/>
      <c r="AL344" s="64"/>
      <c r="AM344" s="64"/>
      <c r="AN344" s="67"/>
      <c r="AO344" s="64"/>
      <c r="AP344" s="64"/>
      <c r="AQ344" s="64"/>
      <c r="AR344" s="64"/>
      <c r="AS344" s="64"/>
      <c r="AT344" s="64"/>
      <c r="AU344" s="64"/>
      <c r="AV344" s="64"/>
      <c r="AW344" s="64"/>
      <c r="AX344" s="64"/>
      <c r="AY344" s="64"/>
      <c r="AZ344" s="64"/>
      <c r="BA344" s="64"/>
      <c r="BB344" s="64"/>
      <c r="BC344" s="64"/>
      <c r="BD344" s="64"/>
      <c r="BE344" s="657"/>
      <c r="BF344" s="67"/>
      <c r="BG344" s="64"/>
      <c r="BH344" s="64"/>
      <c r="BI344" s="64"/>
      <c r="BJ344" s="64"/>
      <c r="BK344" s="64"/>
      <c r="BL344" s="64"/>
      <c r="BM344" s="64"/>
      <c r="BN344" s="64"/>
      <c r="BO344" s="64"/>
      <c r="BP344" s="64"/>
      <c r="BQ344" s="64"/>
      <c r="BR344" s="69"/>
      <c r="BS344" s="69"/>
      <c r="BT344" s="64"/>
    </row>
    <row r="345" spans="1:72" ht="12.75" customHeight="1">
      <c r="A345" s="64"/>
      <c r="B345" s="64"/>
      <c r="C345" s="64"/>
      <c r="D345" s="64"/>
      <c r="E345" s="64"/>
      <c r="F345" s="67"/>
      <c r="G345" s="64"/>
      <c r="H345" s="64"/>
      <c r="I345" s="64"/>
      <c r="J345" s="64"/>
      <c r="K345" s="67"/>
      <c r="L345" s="64"/>
      <c r="M345" s="64"/>
      <c r="N345" s="64"/>
      <c r="O345" s="64"/>
      <c r="P345" s="67"/>
      <c r="Q345" s="64"/>
      <c r="R345" s="64"/>
      <c r="S345" s="64"/>
      <c r="T345" s="64"/>
      <c r="U345" s="64"/>
      <c r="V345" s="67"/>
      <c r="W345" s="64"/>
      <c r="X345" s="64"/>
      <c r="Y345" s="64"/>
      <c r="Z345" s="64"/>
      <c r="AA345" s="64"/>
      <c r="AB345" s="67"/>
      <c r="AC345" s="64"/>
      <c r="AD345" s="64"/>
      <c r="AE345" s="64"/>
      <c r="AF345" s="64"/>
      <c r="AG345" s="64"/>
      <c r="AH345" s="67"/>
      <c r="AI345" s="64"/>
      <c r="AJ345" s="64"/>
      <c r="AK345" s="64"/>
      <c r="AL345" s="64"/>
      <c r="AM345" s="64"/>
      <c r="AN345" s="67"/>
      <c r="AO345" s="64"/>
      <c r="AP345" s="64"/>
      <c r="AQ345" s="64"/>
      <c r="AR345" s="64"/>
      <c r="AS345" s="64"/>
      <c r="AT345" s="64"/>
      <c r="AU345" s="64"/>
      <c r="AV345" s="64"/>
      <c r="AW345" s="64"/>
      <c r="AX345" s="64"/>
      <c r="AY345" s="64"/>
      <c r="AZ345" s="64"/>
      <c r="BA345" s="64"/>
      <c r="BB345" s="64"/>
      <c r="BC345" s="64"/>
      <c r="BD345" s="64"/>
      <c r="BE345" s="657"/>
      <c r="BF345" s="67"/>
      <c r="BG345" s="64"/>
      <c r="BH345" s="64"/>
      <c r="BI345" s="64"/>
      <c r="BJ345" s="64"/>
      <c r="BK345" s="64"/>
      <c r="BL345" s="64"/>
      <c r="BM345" s="64"/>
      <c r="BN345" s="64"/>
      <c r="BO345" s="64"/>
      <c r="BP345" s="64"/>
      <c r="BQ345" s="64"/>
      <c r="BR345" s="69"/>
      <c r="BS345" s="69"/>
      <c r="BT345" s="64"/>
    </row>
    <row r="346" spans="1:72" ht="12.75" customHeight="1">
      <c r="A346" s="64"/>
      <c r="B346" s="64"/>
      <c r="C346" s="64"/>
      <c r="D346" s="64"/>
      <c r="E346" s="64"/>
      <c r="F346" s="67"/>
      <c r="G346" s="64"/>
      <c r="H346" s="64"/>
      <c r="I346" s="64"/>
      <c r="J346" s="64"/>
      <c r="K346" s="67"/>
      <c r="L346" s="64"/>
      <c r="M346" s="64"/>
      <c r="N346" s="64"/>
      <c r="O346" s="64"/>
      <c r="P346" s="67"/>
      <c r="Q346" s="64"/>
      <c r="R346" s="64"/>
      <c r="S346" s="64"/>
      <c r="T346" s="64"/>
      <c r="U346" s="64"/>
      <c r="V346" s="67"/>
      <c r="W346" s="64"/>
      <c r="X346" s="64"/>
      <c r="Y346" s="64"/>
      <c r="Z346" s="64"/>
      <c r="AA346" s="64"/>
      <c r="AB346" s="67"/>
      <c r="AC346" s="64"/>
      <c r="AD346" s="64"/>
      <c r="AE346" s="64"/>
      <c r="AF346" s="64"/>
      <c r="AG346" s="64"/>
      <c r="AH346" s="67"/>
      <c r="AI346" s="64"/>
      <c r="AJ346" s="64"/>
      <c r="AK346" s="64"/>
      <c r="AL346" s="64"/>
      <c r="AM346" s="64"/>
      <c r="AN346" s="67"/>
      <c r="AO346" s="64"/>
      <c r="AP346" s="64"/>
      <c r="AQ346" s="64"/>
      <c r="AR346" s="64"/>
      <c r="AS346" s="64"/>
      <c r="AT346" s="64"/>
      <c r="AU346" s="64"/>
      <c r="AV346" s="64"/>
      <c r="AW346" s="64"/>
      <c r="AX346" s="64"/>
      <c r="AY346" s="64"/>
      <c r="AZ346" s="64"/>
      <c r="BA346" s="64"/>
      <c r="BB346" s="64"/>
      <c r="BC346" s="64"/>
      <c r="BD346" s="64"/>
      <c r="BE346" s="657"/>
      <c r="BF346" s="67"/>
      <c r="BG346" s="64"/>
      <c r="BH346" s="64"/>
      <c r="BI346" s="64"/>
      <c r="BJ346" s="64"/>
      <c r="BK346" s="64"/>
      <c r="BL346" s="64"/>
      <c r="BM346" s="64"/>
      <c r="BN346" s="64"/>
      <c r="BO346" s="64"/>
      <c r="BP346" s="64"/>
      <c r="BQ346" s="64"/>
      <c r="BR346" s="69"/>
      <c r="BS346" s="69"/>
      <c r="BT346" s="64"/>
    </row>
    <row r="347" spans="1:72" ht="12.75" customHeight="1">
      <c r="A347" s="64"/>
      <c r="B347" s="64"/>
      <c r="C347" s="64"/>
      <c r="D347" s="64"/>
      <c r="E347" s="64"/>
      <c r="F347" s="67"/>
      <c r="G347" s="64"/>
      <c r="H347" s="64"/>
      <c r="I347" s="64"/>
      <c r="J347" s="64"/>
      <c r="K347" s="67"/>
      <c r="L347" s="64"/>
      <c r="M347" s="64"/>
      <c r="N347" s="64"/>
      <c r="O347" s="64"/>
      <c r="P347" s="67"/>
      <c r="Q347" s="64"/>
      <c r="R347" s="64"/>
      <c r="S347" s="64"/>
      <c r="T347" s="64"/>
      <c r="U347" s="64"/>
      <c r="V347" s="67"/>
      <c r="W347" s="64"/>
      <c r="X347" s="64"/>
      <c r="Y347" s="64"/>
      <c r="Z347" s="64"/>
      <c r="AA347" s="64"/>
      <c r="AB347" s="67"/>
      <c r="AC347" s="64"/>
      <c r="AD347" s="64"/>
      <c r="AE347" s="64"/>
      <c r="AF347" s="64"/>
      <c r="AG347" s="64"/>
      <c r="AH347" s="67"/>
      <c r="AI347" s="64"/>
      <c r="AJ347" s="64"/>
      <c r="AK347" s="64"/>
      <c r="AL347" s="64"/>
      <c r="AM347" s="64"/>
      <c r="AN347" s="67"/>
      <c r="AO347" s="64"/>
      <c r="AP347" s="64"/>
      <c r="AQ347" s="64"/>
      <c r="AR347" s="64"/>
      <c r="AS347" s="64"/>
      <c r="AT347" s="64"/>
      <c r="AU347" s="64"/>
      <c r="AV347" s="64"/>
      <c r="AW347" s="64"/>
      <c r="AX347" s="64"/>
      <c r="AY347" s="64"/>
      <c r="AZ347" s="64"/>
      <c r="BA347" s="64"/>
      <c r="BB347" s="64"/>
      <c r="BC347" s="64"/>
      <c r="BD347" s="64"/>
      <c r="BE347" s="657"/>
      <c r="BF347" s="67"/>
      <c r="BG347" s="64"/>
      <c r="BH347" s="64"/>
      <c r="BI347" s="64"/>
      <c r="BJ347" s="64"/>
      <c r="BK347" s="64"/>
      <c r="BL347" s="64"/>
      <c r="BM347" s="64"/>
      <c r="BN347" s="64"/>
      <c r="BO347" s="64"/>
      <c r="BP347" s="64"/>
      <c r="BQ347" s="64"/>
      <c r="BR347" s="69"/>
      <c r="BS347" s="69"/>
      <c r="BT347" s="64"/>
    </row>
    <row r="348" spans="1:72" ht="12.75" customHeight="1">
      <c r="A348" s="64"/>
      <c r="B348" s="64"/>
      <c r="C348" s="64"/>
      <c r="D348" s="64"/>
      <c r="E348" s="64"/>
      <c r="F348" s="67"/>
      <c r="G348" s="64"/>
      <c r="H348" s="64"/>
      <c r="I348" s="64"/>
      <c r="J348" s="64"/>
      <c r="K348" s="67"/>
      <c r="L348" s="64"/>
      <c r="M348" s="64"/>
      <c r="N348" s="64"/>
      <c r="O348" s="64"/>
      <c r="P348" s="67"/>
      <c r="Q348" s="64"/>
      <c r="R348" s="64"/>
      <c r="S348" s="64"/>
      <c r="T348" s="64"/>
      <c r="U348" s="64"/>
      <c r="V348" s="67"/>
      <c r="W348" s="64"/>
      <c r="X348" s="64"/>
      <c r="Y348" s="64"/>
      <c r="Z348" s="64"/>
      <c r="AA348" s="64"/>
      <c r="AB348" s="67"/>
      <c r="AC348" s="64"/>
      <c r="AD348" s="64"/>
      <c r="AE348" s="64"/>
      <c r="AF348" s="64"/>
      <c r="AG348" s="64"/>
      <c r="AH348" s="67"/>
      <c r="AI348" s="64"/>
      <c r="AJ348" s="64"/>
      <c r="AK348" s="64"/>
      <c r="AL348" s="64"/>
      <c r="AM348" s="64"/>
      <c r="AN348" s="67"/>
      <c r="AO348" s="64"/>
      <c r="AP348" s="64"/>
      <c r="AQ348" s="64"/>
      <c r="AR348" s="64"/>
      <c r="AS348" s="64"/>
      <c r="AT348" s="64"/>
      <c r="AU348" s="64"/>
      <c r="AV348" s="64"/>
      <c r="AW348" s="64"/>
      <c r="AX348" s="64"/>
      <c r="AY348" s="64"/>
      <c r="AZ348" s="64"/>
      <c r="BA348" s="64"/>
      <c r="BB348" s="64"/>
      <c r="BC348" s="64"/>
      <c r="BD348" s="64"/>
      <c r="BE348" s="657"/>
      <c r="BF348" s="67"/>
      <c r="BG348" s="64"/>
      <c r="BH348" s="64"/>
      <c r="BI348" s="64"/>
      <c r="BJ348" s="64"/>
      <c r="BK348" s="64"/>
      <c r="BL348" s="64"/>
      <c r="BM348" s="64"/>
      <c r="BN348" s="64"/>
      <c r="BO348" s="64"/>
      <c r="BP348" s="64"/>
      <c r="BQ348" s="64"/>
      <c r="BR348" s="69"/>
      <c r="BS348" s="69"/>
      <c r="BT348" s="64"/>
    </row>
    <row r="349" spans="1:72" ht="12.75" customHeight="1">
      <c r="A349" s="64"/>
      <c r="B349" s="64"/>
      <c r="C349" s="64"/>
      <c r="D349" s="64"/>
      <c r="E349" s="64"/>
      <c r="F349" s="67"/>
      <c r="G349" s="64"/>
      <c r="H349" s="64"/>
      <c r="I349" s="64"/>
      <c r="J349" s="64"/>
      <c r="K349" s="67"/>
      <c r="L349" s="64"/>
      <c r="M349" s="64"/>
      <c r="N349" s="64"/>
      <c r="O349" s="64"/>
      <c r="P349" s="67"/>
      <c r="Q349" s="64"/>
      <c r="R349" s="64"/>
      <c r="S349" s="64"/>
      <c r="T349" s="64"/>
      <c r="U349" s="64"/>
      <c r="V349" s="67"/>
      <c r="W349" s="64"/>
      <c r="X349" s="64"/>
      <c r="Y349" s="64"/>
      <c r="Z349" s="64"/>
      <c r="AA349" s="64"/>
      <c r="AB349" s="67"/>
      <c r="AC349" s="64"/>
      <c r="AD349" s="64"/>
      <c r="AE349" s="64"/>
      <c r="AF349" s="64"/>
      <c r="AG349" s="64"/>
      <c r="AH349" s="67"/>
      <c r="AI349" s="64"/>
      <c r="AJ349" s="64"/>
      <c r="AK349" s="64"/>
      <c r="AL349" s="64"/>
      <c r="AM349" s="64"/>
      <c r="AN349" s="67"/>
      <c r="AO349" s="64"/>
      <c r="AP349" s="64"/>
      <c r="AQ349" s="64"/>
      <c r="AR349" s="64"/>
      <c r="AS349" s="64"/>
      <c r="AT349" s="64"/>
      <c r="AU349" s="64"/>
      <c r="AV349" s="64"/>
      <c r="AW349" s="64"/>
      <c r="AX349" s="64"/>
      <c r="AY349" s="64"/>
      <c r="AZ349" s="64"/>
      <c r="BA349" s="64"/>
      <c r="BB349" s="64"/>
      <c r="BC349" s="64"/>
      <c r="BD349" s="64"/>
      <c r="BE349" s="657"/>
      <c r="BF349" s="67"/>
      <c r="BG349" s="64"/>
      <c r="BH349" s="64"/>
      <c r="BI349" s="64"/>
      <c r="BJ349" s="64"/>
      <c r="BK349" s="64"/>
      <c r="BL349" s="64"/>
      <c r="BM349" s="64"/>
      <c r="BN349" s="64"/>
      <c r="BO349" s="64"/>
      <c r="BP349" s="64"/>
      <c r="BQ349" s="64"/>
      <c r="BR349" s="69"/>
      <c r="BS349" s="69"/>
      <c r="BT349" s="64"/>
    </row>
    <row r="350" spans="1:72" ht="12.75" customHeight="1">
      <c r="A350" s="64"/>
      <c r="B350" s="64"/>
      <c r="C350" s="64"/>
      <c r="D350" s="64"/>
      <c r="E350" s="64"/>
      <c r="F350" s="67"/>
      <c r="G350" s="64"/>
      <c r="H350" s="64"/>
      <c r="I350" s="64"/>
      <c r="J350" s="64"/>
      <c r="K350" s="67"/>
      <c r="L350" s="64"/>
      <c r="M350" s="64"/>
      <c r="N350" s="64"/>
      <c r="O350" s="64"/>
      <c r="P350" s="67"/>
      <c r="Q350" s="64"/>
      <c r="R350" s="64"/>
      <c r="S350" s="64"/>
      <c r="T350" s="64"/>
      <c r="U350" s="64"/>
      <c r="V350" s="67"/>
      <c r="W350" s="64"/>
      <c r="X350" s="64"/>
      <c r="Y350" s="64"/>
      <c r="Z350" s="64"/>
      <c r="AA350" s="64"/>
      <c r="AB350" s="67"/>
      <c r="AC350" s="64"/>
      <c r="AD350" s="64"/>
      <c r="AE350" s="64"/>
      <c r="AF350" s="64"/>
      <c r="AG350" s="64"/>
      <c r="AH350" s="67"/>
      <c r="AI350" s="64"/>
      <c r="AJ350" s="64"/>
      <c r="AK350" s="64"/>
      <c r="AL350" s="64"/>
      <c r="AM350" s="64"/>
      <c r="AN350" s="67"/>
      <c r="AO350" s="64"/>
      <c r="AP350" s="64"/>
      <c r="AQ350" s="64"/>
      <c r="AR350" s="64"/>
      <c r="AS350" s="64"/>
      <c r="AT350" s="64"/>
      <c r="AU350" s="64"/>
      <c r="AV350" s="64"/>
      <c r="AW350" s="64"/>
      <c r="AX350" s="64"/>
      <c r="AY350" s="64"/>
      <c r="AZ350" s="64"/>
      <c r="BA350" s="64"/>
      <c r="BB350" s="64"/>
      <c r="BC350" s="64"/>
      <c r="BD350" s="64"/>
      <c r="BE350" s="657"/>
      <c r="BF350" s="67"/>
      <c r="BG350" s="64"/>
      <c r="BH350" s="64"/>
      <c r="BI350" s="64"/>
      <c r="BJ350" s="64"/>
      <c r="BK350" s="64"/>
      <c r="BL350" s="64"/>
      <c r="BM350" s="64"/>
      <c r="BN350" s="64"/>
      <c r="BO350" s="64"/>
      <c r="BP350" s="64"/>
      <c r="BQ350" s="64"/>
      <c r="BR350" s="69"/>
      <c r="BS350" s="69"/>
      <c r="BT350" s="64"/>
    </row>
    <row r="351" spans="1:72" ht="12.75" customHeight="1">
      <c r="A351" s="64"/>
      <c r="B351" s="64"/>
      <c r="C351" s="64"/>
      <c r="D351" s="64"/>
      <c r="E351" s="64"/>
      <c r="F351" s="67"/>
      <c r="G351" s="64"/>
      <c r="H351" s="64"/>
      <c r="I351" s="64"/>
      <c r="J351" s="64"/>
      <c r="K351" s="67"/>
      <c r="L351" s="64"/>
      <c r="M351" s="64"/>
      <c r="N351" s="64"/>
      <c r="O351" s="64"/>
      <c r="P351" s="67"/>
      <c r="Q351" s="64"/>
      <c r="R351" s="64"/>
      <c r="S351" s="64"/>
      <c r="T351" s="64"/>
      <c r="U351" s="64"/>
      <c r="V351" s="67"/>
      <c r="W351" s="64"/>
      <c r="X351" s="64"/>
      <c r="Y351" s="64"/>
      <c r="Z351" s="64"/>
      <c r="AA351" s="64"/>
      <c r="AB351" s="67"/>
      <c r="AC351" s="64"/>
      <c r="AD351" s="64"/>
      <c r="AE351" s="64"/>
      <c r="AF351" s="64"/>
      <c r="AG351" s="64"/>
      <c r="AH351" s="67"/>
      <c r="AI351" s="64"/>
      <c r="AJ351" s="64"/>
      <c r="AK351" s="64"/>
      <c r="AL351" s="64"/>
      <c r="AM351" s="64"/>
      <c r="AN351" s="67"/>
      <c r="AO351" s="64"/>
      <c r="AP351" s="64"/>
      <c r="AQ351" s="64"/>
      <c r="AR351" s="64"/>
      <c r="AS351" s="64"/>
      <c r="AT351" s="64"/>
      <c r="AU351" s="64"/>
      <c r="AV351" s="64"/>
      <c r="AW351" s="64"/>
      <c r="AX351" s="64"/>
      <c r="AY351" s="64"/>
      <c r="AZ351" s="64"/>
      <c r="BA351" s="64"/>
      <c r="BB351" s="64"/>
      <c r="BC351" s="64"/>
      <c r="BD351" s="64"/>
      <c r="BE351" s="657"/>
      <c r="BF351" s="67"/>
      <c r="BG351" s="64"/>
      <c r="BH351" s="64"/>
      <c r="BI351" s="64"/>
      <c r="BJ351" s="64"/>
      <c r="BK351" s="64"/>
      <c r="BL351" s="64"/>
      <c r="BM351" s="64"/>
      <c r="BN351" s="64"/>
      <c r="BO351" s="64"/>
      <c r="BP351" s="64"/>
      <c r="BQ351" s="64"/>
      <c r="BR351" s="69"/>
      <c r="BS351" s="69"/>
      <c r="BT351" s="64"/>
    </row>
    <row r="352" spans="1:72" ht="12.75" customHeight="1">
      <c r="A352" s="64"/>
      <c r="B352" s="64"/>
      <c r="C352" s="64"/>
      <c r="D352" s="64"/>
      <c r="E352" s="64"/>
      <c r="F352" s="67"/>
      <c r="G352" s="64"/>
      <c r="H352" s="64"/>
      <c r="I352" s="64"/>
      <c r="J352" s="64"/>
      <c r="K352" s="67"/>
      <c r="L352" s="64"/>
      <c r="M352" s="64"/>
      <c r="N352" s="64"/>
      <c r="O352" s="64"/>
      <c r="P352" s="67"/>
      <c r="Q352" s="64"/>
      <c r="R352" s="64"/>
      <c r="S352" s="64"/>
      <c r="T352" s="64"/>
      <c r="U352" s="64"/>
      <c r="V352" s="67"/>
      <c r="W352" s="64"/>
      <c r="X352" s="64"/>
      <c r="Y352" s="64"/>
      <c r="Z352" s="64"/>
      <c r="AA352" s="64"/>
      <c r="AB352" s="67"/>
      <c r="AC352" s="64"/>
      <c r="AD352" s="64"/>
      <c r="AE352" s="64"/>
      <c r="AF352" s="64"/>
      <c r="AG352" s="64"/>
      <c r="AH352" s="67"/>
      <c r="AI352" s="64"/>
      <c r="AJ352" s="64"/>
      <c r="AK352" s="64"/>
      <c r="AL352" s="64"/>
      <c r="AM352" s="64"/>
      <c r="AN352" s="67"/>
      <c r="AO352" s="64"/>
      <c r="AP352" s="64"/>
      <c r="AQ352" s="64"/>
      <c r="AR352" s="64"/>
      <c r="AS352" s="64"/>
      <c r="AT352" s="64"/>
      <c r="AU352" s="64"/>
      <c r="AV352" s="64"/>
      <c r="AW352" s="64"/>
      <c r="AX352" s="64"/>
      <c r="AY352" s="64"/>
      <c r="AZ352" s="64"/>
      <c r="BA352" s="64"/>
      <c r="BB352" s="64"/>
      <c r="BC352" s="64"/>
      <c r="BD352" s="64"/>
      <c r="BE352" s="657"/>
      <c r="BF352" s="67"/>
      <c r="BG352" s="64"/>
      <c r="BH352" s="64"/>
      <c r="BI352" s="64"/>
      <c r="BJ352" s="64"/>
      <c r="BK352" s="64"/>
      <c r="BL352" s="64"/>
      <c r="BM352" s="64"/>
      <c r="BN352" s="64"/>
      <c r="BO352" s="64"/>
      <c r="BP352" s="64"/>
      <c r="BQ352" s="64"/>
      <c r="BR352" s="69"/>
      <c r="BS352" s="69"/>
      <c r="BT352" s="64"/>
    </row>
    <row r="353" spans="1:72" ht="12.75" customHeight="1">
      <c r="A353" s="64"/>
      <c r="B353" s="64"/>
      <c r="C353" s="64"/>
      <c r="D353" s="64"/>
      <c r="E353" s="64"/>
      <c r="F353" s="67"/>
      <c r="G353" s="64"/>
      <c r="H353" s="64"/>
      <c r="I353" s="64"/>
      <c r="J353" s="64"/>
      <c r="K353" s="67"/>
      <c r="L353" s="64"/>
      <c r="M353" s="64"/>
      <c r="N353" s="64"/>
      <c r="O353" s="64"/>
      <c r="P353" s="67"/>
      <c r="Q353" s="64"/>
      <c r="R353" s="64"/>
      <c r="S353" s="64"/>
      <c r="T353" s="64"/>
      <c r="U353" s="64"/>
      <c r="V353" s="67"/>
      <c r="W353" s="64"/>
      <c r="X353" s="64"/>
      <c r="Y353" s="64"/>
      <c r="Z353" s="64"/>
      <c r="AA353" s="64"/>
      <c r="AB353" s="67"/>
      <c r="AC353" s="64"/>
      <c r="AD353" s="64"/>
      <c r="AE353" s="64"/>
      <c r="AF353" s="64"/>
      <c r="AG353" s="64"/>
      <c r="AH353" s="67"/>
      <c r="AI353" s="64"/>
      <c r="AJ353" s="64"/>
      <c r="AK353" s="64"/>
      <c r="AL353" s="64"/>
      <c r="AM353" s="64"/>
      <c r="AN353" s="67"/>
      <c r="AO353" s="64"/>
      <c r="AP353" s="64"/>
      <c r="AQ353" s="64"/>
      <c r="AR353" s="64"/>
      <c r="AS353" s="64"/>
      <c r="AT353" s="64"/>
      <c r="AU353" s="64"/>
      <c r="AV353" s="64"/>
      <c r="AW353" s="64"/>
      <c r="AX353" s="64"/>
      <c r="AY353" s="64"/>
      <c r="AZ353" s="64"/>
      <c r="BA353" s="64"/>
      <c r="BB353" s="64"/>
      <c r="BC353" s="64"/>
      <c r="BD353" s="64"/>
      <c r="BE353" s="657"/>
      <c r="BF353" s="67"/>
      <c r="BG353" s="64"/>
      <c r="BH353" s="64"/>
      <c r="BI353" s="64"/>
      <c r="BJ353" s="64"/>
      <c r="BK353" s="64"/>
      <c r="BL353" s="64"/>
      <c r="BM353" s="64"/>
      <c r="BN353" s="64"/>
      <c r="BO353" s="64"/>
      <c r="BP353" s="64"/>
      <c r="BQ353" s="64"/>
      <c r="BR353" s="69"/>
      <c r="BS353" s="69"/>
      <c r="BT353" s="64"/>
    </row>
    <row r="354" spans="1:72" ht="12.75" customHeight="1">
      <c r="A354" s="64"/>
      <c r="B354" s="64"/>
      <c r="C354" s="64"/>
      <c r="D354" s="64"/>
      <c r="E354" s="64"/>
      <c r="F354" s="67"/>
      <c r="G354" s="64"/>
      <c r="H354" s="64"/>
      <c r="I354" s="64"/>
      <c r="J354" s="64"/>
      <c r="K354" s="67"/>
      <c r="L354" s="64"/>
      <c r="M354" s="64"/>
      <c r="N354" s="64"/>
      <c r="O354" s="64"/>
      <c r="P354" s="67"/>
      <c r="Q354" s="64"/>
      <c r="R354" s="64"/>
      <c r="S354" s="64"/>
      <c r="T354" s="64"/>
      <c r="U354" s="64"/>
      <c r="V354" s="67"/>
      <c r="W354" s="64"/>
      <c r="X354" s="64"/>
      <c r="Y354" s="64"/>
      <c r="Z354" s="64"/>
      <c r="AA354" s="64"/>
      <c r="AB354" s="67"/>
      <c r="AC354" s="64"/>
      <c r="AD354" s="64"/>
      <c r="AE354" s="64"/>
      <c r="AF354" s="64"/>
      <c r="AG354" s="64"/>
      <c r="AH354" s="67"/>
      <c r="AI354" s="64"/>
      <c r="AJ354" s="64"/>
      <c r="AK354" s="64"/>
      <c r="AL354" s="64"/>
      <c r="AM354" s="64"/>
      <c r="AN354" s="67"/>
      <c r="AO354" s="64"/>
      <c r="AP354" s="64"/>
      <c r="AQ354" s="64"/>
      <c r="AR354" s="64"/>
      <c r="AS354" s="64"/>
      <c r="AT354" s="64"/>
      <c r="AU354" s="64"/>
      <c r="AV354" s="64"/>
      <c r="AW354" s="64"/>
      <c r="AX354" s="64"/>
      <c r="AY354" s="64"/>
      <c r="AZ354" s="64"/>
      <c r="BA354" s="64"/>
      <c r="BB354" s="64"/>
      <c r="BC354" s="64"/>
      <c r="BD354" s="64"/>
      <c r="BE354" s="657"/>
      <c r="BF354" s="67"/>
      <c r="BG354" s="64"/>
      <c r="BH354" s="64"/>
      <c r="BI354" s="64"/>
      <c r="BJ354" s="64"/>
      <c r="BK354" s="64"/>
      <c r="BL354" s="64"/>
      <c r="BM354" s="64"/>
      <c r="BN354" s="64"/>
      <c r="BO354" s="64"/>
      <c r="BP354" s="64"/>
      <c r="BQ354" s="64"/>
      <c r="BR354" s="69"/>
      <c r="BS354" s="69"/>
      <c r="BT354" s="64"/>
    </row>
    <row r="355" spans="1:72" ht="12.75" customHeight="1">
      <c r="A355" s="64"/>
      <c r="B355" s="64"/>
      <c r="C355" s="64"/>
      <c r="D355" s="64"/>
      <c r="E355" s="64"/>
      <c r="F355" s="67"/>
      <c r="G355" s="64"/>
      <c r="H355" s="64"/>
      <c r="I355" s="64"/>
      <c r="J355" s="64"/>
      <c r="K355" s="67"/>
      <c r="L355" s="64"/>
      <c r="M355" s="64"/>
      <c r="N355" s="64"/>
      <c r="O355" s="64"/>
      <c r="P355" s="67"/>
      <c r="Q355" s="64"/>
      <c r="R355" s="64"/>
      <c r="S355" s="64"/>
      <c r="T355" s="64"/>
      <c r="U355" s="64"/>
      <c r="V355" s="67"/>
      <c r="W355" s="64"/>
      <c r="X355" s="64"/>
      <c r="Y355" s="64"/>
      <c r="Z355" s="64"/>
      <c r="AA355" s="64"/>
      <c r="AB355" s="67"/>
      <c r="AC355" s="64"/>
      <c r="AD355" s="64"/>
      <c r="AE355" s="64"/>
      <c r="AF355" s="64"/>
      <c r="AG355" s="64"/>
      <c r="AH355" s="67"/>
      <c r="AI355" s="64"/>
      <c r="AJ355" s="64"/>
      <c r="AK355" s="64"/>
      <c r="AL355" s="64"/>
      <c r="AM355" s="64"/>
      <c r="AN355" s="67"/>
      <c r="AO355" s="64"/>
      <c r="AP355" s="64"/>
      <c r="AQ355" s="64"/>
      <c r="AR355" s="64"/>
      <c r="AS355" s="64"/>
      <c r="AT355" s="64"/>
      <c r="AU355" s="64"/>
      <c r="AV355" s="64"/>
      <c r="AW355" s="64"/>
      <c r="AX355" s="64"/>
      <c r="AY355" s="64"/>
      <c r="AZ355" s="64"/>
      <c r="BA355" s="64"/>
      <c r="BB355" s="64"/>
      <c r="BC355" s="64"/>
      <c r="BD355" s="64"/>
      <c r="BE355" s="657"/>
      <c r="BF355" s="67"/>
      <c r="BG355" s="64"/>
      <c r="BH355" s="64"/>
      <c r="BI355" s="64"/>
      <c r="BJ355" s="64"/>
      <c r="BK355" s="64"/>
      <c r="BL355" s="64"/>
      <c r="BM355" s="64"/>
      <c r="BN355" s="64"/>
      <c r="BO355" s="64"/>
      <c r="BP355" s="64"/>
      <c r="BQ355" s="64"/>
      <c r="BR355" s="69"/>
      <c r="BS355" s="69"/>
      <c r="BT355" s="64"/>
    </row>
    <row r="356" spans="1:72" ht="12.75" customHeight="1">
      <c r="A356" s="64"/>
      <c r="B356" s="64"/>
      <c r="C356" s="64"/>
      <c r="D356" s="64"/>
      <c r="E356" s="64"/>
      <c r="F356" s="67"/>
      <c r="G356" s="64"/>
      <c r="H356" s="64"/>
      <c r="I356" s="64"/>
      <c r="J356" s="64"/>
      <c r="K356" s="67"/>
      <c r="L356" s="64"/>
      <c r="M356" s="64"/>
      <c r="N356" s="64"/>
      <c r="O356" s="64"/>
      <c r="P356" s="67"/>
      <c r="Q356" s="64"/>
      <c r="R356" s="64"/>
      <c r="S356" s="64"/>
      <c r="T356" s="64"/>
      <c r="U356" s="64"/>
      <c r="V356" s="67"/>
      <c r="W356" s="64"/>
      <c r="X356" s="64"/>
      <c r="Y356" s="64"/>
      <c r="Z356" s="64"/>
      <c r="AA356" s="64"/>
      <c r="AB356" s="67"/>
      <c r="AC356" s="64"/>
      <c r="AD356" s="64"/>
      <c r="AE356" s="64"/>
      <c r="AF356" s="64"/>
      <c r="AG356" s="64"/>
      <c r="AH356" s="67"/>
      <c r="AI356" s="64"/>
      <c r="AJ356" s="64"/>
      <c r="AK356" s="64"/>
      <c r="AL356" s="64"/>
      <c r="AM356" s="64"/>
      <c r="AN356" s="67"/>
      <c r="AO356" s="64"/>
      <c r="AP356" s="64"/>
      <c r="AQ356" s="64"/>
      <c r="AR356" s="64"/>
      <c r="AS356" s="64"/>
      <c r="AT356" s="64"/>
      <c r="AU356" s="64"/>
      <c r="AV356" s="64"/>
      <c r="AW356" s="64"/>
      <c r="AX356" s="64"/>
      <c r="AY356" s="64"/>
      <c r="AZ356" s="64"/>
      <c r="BA356" s="64"/>
      <c r="BB356" s="64"/>
      <c r="BC356" s="64"/>
      <c r="BD356" s="64"/>
      <c r="BE356" s="657"/>
      <c r="BF356" s="67"/>
      <c r="BG356" s="64"/>
      <c r="BH356" s="64"/>
      <c r="BI356" s="64"/>
      <c r="BJ356" s="64"/>
      <c r="BK356" s="64"/>
      <c r="BL356" s="64"/>
      <c r="BM356" s="64"/>
      <c r="BN356" s="64"/>
      <c r="BO356" s="64"/>
      <c r="BP356" s="64"/>
      <c r="BQ356" s="64"/>
      <c r="BR356" s="69"/>
      <c r="BS356" s="69"/>
      <c r="BT356" s="64"/>
    </row>
    <row r="357" spans="1:72" ht="12.75" customHeight="1">
      <c r="A357" s="64"/>
      <c r="B357" s="64"/>
      <c r="C357" s="64"/>
      <c r="D357" s="64"/>
      <c r="E357" s="64"/>
      <c r="F357" s="67"/>
      <c r="G357" s="64"/>
      <c r="H357" s="64"/>
      <c r="I357" s="64"/>
      <c r="J357" s="64"/>
      <c r="K357" s="67"/>
      <c r="L357" s="64"/>
      <c r="M357" s="64"/>
      <c r="N357" s="64"/>
      <c r="O357" s="64"/>
      <c r="P357" s="67"/>
      <c r="Q357" s="64"/>
      <c r="R357" s="64"/>
      <c r="S357" s="64"/>
      <c r="T357" s="64"/>
      <c r="U357" s="64"/>
      <c r="V357" s="67"/>
      <c r="W357" s="64"/>
      <c r="X357" s="64"/>
      <c r="Y357" s="64"/>
      <c r="Z357" s="64"/>
      <c r="AA357" s="64"/>
      <c r="AB357" s="67"/>
      <c r="AC357" s="64"/>
      <c r="AD357" s="64"/>
      <c r="AE357" s="64"/>
      <c r="AF357" s="64"/>
      <c r="AG357" s="64"/>
      <c r="AH357" s="67"/>
      <c r="AI357" s="64"/>
      <c r="AJ357" s="64"/>
      <c r="AK357" s="64"/>
      <c r="AL357" s="64"/>
      <c r="AM357" s="64"/>
      <c r="AN357" s="67"/>
      <c r="AO357" s="64"/>
      <c r="AP357" s="64"/>
      <c r="AQ357" s="64"/>
      <c r="AR357" s="64"/>
      <c r="AS357" s="64"/>
      <c r="AT357" s="64"/>
      <c r="AU357" s="64"/>
      <c r="AV357" s="64"/>
      <c r="AW357" s="64"/>
      <c r="AX357" s="64"/>
      <c r="AY357" s="64"/>
      <c r="AZ357" s="64"/>
      <c r="BA357" s="64"/>
      <c r="BB357" s="64"/>
      <c r="BC357" s="64"/>
      <c r="BD357" s="64"/>
      <c r="BE357" s="657"/>
      <c r="BF357" s="67"/>
      <c r="BG357" s="64"/>
      <c r="BH357" s="64"/>
      <c r="BI357" s="64"/>
      <c r="BJ357" s="64"/>
      <c r="BK357" s="64"/>
      <c r="BL357" s="64"/>
      <c r="BM357" s="64"/>
      <c r="BN357" s="64"/>
      <c r="BO357" s="64"/>
      <c r="BP357" s="64"/>
      <c r="BQ357" s="64"/>
      <c r="BR357" s="69"/>
      <c r="BS357" s="69"/>
      <c r="BT357" s="64"/>
    </row>
    <row r="358" spans="1:72" ht="12.75" customHeight="1">
      <c r="A358" s="64"/>
      <c r="B358" s="64"/>
      <c r="C358" s="64"/>
      <c r="D358" s="64"/>
      <c r="E358" s="64"/>
      <c r="F358" s="67"/>
      <c r="G358" s="64"/>
      <c r="H358" s="64"/>
      <c r="I358" s="64"/>
      <c r="J358" s="64"/>
      <c r="K358" s="67"/>
      <c r="L358" s="64"/>
      <c r="M358" s="64"/>
      <c r="N358" s="64"/>
      <c r="O358" s="64"/>
      <c r="P358" s="67"/>
      <c r="Q358" s="64"/>
      <c r="R358" s="64"/>
      <c r="S358" s="64"/>
      <c r="T358" s="64"/>
      <c r="U358" s="64"/>
      <c r="V358" s="67"/>
      <c r="W358" s="64"/>
      <c r="X358" s="64"/>
      <c r="Y358" s="64"/>
      <c r="Z358" s="64"/>
      <c r="AA358" s="64"/>
      <c r="AB358" s="67"/>
      <c r="AC358" s="64"/>
      <c r="AD358" s="64"/>
      <c r="AE358" s="64"/>
      <c r="AF358" s="64"/>
      <c r="AG358" s="64"/>
      <c r="AH358" s="67"/>
      <c r="AI358" s="64"/>
      <c r="AJ358" s="64"/>
      <c r="AK358" s="64"/>
      <c r="AL358" s="64"/>
      <c r="AM358" s="64"/>
      <c r="AN358" s="67"/>
      <c r="AO358" s="64"/>
      <c r="AP358" s="64"/>
      <c r="AQ358" s="64"/>
      <c r="AR358" s="64"/>
      <c r="AS358" s="64"/>
      <c r="AT358" s="64"/>
      <c r="AU358" s="64"/>
      <c r="AV358" s="64"/>
      <c r="AW358" s="64"/>
      <c r="AX358" s="64"/>
      <c r="AY358" s="64"/>
      <c r="AZ358" s="64"/>
      <c r="BA358" s="64"/>
      <c r="BB358" s="64"/>
      <c r="BC358" s="64"/>
      <c r="BD358" s="64"/>
      <c r="BE358" s="657"/>
      <c r="BF358" s="67"/>
      <c r="BG358" s="64"/>
      <c r="BH358" s="64"/>
      <c r="BI358" s="64"/>
      <c r="BJ358" s="64"/>
      <c r="BK358" s="64"/>
      <c r="BL358" s="64"/>
      <c r="BM358" s="64"/>
      <c r="BN358" s="64"/>
      <c r="BO358" s="64"/>
      <c r="BP358" s="64"/>
      <c r="BQ358" s="64"/>
      <c r="BR358" s="69"/>
      <c r="BS358" s="69"/>
      <c r="BT358" s="64"/>
    </row>
    <row r="359" spans="1:72" ht="12.75" customHeight="1">
      <c r="A359" s="64"/>
      <c r="B359" s="64"/>
      <c r="C359" s="64"/>
      <c r="D359" s="64"/>
      <c r="E359" s="64"/>
      <c r="F359" s="67"/>
      <c r="G359" s="64"/>
      <c r="H359" s="64"/>
      <c r="I359" s="64"/>
      <c r="J359" s="64"/>
      <c r="K359" s="67"/>
      <c r="L359" s="64"/>
      <c r="M359" s="64"/>
      <c r="N359" s="64"/>
      <c r="O359" s="64"/>
      <c r="P359" s="67"/>
      <c r="Q359" s="64"/>
      <c r="R359" s="64"/>
      <c r="S359" s="64"/>
      <c r="T359" s="64"/>
      <c r="U359" s="64"/>
      <c r="V359" s="67"/>
      <c r="W359" s="64"/>
      <c r="X359" s="64"/>
      <c r="Y359" s="64"/>
      <c r="Z359" s="64"/>
      <c r="AA359" s="64"/>
      <c r="AB359" s="67"/>
      <c r="AC359" s="64"/>
      <c r="AD359" s="64"/>
      <c r="AE359" s="64"/>
      <c r="AF359" s="64"/>
      <c r="AG359" s="64"/>
      <c r="AH359" s="67"/>
      <c r="AI359" s="64"/>
      <c r="AJ359" s="64"/>
      <c r="AK359" s="64"/>
      <c r="AL359" s="64"/>
      <c r="AM359" s="64"/>
      <c r="AN359" s="67"/>
      <c r="AO359" s="64"/>
      <c r="AP359" s="64"/>
      <c r="AQ359" s="64"/>
      <c r="AR359" s="64"/>
      <c r="AS359" s="64"/>
      <c r="AT359" s="64"/>
      <c r="AU359" s="64"/>
      <c r="AV359" s="64"/>
      <c r="AW359" s="64"/>
      <c r="AX359" s="64"/>
      <c r="AY359" s="64"/>
      <c r="AZ359" s="64"/>
      <c r="BA359" s="64"/>
      <c r="BB359" s="64"/>
      <c r="BC359" s="64"/>
      <c r="BD359" s="64"/>
      <c r="BE359" s="657"/>
      <c r="BF359" s="67"/>
      <c r="BG359" s="64"/>
      <c r="BH359" s="64"/>
      <c r="BI359" s="64"/>
      <c r="BJ359" s="64"/>
      <c r="BK359" s="64"/>
      <c r="BL359" s="64"/>
      <c r="BM359" s="64"/>
      <c r="BN359" s="64"/>
      <c r="BO359" s="64"/>
      <c r="BP359" s="64"/>
      <c r="BQ359" s="64"/>
      <c r="BR359" s="69"/>
      <c r="BS359" s="69"/>
      <c r="BT359" s="64"/>
    </row>
    <row r="360" spans="1:72" ht="12.75" customHeight="1">
      <c r="A360" s="64"/>
      <c r="B360" s="64"/>
      <c r="C360" s="64"/>
      <c r="D360" s="64"/>
      <c r="E360" s="64"/>
      <c r="F360" s="67"/>
      <c r="G360" s="64"/>
      <c r="H360" s="64"/>
      <c r="I360" s="64"/>
      <c r="J360" s="64"/>
      <c r="K360" s="67"/>
      <c r="L360" s="64"/>
      <c r="M360" s="64"/>
      <c r="N360" s="64"/>
      <c r="O360" s="64"/>
      <c r="P360" s="67"/>
      <c r="Q360" s="64"/>
      <c r="R360" s="64"/>
      <c r="S360" s="64"/>
      <c r="T360" s="64"/>
      <c r="U360" s="64"/>
      <c r="V360" s="67"/>
      <c r="W360" s="64"/>
      <c r="X360" s="64"/>
      <c r="Y360" s="64"/>
      <c r="Z360" s="64"/>
      <c r="AA360" s="64"/>
      <c r="AB360" s="67"/>
      <c r="AC360" s="64"/>
      <c r="AD360" s="64"/>
      <c r="AE360" s="64"/>
      <c r="AF360" s="64"/>
      <c r="AG360" s="64"/>
      <c r="AH360" s="67"/>
      <c r="AI360" s="64"/>
      <c r="AJ360" s="64"/>
      <c r="AK360" s="64"/>
      <c r="AL360" s="64"/>
      <c r="AM360" s="64"/>
      <c r="AN360" s="67"/>
      <c r="AO360" s="64"/>
      <c r="AP360" s="64"/>
      <c r="AQ360" s="64"/>
      <c r="AR360" s="64"/>
      <c r="AS360" s="64"/>
      <c r="AT360" s="64"/>
      <c r="AU360" s="64"/>
      <c r="AV360" s="64"/>
      <c r="AW360" s="64"/>
      <c r="AX360" s="64"/>
      <c r="AY360" s="64"/>
      <c r="AZ360" s="64"/>
      <c r="BA360" s="64"/>
      <c r="BB360" s="64"/>
      <c r="BC360" s="64"/>
      <c r="BD360" s="64"/>
      <c r="BE360" s="657"/>
      <c r="BF360" s="67"/>
      <c r="BG360" s="64"/>
      <c r="BH360" s="64"/>
      <c r="BI360" s="64"/>
      <c r="BJ360" s="64"/>
      <c r="BK360" s="64"/>
      <c r="BL360" s="64"/>
      <c r="BM360" s="64"/>
      <c r="BN360" s="64"/>
      <c r="BO360" s="64"/>
      <c r="BP360" s="64"/>
      <c r="BQ360" s="64"/>
      <c r="BR360" s="69"/>
      <c r="BS360" s="69"/>
      <c r="BT360" s="64"/>
    </row>
    <row r="361" spans="1:72" ht="12.75" customHeight="1">
      <c r="A361" s="64"/>
      <c r="B361" s="64"/>
      <c r="C361" s="64"/>
      <c r="D361" s="64"/>
      <c r="E361" s="64"/>
      <c r="F361" s="67"/>
      <c r="G361" s="64"/>
      <c r="H361" s="64"/>
      <c r="I361" s="64"/>
      <c r="J361" s="64"/>
      <c r="K361" s="67"/>
      <c r="L361" s="64"/>
      <c r="M361" s="64"/>
      <c r="N361" s="64"/>
      <c r="O361" s="64"/>
      <c r="P361" s="67"/>
      <c r="Q361" s="64"/>
      <c r="R361" s="64"/>
      <c r="S361" s="64"/>
      <c r="T361" s="64"/>
      <c r="U361" s="64"/>
      <c r="V361" s="67"/>
      <c r="W361" s="64"/>
      <c r="X361" s="64"/>
      <c r="Y361" s="64"/>
      <c r="Z361" s="64"/>
      <c r="AA361" s="64"/>
      <c r="AB361" s="67"/>
      <c r="AC361" s="64"/>
      <c r="AD361" s="64"/>
      <c r="AE361" s="64"/>
      <c r="AF361" s="64"/>
      <c r="AG361" s="64"/>
      <c r="AH361" s="67"/>
      <c r="AI361" s="64"/>
      <c r="AJ361" s="64"/>
      <c r="AK361" s="64"/>
      <c r="AL361" s="64"/>
      <c r="AM361" s="64"/>
      <c r="AN361" s="67"/>
      <c r="AO361" s="64"/>
      <c r="AP361" s="64"/>
      <c r="AQ361" s="64"/>
      <c r="AR361" s="64"/>
      <c r="AS361" s="64"/>
      <c r="AT361" s="64"/>
      <c r="AU361" s="64"/>
      <c r="AV361" s="64"/>
      <c r="AW361" s="64"/>
      <c r="AX361" s="64"/>
      <c r="AY361" s="64"/>
      <c r="AZ361" s="64"/>
      <c r="BA361" s="64"/>
      <c r="BB361" s="64"/>
      <c r="BC361" s="64"/>
      <c r="BD361" s="64"/>
      <c r="BE361" s="657"/>
      <c r="BF361" s="67"/>
      <c r="BG361" s="64"/>
      <c r="BH361" s="64"/>
      <c r="BI361" s="64"/>
      <c r="BJ361" s="64"/>
      <c r="BK361" s="64"/>
      <c r="BL361" s="64"/>
      <c r="BM361" s="64"/>
      <c r="BN361" s="64"/>
      <c r="BO361" s="64"/>
      <c r="BP361" s="64"/>
      <c r="BQ361" s="64"/>
      <c r="BR361" s="69"/>
      <c r="BS361" s="69"/>
      <c r="BT361" s="64"/>
    </row>
    <row r="362" spans="1:72" ht="12.75" customHeight="1">
      <c r="A362" s="64"/>
      <c r="B362" s="64"/>
      <c r="C362" s="64"/>
      <c r="D362" s="64"/>
      <c r="E362" s="64"/>
      <c r="F362" s="67"/>
      <c r="G362" s="64"/>
      <c r="H362" s="64"/>
      <c r="I362" s="64"/>
      <c r="J362" s="64"/>
      <c r="K362" s="67"/>
      <c r="L362" s="64"/>
      <c r="M362" s="64"/>
      <c r="N362" s="64"/>
      <c r="O362" s="64"/>
      <c r="P362" s="67"/>
      <c r="Q362" s="64"/>
      <c r="R362" s="64"/>
      <c r="S362" s="64"/>
      <c r="T362" s="64"/>
      <c r="U362" s="64"/>
      <c r="V362" s="67"/>
      <c r="W362" s="64"/>
      <c r="X362" s="64"/>
      <c r="Y362" s="64"/>
      <c r="Z362" s="64"/>
      <c r="AA362" s="64"/>
      <c r="AB362" s="67"/>
      <c r="AC362" s="64"/>
      <c r="AD362" s="64"/>
      <c r="AE362" s="64"/>
      <c r="AF362" s="64"/>
      <c r="AG362" s="64"/>
      <c r="AH362" s="67"/>
      <c r="AI362" s="64"/>
      <c r="AJ362" s="64"/>
      <c r="AK362" s="64"/>
      <c r="AL362" s="64"/>
      <c r="AM362" s="64"/>
      <c r="AN362" s="67"/>
      <c r="AO362" s="64"/>
      <c r="AP362" s="64"/>
      <c r="AQ362" s="64"/>
      <c r="AR362" s="64"/>
      <c r="AS362" s="64"/>
      <c r="AT362" s="64"/>
      <c r="AU362" s="64"/>
      <c r="AV362" s="64"/>
      <c r="AW362" s="64"/>
      <c r="AX362" s="64"/>
      <c r="AY362" s="64"/>
      <c r="AZ362" s="64"/>
      <c r="BA362" s="64"/>
      <c r="BB362" s="64"/>
      <c r="BC362" s="64"/>
      <c r="BD362" s="64"/>
      <c r="BE362" s="657"/>
      <c r="BF362" s="67"/>
      <c r="BG362" s="64"/>
      <c r="BH362" s="64"/>
      <c r="BI362" s="64"/>
      <c r="BJ362" s="64"/>
      <c r="BK362" s="64"/>
      <c r="BL362" s="64"/>
      <c r="BM362" s="64"/>
      <c r="BN362" s="64"/>
      <c r="BO362" s="64"/>
      <c r="BP362" s="64"/>
      <c r="BQ362" s="64"/>
      <c r="BR362" s="69"/>
      <c r="BS362" s="69"/>
      <c r="BT362" s="64"/>
    </row>
    <row r="363" spans="1:72" ht="12.75" customHeight="1">
      <c r="A363" s="64"/>
      <c r="B363" s="64"/>
      <c r="C363" s="64"/>
      <c r="D363" s="64"/>
      <c r="E363" s="64"/>
      <c r="F363" s="67"/>
      <c r="G363" s="64"/>
      <c r="H363" s="64"/>
      <c r="I363" s="64"/>
      <c r="J363" s="64"/>
      <c r="K363" s="67"/>
      <c r="L363" s="64"/>
      <c r="M363" s="64"/>
      <c r="N363" s="64"/>
      <c r="O363" s="64"/>
      <c r="P363" s="67"/>
      <c r="Q363" s="64"/>
      <c r="R363" s="64"/>
      <c r="S363" s="64"/>
      <c r="T363" s="64"/>
      <c r="U363" s="64"/>
      <c r="V363" s="67"/>
      <c r="W363" s="64"/>
      <c r="X363" s="64"/>
      <c r="Y363" s="64"/>
      <c r="Z363" s="64"/>
      <c r="AA363" s="64"/>
      <c r="AB363" s="67"/>
      <c r="AC363" s="64"/>
      <c r="AD363" s="64"/>
      <c r="AE363" s="64"/>
      <c r="AF363" s="64"/>
      <c r="AG363" s="64"/>
      <c r="AH363" s="67"/>
      <c r="AI363" s="64"/>
      <c r="AJ363" s="64"/>
      <c r="AK363" s="64"/>
      <c r="AL363" s="64"/>
      <c r="AM363" s="64"/>
      <c r="AN363" s="67"/>
      <c r="AO363" s="64"/>
      <c r="AP363" s="64"/>
      <c r="AQ363" s="64"/>
      <c r="AR363" s="64"/>
      <c r="AS363" s="64"/>
      <c r="AT363" s="64"/>
      <c r="AU363" s="64"/>
      <c r="AV363" s="64"/>
      <c r="AW363" s="64"/>
      <c r="AX363" s="64"/>
      <c r="AY363" s="64"/>
      <c r="AZ363" s="64"/>
      <c r="BA363" s="64"/>
      <c r="BB363" s="64"/>
      <c r="BC363" s="64"/>
      <c r="BD363" s="64"/>
      <c r="BE363" s="657"/>
      <c r="BF363" s="67"/>
      <c r="BG363" s="64"/>
      <c r="BH363" s="64"/>
      <c r="BI363" s="64"/>
      <c r="BJ363" s="64"/>
      <c r="BK363" s="64"/>
      <c r="BL363" s="64"/>
      <c r="BM363" s="64"/>
      <c r="BN363" s="64"/>
      <c r="BO363" s="64"/>
      <c r="BP363" s="64"/>
      <c r="BQ363" s="64"/>
      <c r="BR363" s="69"/>
      <c r="BS363" s="69"/>
      <c r="BT363" s="64"/>
    </row>
    <row r="364" spans="1:72" ht="12.75" customHeight="1">
      <c r="A364" s="64"/>
      <c r="B364" s="64"/>
      <c r="C364" s="64"/>
      <c r="D364" s="64"/>
      <c r="E364" s="64"/>
      <c r="F364" s="67"/>
      <c r="G364" s="64"/>
      <c r="H364" s="64"/>
      <c r="I364" s="64"/>
      <c r="J364" s="64"/>
      <c r="K364" s="67"/>
      <c r="L364" s="64"/>
      <c r="M364" s="64"/>
      <c r="N364" s="64"/>
      <c r="O364" s="64"/>
      <c r="P364" s="67"/>
      <c r="Q364" s="64"/>
      <c r="R364" s="64"/>
      <c r="S364" s="64"/>
      <c r="T364" s="64"/>
      <c r="U364" s="64"/>
      <c r="V364" s="67"/>
      <c r="W364" s="64"/>
      <c r="X364" s="64"/>
      <c r="Y364" s="64"/>
      <c r="Z364" s="64"/>
      <c r="AA364" s="64"/>
      <c r="AB364" s="67"/>
      <c r="AC364" s="64"/>
      <c r="AD364" s="64"/>
      <c r="AE364" s="64"/>
      <c r="AF364" s="64"/>
      <c r="AG364" s="64"/>
      <c r="AH364" s="67"/>
      <c r="AI364" s="64"/>
      <c r="AJ364" s="64"/>
      <c r="AK364" s="64"/>
      <c r="AL364" s="64"/>
      <c r="AM364" s="64"/>
      <c r="AN364" s="67"/>
      <c r="AO364" s="64"/>
      <c r="AP364" s="64"/>
      <c r="AQ364" s="64"/>
      <c r="AR364" s="64"/>
      <c r="AS364" s="64"/>
      <c r="AT364" s="64"/>
      <c r="AU364" s="64"/>
      <c r="AV364" s="64"/>
      <c r="AW364" s="64"/>
      <c r="AX364" s="64"/>
      <c r="AY364" s="64"/>
      <c r="AZ364" s="64"/>
      <c r="BA364" s="64"/>
      <c r="BB364" s="64"/>
      <c r="BC364" s="64"/>
      <c r="BD364" s="64"/>
      <c r="BE364" s="657"/>
      <c r="BF364" s="67"/>
      <c r="BG364" s="64"/>
      <c r="BH364" s="64"/>
      <c r="BI364" s="64"/>
      <c r="BJ364" s="64"/>
      <c r="BK364" s="64"/>
      <c r="BL364" s="64"/>
      <c r="BM364" s="64"/>
      <c r="BN364" s="64"/>
      <c r="BO364" s="64"/>
      <c r="BP364" s="64"/>
      <c r="BQ364" s="64"/>
      <c r="BR364" s="69"/>
      <c r="BS364" s="69"/>
      <c r="BT364" s="64"/>
    </row>
    <row r="365" spans="1:72" ht="12.75" customHeight="1">
      <c r="A365" s="64"/>
      <c r="B365" s="64"/>
      <c r="C365" s="64"/>
      <c r="D365" s="64"/>
      <c r="E365" s="64"/>
      <c r="F365" s="67"/>
      <c r="G365" s="64"/>
      <c r="H365" s="64"/>
      <c r="I365" s="64"/>
      <c r="J365" s="64"/>
      <c r="K365" s="67"/>
      <c r="L365" s="64"/>
      <c r="M365" s="64"/>
      <c r="N365" s="64"/>
      <c r="O365" s="64"/>
      <c r="P365" s="67"/>
      <c r="Q365" s="64"/>
      <c r="R365" s="64"/>
      <c r="S365" s="64"/>
      <c r="T365" s="64"/>
      <c r="U365" s="64"/>
      <c r="V365" s="67"/>
      <c r="W365" s="64"/>
      <c r="X365" s="64"/>
      <c r="Y365" s="64"/>
      <c r="Z365" s="64"/>
      <c r="AA365" s="64"/>
      <c r="AB365" s="67"/>
      <c r="AC365" s="64"/>
      <c r="AD365" s="64"/>
      <c r="AE365" s="64"/>
      <c r="AF365" s="64"/>
      <c r="AG365" s="64"/>
      <c r="AH365" s="67"/>
      <c r="AI365" s="64"/>
      <c r="AJ365" s="64"/>
      <c r="AK365" s="64"/>
      <c r="AL365" s="64"/>
      <c r="AM365" s="64"/>
      <c r="AN365" s="67"/>
      <c r="AO365" s="64"/>
      <c r="AP365" s="64"/>
      <c r="AQ365" s="64"/>
      <c r="AR365" s="64"/>
      <c r="AS365" s="64"/>
      <c r="AT365" s="64"/>
      <c r="AU365" s="64"/>
      <c r="AV365" s="64"/>
      <c r="AW365" s="64"/>
      <c r="AX365" s="64"/>
      <c r="AY365" s="64"/>
      <c r="AZ365" s="64"/>
      <c r="BA365" s="64"/>
      <c r="BB365" s="64"/>
      <c r="BC365" s="64"/>
      <c r="BD365" s="64"/>
      <c r="BE365" s="657"/>
      <c r="BF365" s="67"/>
      <c r="BG365" s="64"/>
      <c r="BH365" s="64"/>
      <c r="BI365" s="64"/>
      <c r="BJ365" s="64"/>
      <c r="BK365" s="64"/>
      <c r="BL365" s="64"/>
      <c r="BM365" s="64"/>
      <c r="BN365" s="64"/>
      <c r="BO365" s="64"/>
      <c r="BP365" s="64"/>
      <c r="BQ365" s="64"/>
      <c r="BR365" s="69"/>
      <c r="BS365" s="69"/>
      <c r="BT365" s="64"/>
    </row>
    <row r="366" spans="1:72" ht="12.75" customHeight="1">
      <c r="A366" s="64"/>
      <c r="B366" s="64"/>
      <c r="C366" s="64"/>
      <c r="D366" s="64"/>
      <c r="E366" s="64"/>
      <c r="F366" s="67"/>
      <c r="G366" s="64"/>
      <c r="H366" s="64"/>
      <c r="I366" s="64"/>
      <c r="J366" s="64"/>
      <c r="K366" s="67"/>
      <c r="L366" s="64"/>
      <c r="M366" s="64"/>
      <c r="N366" s="64"/>
      <c r="O366" s="64"/>
      <c r="P366" s="67"/>
      <c r="Q366" s="64"/>
      <c r="R366" s="64"/>
      <c r="S366" s="64"/>
      <c r="T366" s="64"/>
      <c r="U366" s="64"/>
      <c r="V366" s="67"/>
      <c r="W366" s="64"/>
      <c r="X366" s="64"/>
      <c r="Y366" s="64"/>
      <c r="Z366" s="64"/>
      <c r="AA366" s="64"/>
      <c r="AB366" s="67"/>
      <c r="AC366" s="64"/>
      <c r="AD366" s="64"/>
      <c r="AE366" s="64"/>
      <c r="AF366" s="64"/>
      <c r="AG366" s="64"/>
      <c r="AH366" s="67"/>
      <c r="AI366" s="64"/>
      <c r="AJ366" s="64"/>
      <c r="AK366" s="64"/>
      <c r="AL366" s="64"/>
      <c r="AM366" s="64"/>
      <c r="AN366" s="67"/>
      <c r="AO366" s="64"/>
      <c r="AP366" s="64"/>
      <c r="AQ366" s="64"/>
      <c r="AR366" s="64"/>
      <c r="AS366" s="64"/>
      <c r="AT366" s="64"/>
      <c r="AU366" s="64"/>
      <c r="AV366" s="64"/>
      <c r="AW366" s="64"/>
      <c r="AX366" s="64"/>
      <c r="AY366" s="64"/>
      <c r="AZ366" s="64"/>
      <c r="BA366" s="64"/>
      <c r="BB366" s="64"/>
      <c r="BC366" s="64"/>
      <c r="BD366" s="64"/>
      <c r="BE366" s="657"/>
      <c r="BF366" s="67"/>
      <c r="BG366" s="64"/>
      <c r="BH366" s="64"/>
      <c r="BI366" s="64"/>
      <c r="BJ366" s="64"/>
      <c r="BK366" s="64"/>
      <c r="BL366" s="64"/>
      <c r="BM366" s="64"/>
      <c r="BN366" s="64"/>
      <c r="BO366" s="64"/>
      <c r="BP366" s="64"/>
      <c r="BQ366" s="64"/>
      <c r="BR366" s="69"/>
      <c r="BS366" s="69"/>
      <c r="BT366" s="64"/>
    </row>
    <row r="367" spans="1:72" ht="12.75" customHeight="1">
      <c r="A367" s="64"/>
      <c r="B367" s="64"/>
      <c r="C367" s="64"/>
      <c r="D367" s="64"/>
      <c r="E367" s="64"/>
      <c r="F367" s="67"/>
      <c r="G367" s="64"/>
      <c r="H367" s="64"/>
      <c r="I367" s="64"/>
      <c r="J367" s="64"/>
      <c r="K367" s="67"/>
      <c r="L367" s="64"/>
      <c r="M367" s="64"/>
      <c r="N367" s="64"/>
      <c r="O367" s="64"/>
      <c r="P367" s="67"/>
      <c r="Q367" s="64"/>
      <c r="R367" s="64"/>
      <c r="S367" s="64"/>
      <c r="T367" s="64"/>
      <c r="U367" s="64"/>
      <c r="V367" s="67"/>
      <c r="W367" s="64"/>
      <c r="X367" s="64"/>
      <c r="Y367" s="64"/>
      <c r="Z367" s="64"/>
      <c r="AA367" s="64"/>
      <c r="AB367" s="67"/>
      <c r="AC367" s="64"/>
      <c r="AD367" s="64"/>
      <c r="AE367" s="64"/>
      <c r="AF367" s="64"/>
      <c r="AG367" s="64"/>
      <c r="AH367" s="67"/>
      <c r="AI367" s="64"/>
      <c r="AJ367" s="64"/>
      <c r="AK367" s="64"/>
      <c r="AL367" s="64"/>
      <c r="AM367" s="64"/>
      <c r="AN367" s="67"/>
      <c r="AO367" s="64"/>
      <c r="AP367" s="64"/>
      <c r="AQ367" s="64"/>
      <c r="AR367" s="64"/>
      <c r="AS367" s="64"/>
      <c r="AT367" s="64"/>
      <c r="AU367" s="64"/>
      <c r="AV367" s="64"/>
      <c r="AW367" s="64"/>
      <c r="AX367" s="64"/>
      <c r="AY367" s="64"/>
      <c r="AZ367" s="64"/>
      <c r="BA367" s="64"/>
      <c r="BB367" s="64"/>
      <c r="BC367" s="64"/>
      <c r="BD367" s="64"/>
      <c r="BE367" s="657"/>
      <c r="BF367" s="67"/>
      <c r="BG367" s="64"/>
      <c r="BH367" s="64"/>
      <c r="BI367" s="64"/>
      <c r="BJ367" s="64"/>
      <c r="BK367" s="64"/>
      <c r="BL367" s="64"/>
      <c r="BM367" s="64"/>
      <c r="BN367" s="64"/>
      <c r="BO367" s="64"/>
      <c r="BP367" s="64"/>
      <c r="BQ367" s="64"/>
      <c r="BR367" s="69"/>
      <c r="BS367" s="69"/>
      <c r="BT367" s="64"/>
    </row>
    <row r="368" spans="1:72" ht="12.75" customHeight="1">
      <c r="A368" s="64"/>
      <c r="B368" s="64"/>
      <c r="C368" s="64"/>
      <c r="D368" s="64"/>
      <c r="E368" s="64"/>
      <c r="F368" s="67"/>
      <c r="G368" s="64"/>
      <c r="H368" s="64"/>
      <c r="I368" s="64"/>
      <c r="J368" s="64"/>
      <c r="K368" s="67"/>
      <c r="L368" s="64"/>
      <c r="M368" s="64"/>
      <c r="N368" s="64"/>
      <c r="O368" s="64"/>
      <c r="P368" s="67"/>
      <c r="Q368" s="64"/>
      <c r="R368" s="64"/>
      <c r="S368" s="64"/>
      <c r="T368" s="64"/>
      <c r="U368" s="64"/>
      <c r="V368" s="67"/>
      <c r="W368" s="64"/>
      <c r="X368" s="64"/>
      <c r="Y368" s="64"/>
      <c r="Z368" s="64"/>
      <c r="AA368" s="64"/>
      <c r="AB368" s="67"/>
      <c r="AC368" s="64"/>
      <c r="AD368" s="64"/>
      <c r="AE368" s="64"/>
      <c r="AF368" s="64"/>
      <c r="AG368" s="64"/>
      <c r="AH368" s="67"/>
      <c r="AI368" s="64"/>
      <c r="AJ368" s="64"/>
      <c r="AK368" s="64"/>
      <c r="AL368" s="64"/>
      <c r="AM368" s="64"/>
      <c r="AN368" s="67"/>
      <c r="AO368" s="64"/>
      <c r="AP368" s="64"/>
      <c r="AQ368" s="64"/>
      <c r="AR368" s="64"/>
      <c r="AS368" s="64"/>
      <c r="AT368" s="64"/>
      <c r="AU368" s="64"/>
      <c r="AV368" s="64"/>
      <c r="AW368" s="64"/>
      <c r="AX368" s="64"/>
      <c r="AY368" s="64"/>
      <c r="AZ368" s="64"/>
      <c r="BA368" s="64"/>
      <c r="BB368" s="64"/>
      <c r="BC368" s="64"/>
      <c r="BD368" s="64"/>
      <c r="BE368" s="657"/>
      <c r="BF368" s="67"/>
      <c r="BG368" s="64"/>
      <c r="BH368" s="64"/>
      <c r="BI368" s="64"/>
      <c r="BJ368" s="64"/>
      <c r="BK368" s="64"/>
      <c r="BL368" s="64"/>
      <c r="BM368" s="64"/>
      <c r="BN368" s="64"/>
      <c r="BO368" s="64"/>
      <c r="BP368" s="64"/>
      <c r="BQ368" s="64"/>
      <c r="BR368" s="69"/>
      <c r="BS368" s="69"/>
      <c r="BT368" s="64"/>
    </row>
    <row r="369" spans="1:72" ht="12.75" customHeight="1">
      <c r="A369" s="64"/>
      <c r="B369" s="64"/>
      <c r="C369" s="64"/>
      <c r="D369" s="64"/>
      <c r="E369" s="64"/>
      <c r="F369" s="67"/>
      <c r="G369" s="64"/>
      <c r="H369" s="64"/>
      <c r="I369" s="64"/>
      <c r="J369" s="64"/>
      <c r="K369" s="67"/>
      <c r="L369" s="64"/>
      <c r="M369" s="64"/>
      <c r="N369" s="64"/>
      <c r="O369" s="64"/>
      <c r="P369" s="67"/>
      <c r="Q369" s="64"/>
      <c r="R369" s="64"/>
      <c r="S369" s="64"/>
      <c r="T369" s="64"/>
      <c r="U369" s="64"/>
      <c r="V369" s="67"/>
      <c r="W369" s="64"/>
      <c r="X369" s="64"/>
      <c r="Y369" s="64"/>
      <c r="Z369" s="64"/>
      <c r="AA369" s="64"/>
      <c r="AB369" s="67"/>
      <c r="AC369" s="64"/>
      <c r="AD369" s="64"/>
      <c r="AE369" s="64"/>
      <c r="AF369" s="64"/>
      <c r="AG369" s="64"/>
      <c r="AH369" s="67"/>
      <c r="AI369" s="64"/>
      <c r="AJ369" s="64"/>
      <c r="AK369" s="64"/>
      <c r="AL369" s="64"/>
      <c r="AM369" s="64"/>
      <c r="AN369" s="67"/>
      <c r="AO369" s="64"/>
      <c r="AP369" s="64"/>
      <c r="AQ369" s="64"/>
      <c r="AR369" s="64"/>
      <c r="AS369" s="64"/>
      <c r="AT369" s="64"/>
      <c r="AU369" s="64"/>
      <c r="AV369" s="64"/>
      <c r="AW369" s="64"/>
      <c r="AX369" s="64"/>
      <c r="AY369" s="64"/>
      <c r="AZ369" s="64"/>
      <c r="BA369" s="64"/>
      <c r="BB369" s="64"/>
      <c r="BC369" s="64"/>
      <c r="BD369" s="64"/>
      <c r="BE369" s="657"/>
      <c r="BF369" s="67"/>
      <c r="BG369" s="64"/>
      <c r="BH369" s="64"/>
      <c r="BI369" s="64"/>
      <c r="BJ369" s="64"/>
      <c r="BK369" s="64"/>
      <c r="BL369" s="64"/>
      <c r="BM369" s="64"/>
      <c r="BN369" s="64"/>
      <c r="BO369" s="64"/>
      <c r="BP369" s="64"/>
      <c r="BQ369" s="64"/>
      <c r="BR369" s="69"/>
      <c r="BS369" s="69"/>
      <c r="BT369" s="64"/>
    </row>
    <row r="370" spans="1:72" ht="12.75" customHeight="1">
      <c r="A370" s="64"/>
      <c r="B370" s="64"/>
      <c r="C370" s="64"/>
      <c r="D370" s="64"/>
      <c r="E370" s="64"/>
      <c r="F370" s="67"/>
      <c r="G370" s="64"/>
      <c r="H370" s="64"/>
      <c r="I370" s="64"/>
      <c r="J370" s="64"/>
      <c r="K370" s="67"/>
      <c r="L370" s="64"/>
      <c r="M370" s="64"/>
      <c r="N370" s="64"/>
      <c r="O370" s="64"/>
      <c r="P370" s="67"/>
      <c r="Q370" s="64"/>
      <c r="R370" s="64"/>
      <c r="S370" s="64"/>
      <c r="T370" s="64"/>
      <c r="U370" s="64"/>
      <c r="V370" s="67"/>
      <c r="W370" s="64"/>
      <c r="X370" s="64"/>
      <c r="Y370" s="64"/>
      <c r="Z370" s="64"/>
      <c r="AA370" s="64"/>
      <c r="AB370" s="67"/>
      <c r="AC370" s="64"/>
      <c r="AD370" s="64"/>
      <c r="AE370" s="64"/>
      <c r="AF370" s="64"/>
      <c r="AG370" s="64"/>
      <c r="AH370" s="67"/>
      <c r="AI370" s="64"/>
      <c r="AJ370" s="64"/>
      <c r="AK370" s="64"/>
      <c r="AL370" s="64"/>
      <c r="AM370" s="64"/>
      <c r="AN370" s="67"/>
      <c r="AO370" s="64"/>
      <c r="AP370" s="64"/>
      <c r="AQ370" s="64"/>
      <c r="AR370" s="64"/>
      <c r="AS370" s="64"/>
      <c r="AT370" s="64"/>
      <c r="AU370" s="64"/>
      <c r="AV370" s="64"/>
      <c r="AW370" s="64"/>
      <c r="AX370" s="64"/>
      <c r="AY370" s="64"/>
      <c r="AZ370" s="64"/>
      <c r="BA370" s="64"/>
      <c r="BB370" s="64"/>
      <c r="BC370" s="64"/>
      <c r="BD370" s="64"/>
      <c r="BE370" s="657"/>
      <c r="BF370" s="67"/>
      <c r="BG370" s="64"/>
      <c r="BH370" s="64"/>
      <c r="BI370" s="64"/>
      <c r="BJ370" s="64"/>
      <c r="BK370" s="64"/>
      <c r="BL370" s="64"/>
      <c r="BM370" s="64"/>
      <c r="BN370" s="64"/>
      <c r="BO370" s="64"/>
      <c r="BP370" s="64"/>
      <c r="BQ370" s="64"/>
      <c r="BR370" s="69"/>
      <c r="BS370" s="69"/>
      <c r="BT370" s="64"/>
    </row>
    <row r="371" spans="1:72" ht="12.75" customHeight="1">
      <c r="A371" s="64"/>
      <c r="B371" s="64"/>
      <c r="C371" s="64"/>
      <c r="D371" s="64"/>
      <c r="E371" s="64"/>
      <c r="F371" s="67"/>
      <c r="G371" s="64"/>
      <c r="H371" s="64"/>
      <c r="I371" s="64"/>
      <c r="J371" s="64"/>
      <c r="K371" s="67"/>
      <c r="L371" s="64"/>
      <c r="M371" s="64"/>
      <c r="N371" s="64"/>
      <c r="O371" s="64"/>
      <c r="P371" s="67"/>
      <c r="Q371" s="64"/>
      <c r="R371" s="64"/>
      <c r="S371" s="64"/>
      <c r="T371" s="64"/>
      <c r="U371" s="64"/>
      <c r="V371" s="67"/>
      <c r="W371" s="64"/>
      <c r="X371" s="64"/>
      <c r="Y371" s="64"/>
      <c r="Z371" s="64"/>
      <c r="AA371" s="64"/>
      <c r="AB371" s="67"/>
      <c r="AC371" s="64"/>
      <c r="AD371" s="64"/>
      <c r="AE371" s="64"/>
      <c r="AF371" s="64"/>
      <c r="AG371" s="64"/>
      <c r="AH371" s="67"/>
      <c r="AI371" s="64"/>
      <c r="AJ371" s="64"/>
      <c r="AK371" s="64"/>
      <c r="AL371" s="64"/>
      <c r="AM371" s="64"/>
      <c r="AN371" s="67"/>
      <c r="AO371" s="64"/>
      <c r="AP371" s="64"/>
      <c r="AQ371" s="64"/>
      <c r="AR371" s="64"/>
      <c r="AS371" s="64"/>
      <c r="AT371" s="64"/>
      <c r="AU371" s="64"/>
      <c r="AV371" s="64"/>
      <c r="AW371" s="64"/>
      <c r="AX371" s="64"/>
      <c r="AY371" s="64"/>
      <c r="AZ371" s="64"/>
      <c r="BA371" s="64"/>
      <c r="BB371" s="64"/>
      <c r="BC371" s="64"/>
      <c r="BD371" s="64"/>
      <c r="BE371" s="657"/>
      <c r="BF371" s="67"/>
      <c r="BG371" s="64"/>
      <c r="BH371" s="64"/>
      <c r="BI371" s="64"/>
      <c r="BJ371" s="64"/>
      <c r="BK371" s="64"/>
      <c r="BL371" s="64"/>
      <c r="BM371" s="64"/>
      <c r="BN371" s="64"/>
      <c r="BO371" s="64"/>
      <c r="BP371" s="64"/>
      <c r="BQ371" s="64"/>
      <c r="BR371" s="69"/>
      <c r="BS371" s="69"/>
      <c r="BT371" s="64"/>
    </row>
    <row r="372" spans="1:72" ht="12.75" customHeight="1">
      <c r="A372" s="64"/>
      <c r="B372" s="64"/>
      <c r="C372" s="64"/>
      <c r="D372" s="64"/>
      <c r="E372" s="64"/>
      <c r="F372" s="67"/>
      <c r="G372" s="64"/>
      <c r="H372" s="64"/>
      <c r="I372" s="64"/>
      <c r="J372" s="64"/>
      <c r="K372" s="67"/>
      <c r="L372" s="64"/>
      <c r="M372" s="64"/>
      <c r="N372" s="64"/>
      <c r="O372" s="64"/>
      <c r="P372" s="67"/>
      <c r="Q372" s="64"/>
      <c r="R372" s="64"/>
      <c r="S372" s="64"/>
      <c r="T372" s="64"/>
      <c r="U372" s="64"/>
      <c r="V372" s="67"/>
      <c r="W372" s="64"/>
      <c r="X372" s="64"/>
      <c r="Y372" s="64"/>
      <c r="Z372" s="64"/>
      <c r="AA372" s="64"/>
      <c r="AB372" s="67"/>
      <c r="AC372" s="64"/>
      <c r="AD372" s="64"/>
      <c r="AE372" s="64"/>
      <c r="AF372" s="64"/>
      <c r="AG372" s="64"/>
      <c r="AH372" s="67"/>
      <c r="AI372" s="64"/>
      <c r="AJ372" s="64"/>
      <c r="AK372" s="64"/>
      <c r="AL372" s="64"/>
      <c r="AM372" s="64"/>
      <c r="AN372" s="67"/>
      <c r="AO372" s="64"/>
      <c r="AP372" s="64"/>
      <c r="AQ372" s="64"/>
      <c r="AR372" s="64"/>
      <c r="AS372" s="64"/>
      <c r="AT372" s="64"/>
      <c r="AU372" s="64"/>
      <c r="AV372" s="64"/>
      <c r="AW372" s="64"/>
      <c r="AX372" s="64"/>
      <c r="AY372" s="64"/>
      <c r="AZ372" s="64"/>
      <c r="BA372" s="64"/>
      <c r="BB372" s="64"/>
      <c r="BC372" s="64"/>
      <c r="BD372" s="64"/>
      <c r="BE372" s="657"/>
      <c r="BF372" s="67"/>
      <c r="BG372" s="64"/>
      <c r="BH372" s="64"/>
      <c r="BI372" s="64"/>
      <c r="BJ372" s="64"/>
      <c r="BK372" s="64"/>
      <c r="BL372" s="64"/>
      <c r="BM372" s="64"/>
      <c r="BN372" s="64"/>
      <c r="BO372" s="64"/>
      <c r="BP372" s="64"/>
      <c r="BQ372" s="64"/>
      <c r="BR372" s="69"/>
      <c r="BS372" s="69"/>
      <c r="BT372" s="64"/>
    </row>
    <row r="373" spans="1:72" ht="12.75" customHeight="1">
      <c r="A373" s="64"/>
      <c r="B373" s="64"/>
      <c r="C373" s="64"/>
      <c r="D373" s="64"/>
      <c r="E373" s="64"/>
      <c r="F373" s="67"/>
      <c r="G373" s="64"/>
      <c r="H373" s="64"/>
      <c r="I373" s="64"/>
      <c r="J373" s="64"/>
      <c r="K373" s="67"/>
      <c r="L373" s="64"/>
      <c r="M373" s="64"/>
      <c r="N373" s="64"/>
      <c r="O373" s="64"/>
      <c r="P373" s="67"/>
      <c r="Q373" s="64"/>
      <c r="R373" s="64"/>
      <c r="S373" s="64"/>
      <c r="T373" s="64"/>
      <c r="U373" s="64"/>
      <c r="V373" s="67"/>
      <c r="W373" s="64"/>
      <c r="X373" s="64"/>
      <c r="Y373" s="64"/>
      <c r="Z373" s="64"/>
      <c r="AA373" s="64"/>
      <c r="AB373" s="67"/>
      <c r="AC373" s="64"/>
      <c r="AD373" s="64"/>
      <c r="AE373" s="64"/>
      <c r="AF373" s="64"/>
      <c r="AG373" s="64"/>
      <c r="AH373" s="67"/>
      <c r="AI373" s="64"/>
      <c r="AJ373" s="64"/>
      <c r="AK373" s="64"/>
      <c r="AL373" s="64"/>
      <c r="AM373" s="64"/>
      <c r="AN373" s="67"/>
      <c r="AO373" s="64"/>
      <c r="AP373" s="64"/>
      <c r="AQ373" s="64"/>
      <c r="AR373" s="64"/>
      <c r="AS373" s="64"/>
      <c r="AT373" s="64"/>
      <c r="AU373" s="64"/>
      <c r="AV373" s="64"/>
      <c r="AW373" s="64"/>
      <c r="AX373" s="64"/>
      <c r="AY373" s="64"/>
      <c r="AZ373" s="64"/>
      <c r="BA373" s="64"/>
      <c r="BB373" s="64"/>
      <c r="BC373" s="64"/>
      <c r="BD373" s="64"/>
      <c r="BE373" s="657"/>
      <c r="BF373" s="67"/>
      <c r="BG373" s="64"/>
      <c r="BH373" s="64"/>
      <c r="BI373" s="64"/>
      <c r="BJ373" s="64"/>
      <c r="BK373" s="64"/>
      <c r="BL373" s="64"/>
      <c r="BM373" s="64"/>
      <c r="BN373" s="64"/>
      <c r="BO373" s="64"/>
      <c r="BP373" s="64"/>
      <c r="BQ373" s="64"/>
      <c r="BR373" s="69"/>
      <c r="BS373" s="69"/>
      <c r="BT373" s="64"/>
    </row>
    <row r="374" spans="1:72" ht="12.75" customHeight="1">
      <c r="A374" s="64"/>
      <c r="B374" s="64"/>
      <c r="C374" s="64"/>
      <c r="D374" s="64"/>
      <c r="E374" s="64"/>
      <c r="F374" s="67"/>
      <c r="G374" s="64"/>
      <c r="H374" s="64"/>
      <c r="I374" s="64"/>
      <c r="J374" s="64"/>
      <c r="K374" s="67"/>
      <c r="L374" s="64"/>
      <c r="M374" s="64"/>
      <c r="N374" s="64"/>
      <c r="O374" s="64"/>
      <c r="P374" s="67"/>
      <c r="Q374" s="64"/>
      <c r="R374" s="64"/>
      <c r="S374" s="64"/>
      <c r="T374" s="64"/>
      <c r="U374" s="64"/>
      <c r="V374" s="67"/>
      <c r="W374" s="64"/>
      <c r="X374" s="64"/>
      <c r="Y374" s="64"/>
      <c r="Z374" s="64"/>
      <c r="AA374" s="64"/>
      <c r="AB374" s="67"/>
      <c r="AC374" s="64"/>
      <c r="AD374" s="64"/>
      <c r="AE374" s="64"/>
      <c r="AF374" s="64"/>
      <c r="AG374" s="64"/>
      <c r="AH374" s="67"/>
      <c r="AI374" s="64"/>
      <c r="AJ374" s="64"/>
      <c r="AK374" s="64"/>
      <c r="AL374" s="64"/>
      <c r="AM374" s="64"/>
      <c r="AN374" s="67"/>
      <c r="AO374" s="64"/>
      <c r="AP374" s="64"/>
      <c r="AQ374" s="64"/>
      <c r="AR374" s="64"/>
      <c r="AS374" s="64"/>
      <c r="AT374" s="64"/>
      <c r="AU374" s="64"/>
      <c r="AV374" s="64"/>
      <c r="AW374" s="64"/>
      <c r="AX374" s="64"/>
      <c r="AY374" s="64"/>
      <c r="AZ374" s="64"/>
      <c r="BA374" s="64"/>
      <c r="BB374" s="64"/>
      <c r="BC374" s="64"/>
      <c r="BD374" s="64"/>
      <c r="BE374" s="657"/>
      <c r="BF374" s="67"/>
      <c r="BG374" s="64"/>
      <c r="BH374" s="64"/>
      <c r="BI374" s="64"/>
      <c r="BJ374" s="64"/>
      <c r="BK374" s="64"/>
      <c r="BL374" s="64"/>
      <c r="BM374" s="64"/>
      <c r="BN374" s="64"/>
      <c r="BO374" s="64"/>
      <c r="BP374" s="64"/>
      <c r="BQ374" s="64"/>
      <c r="BR374" s="69"/>
      <c r="BS374" s="69"/>
      <c r="BT374" s="64"/>
    </row>
    <row r="375" spans="1:72" ht="12.75" customHeight="1">
      <c r="A375" s="64"/>
      <c r="B375" s="64"/>
      <c r="C375" s="64"/>
      <c r="D375" s="64"/>
      <c r="E375" s="64"/>
      <c r="F375" s="67"/>
      <c r="G375" s="64"/>
      <c r="H375" s="64"/>
      <c r="I375" s="64"/>
      <c r="J375" s="64"/>
      <c r="K375" s="67"/>
      <c r="L375" s="64"/>
      <c r="M375" s="64"/>
      <c r="N375" s="64"/>
      <c r="O375" s="64"/>
      <c r="P375" s="67"/>
      <c r="Q375" s="64"/>
      <c r="R375" s="64"/>
      <c r="S375" s="64"/>
      <c r="T375" s="64"/>
      <c r="U375" s="64"/>
      <c r="V375" s="67"/>
      <c r="W375" s="64"/>
      <c r="X375" s="64"/>
      <c r="Y375" s="64"/>
      <c r="Z375" s="64"/>
      <c r="AA375" s="64"/>
      <c r="AB375" s="67"/>
      <c r="AC375" s="64"/>
      <c r="AD375" s="64"/>
      <c r="AE375" s="64"/>
      <c r="AF375" s="64"/>
      <c r="AG375" s="64"/>
      <c r="AH375" s="67"/>
      <c r="AI375" s="64"/>
      <c r="AJ375" s="64"/>
      <c r="AK375" s="64"/>
      <c r="AL375" s="64"/>
      <c r="AM375" s="64"/>
      <c r="AN375" s="67"/>
      <c r="AO375" s="64"/>
      <c r="AP375" s="64"/>
      <c r="AQ375" s="64"/>
      <c r="AR375" s="64"/>
      <c r="AS375" s="64"/>
      <c r="AT375" s="64"/>
      <c r="AU375" s="64"/>
      <c r="AV375" s="64"/>
      <c r="AW375" s="64"/>
      <c r="AX375" s="64"/>
      <c r="AY375" s="64"/>
      <c r="AZ375" s="64"/>
      <c r="BA375" s="64"/>
      <c r="BB375" s="64"/>
      <c r="BC375" s="64"/>
      <c r="BD375" s="64"/>
      <c r="BE375" s="657"/>
      <c r="BF375" s="67"/>
      <c r="BG375" s="64"/>
      <c r="BH375" s="64"/>
      <c r="BI375" s="64"/>
      <c r="BJ375" s="64"/>
      <c r="BK375" s="64"/>
      <c r="BL375" s="64"/>
      <c r="BM375" s="64"/>
      <c r="BN375" s="64"/>
      <c r="BO375" s="64"/>
      <c r="BP375" s="64"/>
      <c r="BQ375" s="64"/>
      <c r="BR375" s="69"/>
      <c r="BS375" s="69"/>
      <c r="BT375" s="64"/>
    </row>
    <row r="376" spans="1:72" ht="12.75" customHeight="1">
      <c r="A376" s="64"/>
      <c r="B376" s="64"/>
      <c r="C376" s="64"/>
      <c r="D376" s="64"/>
      <c r="E376" s="64"/>
      <c r="F376" s="67"/>
      <c r="G376" s="64"/>
      <c r="H376" s="64"/>
      <c r="I376" s="64"/>
      <c r="J376" s="64"/>
      <c r="K376" s="67"/>
      <c r="L376" s="64"/>
      <c r="M376" s="64"/>
      <c r="N376" s="64"/>
      <c r="O376" s="64"/>
      <c r="P376" s="67"/>
      <c r="Q376" s="64"/>
      <c r="R376" s="64"/>
      <c r="S376" s="64"/>
      <c r="T376" s="64"/>
      <c r="U376" s="64"/>
      <c r="V376" s="67"/>
      <c r="W376" s="64"/>
      <c r="X376" s="64"/>
      <c r="Y376" s="64"/>
      <c r="Z376" s="64"/>
      <c r="AA376" s="64"/>
      <c r="AB376" s="67"/>
      <c r="AC376" s="64"/>
      <c r="AD376" s="64"/>
      <c r="AE376" s="64"/>
      <c r="AF376" s="64"/>
      <c r="AG376" s="64"/>
      <c r="AH376" s="67"/>
      <c r="AI376" s="64"/>
      <c r="AJ376" s="64"/>
      <c r="AK376" s="64"/>
      <c r="AL376" s="64"/>
      <c r="AM376" s="64"/>
      <c r="AN376" s="67"/>
      <c r="AO376" s="64"/>
      <c r="AP376" s="64"/>
      <c r="AQ376" s="64"/>
      <c r="AR376" s="64"/>
      <c r="AS376" s="64"/>
      <c r="AT376" s="64"/>
      <c r="AU376" s="64"/>
      <c r="AV376" s="64"/>
      <c r="AW376" s="64"/>
      <c r="AX376" s="64"/>
      <c r="AY376" s="64"/>
      <c r="AZ376" s="64"/>
      <c r="BA376" s="64"/>
      <c r="BB376" s="64"/>
      <c r="BC376" s="64"/>
      <c r="BD376" s="64"/>
      <c r="BE376" s="657"/>
      <c r="BF376" s="67"/>
      <c r="BG376" s="64"/>
      <c r="BH376" s="64"/>
      <c r="BI376" s="64"/>
      <c r="BJ376" s="64"/>
      <c r="BK376" s="64"/>
      <c r="BL376" s="64"/>
      <c r="BM376" s="64"/>
      <c r="BN376" s="64"/>
      <c r="BO376" s="64"/>
      <c r="BP376" s="64"/>
      <c r="BQ376" s="64"/>
      <c r="BR376" s="69"/>
      <c r="BS376" s="69"/>
      <c r="BT376" s="64"/>
    </row>
    <row r="377" spans="1:72" ht="12.75" customHeight="1">
      <c r="A377" s="64"/>
      <c r="B377" s="64"/>
      <c r="C377" s="64"/>
      <c r="D377" s="64"/>
      <c r="E377" s="64"/>
      <c r="F377" s="67"/>
      <c r="G377" s="64"/>
      <c r="H377" s="64"/>
      <c r="I377" s="64"/>
      <c r="J377" s="64"/>
      <c r="K377" s="67"/>
      <c r="L377" s="64"/>
      <c r="M377" s="64"/>
      <c r="N377" s="64"/>
      <c r="O377" s="64"/>
      <c r="P377" s="67"/>
      <c r="Q377" s="64"/>
      <c r="R377" s="64"/>
      <c r="S377" s="64"/>
      <c r="T377" s="64"/>
      <c r="U377" s="64"/>
      <c r="V377" s="67"/>
      <c r="W377" s="64"/>
      <c r="X377" s="64"/>
      <c r="Y377" s="64"/>
      <c r="Z377" s="64"/>
      <c r="AA377" s="64"/>
      <c r="AB377" s="67"/>
      <c r="AC377" s="64"/>
      <c r="AD377" s="64"/>
      <c r="AE377" s="64"/>
      <c r="AF377" s="64"/>
      <c r="AG377" s="64"/>
      <c r="AH377" s="67"/>
      <c r="AI377" s="64"/>
      <c r="AJ377" s="64"/>
      <c r="AK377" s="64"/>
      <c r="AL377" s="64"/>
      <c r="AM377" s="64"/>
      <c r="AN377" s="67"/>
      <c r="AO377" s="64"/>
      <c r="AP377" s="64"/>
      <c r="AQ377" s="64"/>
      <c r="AR377" s="64"/>
      <c r="AS377" s="64"/>
      <c r="AT377" s="64"/>
      <c r="AU377" s="64"/>
      <c r="AV377" s="64"/>
      <c r="AW377" s="64"/>
      <c r="AX377" s="64"/>
      <c r="AY377" s="64"/>
      <c r="AZ377" s="64"/>
      <c r="BA377" s="64"/>
      <c r="BB377" s="64"/>
      <c r="BC377" s="64"/>
      <c r="BD377" s="64"/>
      <c r="BE377" s="657"/>
      <c r="BF377" s="67"/>
      <c r="BG377" s="64"/>
      <c r="BH377" s="64"/>
      <c r="BI377" s="64"/>
      <c r="BJ377" s="64"/>
      <c r="BK377" s="64"/>
      <c r="BL377" s="64"/>
      <c r="BM377" s="64"/>
      <c r="BN377" s="64"/>
      <c r="BO377" s="64"/>
      <c r="BP377" s="64"/>
      <c r="BQ377" s="64"/>
      <c r="BR377" s="69"/>
      <c r="BS377" s="69"/>
      <c r="BT377" s="64"/>
    </row>
    <row r="378" spans="1:72" ht="12.75" customHeight="1">
      <c r="A378" s="64"/>
      <c r="B378" s="64"/>
      <c r="C378" s="64"/>
      <c r="D378" s="64"/>
      <c r="E378" s="64"/>
      <c r="F378" s="67"/>
      <c r="G378" s="64"/>
      <c r="H378" s="64"/>
      <c r="I378" s="64"/>
      <c r="J378" s="64"/>
      <c r="K378" s="67"/>
      <c r="L378" s="64"/>
      <c r="M378" s="64"/>
      <c r="N378" s="64"/>
      <c r="O378" s="64"/>
      <c r="P378" s="67"/>
      <c r="Q378" s="64"/>
      <c r="R378" s="64"/>
      <c r="S378" s="64"/>
      <c r="T378" s="64"/>
      <c r="U378" s="64"/>
      <c r="V378" s="67"/>
      <c r="W378" s="64"/>
      <c r="X378" s="64"/>
      <c r="Y378" s="64"/>
      <c r="Z378" s="64"/>
      <c r="AA378" s="64"/>
      <c r="AB378" s="67"/>
      <c r="AC378" s="64"/>
      <c r="AD378" s="64"/>
      <c r="AE378" s="64"/>
      <c r="AF378" s="64"/>
      <c r="AG378" s="64"/>
      <c r="AH378" s="67"/>
      <c r="AI378" s="64"/>
      <c r="AJ378" s="64"/>
      <c r="AK378" s="64"/>
      <c r="AL378" s="64"/>
      <c r="AM378" s="64"/>
      <c r="AN378" s="67"/>
      <c r="AO378" s="64"/>
      <c r="AP378" s="64"/>
      <c r="AQ378" s="64"/>
      <c r="AR378" s="64"/>
      <c r="AS378" s="64"/>
      <c r="AT378" s="64"/>
      <c r="AU378" s="64"/>
      <c r="AV378" s="64"/>
      <c r="AW378" s="64"/>
      <c r="AX378" s="64"/>
      <c r="AY378" s="64"/>
      <c r="AZ378" s="64"/>
      <c r="BA378" s="64"/>
      <c r="BB378" s="64"/>
      <c r="BC378" s="64"/>
      <c r="BD378" s="64"/>
      <c r="BE378" s="657"/>
      <c r="BF378" s="67"/>
      <c r="BG378" s="64"/>
      <c r="BH378" s="64"/>
      <c r="BI378" s="64"/>
      <c r="BJ378" s="64"/>
      <c r="BK378" s="64"/>
      <c r="BL378" s="64"/>
      <c r="BM378" s="64"/>
      <c r="BN378" s="64"/>
      <c r="BO378" s="64"/>
      <c r="BP378" s="64"/>
      <c r="BQ378" s="64"/>
      <c r="BR378" s="69"/>
      <c r="BS378" s="69"/>
      <c r="BT378" s="64"/>
    </row>
    <row r="379" spans="1:72" ht="12.75" customHeight="1">
      <c r="A379" s="64"/>
      <c r="B379" s="64"/>
      <c r="C379" s="64"/>
      <c r="D379" s="64"/>
      <c r="E379" s="64"/>
      <c r="F379" s="67"/>
      <c r="G379" s="64"/>
      <c r="H379" s="64"/>
      <c r="I379" s="64"/>
      <c r="J379" s="64"/>
      <c r="K379" s="67"/>
      <c r="L379" s="64"/>
      <c r="M379" s="64"/>
      <c r="N379" s="64"/>
      <c r="O379" s="64"/>
      <c r="P379" s="67"/>
      <c r="Q379" s="64"/>
      <c r="R379" s="64"/>
      <c r="S379" s="64"/>
      <c r="T379" s="64"/>
      <c r="U379" s="64"/>
      <c r="V379" s="67"/>
      <c r="W379" s="64"/>
      <c r="X379" s="64"/>
      <c r="Y379" s="64"/>
      <c r="Z379" s="64"/>
      <c r="AA379" s="64"/>
      <c r="AB379" s="67"/>
      <c r="AC379" s="64"/>
      <c r="AD379" s="64"/>
      <c r="AE379" s="64"/>
      <c r="AF379" s="64"/>
      <c r="AG379" s="64"/>
      <c r="AH379" s="67"/>
      <c r="AI379" s="64"/>
      <c r="AJ379" s="64"/>
      <c r="AK379" s="64"/>
      <c r="AL379" s="64"/>
      <c r="AM379" s="64"/>
      <c r="AN379" s="67"/>
      <c r="AO379" s="64"/>
      <c r="AP379" s="64"/>
      <c r="AQ379" s="64"/>
      <c r="AR379" s="64"/>
      <c r="AS379" s="64"/>
      <c r="AT379" s="64"/>
      <c r="AU379" s="64"/>
      <c r="AV379" s="64"/>
      <c r="AW379" s="64"/>
      <c r="AX379" s="64"/>
      <c r="AY379" s="64"/>
      <c r="AZ379" s="64"/>
      <c r="BA379" s="64"/>
      <c r="BB379" s="64"/>
      <c r="BC379" s="64"/>
      <c r="BD379" s="64"/>
      <c r="BE379" s="657"/>
      <c r="BF379" s="67"/>
      <c r="BG379" s="64"/>
      <c r="BH379" s="64"/>
      <c r="BI379" s="64"/>
      <c r="BJ379" s="64"/>
      <c r="BK379" s="64"/>
      <c r="BL379" s="64"/>
      <c r="BM379" s="64"/>
      <c r="BN379" s="64"/>
      <c r="BO379" s="64"/>
      <c r="BP379" s="64"/>
      <c r="BQ379" s="64"/>
      <c r="BR379" s="69"/>
      <c r="BS379" s="69"/>
      <c r="BT379" s="64"/>
    </row>
    <row r="380" spans="1:72" ht="12.75" customHeight="1">
      <c r="A380" s="64"/>
      <c r="B380" s="64"/>
      <c r="C380" s="64"/>
      <c r="D380" s="64"/>
      <c r="E380" s="64"/>
      <c r="F380" s="67"/>
      <c r="G380" s="64"/>
      <c r="H380" s="64"/>
      <c r="I380" s="64"/>
      <c r="J380" s="64"/>
      <c r="K380" s="67"/>
      <c r="L380" s="64"/>
      <c r="M380" s="64"/>
      <c r="N380" s="64"/>
      <c r="O380" s="64"/>
      <c r="P380" s="67"/>
      <c r="Q380" s="64"/>
      <c r="R380" s="64"/>
      <c r="S380" s="64"/>
      <c r="T380" s="64"/>
      <c r="U380" s="64"/>
      <c r="V380" s="67"/>
      <c r="W380" s="64"/>
      <c r="X380" s="64"/>
      <c r="Y380" s="64"/>
      <c r="Z380" s="64"/>
      <c r="AA380" s="64"/>
      <c r="AB380" s="67"/>
      <c r="AC380" s="64"/>
      <c r="AD380" s="64"/>
      <c r="AE380" s="64"/>
      <c r="AF380" s="64"/>
      <c r="AG380" s="64"/>
      <c r="AH380" s="67"/>
      <c r="AI380" s="64"/>
      <c r="AJ380" s="64"/>
      <c r="AK380" s="64"/>
      <c r="AL380" s="64"/>
      <c r="AM380" s="64"/>
      <c r="AN380" s="67"/>
      <c r="AO380" s="64"/>
      <c r="AP380" s="64"/>
      <c r="AQ380" s="64"/>
      <c r="AR380" s="64"/>
      <c r="AS380" s="64"/>
      <c r="AT380" s="64"/>
      <c r="AU380" s="64"/>
      <c r="AV380" s="64"/>
      <c r="AW380" s="64"/>
      <c r="AX380" s="64"/>
      <c r="AY380" s="64"/>
      <c r="AZ380" s="64"/>
      <c r="BA380" s="64"/>
      <c r="BB380" s="64"/>
      <c r="BC380" s="64"/>
      <c r="BD380" s="64"/>
      <c r="BE380" s="657"/>
      <c r="BF380" s="67"/>
      <c r="BG380" s="64"/>
      <c r="BH380" s="64"/>
      <c r="BI380" s="64"/>
      <c r="BJ380" s="64"/>
      <c r="BK380" s="64"/>
      <c r="BL380" s="64"/>
      <c r="BM380" s="64"/>
      <c r="BN380" s="64"/>
      <c r="BO380" s="64"/>
      <c r="BP380" s="64"/>
      <c r="BQ380" s="64"/>
      <c r="BR380" s="69"/>
      <c r="BS380" s="69"/>
      <c r="BT380" s="64"/>
    </row>
    <row r="381" spans="1:72" ht="12.75" customHeight="1">
      <c r="A381" s="64"/>
      <c r="B381" s="64"/>
      <c r="C381" s="64"/>
      <c r="D381" s="64"/>
      <c r="E381" s="64"/>
      <c r="F381" s="67"/>
      <c r="G381" s="64"/>
      <c r="H381" s="64"/>
      <c r="I381" s="64"/>
      <c r="J381" s="64"/>
      <c r="K381" s="67"/>
      <c r="L381" s="64"/>
      <c r="M381" s="64"/>
      <c r="N381" s="64"/>
      <c r="O381" s="64"/>
      <c r="P381" s="67"/>
      <c r="Q381" s="64"/>
      <c r="R381" s="64"/>
      <c r="S381" s="64"/>
      <c r="T381" s="64"/>
      <c r="U381" s="64"/>
      <c r="V381" s="67"/>
      <c r="W381" s="64"/>
      <c r="X381" s="64"/>
      <c r="Y381" s="64"/>
      <c r="Z381" s="64"/>
      <c r="AA381" s="64"/>
      <c r="AB381" s="67"/>
      <c r="AC381" s="64"/>
      <c r="AD381" s="64"/>
      <c r="AE381" s="64"/>
      <c r="AF381" s="64"/>
      <c r="AG381" s="64"/>
      <c r="AH381" s="67"/>
      <c r="AI381" s="64"/>
      <c r="AJ381" s="64"/>
      <c r="AK381" s="64"/>
      <c r="AL381" s="64"/>
      <c r="AM381" s="64"/>
      <c r="AN381" s="67"/>
      <c r="AO381" s="64"/>
      <c r="AP381" s="64"/>
      <c r="AQ381" s="64"/>
      <c r="AR381" s="64"/>
      <c r="AS381" s="64"/>
      <c r="AT381" s="64"/>
      <c r="AU381" s="64"/>
      <c r="AV381" s="64"/>
      <c r="AW381" s="64"/>
      <c r="AX381" s="64"/>
      <c r="AY381" s="64"/>
      <c r="AZ381" s="64"/>
      <c r="BA381" s="64"/>
      <c r="BB381" s="64"/>
      <c r="BC381" s="64"/>
      <c r="BD381" s="64"/>
      <c r="BE381" s="657"/>
      <c r="BF381" s="67"/>
      <c r="BG381" s="64"/>
      <c r="BH381" s="64"/>
      <c r="BI381" s="64"/>
      <c r="BJ381" s="64"/>
      <c r="BK381" s="64"/>
      <c r="BL381" s="64"/>
      <c r="BM381" s="64"/>
      <c r="BN381" s="64"/>
      <c r="BO381" s="64"/>
      <c r="BP381" s="64"/>
      <c r="BQ381" s="64"/>
      <c r="BR381" s="69"/>
      <c r="BS381" s="69"/>
      <c r="BT381" s="64"/>
    </row>
    <row r="382" spans="1:72" ht="12.75" customHeight="1">
      <c r="A382" s="64"/>
      <c r="B382" s="64"/>
      <c r="C382" s="64"/>
      <c r="D382" s="64"/>
      <c r="E382" s="64"/>
      <c r="F382" s="67"/>
      <c r="G382" s="64"/>
      <c r="H382" s="64"/>
      <c r="I382" s="64"/>
      <c r="J382" s="64"/>
      <c r="K382" s="67"/>
      <c r="L382" s="64"/>
      <c r="M382" s="64"/>
      <c r="N382" s="64"/>
      <c r="O382" s="64"/>
      <c r="P382" s="67"/>
      <c r="Q382" s="64"/>
      <c r="R382" s="64"/>
      <c r="S382" s="64"/>
      <c r="T382" s="64"/>
      <c r="U382" s="64"/>
      <c r="V382" s="67"/>
      <c r="W382" s="64"/>
      <c r="X382" s="64"/>
      <c r="Y382" s="64"/>
      <c r="Z382" s="64"/>
      <c r="AA382" s="64"/>
      <c r="AB382" s="67"/>
      <c r="AC382" s="64"/>
      <c r="AD382" s="64"/>
      <c r="AE382" s="64"/>
      <c r="AF382" s="64"/>
      <c r="AG382" s="64"/>
      <c r="AH382" s="67"/>
      <c r="AI382" s="64"/>
      <c r="AJ382" s="64"/>
      <c r="AK382" s="64"/>
      <c r="AL382" s="64"/>
      <c r="AM382" s="64"/>
      <c r="AN382" s="67"/>
      <c r="AO382" s="64"/>
      <c r="AP382" s="64"/>
      <c r="AQ382" s="64"/>
      <c r="AR382" s="64"/>
      <c r="AS382" s="64"/>
      <c r="AT382" s="64"/>
      <c r="AU382" s="64"/>
      <c r="AV382" s="64"/>
      <c r="AW382" s="64"/>
      <c r="AX382" s="64"/>
      <c r="AY382" s="64"/>
      <c r="AZ382" s="64"/>
      <c r="BA382" s="64"/>
      <c r="BB382" s="64"/>
      <c r="BC382" s="64"/>
      <c r="BD382" s="64"/>
      <c r="BE382" s="657"/>
      <c r="BF382" s="67"/>
      <c r="BG382" s="64"/>
      <c r="BH382" s="64"/>
      <c r="BI382" s="64"/>
      <c r="BJ382" s="64"/>
      <c r="BK382" s="64"/>
      <c r="BL382" s="64"/>
      <c r="BM382" s="64"/>
      <c r="BN382" s="64"/>
      <c r="BO382" s="64"/>
      <c r="BP382" s="64"/>
      <c r="BQ382" s="64"/>
      <c r="BR382" s="69"/>
      <c r="BS382" s="69"/>
      <c r="BT382" s="64"/>
    </row>
    <row r="383" spans="1:72" ht="12.75" customHeight="1">
      <c r="A383" s="64"/>
      <c r="B383" s="64"/>
      <c r="C383" s="64"/>
      <c r="D383" s="64"/>
      <c r="E383" s="64"/>
      <c r="F383" s="67"/>
      <c r="G383" s="64"/>
      <c r="H383" s="64"/>
      <c r="I383" s="64"/>
      <c r="J383" s="64"/>
      <c r="K383" s="67"/>
      <c r="L383" s="64"/>
      <c r="M383" s="64"/>
      <c r="N383" s="64"/>
      <c r="O383" s="64"/>
      <c r="P383" s="67"/>
      <c r="Q383" s="64"/>
      <c r="R383" s="64"/>
      <c r="S383" s="64"/>
      <c r="T383" s="64"/>
      <c r="U383" s="64"/>
      <c r="V383" s="67"/>
      <c r="W383" s="64"/>
      <c r="X383" s="64"/>
      <c r="Y383" s="64"/>
      <c r="Z383" s="64"/>
      <c r="AA383" s="64"/>
      <c r="AB383" s="67"/>
      <c r="AC383" s="64"/>
      <c r="AD383" s="64"/>
      <c r="AE383" s="64"/>
      <c r="AF383" s="64"/>
      <c r="AG383" s="64"/>
      <c r="AH383" s="67"/>
      <c r="AI383" s="64"/>
      <c r="AJ383" s="64"/>
      <c r="AK383" s="64"/>
      <c r="AL383" s="64"/>
      <c r="AM383" s="64"/>
      <c r="AN383" s="67"/>
      <c r="AO383" s="64"/>
      <c r="AP383" s="64"/>
      <c r="AQ383" s="64"/>
      <c r="AR383" s="64"/>
      <c r="AS383" s="64"/>
      <c r="AT383" s="64"/>
      <c r="AU383" s="64"/>
      <c r="AV383" s="64"/>
      <c r="AW383" s="64"/>
      <c r="AX383" s="64"/>
      <c r="AY383" s="64"/>
      <c r="AZ383" s="64"/>
      <c r="BA383" s="64"/>
      <c r="BB383" s="64"/>
      <c r="BC383" s="64"/>
      <c r="BD383" s="64"/>
      <c r="BE383" s="657"/>
      <c r="BF383" s="67"/>
      <c r="BG383" s="64"/>
      <c r="BH383" s="64"/>
      <c r="BI383" s="64"/>
      <c r="BJ383" s="64"/>
      <c r="BK383" s="64"/>
      <c r="BL383" s="64"/>
      <c r="BM383" s="64"/>
      <c r="BN383" s="64"/>
      <c r="BO383" s="64"/>
      <c r="BP383" s="64"/>
      <c r="BQ383" s="64"/>
      <c r="BR383" s="69"/>
      <c r="BS383" s="69"/>
      <c r="BT383" s="64"/>
    </row>
    <row r="384" spans="1:72" ht="12.75" customHeight="1">
      <c r="A384" s="64"/>
      <c r="B384" s="64"/>
      <c r="C384" s="64"/>
      <c r="D384" s="64"/>
      <c r="E384" s="64"/>
      <c r="F384" s="67"/>
      <c r="G384" s="64"/>
      <c r="H384" s="64"/>
      <c r="I384" s="64"/>
      <c r="J384" s="64"/>
      <c r="K384" s="67"/>
      <c r="L384" s="64"/>
      <c r="M384" s="64"/>
      <c r="N384" s="64"/>
      <c r="O384" s="64"/>
      <c r="P384" s="67"/>
      <c r="Q384" s="64"/>
      <c r="R384" s="64"/>
      <c r="S384" s="64"/>
      <c r="T384" s="64"/>
      <c r="U384" s="64"/>
      <c r="V384" s="67"/>
      <c r="W384" s="64"/>
      <c r="X384" s="64"/>
      <c r="Y384" s="64"/>
      <c r="Z384" s="64"/>
      <c r="AA384" s="64"/>
      <c r="AB384" s="67"/>
      <c r="AC384" s="64"/>
      <c r="AD384" s="64"/>
      <c r="AE384" s="64"/>
      <c r="AF384" s="64"/>
      <c r="AG384" s="64"/>
      <c r="AH384" s="67"/>
      <c r="AI384" s="64"/>
      <c r="AJ384" s="64"/>
      <c r="AK384" s="64"/>
      <c r="AL384" s="64"/>
      <c r="AM384" s="64"/>
      <c r="AN384" s="67"/>
      <c r="AO384" s="64"/>
      <c r="AP384" s="64"/>
      <c r="AQ384" s="64"/>
      <c r="AR384" s="64"/>
      <c r="AS384" s="64"/>
      <c r="AT384" s="64"/>
      <c r="AU384" s="64"/>
      <c r="AV384" s="64"/>
      <c r="AW384" s="64"/>
      <c r="AX384" s="64"/>
      <c r="AY384" s="64"/>
      <c r="AZ384" s="64"/>
      <c r="BA384" s="64"/>
      <c r="BB384" s="64"/>
      <c r="BC384" s="64"/>
      <c r="BD384" s="64"/>
      <c r="BE384" s="657"/>
      <c r="BF384" s="67"/>
      <c r="BG384" s="64"/>
      <c r="BH384" s="64"/>
      <c r="BI384" s="64"/>
      <c r="BJ384" s="64"/>
      <c r="BK384" s="64"/>
      <c r="BL384" s="64"/>
      <c r="BM384" s="64"/>
      <c r="BN384" s="64"/>
      <c r="BO384" s="64"/>
      <c r="BP384" s="64"/>
      <c r="BQ384" s="64"/>
      <c r="BR384" s="69"/>
      <c r="BS384" s="69"/>
      <c r="BT384" s="64"/>
    </row>
    <row r="385" spans="1:72" ht="12.75" customHeight="1">
      <c r="A385" s="64"/>
      <c r="B385" s="64"/>
      <c r="C385" s="64"/>
      <c r="D385" s="64"/>
      <c r="E385" s="64"/>
      <c r="F385" s="67"/>
      <c r="G385" s="64"/>
      <c r="H385" s="64"/>
      <c r="I385" s="64"/>
      <c r="J385" s="64"/>
      <c r="K385" s="67"/>
      <c r="L385" s="64"/>
      <c r="M385" s="64"/>
      <c r="N385" s="64"/>
      <c r="O385" s="64"/>
      <c r="P385" s="67"/>
      <c r="Q385" s="64"/>
      <c r="R385" s="64"/>
      <c r="S385" s="64"/>
      <c r="T385" s="64"/>
      <c r="U385" s="64"/>
      <c r="V385" s="67"/>
      <c r="W385" s="64"/>
      <c r="X385" s="64"/>
      <c r="Y385" s="64"/>
      <c r="Z385" s="64"/>
      <c r="AA385" s="64"/>
      <c r="AB385" s="67"/>
      <c r="AC385" s="64"/>
      <c r="AD385" s="64"/>
      <c r="AE385" s="64"/>
      <c r="AF385" s="64"/>
      <c r="AG385" s="64"/>
      <c r="AH385" s="67"/>
      <c r="AI385" s="64"/>
      <c r="AJ385" s="64"/>
      <c r="AK385" s="64"/>
      <c r="AL385" s="64"/>
      <c r="AM385" s="64"/>
      <c r="AN385" s="67"/>
      <c r="AO385" s="64"/>
      <c r="AP385" s="64"/>
      <c r="AQ385" s="64"/>
      <c r="AR385" s="64"/>
      <c r="AS385" s="64"/>
      <c r="AT385" s="64"/>
      <c r="AU385" s="64"/>
      <c r="AV385" s="64"/>
      <c r="AW385" s="64"/>
      <c r="AX385" s="64"/>
      <c r="AY385" s="64"/>
      <c r="AZ385" s="64"/>
      <c r="BA385" s="64"/>
      <c r="BB385" s="64"/>
      <c r="BC385" s="64"/>
      <c r="BD385" s="64"/>
      <c r="BE385" s="657"/>
      <c r="BF385" s="67"/>
      <c r="BG385" s="64"/>
      <c r="BH385" s="64"/>
      <c r="BI385" s="64"/>
      <c r="BJ385" s="64"/>
      <c r="BK385" s="64"/>
      <c r="BL385" s="64"/>
      <c r="BM385" s="64"/>
      <c r="BN385" s="64"/>
      <c r="BO385" s="64"/>
      <c r="BP385" s="64"/>
      <c r="BQ385" s="64"/>
      <c r="BR385" s="69"/>
      <c r="BS385" s="69"/>
      <c r="BT385" s="64"/>
    </row>
    <row r="386" spans="1:72" ht="12.75" customHeight="1">
      <c r="A386" s="64"/>
      <c r="B386" s="64"/>
      <c r="C386" s="64"/>
      <c r="D386" s="64"/>
      <c r="E386" s="64"/>
      <c r="F386" s="67"/>
      <c r="G386" s="64"/>
      <c r="H386" s="64"/>
      <c r="I386" s="64"/>
      <c r="J386" s="64"/>
      <c r="K386" s="67"/>
      <c r="L386" s="64"/>
      <c r="M386" s="64"/>
      <c r="N386" s="64"/>
      <c r="O386" s="64"/>
      <c r="P386" s="67"/>
      <c r="Q386" s="64"/>
      <c r="R386" s="64"/>
      <c r="S386" s="64"/>
      <c r="T386" s="64"/>
      <c r="U386" s="64"/>
      <c r="V386" s="67"/>
      <c r="W386" s="64"/>
      <c r="X386" s="64"/>
      <c r="Y386" s="64"/>
      <c r="Z386" s="64"/>
      <c r="AA386" s="64"/>
      <c r="AB386" s="67"/>
      <c r="AC386" s="64"/>
      <c r="AD386" s="64"/>
      <c r="AE386" s="64"/>
      <c r="AF386" s="64"/>
      <c r="AG386" s="64"/>
      <c r="AH386" s="67"/>
      <c r="AI386" s="64"/>
      <c r="AJ386" s="64"/>
      <c r="AK386" s="64"/>
      <c r="AL386" s="64"/>
      <c r="AM386" s="64"/>
      <c r="AN386" s="67"/>
      <c r="AO386" s="64"/>
      <c r="AP386" s="64"/>
      <c r="AQ386" s="64"/>
      <c r="AR386" s="64"/>
      <c r="AS386" s="64"/>
      <c r="AT386" s="64"/>
      <c r="AU386" s="64"/>
      <c r="AV386" s="64"/>
      <c r="AW386" s="64"/>
      <c r="AX386" s="64"/>
      <c r="AY386" s="64"/>
      <c r="AZ386" s="64"/>
      <c r="BA386" s="64"/>
      <c r="BB386" s="64"/>
      <c r="BC386" s="64"/>
      <c r="BD386" s="64"/>
      <c r="BE386" s="657"/>
      <c r="BF386" s="67"/>
      <c r="BG386" s="64"/>
      <c r="BH386" s="64"/>
      <c r="BI386" s="64"/>
      <c r="BJ386" s="64"/>
      <c r="BK386" s="64"/>
      <c r="BL386" s="64"/>
      <c r="BM386" s="64"/>
      <c r="BN386" s="64"/>
      <c r="BO386" s="64"/>
      <c r="BP386" s="64"/>
      <c r="BQ386" s="64"/>
      <c r="BR386" s="69"/>
      <c r="BS386" s="69"/>
      <c r="BT386" s="64"/>
    </row>
    <row r="387" spans="1:72" ht="12.75" customHeight="1">
      <c r="A387" s="64"/>
      <c r="B387" s="64"/>
      <c r="C387" s="64"/>
      <c r="D387" s="64"/>
      <c r="E387" s="64"/>
      <c r="F387" s="67"/>
      <c r="G387" s="64"/>
      <c r="H387" s="64"/>
      <c r="I387" s="64"/>
      <c r="J387" s="64"/>
      <c r="K387" s="67"/>
      <c r="L387" s="64"/>
      <c r="M387" s="64"/>
      <c r="N387" s="64"/>
      <c r="O387" s="64"/>
      <c r="P387" s="67"/>
      <c r="Q387" s="64"/>
      <c r="R387" s="64"/>
      <c r="S387" s="64"/>
      <c r="T387" s="64"/>
      <c r="U387" s="64"/>
      <c r="V387" s="67"/>
      <c r="W387" s="64"/>
      <c r="X387" s="64"/>
      <c r="Y387" s="64"/>
      <c r="Z387" s="64"/>
      <c r="AA387" s="64"/>
      <c r="AB387" s="67"/>
      <c r="AC387" s="64"/>
      <c r="AD387" s="64"/>
      <c r="AE387" s="64"/>
      <c r="AF387" s="64"/>
      <c r="AG387" s="64"/>
      <c r="AH387" s="67"/>
      <c r="AI387" s="64"/>
      <c r="AJ387" s="64"/>
      <c r="AK387" s="64"/>
      <c r="AL387" s="64"/>
      <c r="AM387" s="64"/>
      <c r="AN387" s="67"/>
      <c r="AO387" s="64"/>
      <c r="AP387" s="64"/>
      <c r="AQ387" s="64"/>
      <c r="AR387" s="64"/>
      <c r="AS387" s="64"/>
      <c r="AT387" s="64"/>
      <c r="AU387" s="64"/>
      <c r="AV387" s="64"/>
      <c r="AW387" s="64"/>
      <c r="AX387" s="64"/>
      <c r="AY387" s="64"/>
      <c r="AZ387" s="64"/>
      <c r="BA387" s="64"/>
      <c r="BB387" s="64"/>
      <c r="BC387" s="64"/>
      <c r="BD387" s="64"/>
      <c r="BE387" s="657"/>
      <c r="BF387" s="67"/>
      <c r="BG387" s="64"/>
      <c r="BH387" s="64"/>
      <c r="BI387" s="64"/>
      <c r="BJ387" s="64"/>
      <c r="BK387" s="64"/>
      <c r="BL387" s="64"/>
      <c r="BM387" s="64"/>
      <c r="BN387" s="64"/>
      <c r="BO387" s="64"/>
      <c r="BP387" s="64"/>
      <c r="BQ387" s="64"/>
      <c r="BR387" s="69"/>
      <c r="BS387" s="69"/>
      <c r="BT387" s="64"/>
    </row>
    <row r="388" spans="1:72" ht="12.75" customHeight="1">
      <c r="A388" s="64"/>
      <c r="B388" s="64"/>
      <c r="C388" s="64"/>
      <c r="D388" s="64"/>
      <c r="E388" s="64"/>
      <c r="F388" s="67"/>
      <c r="G388" s="64"/>
      <c r="H388" s="64"/>
      <c r="I388" s="64"/>
      <c r="J388" s="64"/>
      <c r="K388" s="67"/>
      <c r="L388" s="64"/>
      <c r="M388" s="64"/>
      <c r="N388" s="64"/>
      <c r="O388" s="64"/>
      <c r="P388" s="67"/>
      <c r="Q388" s="64"/>
      <c r="R388" s="64"/>
      <c r="S388" s="64"/>
      <c r="T388" s="64"/>
      <c r="U388" s="64"/>
      <c r="V388" s="67"/>
      <c r="W388" s="64"/>
      <c r="X388" s="64"/>
      <c r="Y388" s="64"/>
      <c r="Z388" s="64"/>
      <c r="AA388" s="64"/>
      <c r="AB388" s="67"/>
      <c r="AC388" s="64"/>
      <c r="AD388" s="64"/>
      <c r="AE388" s="64"/>
      <c r="AF388" s="64"/>
      <c r="AG388" s="64"/>
      <c r="AH388" s="67"/>
      <c r="AI388" s="64"/>
      <c r="AJ388" s="64"/>
      <c r="AK388" s="64"/>
      <c r="AL388" s="64"/>
      <c r="AM388" s="64"/>
      <c r="AN388" s="67"/>
      <c r="AO388" s="64"/>
      <c r="AP388" s="64"/>
      <c r="AQ388" s="64"/>
      <c r="AR388" s="64"/>
      <c r="AS388" s="64"/>
      <c r="AT388" s="64"/>
      <c r="AU388" s="64"/>
      <c r="AV388" s="64"/>
      <c r="AW388" s="64"/>
      <c r="AX388" s="64"/>
      <c r="AY388" s="64"/>
      <c r="AZ388" s="64"/>
      <c r="BA388" s="64"/>
      <c r="BB388" s="64"/>
      <c r="BC388" s="64"/>
      <c r="BD388" s="64"/>
      <c r="BE388" s="657"/>
      <c r="BF388" s="67"/>
      <c r="BG388" s="64"/>
      <c r="BH388" s="64"/>
      <c r="BI388" s="64"/>
      <c r="BJ388" s="64"/>
      <c r="BK388" s="64"/>
      <c r="BL388" s="64"/>
      <c r="BM388" s="64"/>
      <c r="BN388" s="64"/>
      <c r="BO388" s="64"/>
      <c r="BP388" s="64"/>
      <c r="BQ388" s="64"/>
      <c r="BR388" s="69"/>
      <c r="BS388" s="69"/>
      <c r="BT388" s="64"/>
    </row>
    <row r="389" spans="1:72" ht="12.75" customHeight="1">
      <c r="A389" s="64"/>
      <c r="B389" s="64"/>
      <c r="C389" s="64"/>
      <c r="D389" s="64"/>
      <c r="E389" s="64"/>
      <c r="F389" s="67"/>
      <c r="G389" s="64"/>
      <c r="H389" s="64"/>
      <c r="I389" s="64"/>
      <c r="J389" s="64"/>
      <c r="K389" s="67"/>
      <c r="L389" s="64"/>
      <c r="M389" s="64"/>
      <c r="N389" s="64"/>
      <c r="O389" s="64"/>
      <c r="P389" s="67"/>
      <c r="Q389" s="64"/>
      <c r="R389" s="64"/>
      <c r="S389" s="64"/>
      <c r="T389" s="64"/>
      <c r="U389" s="64"/>
      <c r="V389" s="67"/>
      <c r="W389" s="64"/>
      <c r="X389" s="64"/>
      <c r="Y389" s="64"/>
      <c r="Z389" s="64"/>
      <c r="AA389" s="64"/>
      <c r="AB389" s="67"/>
      <c r="AC389" s="64"/>
      <c r="AD389" s="64"/>
      <c r="AE389" s="64"/>
      <c r="AF389" s="64"/>
      <c r="AG389" s="64"/>
      <c r="AH389" s="67"/>
      <c r="AI389" s="64"/>
      <c r="AJ389" s="64"/>
      <c r="AK389" s="64"/>
      <c r="AL389" s="64"/>
      <c r="AM389" s="64"/>
      <c r="AN389" s="67"/>
      <c r="AO389" s="64"/>
      <c r="AP389" s="64"/>
      <c r="AQ389" s="64"/>
      <c r="AR389" s="64"/>
      <c r="AS389" s="64"/>
      <c r="AT389" s="64"/>
      <c r="AU389" s="64"/>
      <c r="AV389" s="64"/>
      <c r="AW389" s="64"/>
      <c r="AX389" s="64"/>
      <c r="AY389" s="64"/>
      <c r="AZ389" s="64"/>
      <c r="BA389" s="64"/>
      <c r="BB389" s="64"/>
      <c r="BC389" s="64"/>
      <c r="BD389" s="64"/>
      <c r="BE389" s="657"/>
      <c r="BF389" s="67"/>
      <c r="BG389" s="64"/>
      <c r="BH389" s="64"/>
      <c r="BI389" s="64"/>
      <c r="BJ389" s="64"/>
      <c r="BK389" s="64"/>
      <c r="BL389" s="64"/>
      <c r="BM389" s="64"/>
      <c r="BN389" s="64"/>
      <c r="BO389" s="64"/>
      <c r="BP389" s="64"/>
      <c r="BQ389" s="64"/>
      <c r="BR389" s="69"/>
      <c r="BS389" s="69"/>
      <c r="BT389" s="64"/>
    </row>
    <row r="390" spans="1:72" ht="12.75" customHeight="1">
      <c r="A390" s="64"/>
      <c r="B390" s="64"/>
      <c r="C390" s="64"/>
      <c r="D390" s="64"/>
      <c r="E390" s="64"/>
      <c r="F390" s="67"/>
      <c r="G390" s="64"/>
      <c r="H390" s="64"/>
      <c r="I390" s="64"/>
      <c r="J390" s="64"/>
      <c r="K390" s="67"/>
      <c r="L390" s="64"/>
      <c r="M390" s="64"/>
      <c r="N390" s="64"/>
      <c r="O390" s="64"/>
      <c r="P390" s="67"/>
      <c r="Q390" s="64"/>
      <c r="R390" s="64"/>
      <c r="S390" s="64"/>
      <c r="T390" s="64"/>
      <c r="U390" s="64"/>
      <c r="V390" s="67"/>
      <c r="W390" s="64"/>
      <c r="X390" s="64"/>
      <c r="Y390" s="64"/>
      <c r="Z390" s="64"/>
      <c r="AA390" s="64"/>
      <c r="AB390" s="67"/>
      <c r="AC390" s="64"/>
      <c r="AD390" s="64"/>
      <c r="AE390" s="64"/>
      <c r="AF390" s="64"/>
      <c r="AG390" s="64"/>
      <c r="AH390" s="67"/>
      <c r="AI390" s="64"/>
      <c r="AJ390" s="64"/>
      <c r="AK390" s="64"/>
      <c r="AL390" s="64"/>
      <c r="AM390" s="64"/>
      <c r="AN390" s="67"/>
      <c r="AO390" s="64"/>
      <c r="AP390" s="64"/>
      <c r="AQ390" s="64"/>
      <c r="AR390" s="64"/>
      <c r="AS390" s="64"/>
      <c r="AT390" s="64"/>
      <c r="AU390" s="64"/>
      <c r="AV390" s="64"/>
      <c r="AW390" s="64"/>
      <c r="AX390" s="64"/>
      <c r="AY390" s="64"/>
      <c r="AZ390" s="64"/>
      <c r="BA390" s="64"/>
      <c r="BB390" s="64"/>
      <c r="BC390" s="64"/>
      <c r="BD390" s="64"/>
      <c r="BE390" s="657"/>
      <c r="BF390" s="67"/>
      <c r="BG390" s="64"/>
      <c r="BH390" s="64"/>
      <c r="BI390" s="64"/>
      <c r="BJ390" s="64"/>
      <c r="BK390" s="64"/>
      <c r="BL390" s="64"/>
      <c r="BM390" s="64"/>
      <c r="BN390" s="64"/>
      <c r="BO390" s="64"/>
      <c r="BP390" s="64"/>
      <c r="BQ390" s="64"/>
      <c r="BR390" s="69"/>
      <c r="BS390" s="69"/>
      <c r="BT390" s="64"/>
    </row>
    <row r="391" spans="1:72" ht="12.75" customHeight="1">
      <c r="A391" s="64"/>
      <c r="B391" s="64"/>
      <c r="C391" s="64"/>
      <c r="D391" s="64"/>
      <c r="E391" s="64"/>
      <c r="F391" s="67"/>
      <c r="G391" s="64"/>
      <c r="H391" s="64"/>
      <c r="I391" s="64"/>
      <c r="J391" s="64"/>
      <c r="K391" s="67"/>
      <c r="L391" s="64"/>
      <c r="M391" s="64"/>
      <c r="N391" s="64"/>
      <c r="O391" s="64"/>
      <c r="P391" s="67"/>
      <c r="Q391" s="64"/>
      <c r="R391" s="64"/>
      <c r="S391" s="64"/>
      <c r="T391" s="64"/>
      <c r="U391" s="64"/>
      <c r="V391" s="67"/>
      <c r="W391" s="64"/>
      <c r="X391" s="64"/>
      <c r="Y391" s="64"/>
      <c r="Z391" s="64"/>
      <c r="AA391" s="64"/>
      <c r="AB391" s="67"/>
      <c r="AC391" s="64"/>
      <c r="AD391" s="64"/>
      <c r="AE391" s="64"/>
      <c r="AF391" s="64"/>
      <c r="AG391" s="64"/>
      <c r="AH391" s="67"/>
      <c r="AI391" s="64"/>
      <c r="AJ391" s="64"/>
      <c r="AK391" s="64"/>
      <c r="AL391" s="64"/>
      <c r="AM391" s="64"/>
      <c r="AN391" s="67"/>
      <c r="AO391" s="64"/>
      <c r="AP391" s="64"/>
      <c r="AQ391" s="64"/>
      <c r="AR391" s="64"/>
      <c r="AS391" s="64"/>
      <c r="AT391" s="64"/>
      <c r="AU391" s="64"/>
      <c r="AV391" s="64"/>
      <c r="AW391" s="64"/>
      <c r="AX391" s="64"/>
      <c r="AY391" s="64"/>
      <c r="AZ391" s="64"/>
      <c r="BA391" s="64"/>
      <c r="BB391" s="64"/>
      <c r="BC391" s="64"/>
      <c r="BD391" s="64"/>
      <c r="BE391" s="657"/>
      <c r="BF391" s="67"/>
      <c r="BG391" s="64"/>
      <c r="BH391" s="64"/>
      <c r="BI391" s="64"/>
      <c r="BJ391" s="64"/>
      <c r="BK391" s="64"/>
      <c r="BL391" s="64"/>
      <c r="BM391" s="64"/>
      <c r="BN391" s="64"/>
      <c r="BO391" s="64"/>
      <c r="BP391" s="64"/>
      <c r="BQ391" s="64"/>
      <c r="BR391" s="69"/>
      <c r="BS391" s="69"/>
      <c r="BT391" s="64"/>
    </row>
    <row r="392" spans="1:72" ht="12.75" customHeight="1">
      <c r="A392" s="64"/>
      <c r="B392" s="64"/>
      <c r="C392" s="64"/>
      <c r="D392" s="64"/>
      <c r="E392" s="64"/>
      <c r="F392" s="67"/>
      <c r="G392" s="64"/>
      <c r="H392" s="64"/>
      <c r="I392" s="64"/>
      <c r="J392" s="64"/>
      <c r="K392" s="67"/>
      <c r="L392" s="64"/>
      <c r="M392" s="64"/>
      <c r="N392" s="64"/>
      <c r="O392" s="64"/>
      <c r="P392" s="67"/>
      <c r="Q392" s="64"/>
      <c r="R392" s="64"/>
      <c r="S392" s="64"/>
      <c r="T392" s="64"/>
      <c r="U392" s="64"/>
      <c r="V392" s="67"/>
      <c r="W392" s="64"/>
      <c r="X392" s="64"/>
      <c r="Y392" s="64"/>
      <c r="Z392" s="64"/>
      <c r="AA392" s="64"/>
      <c r="AB392" s="67"/>
      <c r="AC392" s="64"/>
      <c r="AD392" s="64"/>
      <c r="AE392" s="64"/>
      <c r="AF392" s="64"/>
      <c r="AG392" s="64"/>
      <c r="AH392" s="67"/>
      <c r="AI392" s="64"/>
      <c r="AJ392" s="64"/>
      <c r="AK392" s="64"/>
      <c r="AL392" s="64"/>
      <c r="AM392" s="64"/>
      <c r="AN392" s="67"/>
      <c r="AO392" s="64"/>
      <c r="AP392" s="64"/>
      <c r="AQ392" s="64"/>
      <c r="AR392" s="64"/>
      <c r="AS392" s="64"/>
      <c r="AT392" s="64"/>
      <c r="AU392" s="64"/>
      <c r="AV392" s="64"/>
      <c r="AW392" s="64"/>
      <c r="AX392" s="64"/>
      <c r="AY392" s="64"/>
      <c r="AZ392" s="64"/>
      <c r="BA392" s="64"/>
      <c r="BB392" s="64"/>
      <c r="BC392" s="64"/>
      <c r="BD392" s="64"/>
      <c r="BE392" s="657"/>
      <c r="BF392" s="67"/>
      <c r="BG392" s="64"/>
      <c r="BH392" s="64"/>
      <c r="BI392" s="64"/>
      <c r="BJ392" s="64"/>
      <c r="BK392" s="64"/>
      <c r="BL392" s="64"/>
      <c r="BM392" s="64"/>
      <c r="BN392" s="64"/>
      <c r="BO392" s="64"/>
      <c r="BP392" s="64"/>
      <c r="BQ392" s="64"/>
      <c r="BR392" s="69"/>
      <c r="BS392" s="69"/>
      <c r="BT392" s="64"/>
    </row>
    <row r="393" spans="1:72" ht="12.75" customHeight="1">
      <c r="A393" s="64"/>
      <c r="B393" s="64"/>
      <c r="C393" s="64"/>
      <c r="D393" s="64"/>
      <c r="E393" s="64"/>
      <c r="F393" s="67"/>
      <c r="G393" s="64"/>
      <c r="H393" s="64"/>
      <c r="I393" s="64"/>
      <c r="J393" s="64"/>
      <c r="K393" s="67"/>
      <c r="L393" s="64"/>
      <c r="M393" s="64"/>
      <c r="N393" s="64"/>
      <c r="O393" s="64"/>
      <c r="P393" s="67"/>
      <c r="Q393" s="64"/>
      <c r="R393" s="64"/>
      <c r="S393" s="64"/>
      <c r="T393" s="64"/>
      <c r="U393" s="64"/>
      <c r="V393" s="67"/>
      <c r="W393" s="64"/>
      <c r="X393" s="64"/>
      <c r="Y393" s="64"/>
      <c r="Z393" s="64"/>
      <c r="AA393" s="64"/>
      <c r="AB393" s="67"/>
      <c r="AC393" s="64"/>
      <c r="AD393" s="64"/>
      <c r="AE393" s="64"/>
      <c r="AF393" s="64"/>
      <c r="AG393" s="64"/>
      <c r="AH393" s="67"/>
      <c r="AI393" s="64"/>
      <c r="AJ393" s="64"/>
      <c r="AK393" s="64"/>
      <c r="AL393" s="64"/>
      <c r="AM393" s="64"/>
      <c r="AN393" s="67"/>
      <c r="AO393" s="64"/>
      <c r="AP393" s="64"/>
      <c r="AQ393" s="64"/>
      <c r="AR393" s="64"/>
      <c r="AS393" s="64"/>
      <c r="AT393" s="64"/>
      <c r="AU393" s="64"/>
      <c r="AV393" s="64"/>
      <c r="AW393" s="64"/>
      <c r="AX393" s="64"/>
      <c r="AY393" s="64"/>
      <c r="AZ393" s="64"/>
      <c r="BA393" s="64"/>
      <c r="BB393" s="64"/>
      <c r="BC393" s="64"/>
      <c r="BD393" s="64"/>
      <c r="BE393" s="657"/>
      <c r="BF393" s="67"/>
      <c r="BG393" s="64"/>
      <c r="BH393" s="64"/>
      <c r="BI393" s="64"/>
      <c r="BJ393" s="64"/>
      <c r="BK393" s="64"/>
      <c r="BL393" s="64"/>
      <c r="BM393" s="64"/>
      <c r="BN393" s="64"/>
      <c r="BO393" s="64"/>
      <c r="BP393" s="64"/>
      <c r="BQ393" s="64"/>
      <c r="BR393" s="69"/>
      <c r="BS393" s="69"/>
      <c r="BT393" s="64"/>
    </row>
    <row r="394" spans="1:72" ht="12.75" customHeight="1">
      <c r="A394" s="64"/>
      <c r="B394" s="64"/>
      <c r="C394" s="64"/>
      <c r="D394" s="64"/>
      <c r="E394" s="64"/>
      <c r="F394" s="67"/>
      <c r="G394" s="64"/>
      <c r="H394" s="64"/>
      <c r="I394" s="64"/>
      <c r="J394" s="64"/>
      <c r="K394" s="67"/>
      <c r="L394" s="64"/>
      <c r="M394" s="64"/>
      <c r="N394" s="64"/>
      <c r="O394" s="64"/>
      <c r="P394" s="67"/>
      <c r="Q394" s="64"/>
      <c r="R394" s="64"/>
      <c r="S394" s="64"/>
      <c r="T394" s="64"/>
      <c r="U394" s="64"/>
      <c r="V394" s="67"/>
      <c r="W394" s="64"/>
      <c r="X394" s="64"/>
      <c r="Y394" s="64"/>
      <c r="Z394" s="64"/>
      <c r="AA394" s="64"/>
      <c r="AB394" s="67"/>
      <c r="AC394" s="64"/>
      <c r="AD394" s="64"/>
      <c r="AE394" s="64"/>
      <c r="AF394" s="64"/>
      <c r="AG394" s="64"/>
      <c r="AH394" s="67"/>
      <c r="AI394" s="64"/>
      <c r="AJ394" s="64"/>
      <c r="AK394" s="64"/>
      <c r="AL394" s="64"/>
      <c r="AM394" s="64"/>
      <c r="AN394" s="67"/>
      <c r="AO394" s="64"/>
      <c r="AP394" s="64"/>
      <c r="AQ394" s="64"/>
      <c r="AR394" s="64"/>
      <c r="AS394" s="64"/>
      <c r="AT394" s="64"/>
      <c r="AU394" s="64"/>
      <c r="AV394" s="64"/>
      <c r="AW394" s="64"/>
      <c r="AX394" s="64"/>
      <c r="AY394" s="64"/>
      <c r="AZ394" s="64"/>
      <c r="BA394" s="64"/>
      <c r="BB394" s="64"/>
      <c r="BC394" s="64"/>
      <c r="BD394" s="64"/>
      <c r="BE394" s="657"/>
      <c r="BF394" s="67"/>
      <c r="BG394" s="64"/>
      <c r="BH394" s="64"/>
      <c r="BI394" s="64"/>
      <c r="BJ394" s="64"/>
      <c r="BK394" s="64"/>
      <c r="BL394" s="64"/>
      <c r="BM394" s="64"/>
      <c r="BN394" s="64"/>
      <c r="BO394" s="64"/>
      <c r="BP394" s="64"/>
      <c r="BQ394" s="64"/>
      <c r="BR394" s="69"/>
      <c r="BS394" s="69"/>
      <c r="BT394" s="64"/>
    </row>
    <row r="395" spans="1:72" ht="12.75" customHeight="1">
      <c r="A395" s="64"/>
      <c r="B395" s="64"/>
      <c r="C395" s="64"/>
      <c r="D395" s="64"/>
      <c r="E395" s="64"/>
      <c r="F395" s="67"/>
      <c r="G395" s="64"/>
      <c r="H395" s="64"/>
      <c r="I395" s="64"/>
      <c r="J395" s="64"/>
      <c r="K395" s="67"/>
      <c r="L395" s="64"/>
      <c r="M395" s="64"/>
      <c r="N395" s="64"/>
      <c r="O395" s="64"/>
      <c r="P395" s="67"/>
      <c r="Q395" s="64"/>
      <c r="R395" s="64"/>
      <c r="S395" s="64"/>
      <c r="T395" s="64"/>
      <c r="U395" s="64"/>
      <c r="V395" s="67"/>
      <c r="W395" s="64"/>
      <c r="X395" s="64"/>
      <c r="Y395" s="64"/>
      <c r="Z395" s="64"/>
      <c r="AA395" s="64"/>
      <c r="AB395" s="67"/>
      <c r="AC395" s="64"/>
      <c r="AD395" s="64"/>
      <c r="AE395" s="64"/>
      <c r="AF395" s="64"/>
      <c r="AG395" s="64"/>
      <c r="AH395" s="67"/>
      <c r="AI395" s="64"/>
      <c r="AJ395" s="64"/>
      <c r="AK395" s="64"/>
      <c r="AL395" s="64"/>
      <c r="AM395" s="64"/>
      <c r="AN395" s="67"/>
      <c r="AO395" s="64"/>
      <c r="AP395" s="64"/>
      <c r="AQ395" s="64"/>
      <c r="AR395" s="64"/>
      <c r="AS395" s="64"/>
      <c r="AT395" s="64"/>
      <c r="AU395" s="64"/>
      <c r="AV395" s="64"/>
      <c r="AW395" s="64"/>
      <c r="AX395" s="64"/>
      <c r="AY395" s="64"/>
      <c r="AZ395" s="64"/>
      <c r="BA395" s="64"/>
      <c r="BB395" s="64"/>
      <c r="BC395" s="64"/>
      <c r="BD395" s="64"/>
      <c r="BE395" s="657"/>
      <c r="BF395" s="67"/>
      <c r="BG395" s="64"/>
      <c r="BH395" s="64"/>
      <c r="BI395" s="64"/>
      <c r="BJ395" s="64"/>
      <c r="BK395" s="64"/>
      <c r="BL395" s="64"/>
      <c r="BM395" s="64"/>
      <c r="BN395" s="64"/>
      <c r="BO395" s="64"/>
      <c r="BP395" s="64"/>
      <c r="BQ395" s="64"/>
      <c r="BR395" s="69"/>
      <c r="BS395" s="69"/>
      <c r="BT395" s="64"/>
    </row>
    <row r="396" spans="1:72" ht="12.75" customHeight="1">
      <c r="A396" s="64"/>
      <c r="B396" s="64"/>
      <c r="C396" s="64"/>
      <c r="D396" s="64"/>
      <c r="E396" s="64"/>
      <c r="F396" s="67"/>
      <c r="G396" s="64"/>
      <c r="H396" s="64"/>
      <c r="I396" s="64"/>
      <c r="J396" s="64"/>
      <c r="K396" s="67"/>
      <c r="L396" s="64"/>
      <c r="M396" s="64"/>
      <c r="N396" s="64"/>
      <c r="O396" s="64"/>
      <c r="P396" s="67"/>
      <c r="Q396" s="64"/>
      <c r="R396" s="64"/>
      <c r="S396" s="64"/>
      <c r="T396" s="64"/>
      <c r="U396" s="64"/>
      <c r="V396" s="67"/>
      <c r="W396" s="64"/>
      <c r="X396" s="64"/>
      <c r="Y396" s="64"/>
      <c r="Z396" s="64"/>
      <c r="AA396" s="64"/>
      <c r="AB396" s="67"/>
      <c r="AC396" s="64"/>
      <c r="AD396" s="64"/>
      <c r="AE396" s="64"/>
      <c r="AF396" s="64"/>
      <c r="AG396" s="64"/>
      <c r="AH396" s="67"/>
      <c r="AI396" s="64"/>
      <c r="AJ396" s="64"/>
      <c r="AK396" s="64"/>
      <c r="AL396" s="64"/>
      <c r="AM396" s="64"/>
      <c r="AN396" s="67"/>
      <c r="AO396" s="64"/>
      <c r="AP396" s="64"/>
      <c r="AQ396" s="64"/>
      <c r="AR396" s="64"/>
      <c r="AS396" s="64"/>
      <c r="AT396" s="64"/>
      <c r="AU396" s="64"/>
      <c r="AV396" s="64"/>
      <c r="AW396" s="64"/>
      <c r="AX396" s="64"/>
      <c r="AY396" s="64"/>
      <c r="AZ396" s="64"/>
      <c r="BA396" s="64"/>
      <c r="BB396" s="64"/>
      <c r="BC396" s="64"/>
      <c r="BD396" s="64"/>
      <c r="BE396" s="657"/>
      <c r="BF396" s="67"/>
      <c r="BG396" s="64"/>
      <c r="BH396" s="64"/>
      <c r="BI396" s="64"/>
      <c r="BJ396" s="64"/>
      <c r="BK396" s="64"/>
      <c r="BL396" s="64"/>
      <c r="BM396" s="64"/>
      <c r="BN396" s="64"/>
      <c r="BO396" s="64"/>
      <c r="BP396" s="64"/>
      <c r="BQ396" s="64"/>
      <c r="BR396" s="69"/>
      <c r="BS396" s="69"/>
      <c r="BT396" s="64"/>
    </row>
    <row r="397" spans="1:72" ht="12.75" customHeight="1">
      <c r="A397" s="64"/>
      <c r="B397" s="64"/>
      <c r="C397" s="64"/>
      <c r="D397" s="64"/>
      <c r="E397" s="64"/>
      <c r="F397" s="67"/>
      <c r="G397" s="64"/>
      <c r="H397" s="64"/>
      <c r="I397" s="64"/>
      <c r="J397" s="64"/>
      <c r="K397" s="67"/>
      <c r="L397" s="64"/>
      <c r="M397" s="64"/>
      <c r="N397" s="64"/>
      <c r="O397" s="64"/>
      <c r="P397" s="67"/>
      <c r="Q397" s="64"/>
      <c r="R397" s="64"/>
      <c r="S397" s="64"/>
      <c r="T397" s="64"/>
      <c r="U397" s="64"/>
      <c r="V397" s="67"/>
      <c r="W397" s="64"/>
      <c r="X397" s="64"/>
      <c r="Y397" s="64"/>
      <c r="Z397" s="64"/>
      <c r="AA397" s="64"/>
      <c r="AB397" s="67"/>
      <c r="AC397" s="64"/>
      <c r="AD397" s="64"/>
      <c r="AE397" s="64"/>
      <c r="AF397" s="64"/>
      <c r="AG397" s="64"/>
      <c r="AH397" s="67"/>
      <c r="AI397" s="64"/>
      <c r="AJ397" s="64"/>
      <c r="AK397" s="64"/>
      <c r="AL397" s="64"/>
      <c r="AM397" s="64"/>
      <c r="AN397" s="67"/>
      <c r="AO397" s="64"/>
      <c r="AP397" s="64"/>
      <c r="AQ397" s="64"/>
      <c r="AR397" s="64"/>
      <c r="AS397" s="64"/>
      <c r="AT397" s="64"/>
      <c r="AU397" s="64"/>
      <c r="AV397" s="64"/>
      <c r="AW397" s="64"/>
      <c r="AX397" s="64"/>
      <c r="AY397" s="64"/>
      <c r="AZ397" s="64"/>
      <c r="BA397" s="64"/>
      <c r="BB397" s="64"/>
      <c r="BC397" s="64"/>
      <c r="BD397" s="64"/>
      <c r="BE397" s="657"/>
      <c r="BF397" s="67"/>
      <c r="BG397" s="64"/>
      <c r="BH397" s="64"/>
      <c r="BI397" s="64"/>
      <c r="BJ397" s="64"/>
      <c r="BK397" s="64"/>
      <c r="BL397" s="64"/>
      <c r="BM397" s="64"/>
      <c r="BN397" s="64"/>
      <c r="BO397" s="64"/>
      <c r="BP397" s="64"/>
      <c r="BQ397" s="64"/>
      <c r="BR397" s="69"/>
      <c r="BS397" s="69"/>
      <c r="BT397" s="64"/>
    </row>
    <row r="398" spans="1:72" ht="12.75" customHeight="1">
      <c r="A398" s="64"/>
      <c r="B398" s="64"/>
      <c r="C398" s="64"/>
      <c r="D398" s="64"/>
      <c r="E398" s="64"/>
      <c r="F398" s="67"/>
      <c r="G398" s="64"/>
      <c r="H398" s="64"/>
      <c r="I398" s="64"/>
      <c r="J398" s="64"/>
      <c r="K398" s="67"/>
      <c r="L398" s="64"/>
      <c r="M398" s="64"/>
      <c r="N398" s="64"/>
      <c r="O398" s="64"/>
      <c r="P398" s="67"/>
      <c r="Q398" s="64"/>
      <c r="R398" s="64"/>
      <c r="S398" s="64"/>
      <c r="T398" s="64"/>
      <c r="U398" s="64"/>
      <c r="V398" s="67"/>
      <c r="W398" s="64"/>
      <c r="X398" s="64"/>
      <c r="Y398" s="64"/>
      <c r="Z398" s="64"/>
      <c r="AA398" s="64"/>
      <c r="AB398" s="67"/>
      <c r="AC398" s="64"/>
      <c r="AD398" s="64"/>
      <c r="AE398" s="64"/>
      <c r="AF398" s="64"/>
      <c r="AG398" s="64"/>
      <c r="AH398" s="67"/>
      <c r="AI398" s="64"/>
      <c r="AJ398" s="64"/>
      <c r="AK398" s="64"/>
      <c r="AL398" s="64"/>
      <c r="AM398" s="64"/>
      <c r="AN398" s="67"/>
      <c r="AO398" s="64"/>
      <c r="AP398" s="64"/>
      <c r="AQ398" s="64"/>
      <c r="AR398" s="64"/>
      <c r="AS398" s="64"/>
      <c r="AT398" s="64"/>
      <c r="AU398" s="64"/>
      <c r="AV398" s="64"/>
      <c r="AW398" s="64"/>
      <c r="AX398" s="64"/>
      <c r="AY398" s="64"/>
      <c r="AZ398" s="64"/>
      <c r="BA398" s="64"/>
      <c r="BB398" s="64"/>
      <c r="BC398" s="64"/>
      <c r="BD398" s="64"/>
      <c r="BE398" s="657"/>
      <c r="BF398" s="67"/>
      <c r="BG398" s="64"/>
      <c r="BH398" s="64"/>
      <c r="BI398" s="64"/>
      <c r="BJ398" s="64"/>
      <c r="BK398" s="64"/>
      <c r="BL398" s="64"/>
      <c r="BM398" s="64"/>
      <c r="BN398" s="64"/>
      <c r="BO398" s="64"/>
      <c r="BP398" s="64"/>
      <c r="BQ398" s="64"/>
      <c r="BR398" s="69"/>
      <c r="BS398" s="69"/>
      <c r="BT398" s="64"/>
    </row>
    <row r="399" spans="1:72" ht="12.75" customHeight="1">
      <c r="A399" s="64"/>
      <c r="B399" s="64"/>
      <c r="C399" s="64"/>
      <c r="D399" s="64"/>
      <c r="E399" s="64"/>
      <c r="F399" s="67"/>
      <c r="G399" s="64"/>
      <c r="H399" s="64"/>
      <c r="I399" s="64"/>
      <c r="J399" s="64"/>
      <c r="K399" s="67"/>
      <c r="L399" s="64"/>
      <c r="M399" s="64"/>
      <c r="N399" s="64"/>
      <c r="O399" s="64"/>
      <c r="P399" s="67"/>
      <c r="Q399" s="64"/>
      <c r="R399" s="64"/>
      <c r="S399" s="64"/>
      <c r="T399" s="64"/>
      <c r="U399" s="64"/>
      <c r="V399" s="67"/>
      <c r="W399" s="64"/>
      <c r="X399" s="64"/>
      <c r="Y399" s="64"/>
      <c r="Z399" s="64"/>
      <c r="AA399" s="64"/>
      <c r="AB399" s="67"/>
      <c r="AC399" s="64"/>
      <c r="AD399" s="64"/>
      <c r="AE399" s="64"/>
      <c r="AF399" s="64"/>
      <c r="AG399" s="64"/>
      <c r="AH399" s="67"/>
      <c r="AI399" s="64"/>
      <c r="AJ399" s="64"/>
      <c r="AK399" s="64"/>
      <c r="AL399" s="64"/>
      <c r="AM399" s="64"/>
      <c r="AN399" s="67"/>
      <c r="AO399" s="64"/>
      <c r="AP399" s="64"/>
      <c r="AQ399" s="64"/>
      <c r="AR399" s="64"/>
      <c r="AS399" s="64"/>
      <c r="AT399" s="64"/>
      <c r="AU399" s="64"/>
      <c r="AV399" s="64"/>
      <c r="AW399" s="64"/>
      <c r="AX399" s="64"/>
      <c r="AY399" s="64"/>
      <c r="AZ399" s="64"/>
      <c r="BA399" s="64"/>
      <c r="BB399" s="64"/>
      <c r="BC399" s="64"/>
      <c r="BD399" s="64"/>
      <c r="BE399" s="657"/>
      <c r="BF399" s="67"/>
      <c r="BG399" s="64"/>
      <c r="BH399" s="64"/>
      <c r="BI399" s="64"/>
      <c r="BJ399" s="64"/>
      <c r="BK399" s="64"/>
      <c r="BL399" s="64"/>
      <c r="BM399" s="64"/>
      <c r="BN399" s="64"/>
      <c r="BO399" s="64"/>
      <c r="BP399" s="64"/>
      <c r="BQ399" s="64"/>
      <c r="BR399" s="69"/>
      <c r="BS399" s="69"/>
      <c r="BT399" s="64"/>
    </row>
    <row r="400" spans="1:72" ht="12.75" customHeight="1">
      <c r="A400" s="64"/>
      <c r="B400" s="64"/>
      <c r="C400" s="64"/>
      <c r="D400" s="64"/>
      <c r="E400" s="64"/>
      <c r="F400" s="67"/>
      <c r="G400" s="64"/>
      <c r="H400" s="64"/>
      <c r="I400" s="64"/>
      <c r="J400" s="64"/>
      <c r="K400" s="67"/>
      <c r="L400" s="64"/>
      <c r="M400" s="64"/>
      <c r="N400" s="64"/>
      <c r="O400" s="64"/>
      <c r="P400" s="67"/>
      <c r="Q400" s="64"/>
      <c r="R400" s="64"/>
      <c r="S400" s="64"/>
      <c r="T400" s="64"/>
      <c r="U400" s="64"/>
      <c r="V400" s="67"/>
      <c r="W400" s="64"/>
      <c r="X400" s="64"/>
      <c r="Y400" s="64"/>
      <c r="Z400" s="64"/>
      <c r="AA400" s="64"/>
      <c r="AB400" s="67"/>
      <c r="AC400" s="64"/>
      <c r="AD400" s="64"/>
      <c r="AE400" s="64"/>
      <c r="AF400" s="64"/>
      <c r="AG400" s="64"/>
      <c r="AH400" s="67"/>
      <c r="AI400" s="64"/>
      <c r="AJ400" s="64"/>
      <c r="AK400" s="64"/>
      <c r="AL400" s="64"/>
      <c r="AM400" s="64"/>
      <c r="AN400" s="67"/>
      <c r="AO400" s="64"/>
      <c r="AP400" s="64"/>
      <c r="AQ400" s="64"/>
      <c r="AR400" s="64"/>
      <c r="AS400" s="64"/>
      <c r="AT400" s="64"/>
      <c r="AU400" s="64"/>
      <c r="AV400" s="64"/>
      <c r="AW400" s="64"/>
      <c r="AX400" s="64"/>
      <c r="AY400" s="64"/>
      <c r="AZ400" s="64"/>
      <c r="BA400" s="64"/>
      <c r="BB400" s="64"/>
      <c r="BC400" s="64"/>
      <c r="BD400" s="64"/>
      <c r="BE400" s="657"/>
      <c r="BF400" s="67"/>
      <c r="BG400" s="64"/>
      <c r="BH400" s="64"/>
      <c r="BI400" s="64"/>
      <c r="BJ400" s="64"/>
      <c r="BK400" s="64"/>
      <c r="BL400" s="64"/>
      <c r="BM400" s="64"/>
      <c r="BN400" s="64"/>
      <c r="BO400" s="64"/>
      <c r="BP400" s="64"/>
      <c r="BQ400" s="64"/>
      <c r="BR400" s="69"/>
      <c r="BS400" s="69"/>
      <c r="BT400" s="64"/>
    </row>
    <row r="401" spans="1:72" ht="12.75" customHeight="1">
      <c r="A401" s="64"/>
      <c r="B401" s="64"/>
      <c r="C401" s="64"/>
      <c r="D401" s="64"/>
      <c r="E401" s="64"/>
      <c r="F401" s="67"/>
      <c r="G401" s="64"/>
      <c r="H401" s="64"/>
      <c r="I401" s="64"/>
      <c r="J401" s="64"/>
      <c r="K401" s="67"/>
      <c r="L401" s="64"/>
      <c r="M401" s="64"/>
      <c r="N401" s="64"/>
      <c r="O401" s="64"/>
      <c r="P401" s="67"/>
      <c r="Q401" s="64"/>
      <c r="R401" s="64"/>
      <c r="S401" s="64"/>
      <c r="T401" s="64"/>
      <c r="U401" s="64"/>
      <c r="V401" s="67"/>
      <c r="W401" s="64"/>
      <c r="X401" s="64"/>
      <c r="Y401" s="64"/>
      <c r="Z401" s="64"/>
      <c r="AA401" s="64"/>
      <c r="AB401" s="67"/>
      <c r="AC401" s="64"/>
      <c r="AD401" s="64"/>
      <c r="AE401" s="64"/>
      <c r="AF401" s="64"/>
      <c r="AG401" s="64"/>
      <c r="AH401" s="67"/>
      <c r="AI401" s="64"/>
      <c r="AJ401" s="64"/>
      <c r="AK401" s="64"/>
      <c r="AL401" s="64"/>
      <c r="AM401" s="64"/>
      <c r="AN401" s="67"/>
      <c r="AO401" s="64"/>
      <c r="AP401" s="64"/>
      <c r="AQ401" s="64"/>
      <c r="AR401" s="64"/>
      <c r="AS401" s="64"/>
      <c r="AT401" s="64"/>
      <c r="AU401" s="64"/>
      <c r="AV401" s="64"/>
      <c r="AW401" s="64"/>
      <c r="AX401" s="64"/>
      <c r="AY401" s="64"/>
      <c r="AZ401" s="64"/>
      <c r="BA401" s="64"/>
      <c r="BB401" s="64"/>
      <c r="BC401" s="64"/>
      <c r="BD401" s="64"/>
      <c r="BE401" s="657"/>
      <c r="BF401" s="67"/>
      <c r="BG401" s="64"/>
      <c r="BH401" s="64"/>
      <c r="BI401" s="64"/>
      <c r="BJ401" s="64"/>
      <c r="BK401" s="64"/>
      <c r="BL401" s="64"/>
      <c r="BM401" s="64"/>
      <c r="BN401" s="64"/>
      <c r="BO401" s="64"/>
      <c r="BP401" s="64"/>
      <c r="BQ401" s="64"/>
      <c r="BR401" s="69"/>
      <c r="BS401" s="69"/>
      <c r="BT401" s="64"/>
    </row>
    <row r="402" spans="1:72" ht="12.75" customHeight="1">
      <c r="A402" s="64"/>
      <c r="B402" s="64"/>
      <c r="C402" s="64"/>
      <c r="D402" s="64"/>
      <c r="E402" s="64"/>
      <c r="F402" s="67"/>
      <c r="G402" s="64"/>
      <c r="H402" s="64"/>
      <c r="I402" s="64"/>
      <c r="J402" s="64"/>
      <c r="K402" s="67"/>
      <c r="L402" s="64"/>
      <c r="M402" s="64"/>
      <c r="N402" s="64"/>
      <c r="O402" s="64"/>
      <c r="P402" s="67"/>
      <c r="Q402" s="64"/>
      <c r="R402" s="64"/>
      <c r="S402" s="64"/>
      <c r="T402" s="64"/>
      <c r="U402" s="64"/>
      <c r="V402" s="67"/>
      <c r="W402" s="64"/>
      <c r="X402" s="64"/>
      <c r="Y402" s="64"/>
      <c r="Z402" s="64"/>
      <c r="AA402" s="64"/>
      <c r="AB402" s="67"/>
      <c r="AC402" s="64"/>
      <c r="AD402" s="64"/>
      <c r="AE402" s="64"/>
      <c r="AF402" s="64"/>
      <c r="AG402" s="64"/>
      <c r="AH402" s="67"/>
      <c r="AI402" s="64"/>
      <c r="AJ402" s="64"/>
      <c r="AK402" s="64"/>
      <c r="AL402" s="64"/>
      <c r="AM402" s="64"/>
      <c r="AN402" s="67"/>
      <c r="AO402" s="64"/>
      <c r="AP402" s="64"/>
      <c r="AQ402" s="64"/>
      <c r="AR402" s="64"/>
      <c r="AS402" s="64"/>
      <c r="AT402" s="64"/>
      <c r="AU402" s="64"/>
      <c r="AV402" s="64"/>
      <c r="AW402" s="64"/>
      <c r="AX402" s="64"/>
      <c r="AY402" s="64"/>
      <c r="AZ402" s="64"/>
      <c r="BA402" s="64"/>
      <c r="BB402" s="64"/>
      <c r="BC402" s="64"/>
      <c r="BD402" s="64"/>
      <c r="BE402" s="657"/>
      <c r="BF402" s="67"/>
      <c r="BG402" s="64"/>
      <c r="BH402" s="64"/>
      <c r="BI402" s="64"/>
      <c r="BJ402" s="64"/>
      <c r="BK402" s="64"/>
      <c r="BL402" s="64"/>
      <c r="BM402" s="64"/>
      <c r="BN402" s="64"/>
      <c r="BO402" s="64"/>
      <c r="BP402" s="64"/>
      <c r="BQ402" s="64"/>
      <c r="BR402" s="69"/>
      <c r="BS402" s="69"/>
      <c r="BT402" s="64"/>
    </row>
    <row r="403" spans="1:72" ht="12.75" customHeight="1">
      <c r="A403" s="64"/>
      <c r="B403" s="64"/>
      <c r="C403" s="64"/>
      <c r="D403" s="64"/>
      <c r="E403" s="64"/>
      <c r="F403" s="67"/>
      <c r="G403" s="64"/>
      <c r="H403" s="64"/>
      <c r="I403" s="64"/>
      <c r="J403" s="64"/>
      <c r="K403" s="67"/>
      <c r="L403" s="64"/>
      <c r="M403" s="64"/>
      <c r="N403" s="64"/>
      <c r="O403" s="64"/>
      <c r="P403" s="67"/>
      <c r="Q403" s="64"/>
      <c r="R403" s="64"/>
      <c r="S403" s="64"/>
      <c r="T403" s="64"/>
      <c r="U403" s="64"/>
      <c r="V403" s="67"/>
      <c r="W403" s="64"/>
      <c r="X403" s="64"/>
      <c r="Y403" s="64"/>
      <c r="Z403" s="64"/>
      <c r="AA403" s="64"/>
      <c r="AB403" s="67"/>
      <c r="AC403" s="64"/>
      <c r="AD403" s="64"/>
      <c r="AE403" s="64"/>
      <c r="AF403" s="64"/>
      <c r="AG403" s="64"/>
      <c r="AH403" s="67"/>
      <c r="AI403" s="64"/>
      <c r="AJ403" s="64"/>
      <c r="AK403" s="64"/>
      <c r="AL403" s="64"/>
      <c r="AM403" s="64"/>
      <c r="AN403" s="67"/>
      <c r="AO403" s="64"/>
      <c r="AP403" s="64"/>
      <c r="AQ403" s="64"/>
      <c r="AR403" s="64"/>
      <c r="AS403" s="64"/>
      <c r="AT403" s="64"/>
      <c r="AU403" s="64"/>
      <c r="AV403" s="64"/>
      <c r="AW403" s="64"/>
      <c r="AX403" s="64"/>
      <c r="AY403" s="64"/>
      <c r="AZ403" s="64"/>
      <c r="BA403" s="64"/>
      <c r="BB403" s="64"/>
      <c r="BC403" s="64"/>
      <c r="BD403" s="64"/>
      <c r="BE403" s="657"/>
      <c r="BF403" s="67"/>
      <c r="BG403" s="64"/>
      <c r="BH403" s="64"/>
      <c r="BI403" s="64"/>
      <c r="BJ403" s="64"/>
      <c r="BK403" s="64"/>
      <c r="BL403" s="64"/>
      <c r="BM403" s="64"/>
      <c r="BN403" s="64"/>
      <c r="BO403" s="64"/>
      <c r="BP403" s="64"/>
      <c r="BQ403" s="64"/>
      <c r="BR403" s="69"/>
      <c r="BS403" s="69"/>
      <c r="BT403" s="64"/>
    </row>
    <row r="404" spans="1:72" ht="12.75" customHeight="1">
      <c r="A404" s="64"/>
      <c r="B404" s="64"/>
      <c r="C404" s="64"/>
      <c r="D404" s="64"/>
      <c r="E404" s="64"/>
      <c r="F404" s="67"/>
      <c r="G404" s="64"/>
      <c r="H404" s="64"/>
      <c r="I404" s="64"/>
      <c r="J404" s="64"/>
      <c r="K404" s="67"/>
      <c r="L404" s="64"/>
      <c r="M404" s="64"/>
      <c r="N404" s="64"/>
      <c r="O404" s="64"/>
      <c r="P404" s="67"/>
      <c r="Q404" s="64"/>
      <c r="R404" s="64"/>
      <c r="S404" s="64"/>
      <c r="T404" s="64"/>
      <c r="U404" s="64"/>
      <c r="V404" s="67"/>
      <c r="W404" s="64"/>
      <c r="X404" s="64"/>
      <c r="Y404" s="64"/>
      <c r="Z404" s="64"/>
      <c r="AA404" s="64"/>
      <c r="AB404" s="67"/>
      <c r="AC404" s="64"/>
      <c r="AD404" s="64"/>
      <c r="AE404" s="64"/>
      <c r="AF404" s="64"/>
      <c r="AG404" s="64"/>
      <c r="AH404" s="67"/>
      <c r="AI404" s="64"/>
      <c r="AJ404" s="64"/>
      <c r="AK404" s="64"/>
      <c r="AL404" s="64"/>
      <c r="AM404" s="64"/>
      <c r="AN404" s="67"/>
      <c r="AO404" s="64"/>
      <c r="AP404" s="64"/>
      <c r="AQ404" s="64"/>
      <c r="AR404" s="64"/>
      <c r="AS404" s="64"/>
      <c r="AT404" s="64"/>
      <c r="AU404" s="64"/>
      <c r="AV404" s="64"/>
      <c r="AW404" s="64"/>
      <c r="AX404" s="64"/>
      <c r="AY404" s="64"/>
      <c r="AZ404" s="64"/>
      <c r="BA404" s="64"/>
      <c r="BB404" s="64"/>
      <c r="BC404" s="64"/>
      <c r="BD404" s="64"/>
      <c r="BE404" s="657"/>
      <c r="BF404" s="67"/>
      <c r="BG404" s="64"/>
      <c r="BH404" s="64"/>
      <c r="BI404" s="64"/>
      <c r="BJ404" s="64"/>
      <c r="BK404" s="64"/>
      <c r="BL404" s="64"/>
      <c r="BM404" s="64"/>
      <c r="BN404" s="64"/>
      <c r="BO404" s="64"/>
      <c r="BP404" s="64"/>
      <c r="BQ404" s="64"/>
      <c r="BR404" s="69"/>
      <c r="BS404" s="69"/>
      <c r="BT404" s="64"/>
    </row>
    <row r="405" spans="1:72" ht="12.75" customHeight="1">
      <c r="A405" s="64"/>
      <c r="B405" s="64"/>
      <c r="C405" s="64"/>
      <c r="D405" s="64"/>
      <c r="E405" s="64"/>
      <c r="F405" s="67"/>
      <c r="G405" s="64"/>
      <c r="H405" s="64"/>
      <c r="I405" s="64"/>
      <c r="J405" s="64"/>
      <c r="K405" s="67"/>
      <c r="L405" s="64"/>
      <c r="M405" s="64"/>
      <c r="N405" s="64"/>
      <c r="O405" s="64"/>
      <c r="P405" s="67"/>
      <c r="Q405" s="64"/>
      <c r="R405" s="64"/>
      <c r="S405" s="64"/>
      <c r="T405" s="64"/>
      <c r="U405" s="64"/>
      <c r="V405" s="67"/>
      <c r="W405" s="64"/>
      <c r="X405" s="64"/>
      <c r="Y405" s="64"/>
      <c r="Z405" s="64"/>
      <c r="AA405" s="64"/>
      <c r="AB405" s="67"/>
      <c r="AC405" s="64"/>
      <c r="AD405" s="64"/>
      <c r="AE405" s="64"/>
      <c r="AF405" s="64"/>
      <c r="AG405" s="64"/>
      <c r="AH405" s="67"/>
      <c r="AI405" s="64"/>
      <c r="AJ405" s="64"/>
      <c r="AK405" s="64"/>
      <c r="AL405" s="64"/>
      <c r="AM405" s="64"/>
      <c r="AN405" s="67"/>
      <c r="AO405" s="64"/>
      <c r="AP405" s="64"/>
      <c r="AQ405" s="64"/>
      <c r="AR405" s="64"/>
      <c r="AS405" s="64"/>
      <c r="AT405" s="64"/>
      <c r="AU405" s="64"/>
      <c r="AV405" s="64"/>
      <c r="AW405" s="64"/>
      <c r="AX405" s="64"/>
      <c r="AY405" s="64"/>
      <c r="AZ405" s="64"/>
      <c r="BA405" s="64"/>
      <c r="BB405" s="64"/>
      <c r="BC405" s="64"/>
      <c r="BD405" s="64"/>
      <c r="BE405" s="657"/>
      <c r="BF405" s="67"/>
      <c r="BG405" s="64"/>
      <c r="BH405" s="64"/>
      <c r="BI405" s="64"/>
      <c r="BJ405" s="64"/>
      <c r="BK405" s="64"/>
      <c r="BL405" s="64"/>
      <c r="BM405" s="64"/>
      <c r="BN405" s="64"/>
      <c r="BO405" s="64"/>
      <c r="BP405" s="64"/>
      <c r="BQ405" s="64"/>
      <c r="BR405" s="69"/>
      <c r="BS405" s="69"/>
      <c r="BT405" s="64"/>
    </row>
    <row r="406" spans="1:72" ht="12.75" customHeight="1">
      <c r="A406" s="64"/>
      <c r="B406" s="64"/>
      <c r="C406" s="64"/>
      <c r="D406" s="64"/>
      <c r="E406" s="64"/>
      <c r="F406" s="67"/>
      <c r="G406" s="64"/>
      <c r="H406" s="64"/>
      <c r="I406" s="64"/>
      <c r="J406" s="64"/>
      <c r="K406" s="67"/>
      <c r="L406" s="64"/>
      <c r="M406" s="64"/>
      <c r="N406" s="64"/>
      <c r="O406" s="64"/>
      <c r="P406" s="67"/>
      <c r="Q406" s="64"/>
      <c r="R406" s="64"/>
      <c r="S406" s="64"/>
      <c r="T406" s="64"/>
      <c r="U406" s="64"/>
      <c r="V406" s="67"/>
      <c r="W406" s="64"/>
      <c r="X406" s="64"/>
      <c r="Y406" s="64"/>
      <c r="Z406" s="64"/>
      <c r="AA406" s="64"/>
      <c r="AB406" s="67"/>
      <c r="AC406" s="64"/>
      <c r="AD406" s="64"/>
      <c r="AE406" s="64"/>
      <c r="AF406" s="64"/>
      <c r="AG406" s="64"/>
      <c r="AH406" s="67"/>
      <c r="AI406" s="64"/>
      <c r="AJ406" s="64"/>
      <c r="AK406" s="64"/>
      <c r="AL406" s="64"/>
      <c r="AM406" s="64"/>
      <c r="AN406" s="67"/>
      <c r="AO406" s="64"/>
      <c r="AP406" s="64"/>
      <c r="AQ406" s="64"/>
      <c r="AR406" s="64"/>
      <c r="AS406" s="64"/>
      <c r="AT406" s="64"/>
      <c r="AU406" s="64"/>
      <c r="AV406" s="64"/>
      <c r="AW406" s="64"/>
      <c r="AX406" s="64"/>
      <c r="AY406" s="64"/>
      <c r="AZ406" s="64"/>
      <c r="BA406" s="64"/>
      <c r="BB406" s="64"/>
      <c r="BC406" s="64"/>
      <c r="BD406" s="64"/>
      <c r="BE406" s="657"/>
      <c r="BF406" s="67"/>
      <c r="BG406" s="64"/>
      <c r="BH406" s="64"/>
      <c r="BI406" s="64"/>
      <c r="BJ406" s="64"/>
      <c r="BK406" s="64"/>
      <c r="BL406" s="64"/>
      <c r="BM406" s="64"/>
      <c r="BN406" s="64"/>
      <c r="BO406" s="64"/>
      <c r="BP406" s="64"/>
      <c r="BQ406" s="64"/>
      <c r="BR406" s="69"/>
      <c r="BS406" s="69"/>
      <c r="BT406" s="64"/>
    </row>
    <row r="407" spans="1:72" ht="12.75" customHeight="1">
      <c r="A407" s="64"/>
      <c r="B407" s="64"/>
      <c r="C407" s="64"/>
      <c r="D407" s="64"/>
      <c r="E407" s="64"/>
      <c r="F407" s="67"/>
      <c r="G407" s="64"/>
      <c r="H407" s="64"/>
      <c r="I407" s="64"/>
      <c r="J407" s="64"/>
      <c r="K407" s="67"/>
      <c r="L407" s="64"/>
      <c r="M407" s="64"/>
      <c r="N407" s="64"/>
      <c r="O407" s="64"/>
      <c r="P407" s="67"/>
      <c r="Q407" s="64"/>
      <c r="R407" s="64"/>
      <c r="S407" s="64"/>
      <c r="T407" s="64"/>
      <c r="U407" s="64"/>
      <c r="V407" s="67"/>
      <c r="W407" s="64"/>
      <c r="X407" s="64"/>
      <c r="Y407" s="64"/>
      <c r="Z407" s="64"/>
      <c r="AA407" s="64"/>
      <c r="AB407" s="67"/>
      <c r="AC407" s="64"/>
      <c r="AD407" s="64"/>
      <c r="AE407" s="64"/>
      <c r="AF407" s="64"/>
      <c r="AG407" s="64"/>
      <c r="AH407" s="67"/>
      <c r="AI407" s="64"/>
      <c r="AJ407" s="64"/>
      <c r="AK407" s="64"/>
      <c r="AL407" s="64"/>
      <c r="AM407" s="64"/>
      <c r="AN407" s="67"/>
      <c r="AO407" s="64"/>
      <c r="AP407" s="64"/>
      <c r="AQ407" s="64"/>
      <c r="AR407" s="64"/>
      <c r="AS407" s="64"/>
      <c r="AT407" s="64"/>
      <c r="AU407" s="64"/>
      <c r="AV407" s="64"/>
      <c r="AW407" s="64"/>
      <c r="AX407" s="64"/>
      <c r="AY407" s="64"/>
      <c r="AZ407" s="64"/>
      <c r="BA407" s="64"/>
      <c r="BB407" s="64"/>
      <c r="BC407" s="64"/>
      <c r="BD407" s="64"/>
      <c r="BE407" s="657"/>
      <c r="BF407" s="67"/>
      <c r="BG407" s="64"/>
      <c r="BH407" s="64"/>
      <c r="BI407" s="64"/>
      <c r="BJ407" s="64"/>
      <c r="BK407" s="64"/>
      <c r="BL407" s="64"/>
      <c r="BM407" s="64"/>
      <c r="BN407" s="64"/>
      <c r="BO407" s="64"/>
      <c r="BP407" s="64"/>
      <c r="BQ407" s="64"/>
      <c r="BR407" s="69"/>
      <c r="BS407" s="69"/>
      <c r="BT407" s="64"/>
    </row>
    <row r="408" spans="1:72" ht="12.75" customHeight="1">
      <c r="A408" s="64"/>
      <c r="B408" s="64"/>
      <c r="C408" s="64"/>
      <c r="D408" s="64"/>
      <c r="E408" s="64"/>
      <c r="F408" s="67"/>
      <c r="G408" s="64"/>
      <c r="H408" s="64"/>
      <c r="I408" s="64"/>
      <c r="J408" s="64"/>
      <c r="K408" s="67"/>
      <c r="L408" s="64"/>
      <c r="M408" s="64"/>
      <c r="N408" s="64"/>
      <c r="O408" s="64"/>
      <c r="P408" s="67"/>
      <c r="Q408" s="64"/>
      <c r="R408" s="64"/>
      <c r="S408" s="64"/>
      <c r="T408" s="64"/>
      <c r="U408" s="64"/>
      <c r="V408" s="67"/>
      <c r="W408" s="64"/>
      <c r="X408" s="64"/>
      <c r="Y408" s="64"/>
      <c r="Z408" s="64"/>
      <c r="AA408" s="64"/>
      <c r="AB408" s="67"/>
      <c r="AC408" s="64"/>
      <c r="AD408" s="64"/>
      <c r="AE408" s="64"/>
      <c r="AF408" s="64"/>
      <c r="AG408" s="64"/>
      <c r="AH408" s="67"/>
      <c r="AI408" s="64"/>
      <c r="AJ408" s="64"/>
      <c r="AK408" s="64"/>
      <c r="AL408" s="64"/>
      <c r="AM408" s="64"/>
      <c r="AN408" s="67"/>
      <c r="AO408" s="64"/>
      <c r="AP408" s="64"/>
      <c r="AQ408" s="64"/>
      <c r="AR408" s="64"/>
      <c r="AS408" s="64"/>
      <c r="AT408" s="64"/>
      <c r="AU408" s="64"/>
      <c r="AV408" s="64"/>
      <c r="AW408" s="64"/>
      <c r="AX408" s="64"/>
      <c r="AY408" s="64"/>
      <c r="AZ408" s="64"/>
      <c r="BA408" s="64"/>
      <c r="BB408" s="64"/>
      <c r="BC408" s="64"/>
      <c r="BD408" s="64"/>
      <c r="BE408" s="657"/>
      <c r="BF408" s="67"/>
      <c r="BG408" s="64"/>
      <c r="BH408" s="64"/>
      <c r="BI408" s="64"/>
      <c r="BJ408" s="64"/>
      <c r="BK408" s="64"/>
      <c r="BL408" s="64"/>
      <c r="BM408" s="64"/>
      <c r="BN408" s="64"/>
      <c r="BO408" s="64"/>
      <c r="BP408" s="64"/>
      <c r="BQ408" s="64"/>
      <c r="BR408" s="69"/>
      <c r="BS408" s="69"/>
      <c r="BT408" s="64"/>
    </row>
    <row r="409" spans="1:72" ht="12.75" customHeight="1">
      <c r="A409" s="64"/>
      <c r="B409" s="64"/>
      <c r="C409" s="64"/>
      <c r="D409" s="64"/>
      <c r="E409" s="64"/>
      <c r="F409" s="67"/>
      <c r="G409" s="64"/>
      <c r="H409" s="64"/>
      <c r="I409" s="64"/>
      <c r="J409" s="64"/>
      <c r="K409" s="67"/>
      <c r="L409" s="64"/>
      <c r="M409" s="64"/>
      <c r="N409" s="64"/>
      <c r="O409" s="64"/>
      <c r="P409" s="67"/>
      <c r="Q409" s="64"/>
      <c r="R409" s="64"/>
      <c r="S409" s="64"/>
      <c r="T409" s="64"/>
      <c r="U409" s="64"/>
      <c r="V409" s="67"/>
      <c r="W409" s="64"/>
      <c r="X409" s="64"/>
      <c r="Y409" s="64"/>
      <c r="Z409" s="64"/>
      <c r="AA409" s="64"/>
      <c r="AB409" s="67"/>
      <c r="AC409" s="64"/>
      <c r="AD409" s="64"/>
      <c r="AE409" s="64"/>
      <c r="AF409" s="64"/>
      <c r="AG409" s="64"/>
      <c r="AH409" s="67"/>
      <c r="AI409" s="64"/>
      <c r="AJ409" s="64"/>
      <c r="AK409" s="64"/>
      <c r="AL409" s="64"/>
      <c r="AM409" s="64"/>
      <c r="AN409" s="67"/>
      <c r="AO409" s="64"/>
      <c r="AP409" s="64"/>
      <c r="AQ409" s="64"/>
      <c r="AR409" s="64"/>
      <c r="AS409" s="64"/>
      <c r="AT409" s="64"/>
      <c r="AU409" s="64"/>
      <c r="AV409" s="64"/>
      <c r="AW409" s="64"/>
      <c r="AX409" s="64"/>
      <c r="AY409" s="64"/>
      <c r="AZ409" s="64"/>
      <c r="BA409" s="64"/>
      <c r="BB409" s="64"/>
      <c r="BC409" s="64"/>
      <c r="BD409" s="64"/>
      <c r="BE409" s="657"/>
      <c r="BF409" s="67"/>
      <c r="BG409" s="64"/>
      <c r="BH409" s="64"/>
      <c r="BI409" s="64"/>
      <c r="BJ409" s="64"/>
      <c r="BK409" s="64"/>
      <c r="BL409" s="64"/>
      <c r="BM409" s="64"/>
      <c r="BN409" s="64"/>
      <c r="BO409" s="64"/>
      <c r="BP409" s="64"/>
      <c r="BQ409" s="64"/>
      <c r="BR409" s="69"/>
      <c r="BS409" s="69"/>
      <c r="BT409" s="64"/>
    </row>
    <row r="410" spans="1:72" ht="12.75" customHeight="1">
      <c r="A410" s="64"/>
      <c r="B410" s="64"/>
      <c r="C410" s="64"/>
      <c r="D410" s="64"/>
      <c r="E410" s="64"/>
      <c r="F410" s="67"/>
      <c r="G410" s="64"/>
      <c r="H410" s="64"/>
      <c r="I410" s="64"/>
      <c r="J410" s="64"/>
      <c r="K410" s="67"/>
      <c r="L410" s="64"/>
      <c r="M410" s="64"/>
      <c r="N410" s="64"/>
      <c r="O410" s="64"/>
      <c r="P410" s="67"/>
      <c r="Q410" s="64"/>
      <c r="R410" s="64"/>
      <c r="S410" s="64"/>
      <c r="T410" s="64"/>
      <c r="U410" s="64"/>
      <c r="V410" s="67"/>
      <c r="W410" s="64"/>
      <c r="X410" s="64"/>
      <c r="Y410" s="64"/>
      <c r="Z410" s="64"/>
      <c r="AA410" s="64"/>
      <c r="AB410" s="67"/>
      <c r="AC410" s="64"/>
      <c r="AD410" s="64"/>
      <c r="AE410" s="64"/>
      <c r="AF410" s="64"/>
      <c r="AG410" s="64"/>
      <c r="AH410" s="67"/>
      <c r="AI410" s="64"/>
      <c r="AJ410" s="64"/>
      <c r="AK410" s="64"/>
      <c r="AL410" s="64"/>
      <c r="AM410" s="64"/>
      <c r="AN410" s="67"/>
      <c r="AO410" s="64"/>
      <c r="AP410" s="64"/>
      <c r="AQ410" s="64"/>
      <c r="AR410" s="64"/>
      <c r="AS410" s="64"/>
      <c r="AT410" s="64"/>
      <c r="AU410" s="64"/>
      <c r="AV410" s="64"/>
      <c r="AW410" s="64"/>
      <c r="AX410" s="64"/>
      <c r="AY410" s="64"/>
      <c r="AZ410" s="64"/>
      <c r="BA410" s="64"/>
      <c r="BB410" s="64"/>
      <c r="BC410" s="64"/>
      <c r="BD410" s="64"/>
      <c r="BE410" s="657"/>
      <c r="BF410" s="67"/>
      <c r="BG410" s="64"/>
      <c r="BH410" s="64"/>
      <c r="BI410" s="64"/>
      <c r="BJ410" s="64"/>
      <c r="BK410" s="64"/>
      <c r="BL410" s="64"/>
      <c r="BM410" s="64"/>
      <c r="BN410" s="64"/>
      <c r="BO410" s="64"/>
      <c r="BP410" s="64"/>
      <c r="BQ410" s="64"/>
      <c r="BR410" s="69"/>
      <c r="BS410" s="69"/>
      <c r="BT410" s="64"/>
    </row>
    <row r="411" spans="1:72" ht="12.75" customHeight="1">
      <c r="A411" s="64"/>
      <c r="B411" s="64"/>
      <c r="C411" s="64"/>
      <c r="D411" s="64"/>
      <c r="E411" s="64"/>
      <c r="F411" s="67"/>
      <c r="G411" s="64"/>
      <c r="H411" s="64"/>
      <c r="I411" s="64"/>
      <c r="J411" s="64"/>
      <c r="K411" s="67"/>
      <c r="L411" s="64"/>
      <c r="M411" s="64"/>
      <c r="N411" s="64"/>
      <c r="O411" s="64"/>
      <c r="P411" s="67"/>
      <c r="Q411" s="64"/>
      <c r="R411" s="64"/>
      <c r="S411" s="64"/>
      <c r="T411" s="64"/>
      <c r="U411" s="64"/>
      <c r="V411" s="67"/>
      <c r="W411" s="64"/>
      <c r="X411" s="64"/>
      <c r="Y411" s="64"/>
      <c r="Z411" s="64"/>
      <c r="AA411" s="64"/>
      <c r="AB411" s="67"/>
      <c r="AC411" s="64"/>
      <c r="AD411" s="64"/>
      <c r="AE411" s="64"/>
      <c r="AF411" s="64"/>
      <c r="AG411" s="64"/>
      <c r="AH411" s="67"/>
      <c r="AI411" s="64"/>
      <c r="AJ411" s="64"/>
      <c r="AK411" s="64"/>
      <c r="AL411" s="64"/>
      <c r="AM411" s="64"/>
      <c r="AN411" s="67"/>
      <c r="AO411" s="64"/>
      <c r="AP411" s="64"/>
      <c r="AQ411" s="64"/>
      <c r="AR411" s="64"/>
      <c r="AS411" s="64"/>
      <c r="AT411" s="64"/>
      <c r="AU411" s="64"/>
      <c r="AV411" s="64"/>
      <c r="AW411" s="64"/>
      <c r="AX411" s="64"/>
      <c r="AY411" s="64"/>
      <c r="AZ411" s="64"/>
      <c r="BA411" s="64"/>
      <c r="BB411" s="64"/>
      <c r="BC411" s="64"/>
      <c r="BD411" s="64"/>
      <c r="BE411" s="657"/>
      <c r="BF411" s="67"/>
      <c r="BG411" s="64"/>
      <c r="BH411" s="64"/>
      <c r="BI411" s="64"/>
      <c r="BJ411" s="64"/>
      <c r="BK411" s="64"/>
      <c r="BL411" s="64"/>
      <c r="BM411" s="64"/>
      <c r="BN411" s="64"/>
      <c r="BO411" s="64"/>
      <c r="BP411" s="64"/>
      <c r="BQ411" s="64"/>
      <c r="BR411" s="69"/>
      <c r="BS411" s="69"/>
      <c r="BT411" s="64"/>
    </row>
    <row r="412" spans="1:72" ht="12.75" customHeight="1">
      <c r="A412" s="64"/>
      <c r="B412" s="64"/>
      <c r="C412" s="64"/>
      <c r="D412" s="64"/>
      <c r="E412" s="64"/>
      <c r="F412" s="67"/>
      <c r="G412" s="64"/>
      <c r="H412" s="64"/>
      <c r="I412" s="64"/>
      <c r="J412" s="64"/>
      <c r="K412" s="67"/>
      <c r="L412" s="64"/>
      <c r="M412" s="64"/>
      <c r="N412" s="64"/>
      <c r="O412" s="64"/>
      <c r="P412" s="67"/>
      <c r="Q412" s="64"/>
      <c r="R412" s="64"/>
      <c r="S412" s="64"/>
      <c r="T412" s="64"/>
      <c r="U412" s="64"/>
      <c r="V412" s="67"/>
      <c r="W412" s="64"/>
      <c r="X412" s="64"/>
      <c r="Y412" s="64"/>
      <c r="Z412" s="64"/>
      <c r="AA412" s="64"/>
      <c r="AB412" s="67"/>
      <c r="AC412" s="64"/>
      <c r="AD412" s="64"/>
      <c r="AE412" s="64"/>
      <c r="AF412" s="64"/>
      <c r="AG412" s="64"/>
      <c r="AH412" s="67"/>
      <c r="AI412" s="64"/>
      <c r="AJ412" s="64"/>
      <c r="AK412" s="64"/>
      <c r="AL412" s="64"/>
      <c r="AM412" s="64"/>
      <c r="AN412" s="67"/>
      <c r="AO412" s="64"/>
      <c r="AP412" s="64"/>
      <c r="AQ412" s="64"/>
      <c r="AR412" s="64"/>
      <c r="AS412" s="64"/>
      <c r="AT412" s="64"/>
      <c r="AU412" s="64"/>
      <c r="AV412" s="64"/>
      <c r="AW412" s="64"/>
      <c r="AX412" s="64"/>
      <c r="AY412" s="64"/>
      <c r="AZ412" s="64"/>
      <c r="BA412" s="64"/>
      <c r="BB412" s="64"/>
      <c r="BC412" s="64"/>
      <c r="BD412" s="64"/>
      <c r="BE412" s="657"/>
      <c r="BF412" s="67"/>
      <c r="BG412" s="64"/>
      <c r="BH412" s="64"/>
      <c r="BI412" s="64"/>
      <c r="BJ412" s="64"/>
      <c r="BK412" s="64"/>
      <c r="BL412" s="64"/>
      <c r="BM412" s="64"/>
      <c r="BN412" s="64"/>
      <c r="BO412" s="64"/>
      <c r="BP412" s="64"/>
      <c r="BQ412" s="64"/>
      <c r="BR412" s="69"/>
      <c r="BS412" s="69"/>
      <c r="BT412" s="64"/>
    </row>
    <row r="413" spans="1:72" ht="12.75" customHeight="1">
      <c r="A413" s="64"/>
      <c r="B413" s="64"/>
      <c r="C413" s="64"/>
      <c r="D413" s="64"/>
      <c r="E413" s="64"/>
      <c r="F413" s="67"/>
      <c r="G413" s="64"/>
      <c r="H413" s="64"/>
      <c r="I413" s="64"/>
      <c r="J413" s="64"/>
      <c r="K413" s="67"/>
      <c r="L413" s="64"/>
      <c r="M413" s="64"/>
      <c r="N413" s="64"/>
      <c r="O413" s="64"/>
      <c r="P413" s="67"/>
      <c r="Q413" s="64"/>
      <c r="R413" s="64"/>
      <c r="S413" s="64"/>
      <c r="T413" s="64"/>
      <c r="U413" s="64"/>
      <c r="V413" s="67"/>
      <c r="W413" s="64"/>
      <c r="X413" s="64"/>
      <c r="Y413" s="64"/>
      <c r="Z413" s="64"/>
      <c r="AA413" s="64"/>
      <c r="AB413" s="67"/>
      <c r="AC413" s="64"/>
      <c r="AD413" s="64"/>
      <c r="AE413" s="64"/>
      <c r="AF413" s="64"/>
      <c r="AG413" s="64"/>
      <c r="AH413" s="67"/>
      <c r="AI413" s="64"/>
      <c r="AJ413" s="64"/>
      <c r="AK413" s="64"/>
      <c r="AL413" s="64"/>
      <c r="AM413" s="64"/>
      <c r="AN413" s="67"/>
      <c r="AO413" s="64"/>
      <c r="AP413" s="64"/>
      <c r="AQ413" s="64"/>
      <c r="AR413" s="64"/>
      <c r="AS413" s="64"/>
      <c r="AT413" s="64"/>
      <c r="AU413" s="64"/>
      <c r="AV413" s="64"/>
      <c r="AW413" s="64"/>
      <c r="AX413" s="64"/>
      <c r="AY413" s="64"/>
      <c r="AZ413" s="64"/>
      <c r="BA413" s="64"/>
      <c r="BB413" s="64"/>
      <c r="BC413" s="64"/>
      <c r="BD413" s="64"/>
      <c r="BE413" s="657"/>
      <c r="BF413" s="67"/>
      <c r="BG413" s="64"/>
      <c r="BH413" s="64"/>
      <c r="BI413" s="64"/>
      <c r="BJ413" s="64"/>
      <c r="BK413" s="64"/>
      <c r="BL413" s="64"/>
      <c r="BM413" s="64"/>
      <c r="BN413" s="64"/>
      <c r="BO413" s="64"/>
      <c r="BP413" s="64"/>
      <c r="BQ413" s="64"/>
      <c r="BR413" s="69"/>
      <c r="BS413" s="69"/>
      <c r="BT413" s="64"/>
    </row>
    <row r="414" spans="1:72" ht="12.75" customHeight="1">
      <c r="A414" s="64"/>
      <c r="B414" s="64"/>
      <c r="C414" s="64"/>
      <c r="D414" s="64"/>
      <c r="E414" s="64"/>
      <c r="F414" s="67"/>
      <c r="G414" s="64"/>
      <c r="H414" s="64"/>
      <c r="I414" s="64"/>
      <c r="J414" s="64"/>
      <c r="K414" s="67"/>
      <c r="L414" s="64"/>
      <c r="M414" s="64"/>
      <c r="N414" s="64"/>
      <c r="O414" s="64"/>
      <c r="P414" s="67"/>
      <c r="Q414" s="64"/>
      <c r="R414" s="64"/>
      <c r="S414" s="64"/>
      <c r="T414" s="64"/>
      <c r="U414" s="64"/>
      <c r="V414" s="67"/>
      <c r="W414" s="64"/>
      <c r="X414" s="64"/>
      <c r="Y414" s="64"/>
      <c r="Z414" s="64"/>
      <c r="AA414" s="64"/>
      <c r="AB414" s="67"/>
      <c r="AC414" s="64"/>
      <c r="AD414" s="64"/>
      <c r="AE414" s="64"/>
      <c r="AF414" s="64"/>
      <c r="AG414" s="64"/>
      <c r="AH414" s="67"/>
      <c r="AI414" s="64"/>
      <c r="AJ414" s="64"/>
      <c r="AK414" s="64"/>
      <c r="AL414" s="64"/>
      <c r="AM414" s="64"/>
      <c r="AN414" s="67"/>
      <c r="AO414" s="64"/>
      <c r="AP414" s="64"/>
      <c r="AQ414" s="64"/>
      <c r="AR414" s="64"/>
      <c r="AS414" s="64"/>
      <c r="AT414" s="64"/>
      <c r="AU414" s="64"/>
      <c r="AV414" s="64"/>
      <c r="AW414" s="64"/>
      <c r="AX414" s="64"/>
      <c r="AY414" s="64"/>
      <c r="AZ414" s="64"/>
      <c r="BA414" s="64"/>
      <c r="BB414" s="64"/>
      <c r="BC414" s="64"/>
      <c r="BD414" s="64"/>
      <c r="BE414" s="657"/>
      <c r="BF414" s="67"/>
      <c r="BG414" s="64"/>
      <c r="BH414" s="64"/>
      <c r="BI414" s="64"/>
      <c r="BJ414" s="64"/>
      <c r="BK414" s="64"/>
      <c r="BL414" s="64"/>
      <c r="BM414" s="64"/>
      <c r="BN414" s="64"/>
      <c r="BO414" s="64"/>
      <c r="BP414" s="64"/>
      <c r="BQ414" s="64"/>
      <c r="BR414" s="69"/>
      <c r="BS414" s="69"/>
      <c r="BT414" s="64"/>
    </row>
    <row r="415" spans="1:72" ht="12.75" customHeight="1">
      <c r="A415" s="64"/>
      <c r="B415" s="64"/>
      <c r="C415" s="64"/>
      <c r="D415" s="64"/>
      <c r="E415" s="64"/>
      <c r="F415" s="67"/>
      <c r="G415" s="64"/>
      <c r="H415" s="64"/>
      <c r="I415" s="64"/>
      <c r="J415" s="64"/>
      <c r="K415" s="67"/>
      <c r="L415" s="64"/>
      <c r="M415" s="64"/>
      <c r="N415" s="64"/>
      <c r="O415" s="64"/>
      <c r="P415" s="67"/>
      <c r="Q415" s="64"/>
      <c r="R415" s="64"/>
      <c r="S415" s="64"/>
      <c r="T415" s="64"/>
      <c r="U415" s="64"/>
      <c r="V415" s="67"/>
      <c r="W415" s="64"/>
      <c r="X415" s="64"/>
      <c r="Y415" s="64"/>
      <c r="Z415" s="64"/>
      <c r="AA415" s="64"/>
      <c r="AB415" s="67"/>
      <c r="AC415" s="64"/>
      <c r="AD415" s="64"/>
      <c r="AE415" s="64"/>
      <c r="AF415" s="64"/>
      <c r="AG415" s="64"/>
      <c r="AH415" s="67"/>
      <c r="AI415" s="64"/>
      <c r="AJ415" s="64"/>
      <c r="AK415" s="64"/>
      <c r="AL415" s="64"/>
      <c r="AM415" s="64"/>
      <c r="AN415" s="67"/>
      <c r="AO415" s="64"/>
      <c r="AP415" s="64"/>
      <c r="AQ415" s="64"/>
      <c r="AR415" s="64"/>
      <c r="AS415" s="64"/>
      <c r="AT415" s="64"/>
      <c r="AU415" s="64"/>
      <c r="AV415" s="64"/>
      <c r="AW415" s="64"/>
      <c r="AX415" s="64"/>
      <c r="AY415" s="64"/>
      <c r="AZ415" s="64"/>
      <c r="BA415" s="64"/>
      <c r="BB415" s="64"/>
      <c r="BC415" s="64"/>
      <c r="BD415" s="64"/>
      <c r="BE415" s="657"/>
      <c r="BF415" s="67"/>
      <c r="BG415" s="64"/>
      <c r="BH415" s="64"/>
      <c r="BI415" s="64"/>
      <c r="BJ415" s="64"/>
      <c r="BK415" s="64"/>
      <c r="BL415" s="64"/>
      <c r="BM415" s="64"/>
      <c r="BN415" s="64"/>
      <c r="BO415" s="64"/>
      <c r="BP415" s="64"/>
      <c r="BQ415" s="64"/>
      <c r="BR415" s="69"/>
      <c r="BS415" s="69"/>
      <c r="BT415" s="64"/>
    </row>
    <row r="416" spans="1:72" ht="12.75" customHeight="1">
      <c r="A416" s="64"/>
      <c r="B416" s="64"/>
      <c r="C416" s="64"/>
      <c r="D416" s="64"/>
      <c r="E416" s="64"/>
      <c r="F416" s="67"/>
      <c r="G416" s="64"/>
      <c r="H416" s="64"/>
      <c r="I416" s="64"/>
      <c r="J416" s="64"/>
      <c r="K416" s="67"/>
      <c r="L416" s="64"/>
      <c r="M416" s="64"/>
      <c r="N416" s="64"/>
      <c r="O416" s="64"/>
      <c r="P416" s="67"/>
      <c r="Q416" s="64"/>
      <c r="R416" s="64"/>
      <c r="S416" s="64"/>
      <c r="T416" s="64"/>
      <c r="U416" s="64"/>
      <c r="V416" s="67"/>
      <c r="W416" s="64"/>
      <c r="X416" s="64"/>
      <c r="Y416" s="64"/>
      <c r="Z416" s="64"/>
      <c r="AA416" s="64"/>
      <c r="AB416" s="67"/>
      <c r="AC416" s="64"/>
      <c r="AD416" s="64"/>
      <c r="AE416" s="64"/>
      <c r="AF416" s="64"/>
      <c r="AG416" s="64"/>
      <c r="AH416" s="67"/>
      <c r="AI416" s="64"/>
      <c r="AJ416" s="64"/>
      <c r="AK416" s="64"/>
      <c r="AL416" s="64"/>
      <c r="AM416" s="64"/>
      <c r="AN416" s="67"/>
      <c r="AO416" s="64"/>
      <c r="AP416" s="64"/>
      <c r="AQ416" s="64"/>
      <c r="AR416" s="64"/>
      <c r="AS416" s="64"/>
      <c r="AT416" s="64"/>
      <c r="AU416" s="64"/>
      <c r="AV416" s="64"/>
      <c r="AW416" s="64"/>
      <c r="AX416" s="64"/>
      <c r="AY416" s="64"/>
      <c r="AZ416" s="64"/>
      <c r="BA416" s="64"/>
      <c r="BB416" s="64"/>
      <c r="BC416" s="64"/>
      <c r="BD416" s="64"/>
      <c r="BE416" s="657"/>
      <c r="BF416" s="67"/>
      <c r="BG416" s="64"/>
      <c r="BH416" s="64"/>
      <c r="BI416" s="64"/>
      <c r="BJ416" s="64"/>
      <c r="BK416" s="64"/>
      <c r="BL416" s="64"/>
      <c r="BM416" s="64"/>
      <c r="BN416" s="64"/>
      <c r="BO416" s="64"/>
      <c r="BP416" s="64"/>
      <c r="BQ416" s="64"/>
      <c r="BR416" s="69"/>
      <c r="BS416" s="69"/>
      <c r="BT416" s="64"/>
    </row>
    <row r="417" spans="1:72" ht="12.75" customHeight="1">
      <c r="A417" s="64"/>
      <c r="B417" s="64"/>
      <c r="C417" s="64"/>
      <c r="D417" s="64"/>
      <c r="E417" s="64"/>
      <c r="F417" s="67"/>
      <c r="G417" s="64"/>
      <c r="H417" s="64"/>
      <c r="I417" s="64"/>
      <c r="J417" s="64"/>
      <c r="K417" s="67"/>
      <c r="L417" s="64"/>
      <c r="M417" s="64"/>
      <c r="N417" s="64"/>
      <c r="O417" s="64"/>
      <c r="P417" s="67"/>
      <c r="Q417" s="64"/>
      <c r="R417" s="64"/>
      <c r="S417" s="64"/>
      <c r="T417" s="64"/>
      <c r="U417" s="64"/>
      <c r="V417" s="67"/>
      <c r="W417" s="64"/>
      <c r="X417" s="64"/>
      <c r="Y417" s="64"/>
      <c r="Z417" s="64"/>
      <c r="AA417" s="64"/>
      <c r="AB417" s="67"/>
      <c r="AC417" s="64"/>
      <c r="AD417" s="64"/>
      <c r="AE417" s="64"/>
      <c r="AF417" s="64"/>
      <c r="AG417" s="64"/>
      <c r="AH417" s="67"/>
      <c r="AI417" s="64"/>
      <c r="AJ417" s="64"/>
      <c r="AK417" s="64"/>
      <c r="AL417" s="64"/>
      <c r="AM417" s="64"/>
      <c r="AN417" s="67"/>
      <c r="AO417" s="64"/>
      <c r="AP417" s="64"/>
      <c r="AQ417" s="64"/>
      <c r="AR417" s="64"/>
      <c r="AS417" s="64"/>
      <c r="AT417" s="64"/>
      <c r="AU417" s="64"/>
      <c r="AV417" s="64"/>
      <c r="AW417" s="64"/>
      <c r="AX417" s="64"/>
      <c r="AY417" s="64"/>
      <c r="AZ417" s="64"/>
      <c r="BA417" s="64"/>
      <c r="BB417" s="64"/>
      <c r="BC417" s="64"/>
      <c r="BD417" s="64"/>
      <c r="BE417" s="657"/>
      <c r="BF417" s="67"/>
      <c r="BG417" s="64"/>
      <c r="BH417" s="64"/>
      <c r="BI417" s="64"/>
      <c r="BJ417" s="64"/>
      <c r="BK417" s="64"/>
      <c r="BL417" s="64"/>
      <c r="BM417" s="64"/>
      <c r="BN417" s="64"/>
      <c r="BO417" s="64"/>
      <c r="BP417" s="64"/>
      <c r="BQ417" s="64"/>
      <c r="BR417" s="69"/>
      <c r="BS417" s="69"/>
      <c r="BT417" s="64"/>
    </row>
    <row r="418" spans="1:72" ht="12.75" customHeight="1">
      <c r="A418" s="64"/>
      <c r="B418" s="64"/>
      <c r="C418" s="64"/>
      <c r="D418" s="64"/>
      <c r="E418" s="64"/>
      <c r="F418" s="67"/>
      <c r="G418" s="64"/>
      <c r="H418" s="64"/>
      <c r="I418" s="64"/>
      <c r="J418" s="64"/>
      <c r="K418" s="67"/>
      <c r="L418" s="64"/>
      <c r="M418" s="64"/>
      <c r="N418" s="64"/>
      <c r="O418" s="64"/>
      <c r="P418" s="67"/>
      <c r="Q418" s="64"/>
      <c r="R418" s="64"/>
      <c r="S418" s="64"/>
      <c r="T418" s="64"/>
      <c r="U418" s="64"/>
      <c r="V418" s="67"/>
      <c r="W418" s="64"/>
      <c r="X418" s="64"/>
      <c r="Y418" s="64"/>
      <c r="Z418" s="64"/>
      <c r="AA418" s="64"/>
      <c r="AB418" s="67"/>
      <c r="AC418" s="64"/>
      <c r="AD418" s="64"/>
      <c r="AE418" s="64"/>
      <c r="AF418" s="64"/>
      <c r="AG418" s="64"/>
      <c r="AH418" s="67"/>
      <c r="AI418" s="64"/>
      <c r="AJ418" s="64"/>
      <c r="AK418" s="64"/>
      <c r="AL418" s="64"/>
      <c r="AM418" s="64"/>
      <c r="AN418" s="67"/>
      <c r="AO418" s="64"/>
      <c r="AP418" s="64"/>
      <c r="AQ418" s="64"/>
      <c r="AR418" s="64"/>
      <c r="AS418" s="64"/>
      <c r="AT418" s="64"/>
      <c r="AU418" s="64"/>
      <c r="AV418" s="64"/>
      <c r="AW418" s="64"/>
      <c r="AX418" s="64"/>
      <c r="AY418" s="64"/>
      <c r="AZ418" s="64"/>
      <c r="BA418" s="64"/>
      <c r="BB418" s="64"/>
      <c r="BC418" s="64"/>
      <c r="BD418" s="64"/>
      <c r="BE418" s="657"/>
      <c r="BF418" s="67"/>
      <c r="BG418" s="64"/>
      <c r="BH418" s="64"/>
      <c r="BI418" s="64"/>
      <c r="BJ418" s="64"/>
      <c r="BK418" s="64"/>
      <c r="BL418" s="64"/>
      <c r="BM418" s="64"/>
      <c r="BN418" s="64"/>
      <c r="BO418" s="64"/>
      <c r="BP418" s="64"/>
      <c r="BQ418" s="64"/>
      <c r="BR418" s="69"/>
      <c r="BS418" s="69"/>
      <c r="BT418" s="64"/>
    </row>
    <row r="419" spans="1:72" ht="12.75" customHeight="1">
      <c r="A419" s="64"/>
      <c r="B419" s="64"/>
      <c r="C419" s="64"/>
      <c r="D419" s="64"/>
      <c r="E419" s="64"/>
      <c r="F419" s="67"/>
      <c r="G419" s="64"/>
      <c r="H419" s="64"/>
      <c r="I419" s="64"/>
      <c r="J419" s="64"/>
      <c r="K419" s="67"/>
      <c r="L419" s="64"/>
      <c r="M419" s="64"/>
      <c r="N419" s="64"/>
      <c r="O419" s="64"/>
      <c r="P419" s="67"/>
      <c r="Q419" s="64"/>
      <c r="R419" s="64"/>
      <c r="S419" s="64"/>
      <c r="T419" s="64"/>
      <c r="U419" s="64"/>
      <c r="V419" s="67"/>
      <c r="W419" s="64"/>
      <c r="X419" s="64"/>
      <c r="Y419" s="64"/>
      <c r="Z419" s="64"/>
      <c r="AA419" s="64"/>
      <c r="AB419" s="67"/>
      <c r="AC419" s="64"/>
      <c r="AD419" s="64"/>
      <c r="AE419" s="64"/>
      <c r="AF419" s="64"/>
      <c r="AG419" s="64"/>
      <c r="AH419" s="67"/>
      <c r="AI419" s="64"/>
      <c r="AJ419" s="64"/>
      <c r="AK419" s="64"/>
      <c r="AL419" s="64"/>
      <c r="AM419" s="64"/>
      <c r="AN419" s="67"/>
      <c r="AO419" s="64"/>
      <c r="AP419" s="64"/>
      <c r="AQ419" s="64"/>
      <c r="AR419" s="64"/>
      <c r="AS419" s="64"/>
      <c r="AT419" s="64"/>
      <c r="AU419" s="64"/>
      <c r="AV419" s="64"/>
      <c r="AW419" s="64"/>
      <c r="AX419" s="64"/>
      <c r="AY419" s="64"/>
      <c r="AZ419" s="64"/>
      <c r="BA419" s="64"/>
      <c r="BB419" s="64"/>
      <c r="BC419" s="64"/>
      <c r="BD419" s="64"/>
      <c r="BE419" s="657"/>
      <c r="BF419" s="67"/>
      <c r="BG419" s="64"/>
      <c r="BH419" s="64"/>
      <c r="BI419" s="64"/>
      <c r="BJ419" s="64"/>
      <c r="BK419" s="64"/>
      <c r="BL419" s="64"/>
      <c r="BM419" s="64"/>
      <c r="BN419" s="64"/>
      <c r="BO419" s="64"/>
      <c r="BP419" s="64"/>
      <c r="BQ419" s="64"/>
      <c r="BR419" s="69"/>
      <c r="BS419" s="69"/>
      <c r="BT419" s="64"/>
    </row>
    <row r="420" spans="1:72" ht="12.75" customHeight="1">
      <c r="A420" s="64"/>
      <c r="B420" s="64"/>
      <c r="C420" s="64"/>
      <c r="D420" s="64"/>
      <c r="E420" s="64"/>
      <c r="F420" s="67"/>
      <c r="G420" s="64"/>
      <c r="H420" s="64"/>
      <c r="I420" s="64"/>
      <c r="J420" s="64"/>
      <c r="K420" s="67"/>
      <c r="L420" s="64"/>
      <c r="M420" s="64"/>
      <c r="N420" s="64"/>
      <c r="O420" s="64"/>
      <c r="P420" s="67"/>
      <c r="Q420" s="64"/>
      <c r="R420" s="64"/>
      <c r="S420" s="64"/>
      <c r="T420" s="64"/>
      <c r="U420" s="64"/>
      <c r="V420" s="67"/>
      <c r="W420" s="64"/>
      <c r="X420" s="64"/>
      <c r="Y420" s="64"/>
      <c r="Z420" s="64"/>
      <c r="AA420" s="64"/>
      <c r="AB420" s="67"/>
      <c r="AC420" s="64"/>
      <c r="AD420" s="64"/>
      <c r="AE420" s="64"/>
      <c r="AF420" s="64"/>
      <c r="AG420" s="64"/>
      <c r="AH420" s="67"/>
      <c r="AI420" s="64"/>
      <c r="AJ420" s="64"/>
      <c r="AK420" s="64"/>
      <c r="AL420" s="64"/>
      <c r="AM420" s="64"/>
      <c r="AN420" s="67"/>
      <c r="AO420" s="64"/>
      <c r="AP420" s="64"/>
      <c r="AQ420" s="64"/>
      <c r="AR420" s="64"/>
      <c r="AS420" s="64"/>
      <c r="AT420" s="64"/>
      <c r="AU420" s="64"/>
      <c r="AV420" s="64"/>
      <c r="AW420" s="64"/>
      <c r="AX420" s="64"/>
      <c r="AY420" s="64"/>
      <c r="AZ420" s="64"/>
      <c r="BA420" s="64"/>
      <c r="BB420" s="64"/>
      <c r="BC420" s="64"/>
      <c r="BD420" s="64"/>
      <c r="BE420" s="657"/>
      <c r="BF420" s="67"/>
      <c r="BG420" s="64"/>
      <c r="BH420" s="64"/>
      <c r="BI420" s="64"/>
      <c r="BJ420" s="64"/>
      <c r="BK420" s="64"/>
      <c r="BL420" s="64"/>
      <c r="BM420" s="64"/>
      <c r="BN420" s="64"/>
      <c r="BO420" s="64"/>
      <c r="BP420" s="64"/>
      <c r="BQ420" s="64"/>
      <c r="BR420" s="69"/>
      <c r="BS420" s="69"/>
      <c r="BT420" s="64"/>
    </row>
    <row r="421" spans="1:72" ht="12.75" customHeight="1">
      <c r="A421" s="64"/>
      <c r="B421" s="64"/>
      <c r="C421" s="64"/>
      <c r="D421" s="64"/>
      <c r="E421" s="64"/>
      <c r="F421" s="67"/>
      <c r="G421" s="64"/>
      <c r="H421" s="64"/>
      <c r="I421" s="64"/>
      <c r="J421" s="64"/>
      <c r="K421" s="67"/>
      <c r="L421" s="64"/>
      <c r="M421" s="64"/>
      <c r="N421" s="64"/>
      <c r="O421" s="64"/>
      <c r="P421" s="67"/>
      <c r="Q421" s="64"/>
      <c r="R421" s="64"/>
      <c r="S421" s="64"/>
      <c r="T421" s="64"/>
      <c r="U421" s="64"/>
      <c r="V421" s="67"/>
      <c r="W421" s="64"/>
      <c r="X421" s="64"/>
      <c r="Y421" s="64"/>
      <c r="Z421" s="64"/>
      <c r="AA421" s="64"/>
      <c r="AB421" s="67"/>
      <c r="AC421" s="64"/>
      <c r="AD421" s="64"/>
      <c r="AE421" s="64"/>
      <c r="AF421" s="64"/>
      <c r="AG421" s="64"/>
      <c r="AH421" s="67"/>
      <c r="AI421" s="64"/>
      <c r="AJ421" s="64"/>
      <c r="AK421" s="64"/>
      <c r="AL421" s="64"/>
      <c r="AM421" s="64"/>
      <c r="AN421" s="67"/>
      <c r="AO421" s="64"/>
      <c r="AP421" s="64"/>
      <c r="AQ421" s="64"/>
      <c r="AR421" s="64"/>
      <c r="AS421" s="64"/>
      <c r="AT421" s="64"/>
      <c r="AU421" s="64"/>
      <c r="AV421" s="64"/>
      <c r="AW421" s="64"/>
      <c r="AX421" s="64"/>
      <c r="AY421" s="64"/>
      <c r="AZ421" s="64"/>
      <c r="BA421" s="64"/>
      <c r="BB421" s="64"/>
      <c r="BC421" s="64"/>
      <c r="BD421" s="64"/>
      <c r="BE421" s="657"/>
      <c r="BF421" s="67"/>
      <c r="BG421" s="64"/>
      <c r="BH421" s="64"/>
      <c r="BI421" s="64"/>
      <c r="BJ421" s="64"/>
      <c r="BK421" s="64"/>
      <c r="BL421" s="64"/>
      <c r="BM421" s="64"/>
      <c r="BN421" s="64"/>
      <c r="BO421" s="64"/>
      <c r="BP421" s="64"/>
      <c r="BQ421" s="64"/>
      <c r="BR421" s="69"/>
      <c r="BS421" s="69"/>
      <c r="BT421" s="64"/>
    </row>
    <row r="422" spans="1:72" ht="12.75" customHeight="1">
      <c r="A422" s="64"/>
      <c r="B422" s="64"/>
      <c r="C422" s="64"/>
      <c r="D422" s="64"/>
      <c r="E422" s="64"/>
      <c r="F422" s="67"/>
      <c r="G422" s="64"/>
      <c r="H422" s="64"/>
      <c r="I422" s="64"/>
      <c r="J422" s="64"/>
      <c r="K422" s="67"/>
      <c r="L422" s="64"/>
      <c r="M422" s="64"/>
      <c r="N422" s="64"/>
      <c r="O422" s="64"/>
      <c r="P422" s="67"/>
      <c r="Q422" s="64"/>
      <c r="R422" s="64"/>
      <c r="S422" s="64"/>
      <c r="T422" s="64"/>
      <c r="U422" s="64"/>
      <c r="V422" s="67"/>
      <c r="W422" s="64"/>
      <c r="X422" s="64"/>
      <c r="Y422" s="64"/>
      <c r="Z422" s="64"/>
      <c r="AA422" s="64"/>
      <c r="AB422" s="67"/>
      <c r="AC422" s="64"/>
      <c r="AD422" s="64"/>
      <c r="AE422" s="64"/>
      <c r="AF422" s="64"/>
      <c r="AG422" s="64"/>
      <c r="AH422" s="67"/>
      <c r="AI422" s="64"/>
      <c r="AJ422" s="64"/>
      <c r="AK422" s="64"/>
      <c r="AL422" s="64"/>
      <c r="AM422" s="64"/>
      <c r="AN422" s="67"/>
      <c r="AO422" s="64"/>
      <c r="AP422" s="64"/>
      <c r="AQ422" s="64"/>
      <c r="AR422" s="64"/>
      <c r="AS422" s="64"/>
      <c r="AT422" s="64"/>
      <c r="AU422" s="64"/>
      <c r="AV422" s="64"/>
      <c r="AW422" s="64"/>
      <c r="AX422" s="64"/>
      <c r="AY422" s="64"/>
      <c r="AZ422" s="64"/>
      <c r="BA422" s="64"/>
      <c r="BB422" s="64"/>
      <c r="BC422" s="64"/>
      <c r="BD422" s="64"/>
      <c r="BE422" s="657"/>
      <c r="BF422" s="67"/>
      <c r="BG422" s="64"/>
      <c r="BH422" s="64"/>
      <c r="BI422" s="64"/>
      <c r="BJ422" s="64"/>
      <c r="BK422" s="64"/>
      <c r="BL422" s="64"/>
      <c r="BM422" s="64"/>
      <c r="BN422" s="64"/>
      <c r="BO422" s="64"/>
      <c r="BP422" s="64"/>
      <c r="BQ422" s="64"/>
      <c r="BR422" s="69"/>
      <c r="BS422" s="69"/>
      <c r="BT422" s="64"/>
    </row>
    <row r="423" spans="1:72" ht="12.75" customHeight="1">
      <c r="A423" s="64"/>
      <c r="B423" s="64"/>
      <c r="C423" s="64"/>
      <c r="D423" s="64"/>
      <c r="E423" s="64"/>
      <c r="F423" s="67"/>
      <c r="G423" s="64"/>
      <c r="H423" s="64"/>
      <c r="I423" s="64"/>
      <c r="J423" s="64"/>
      <c r="K423" s="67"/>
      <c r="L423" s="64"/>
      <c r="M423" s="64"/>
      <c r="N423" s="64"/>
      <c r="O423" s="64"/>
      <c r="P423" s="67"/>
      <c r="Q423" s="64"/>
      <c r="R423" s="64"/>
      <c r="S423" s="64"/>
      <c r="T423" s="64"/>
      <c r="U423" s="64"/>
      <c r="V423" s="67"/>
      <c r="W423" s="64"/>
      <c r="X423" s="64"/>
      <c r="Y423" s="64"/>
      <c r="Z423" s="64"/>
      <c r="AA423" s="64"/>
      <c r="AB423" s="67"/>
      <c r="AC423" s="64"/>
      <c r="AD423" s="64"/>
      <c r="AE423" s="64"/>
      <c r="AF423" s="64"/>
      <c r="AG423" s="64"/>
      <c r="AH423" s="67"/>
      <c r="AI423" s="64"/>
      <c r="AJ423" s="64"/>
      <c r="AK423" s="64"/>
      <c r="AL423" s="64"/>
      <c r="AM423" s="64"/>
      <c r="AN423" s="67"/>
      <c r="AO423" s="64"/>
      <c r="AP423" s="64"/>
      <c r="AQ423" s="64"/>
      <c r="AR423" s="64"/>
      <c r="AS423" s="64"/>
      <c r="AT423" s="64"/>
      <c r="AU423" s="64"/>
      <c r="AV423" s="64"/>
      <c r="AW423" s="64"/>
      <c r="AX423" s="64"/>
      <c r="AY423" s="64"/>
      <c r="AZ423" s="64"/>
      <c r="BA423" s="64"/>
      <c r="BB423" s="64"/>
      <c r="BC423" s="64"/>
      <c r="BD423" s="64"/>
      <c r="BE423" s="657"/>
      <c r="BF423" s="67"/>
      <c r="BG423" s="64"/>
      <c r="BH423" s="64"/>
      <c r="BI423" s="64"/>
      <c r="BJ423" s="64"/>
      <c r="BK423" s="64"/>
      <c r="BL423" s="64"/>
      <c r="BM423" s="64"/>
      <c r="BN423" s="64"/>
      <c r="BO423" s="64"/>
      <c r="BP423" s="64"/>
      <c r="BQ423" s="64"/>
      <c r="BR423" s="69"/>
      <c r="BS423" s="69"/>
      <c r="BT423" s="64"/>
    </row>
    <row r="424" spans="1:72" ht="12.75" customHeight="1">
      <c r="A424" s="64"/>
      <c r="B424" s="64"/>
      <c r="C424" s="64"/>
      <c r="D424" s="64"/>
      <c r="E424" s="64"/>
      <c r="F424" s="67"/>
      <c r="G424" s="64"/>
      <c r="H424" s="64"/>
      <c r="I424" s="64"/>
      <c r="J424" s="64"/>
      <c r="K424" s="67"/>
      <c r="L424" s="64"/>
      <c r="M424" s="64"/>
      <c r="N424" s="64"/>
      <c r="O424" s="64"/>
      <c r="P424" s="67"/>
      <c r="Q424" s="64"/>
      <c r="R424" s="64"/>
      <c r="S424" s="64"/>
      <c r="T424" s="64"/>
      <c r="U424" s="64"/>
      <c r="V424" s="67"/>
      <c r="W424" s="64"/>
      <c r="X424" s="64"/>
      <c r="Y424" s="64"/>
      <c r="Z424" s="64"/>
      <c r="AA424" s="64"/>
      <c r="AB424" s="67"/>
      <c r="AC424" s="64"/>
      <c r="AD424" s="64"/>
      <c r="AE424" s="64"/>
      <c r="AF424" s="64"/>
      <c r="AG424" s="64"/>
      <c r="AH424" s="67"/>
      <c r="AI424" s="64"/>
      <c r="AJ424" s="64"/>
      <c r="AK424" s="64"/>
      <c r="AL424" s="64"/>
      <c r="AM424" s="64"/>
      <c r="AN424" s="67"/>
      <c r="AO424" s="64"/>
      <c r="AP424" s="64"/>
      <c r="AQ424" s="64"/>
      <c r="AR424" s="64"/>
      <c r="AS424" s="64"/>
      <c r="AT424" s="64"/>
      <c r="AU424" s="64"/>
      <c r="AV424" s="64"/>
      <c r="AW424" s="64"/>
      <c r="AX424" s="64"/>
      <c r="AY424" s="64"/>
      <c r="AZ424" s="64"/>
      <c r="BA424" s="64"/>
      <c r="BB424" s="64"/>
      <c r="BC424" s="64"/>
      <c r="BD424" s="64"/>
      <c r="BE424" s="657"/>
      <c r="BF424" s="67"/>
      <c r="BG424" s="64"/>
      <c r="BH424" s="64"/>
      <c r="BI424" s="64"/>
      <c r="BJ424" s="64"/>
      <c r="BK424" s="64"/>
      <c r="BL424" s="64"/>
      <c r="BM424" s="64"/>
      <c r="BN424" s="64"/>
      <c r="BO424" s="64"/>
      <c r="BP424" s="64"/>
      <c r="BQ424" s="64"/>
      <c r="BR424" s="69"/>
      <c r="BS424" s="69"/>
      <c r="BT424" s="64"/>
    </row>
    <row r="425" spans="1:72" ht="12.75" customHeight="1">
      <c r="A425" s="64"/>
      <c r="B425" s="64"/>
      <c r="C425" s="64"/>
      <c r="D425" s="64"/>
      <c r="E425" s="64"/>
      <c r="F425" s="67"/>
      <c r="G425" s="64"/>
      <c r="H425" s="64"/>
      <c r="I425" s="64"/>
      <c r="J425" s="64"/>
      <c r="K425" s="67"/>
      <c r="L425" s="64"/>
      <c r="M425" s="64"/>
      <c r="N425" s="64"/>
      <c r="O425" s="64"/>
      <c r="P425" s="67"/>
      <c r="Q425" s="64"/>
      <c r="R425" s="64"/>
      <c r="S425" s="64"/>
      <c r="T425" s="64"/>
      <c r="U425" s="64"/>
      <c r="V425" s="67"/>
      <c r="W425" s="64"/>
      <c r="X425" s="64"/>
      <c r="Y425" s="64"/>
      <c r="Z425" s="64"/>
      <c r="AA425" s="64"/>
      <c r="AB425" s="67"/>
      <c r="AC425" s="64"/>
      <c r="AD425" s="64"/>
      <c r="AE425" s="64"/>
      <c r="AF425" s="64"/>
      <c r="AG425" s="64"/>
      <c r="AH425" s="67"/>
      <c r="AI425" s="64"/>
      <c r="AJ425" s="64"/>
      <c r="AK425" s="64"/>
      <c r="AL425" s="64"/>
      <c r="AM425" s="64"/>
      <c r="AN425" s="67"/>
      <c r="AO425" s="64"/>
      <c r="AP425" s="64"/>
      <c r="AQ425" s="64"/>
      <c r="AR425" s="64"/>
      <c r="AS425" s="64"/>
      <c r="AT425" s="64"/>
      <c r="AU425" s="64"/>
      <c r="AV425" s="64"/>
      <c r="AW425" s="64"/>
      <c r="AX425" s="64"/>
      <c r="AY425" s="64"/>
      <c r="AZ425" s="64"/>
      <c r="BA425" s="64"/>
      <c r="BB425" s="64"/>
      <c r="BC425" s="64"/>
      <c r="BD425" s="64"/>
      <c r="BE425" s="657"/>
      <c r="BF425" s="67"/>
      <c r="BG425" s="64"/>
      <c r="BH425" s="64"/>
      <c r="BI425" s="64"/>
      <c r="BJ425" s="64"/>
      <c r="BK425" s="64"/>
      <c r="BL425" s="64"/>
      <c r="BM425" s="64"/>
      <c r="BN425" s="64"/>
      <c r="BO425" s="64"/>
      <c r="BP425" s="64"/>
      <c r="BQ425" s="64"/>
      <c r="BR425" s="69"/>
      <c r="BS425" s="69"/>
      <c r="BT425" s="64"/>
    </row>
    <row r="426" spans="1:72" ht="12.75" customHeight="1">
      <c r="A426" s="64"/>
      <c r="B426" s="64"/>
      <c r="C426" s="64"/>
      <c r="D426" s="64"/>
      <c r="E426" s="64"/>
      <c r="F426" s="67"/>
      <c r="G426" s="64"/>
      <c r="H426" s="64"/>
      <c r="I426" s="64"/>
      <c r="J426" s="64"/>
      <c r="K426" s="67"/>
      <c r="L426" s="64"/>
      <c r="M426" s="64"/>
      <c r="N426" s="64"/>
      <c r="O426" s="64"/>
      <c r="P426" s="67"/>
      <c r="Q426" s="64"/>
      <c r="R426" s="64"/>
      <c r="S426" s="64"/>
      <c r="T426" s="64"/>
      <c r="U426" s="64"/>
      <c r="V426" s="67"/>
      <c r="W426" s="64"/>
      <c r="X426" s="64"/>
      <c r="Y426" s="64"/>
      <c r="Z426" s="64"/>
      <c r="AA426" s="64"/>
      <c r="AB426" s="67"/>
      <c r="AC426" s="64"/>
      <c r="AD426" s="64"/>
      <c r="AE426" s="64"/>
      <c r="AF426" s="64"/>
      <c r="AG426" s="64"/>
      <c r="AH426" s="67"/>
      <c r="AI426" s="64"/>
      <c r="AJ426" s="64"/>
      <c r="AK426" s="64"/>
      <c r="AL426" s="64"/>
      <c r="AM426" s="64"/>
      <c r="AN426" s="67"/>
      <c r="AO426" s="64"/>
      <c r="AP426" s="64"/>
      <c r="AQ426" s="64"/>
      <c r="AR426" s="64"/>
      <c r="AS426" s="64"/>
      <c r="AT426" s="64"/>
      <c r="AU426" s="64"/>
      <c r="AV426" s="64"/>
      <c r="AW426" s="64"/>
      <c r="AX426" s="64"/>
      <c r="AY426" s="64"/>
      <c r="AZ426" s="64"/>
      <c r="BA426" s="64"/>
      <c r="BB426" s="64"/>
      <c r="BC426" s="64"/>
      <c r="BD426" s="64"/>
      <c r="BE426" s="657"/>
      <c r="BF426" s="67"/>
      <c r="BG426" s="64"/>
      <c r="BH426" s="64"/>
      <c r="BI426" s="64"/>
      <c r="BJ426" s="64"/>
      <c r="BK426" s="64"/>
      <c r="BL426" s="64"/>
      <c r="BM426" s="64"/>
      <c r="BN426" s="64"/>
      <c r="BO426" s="64"/>
      <c r="BP426" s="64"/>
      <c r="BQ426" s="64"/>
      <c r="BR426" s="69"/>
      <c r="BS426" s="69"/>
      <c r="BT426" s="64"/>
    </row>
    <row r="427" spans="1:72" ht="12.75" customHeight="1">
      <c r="A427" s="64"/>
      <c r="B427" s="64"/>
      <c r="C427" s="64"/>
      <c r="D427" s="64"/>
      <c r="E427" s="64"/>
      <c r="F427" s="67"/>
      <c r="G427" s="64"/>
      <c r="H427" s="64"/>
      <c r="I427" s="64"/>
      <c r="J427" s="64"/>
      <c r="K427" s="67"/>
      <c r="L427" s="64"/>
      <c r="M427" s="64"/>
      <c r="N427" s="64"/>
      <c r="O427" s="64"/>
      <c r="P427" s="67"/>
      <c r="Q427" s="64"/>
      <c r="R427" s="64"/>
      <c r="S427" s="64"/>
      <c r="T427" s="64"/>
      <c r="U427" s="64"/>
      <c r="V427" s="67"/>
      <c r="W427" s="64"/>
      <c r="X427" s="64"/>
      <c r="Y427" s="64"/>
      <c r="Z427" s="64"/>
      <c r="AA427" s="64"/>
      <c r="AB427" s="67"/>
      <c r="AC427" s="64"/>
      <c r="AD427" s="64"/>
      <c r="AE427" s="64"/>
      <c r="AF427" s="64"/>
      <c r="AG427" s="64"/>
      <c r="AH427" s="67"/>
      <c r="AI427" s="64"/>
      <c r="AJ427" s="64"/>
      <c r="AK427" s="64"/>
      <c r="AL427" s="64"/>
      <c r="AM427" s="64"/>
      <c r="AN427" s="67"/>
      <c r="AO427" s="64"/>
      <c r="AP427" s="64"/>
      <c r="AQ427" s="64"/>
      <c r="AR427" s="64"/>
      <c r="AS427" s="64"/>
      <c r="AT427" s="64"/>
      <c r="AU427" s="64"/>
      <c r="AV427" s="64"/>
      <c r="AW427" s="64"/>
      <c r="AX427" s="64"/>
      <c r="AY427" s="64"/>
      <c r="AZ427" s="64"/>
      <c r="BA427" s="64"/>
      <c r="BB427" s="64"/>
      <c r="BC427" s="64"/>
      <c r="BD427" s="64"/>
      <c r="BE427" s="657"/>
      <c r="BF427" s="67"/>
      <c r="BG427" s="64"/>
      <c r="BH427" s="64"/>
      <c r="BI427" s="64"/>
      <c r="BJ427" s="64"/>
      <c r="BK427" s="64"/>
      <c r="BL427" s="64"/>
      <c r="BM427" s="64"/>
      <c r="BN427" s="64"/>
      <c r="BO427" s="64"/>
      <c r="BP427" s="64"/>
      <c r="BQ427" s="64"/>
      <c r="BR427" s="69"/>
      <c r="BS427" s="69"/>
      <c r="BT427" s="64"/>
    </row>
    <row r="428" spans="1:72" ht="12.75" customHeight="1">
      <c r="A428" s="64"/>
      <c r="B428" s="64"/>
      <c r="C428" s="64"/>
      <c r="D428" s="64"/>
      <c r="E428" s="64"/>
      <c r="F428" s="67"/>
      <c r="G428" s="64"/>
      <c r="H428" s="64"/>
      <c r="I428" s="64"/>
      <c r="J428" s="64"/>
      <c r="K428" s="67"/>
      <c r="L428" s="64"/>
      <c r="M428" s="64"/>
      <c r="N428" s="64"/>
      <c r="O428" s="64"/>
      <c r="P428" s="67"/>
      <c r="Q428" s="64"/>
      <c r="R428" s="64"/>
      <c r="S428" s="64"/>
      <c r="T428" s="64"/>
      <c r="U428" s="64"/>
      <c r="V428" s="67"/>
      <c r="W428" s="64"/>
      <c r="X428" s="64"/>
      <c r="Y428" s="64"/>
      <c r="Z428" s="64"/>
      <c r="AA428" s="64"/>
      <c r="AB428" s="67"/>
      <c r="AC428" s="64"/>
      <c r="AD428" s="64"/>
      <c r="AE428" s="64"/>
      <c r="AF428" s="64"/>
      <c r="AG428" s="64"/>
      <c r="AH428" s="67"/>
      <c r="AI428" s="64"/>
      <c r="AJ428" s="64"/>
      <c r="AK428" s="64"/>
      <c r="AL428" s="64"/>
      <c r="AM428" s="64"/>
      <c r="AN428" s="67"/>
      <c r="AO428" s="64"/>
      <c r="AP428" s="64"/>
      <c r="AQ428" s="64"/>
      <c r="AR428" s="64"/>
      <c r="AS428" s="64"/>
      <c r="AT428" s="64"/>
      <c r="AU428" s="64"/>
      <c r="AV428" s="64"/>
      <c r="AW428" s="64"/>
      <c r="AX428" s="64"/>
      <c r="AY428" s="64"/>
      <c r="AZ428" s="64"/>
      <c r="BA428" s="64"/>
      <c r="BB428" s="64"/>
      <c r="BC428" s="64"/>
      <c r="BD428" s="64"/>
      <c r="BE428" s="657"/>
      <c r="BF428" s="67"/>
      <c r="BG428" s="64"/>
      <c r="BH428" s="64"/>
      <c r="BI428" s="64"/>
      <c r="BJ428" s="64"/>
      <c r="BK428" s="64"/>
      <c r="BL428" s="64"/>
      <c r="BM428" s="64"/>
      <c r="BN428" s="64"/>
      <c r="BO428" s="64"/>
      <c r="BP428" s="64"/>
      <c r="BQ428" s="64"/>
      <c r="BR428" s="69"/>
      <c r="BS428" s="69"/>
      <c r="BT428" s="64"/>
    </row>
    <row r="429" spans="1:72" ht="12.75" customHeight="1">
      <c r="A429" s="64"/>
      <c r="B429" s="64"/>
      <c r="C429" s="64"/>
      <c r="D429" s="64"/>
      <c r="E429" s="64"/>
      <c r="F429" s="67"/>
      <c r="G429" s="64"/>
      <c r="H429" s="64"/>
      <c r="I429" s="64"/>
      <c r="J429" s="64"/>
      <c r="K429" s="67"/>
      <c r="L429" s="64"/>
      <c r="M429" s="64"/>
      <c r="N429" s="64"/>
      <c r="O429" s="64"/>
      <c r="P429" s="67"/>
      <c r="Q429" s="64"/>
      <c r="R429" s="64"/>
      <c r="S429" s="64"/>
      <c r="T429" s="64"/>
      <c r="U429" s="64"/>
      <c r="V429" s="67"/>
      <c r="W429" s="64"/>
      <c r="X429" s="64"/>
      <c r="Y429" s="64"/>
      <c r="Z429" s="64"/>
      <c r="AA429" s="64"/>
      <c r="AB429" s="67"/>
      <c r="AC429" s="64"/>
      <c r="AD429" s="64"/>
      <c r="AE429" s="64"/>
      <c r="AF429" s="64"/>
      <c r="AG429" s="64"/>
      <c r="AH429" s="67"/>
      <c r="AI429" s="64"/>
      <c r="AJ429" s="64"/>
      <c r="AK429" s="64"/>
      <c r="AL429" s="64"/>
      <c r="AM429" s="64"/>
      <c r="AN429" s="67"/>
      <c r="AO429" s="64"/>
      <c r="AP429" s="64"/>
      <c r="AQ429" s="64"/>
      <c r="AR429" s="64"/>
      <c r="AS429" s="64"/>
      <c r="AT429" s="64"/>
      <c r="AU429" s="64"/>
      <c r="AV429" s="64"/>
      <c r="AW429" s="64"/>
      <c r="AX429" s="64"/>
      <c r="AY429" s="64"/>
      <c r="AZ429" s="64"/>
      <c r="BA429" s="64"/>
      <c r="BB429" s="64"/>
      <c r="BC429" s="64"/>
      <c r="BD429" s="64"/>
      <c r="BE429" s="657"/>
      <c r="BF429" s="67"/>
      <c r="BG429" s="64"/>
      <c r="BH429" s="64"/>
      <c r="BI429" s="64"/>
      <c r="BJ429" s="64"/>
      <c r="BK429" s="64"/>
      <c r="BL429" s="64"/>
      <c r="BM429" s="64"/>
      <c r="BN429" s="64"/>
      <c r="BO429" s="64"/>
      <c r="BP429" s="64"/>
      <c r="BQ429" s="64"/>
      <c r="BR429" s="69"/>
      <c r="BS429" s="69"/>
      <c r="BT429" s="64"/>
    </row>
    <row r="430" spans="1:72" ht="12.75" customHeight="1">
      <c r="A430" s="64"/>
      <c r="B430" s="64"/>
      <c r="C430" s="64"/>
      <c r="D430" s="64"/>
      <c r="E430" s="64"/>
      <c r="F430" s="67"/>
      <c r="G430" s="64"/>
      <c r="H430" s="64"/>
      <c r="I430" s="64"/>
      <c r="J430" s="64"/>
      <c r="K430" s="67"/>
      <c r="L430" s="64"/>
      <c r="M430" s="64"/>
      <c r="N430" s="64"/>
      <c r="O430" s="64"/>
      <c r="P430" s="67"/>
      <c r="Q430" s="64"/>
      <c r="R430" s="64"/>
      <c r="S430" s="64"/>
      <c r="T430" s="64"/>
      <c r="U430" s="64"/>
      <c r="V430" s="67"/>
      <c r="W430" s="64"/>
      <c r="X430" s="64"/>
      <c r="Y430" s="64"/>
      <c r="Z430" s="64"/>
      <c r="AA430" s="64"/>
      <c r="AB430" s="67"/>
      <c r="AC430" s="64"/>
      <c r="AD430" s="64"/>
      <c r="AE430" s="64"/>
      <c r="AF430" s="64"/>
      <c r="AG430" s="64"/>
      <c r="AH430" s="67"/>
      <c r="AI430" s="64"/>
      <c r="AJ430" s="64"/>
      <c r="AK430" s="64"/>
      <c r="AL430" s="64"/>
      <c r="AM430" s="64"/>
      <c r="AN430" s="67"/>
      <c r="AO430" s="64"/>
      <c r="AP430" s="64"/>
      <c r="AQ430" s="64"/>
      <c r="AR430" s="64"/>
      <c r="AS430" s="64"/>
      <c r="AT430" s="64"/>
      <c r="AU430" s="64"/>
      <c r="AV430" s="64"/>
      <c r="AW430" s="64"/>
      <c r="AX430" s="64"/>
      <c r="AY430" s="64"/>
      <c r="AZ430" s="64"/>
      <c r="BA430" s="64"/>
      <c r="BB430" s="64"/>
      <c r="BC430" s="64"/>
      <c r="BD430" s="64"/>
      <c r="BE430" s="657"/>
      <c r="BF430" s="67"/>
      <c r="BG430" s="64"/>
      <c r="BH430" s="64"/>
      <c r="BI430" s="64"/>
      <c r="BJ430" s="64"/>
      <c r="BK430" s="64"/>
      <c r="BL430" s="64"/>
      <c r="BM430" s="64"/>
      <c r="BN430" s="64"/>
      <c r="BO430" s="64"/>
      <c r="BP430" s="64"/>
      <c r="BQ430" s="64"/>
      <c r="BR430" s="69"/>
      <c r="BS430" s="69"/>
      <c r="BT430" s="64"/>
    </row>
    <row r="431" spans="1:72" ht="12.75" customHeight="1">
      <c r="A431" s="64"/>
      <c r="B431" s="64"/>
      <c r="C431" s="64"/>
      <c r="D431" s="64"/>
      <c r="E431" s="64"/>
      <c r="F431" s="67"/>
      <c r="G431" s="64"/>
      <c r="H431" s="64"/>
      <c r="I431" s="64"/>
      <c r="J431" s="64"/>
      <c r="K431" s="67"/>
      <c r="L431" s="64"/>
      <c r="M431" s="64"/>
      <c r="N431" s="64"/>
      <c r="O431" s="64"/>
      <c r="P431" s="67"/>
      <c r="Q431" s="64"/>
      <c r="R431" s="64"/>
      <c r="S431" s="64"/>
      <c r="T431" s="64"/>
      <c r="U431" s="64"/>
      <c r="V431" s="67"/>
      <c r="W431" s="64"/>
      <c r="X431" s="64"/>
      <c r="Y431" s="64"/>
      <c r="Z431" s="64"/>
      <c r="AA431" s="64"/>
      <c r="AB431" s="67"/>
      <c r="AC431" s="64"/>
      <c r="AD431" s="64"/>
      <c r="AE431" s="64"/>
      <c r="AF431" s="64"/>
      <c r="AG431" s="64"/>
      <c r="AH431" s="67"/>
      <c r="AI431" s="64"/>
      <c r="AJ431" s="64"/>
      <c r="AK431" s="64"/>
      <c r="AL431" s="64"/>
      <c r="AM431" s="64"/>
      <c r="AN431" s="67"/>
      <c r="AO431" s="64"/>
      <c r="AP431" s="64"/>
      <c r="AQ431" s="64"/>
      <c r="AR431" s="64"/>
      <c r="AS431" s="64"/>
      <c r="AT431" s="64"/>
      <c r="AU431" s="64"/>
      <c r="AV431" s="64"/>
      <c r="AW431" s="64"/>
      <c r="AX431" s="64"/>
      <c r="AY431" s="64"/>
      <c r="AZ431" s="64"/>
      <c r="BA431" s="64"/>
      <c r="BB431" s="64"/>
      <c r="BC431" s="64"/>
      <c r="BD431" s="64"/>
      <c r="BE431" s="657"/>
      <c r="BF431" s="67"/>
      <c r="BG431" s="64"/>
      <c r="BH431" s="64"/>
      <c r="BI431" s="64"/>
      <c r="BJ431" s="64"/>
      <c r="BK431" s="64"/>
      <c r="BL431" s="64"/>
      <c r="BM431" s="64"/>
      <c r="BN431" s="64"/>
      <c r="BO431" s="64"/>
      <c r="BP431" s="64"/>
      <c r="BQ431" s="64"/>
      <c r="BR431" s="69"/>
      <c r="BS431" s="69"/>
      <c r="BT431" s="64"/>
    </row>
    <row r="432" spans="1:72" ht="12.75" customHeight="1">
      <c r="A432" s="64"/>
      <c r="B432" s="64"/>
      <c r="C432" s="64"/>
      <c r="D432" s="64"/>
      <c r="E432" s="64"/>
      <c r="F432" s="67"/>
      <c r="G432" s="64"/>
      <c r="H432" s="64"/>
      <c r="I432" s="64"/>
      <c r="J432" s="64"/>
      <c r="K432" s="67"/>
      <c r="L432" s="64"/>
      <c r="M432" s="64"/>
      <c r="N432" s="64"/>
      <c r="O432" s="64"/>
      <c r="P432" s="67"/>
      <c r="Q432" s="64"/>
      <c r="R432" s="64"/>
      <c r="S432" s="64"/>
      <c r="T432" s="64"/>
      <c r="U432" s="64"/>
      <c r="V432" s="67"/>
      <c r="W432" s="64"/>
      <c r="X432" s="64"/>
      <c r="Y432" s="64"/>
      <c r="Z432" s="64"/>
      <c r="AA432" s="64"/>
      <c r="AB432" s="67"/>
      <c r="AC432" s="64"/>
      <c r="AD432" s="64"/>
      <c r="AE432" s="64"/>
      <c r="AF432" s="64"/>
      <c r="AG432" s="64"/>
      <c r="AH432" s="67"/>
      <c r="AI432" s="64"/>
      <c r="AJ432" s="64"/>
      <c r="AK432" s="64"/>
      <c r="AL432" s="64"/>
      <c r="AM432" s="64"/>
      <c r="AN432" s="67"/>
      <c r="AO432" s="64"/>
      <c r="AP432" s="64"/>
      <c r="AQ432" s="64"/>
      <c r="AR432" s="64"/>
      <c r="AS432" s="64"/>
      <c r="AT432" s="64"/>
      <c r="AU432" s="64"/>
      <c r="AV432" s="64"/>
      <c r="AW432" s="64"/>
      <c r="AX432" s="64"/>
      <c r="AY432" s="64"/>
      <c r="AZ432" s="64"/>
      <c r="BA432" s="64"/>
      <c r="BB432" s="64"/>
      <c r="BC432" s="64"/>
      <c r="BD432" s="64"/>
      <c r="BE432" s="657"/>
      <c r="BF432" s="67"/>
      <c r="BG432" s="64"/>
      <c r="BH432" s="64"/>
      <c r="BI432" s="64"/>
      <c r="BJ432" s="64"/>
      <c r="BK432" s="64"/>
      <c r="BL432" s="64"/>
      <c r="BM432" s="64"/>
      <c r="BN432" s="64"/>
      <c r="BO432" s="64"/>
      <c r="BP432" s="64"/>
      <c r="BQ432" s="64"/>
      <c r="BR432" s="69"/>
      <c r="BS432" s="69"/>
      <c r="BT432" s="64"/>
    </row>
    <row r="433" spans="1:72" ht="12.75" customHeight="1">
      <c r="A433" s="64"/>
      <c r="B433" s="64"/>
      <c r="C433" s="64"/>
      <c r="D433" s="64"/>
      <c r="E433" s="64"/>
      <c r="F433" s="67"/>
      <c r="G433" s="64"/>
      <c r="H433" s="64"/>
      <c r="I433" s="64"/>
      <c r="J433" s="64"/>
      <c r="K433" s="67"/>
      <c r="L433" s="64"/>
      <c r="M433" s="64"/>
      <c r="N433" s="64"/>
      <c r="O433" s="64"/>
      <c r="P433" s="67"/>
      <c r="Q433" s="64"/>
      <c r="R433" s="64"/>
      <c r="S433" s="64"/>
      <c r="T433" s="64"/>
      <c r="U433" s="64"/>
      <c r="V433" s="67"/>
      <c r="W433" s="64"/>
      <c r="X433" s="64"/>
      <c r="Y433" s="64"/>
      <c r="Z433" s="64"/>
      <c r="AA433" s="64"/>
      <c r="AB433" s="67"/>
      <c r="AC433" s="64"/>
      <c r="AD433" s="64"/>
      <c r="AE433" s="64"/>
      <c r="AF433" s="64"/>
      <c r="AG433" s="64"/>
      <c r="AH433" s="67"/>
      <c r="AI433" s="64"/>
      <c r="AJ433" s="64"/>
      <c r="AK433" s="64"/>
      <c r="AL433" s="64"/>
      <c r="AM433" s="64"/>
      <c r="AN433" s="67"/>
      <c r="AO433" s="64"/>
      <c r="AP433" s="64"/>
      <c r="AQ433" s="64"/>
      <c r="AR433" s="64"/>
      <c r="AS433" s="64"/>
      <c r="AT433" s="64"/>
      <c r="AU433" s="64"/>
      <c r="AV433" s="64"/>
      <c r="AW433" s="64"/>
      <c r="AX433" s="64"/>
      <c r="AY433" s="64"/>
      <c r="AZ433" s="64"/>
      <c r="BA433" s="64"/>
      <c r="BB433" s="64"/>
      <c r="BC433" s="64"/>
      <c r="BD433" s="64"/>
      <c r="BE433" s="657"/>
      <c r="BF433" s="67"/>
      <c r="BG433" s="64"/>
      <c r="BH433" s="64"/>
      <c r="BI433" s="64"/>
      <c r="BJ433" s="64"/>
      <c r="BK433" s="64"/>
      <c r="BL433" s="64"/>
      <c r="BM433" s="64"/>
      <c r="BN433" s="64"/>
      <c r="BO433" s="64"/>
      <c r="BP433" s="64"/>
      <c r="BQ433" s="64"/>
      <c r="BR433" s="69"/>
      <c r="BS433" s="69"/>
      <c r="BT433" s="64"/>
    </row>
    <row r="434" spans="1:72" ht="12.75" customHeight="1">
      <c r="A434" s="64"/>
      <c r="B434" s="64"/>
      <c r="C434" s="64"/>
      <c r="D434" s="64"/>
      <c r="E434" s="64"/>
      <c r="F434" s="67"/>
      <c r="G434" s="64"/>
      <c r="H434" s="64"/>
      <c r="I434" s="64"/>
      <c r="J434" s="64"/>
      <c r="K434" s="67"/>
      <c r="L434" s="64"/>
      <c r="M434" s="64"/>
      <c r="N434" s="64"/>
      <c r="O434" s="64"/>
      <c r="P434" s="67"/>
      <c r="Q434" s="64"/>
      <c r="R434" s="64"/>
      <c r="S434" s="64"/>
      <c r="T434" s="64"/>
      <c r="U434" s="64"/>
      <c r="V434" s="67"/>
      <c r="W434" s="64"/>
      <c r="X434" s="64"/>
      <c r="Y434" s="64"/>
      <c r="Z434" s="64"/>
      <c r="AA434" s="64"/>
      <c r="AB434" s="67"/>
      <c r="AC434" s="64"/>
      <c r="AD434" s="64"/>
      <c r="AE434" s="64"/>
      <c r="AF434" s="64"/>
      <c r="AG434" s="64"/>
      <c r="AH434" s="67"/>
      <c r="AI434" s="64"/>
      <c r="AJ434" s="64"/>
      <c r="AK434" s="64"/>
      <c r="AL434" s="64"/>
      <c r="AM434" s="64"/>
      <c r="AN434" s="67"/>
      <c r="AO434" s="64"/>
      <c r="AP434" s="64"/>
      <c r="AQ434" s="64"/>
      <c r="AR434" s="64"/>
      <c r="AS434" s="64"/>
      <c r="AT434" s="64"/>
      <c r="AU434" s="64"/>
      <c r="AV434" s="64"/>
      <c r="AW434" s="64"/>
      <c r="AX434" s="64"/>
      <c r="AY434" s="64"/>
      <c r="AZ434" s="64"/>
      <c r="BA434" s="64"/>
      <c r="BB434" s="64"/>
      <c r="BC434" s="64"/>
      <c r="BD434" s="64"/>
      <c r="BE434" s="657"/>
      <c r="BF434" s="67"/>
      <c r="BG434" s="64"/>
      <c r="BH434" s="64"/>
      <c r="BI434" s="64"/>
      <c r="BJ434" s="64"/>
      <c r="BK434" s="64"/>
      <c r="BL434" s="64"/>
      <c r="BM434" s="64"/>
      <c r="BN434" s="64"/>
      <c r="BO434" s="64"/>
      <c r="BP434" s="64"/>
      <c r="BQ434" s="64"/>
      <c r="BR434" s="69"/>
      <c r="BS434" s="69"/>
      <c r="BT434" s="64"/>
    </row>
    <row r="435" spans="1:72" ht="12.75" customHeight="1">
      <c r="A435" s="64"/>
      <c r="B435" s="64"/>
      <c r="C435" s="64"/>
      <c r="D435" s="64"/>
      <c r="E435" s="64"/>
      <c r="F435" s="67"/>
      <c r="G435" s="64"/>
      <c r="H435" s="64"/>
      <c r="I435" s="64"/>
      <c r="J435" s="64"/>
      <c r="K435" s="67"/>
      <c r="L435" s="64"/>
      <c r="M435" s="64"/>
      <c r="N435" s="64"/>
      <c r="O435" s="64"/>
      <c r="P435" s="67"/>
      <c r="Q435" s="64"/>
      <c r="R435" s="64"/>
      <c r="S435" s="64"/>
      <c r="T435" s="64"/>
      <c r="U435" s="64"/>
      <c r="V435" s="67"/>
      <c r="W435" s="64"/>
      <c r="X435" s="64"/>
      <c r="Y435" s="64"/>
      <c r="Z435" s="64"/>
      <c r="AA435" s="64"/>
      <c r="AB435" s="67"/>
      <c r="AC435" s="64"/>
      <c r="AD435" s="64"/>
      <c r="AE435" s="64"/>
      <c r="AF435" s="64"/>
      <c r="AG435" s="64"/>
      <c r="AH435" s="67"/>
      <c r="AI435" s="64"/>
      <c r="AJ435" s="64"/>
      <c r="AK435" s="64"/>
      <c r="AL435" s="64"/>
      <c r="AM435" s="64"/>
      <c r="AN435" s="67"/>
      <c r="AO435" s="64"/>
      <c r="AP435" s="64"/>
      <c r="AQ435" s="64"/>
      <c r="AR435" s="64"/>
      <c r="AS435" s="64"/>
      <c r="AT435" s="64"/>
      <c r="AU435" s="64"/>
      <c r="AV435" s="64"/>
      <c r="AW435" s="64"/>
      <c r="AX435" s="64"/>
      <c r="AY435" s="64"/>
      <c r="AZ435" s="64"/>
      <c r="BA435" s="64"/>
      <c r="BB435" s="64"/>
      <c r="BC435" s="64"/>
      <c r="BD435" s="64"/>
      <c r="BE435" s="657"/>
      <c r="BF435" s="67"/>
      <c r="BG435" s="64"/>
      <c r="BH435" s="64"/>
      <c r="BI435" s="64"/>
      <c r="BJ435" s="64"/>
      <c r="BK435" s="64"/>
      <c r="BL435" s="64"/>
      <c r="BM435" s="64"/>
      <c r="BN435" s="64"/>
      <c r="BO435" s="64"/>
      <c r="BP435" s="64"/>
      <c r="BQ435" s="64"/>
      <c r="BR435" s="69"/>
      <c r="BS435" s="69"/>
      <c r="BT435" s="64"/>
    </row>
    <row r="436" spans="1:72" ht="12.75" customHeight="1">
      <c r="A436" s="64"/>
      <c r="B436" s="64"/>
      <c r="C436" s="64"/>
      <c r="D436" s="64"/>
      <c r="E436" s="64"/>
      <c r="F436" s="67"/>
      <c r="G436" s="64"/>
      <c r="H436" s="64"/>
      <c r="I436" s="64"/>
      <c r="J436" s="64"/>
      <c r="K436" s="67"/>
      <c r="L436" s="64"/>
      <c r="M436" s="64"/>
      <c r="N436" s="64"/>
      <c r="O436" s="64"/>
      <c r="P436" s="67"/>
      <c r="Q436" s="64"/>
      <c r="R436" s="64"/>
      <c r="S436" s="64"/>
      <c r="T436" s="64"/>
      <c r="U436" s="64"/>
      <c r="V436" s="67"/>
      <c r="W436" s="64"/>
      <c r="X436" s="64"/>
      <c r="Y436" s="64"/>
      <c r="Z436" s="64"/>
      <c r="AA436" s="64"/>
      <c r="AB436" s="67"/>
      <c r="AC436" s="64"/>
      <c r="AD436" s="64"/>
      <c r="AE436" s="64"/>
      <c r="AF436" s="64"/>
      <c r="AG436" s="64"/>
      <c r="AH436" s="67"/>
      <c r="AI436" s="64"/>
      <c r="AJ436" s="64"/>
      <c r="AK436" s="64"/>
      <c r="AL436" s="64"/>
      <c r="AM436" s="64"/>
      <c r="AN436" s="67"/>
      <c r="AO436" s="64"/>
      <c r="AP436" s="64"/>
      <c r="AQ436" s="64"/>
      <c r="AR436" s="64"/>
      <c r="AS436" s="64"/>
      <c r="AT436" s="64"/>
      <c r="AU436" s="64"/>
      <c r="AV436" s="64"/>
      <c r="AW436" s="64"/>
      <c r="AX436" s="64"/>
      <c r="AY436" s="64"/>
      <c r="AZ436" s="64"/>
      <c r="BA436" s="64"/>
      <c r="BB436" s="64"/>
      <c r="BC436" s="64"/>
      <c r="BD436" s="64"/>
      <c r="BE436" s="657"/>
      <c r="BF436" s="67"/>
      <c r="BG436" s="64"/>
      <c r="BH436" s="64"/>
      <c r="BI436" s="64"/>
      <c r="BJ436" s="64"/>
      <c r="BK436" s="64"/>
      <c r="BL436" s="64"/>
      <c r="BM436" s="64"/>
      <c r="BN436" s="64"/>
      <c r="BO436" s="64"/>
      <c r="BP436" s="64"/>
      <c r="BQ436" s="64"/>
      <c r="BR436" s="69"/>
      <c r="BS436" s="69"/>
      <c r="BT436" s="64"/>
    </row>
    <row r="437" spans="1:72" ht="12.75" customHeight="1">
      <c r="A437" s="64"/>
      <c r="B437" s="64"/>
      <c r="C437" s="64"/>
      <c r="D437" s="64"/>
      <c r="E437" s="64"/>
      <c r="F437" s="67"/>
      <c r="G437" s="64"/>
      <c r="H437" s="64"/>
      <c r="I437" s="64"/>
      <c r="J437" s="64"/>
      <c r="K437" s="67"/>
      <c r="L437" s="64"/>
      <c r="M437" s="64"/>
      <c r="N437" s="64"/>
      <c r="O437" s="64"/>
      <c r="P437" s="67"/>
      <c r="Q437" s="64"/>
      <c r="R437" s="64"/>
      <c r="S437" s="64"/>
      <c r="T437" s="64"/>
      <c r="U437" s="64"/>
      <c r="V437" s="67"/>
      <c r="W437" s="64"/>
      <c r="X437" s="64"/>
      <c r="Y437" s="64"/>
      <c r="Z437" s="64"/>
      <c r="AA437" s="64"/>
      <c r="AB437" s="67"/>
      <c r="AC437" s="64"/>
      <c r="AD437" s="64"/>
      <c r="AE437" s="64"/>
      <c r="AF437" s="64"/>
      <c r="AG437" s="64"/>
      <c r="AH437" s="67"/>
      <c r="AI437" s="64"/>
      <c r="AJ437" s="64"/>
      <c r="AK437" s="64"/>
      <c r="AL437" s="64"/>
      <c r="AM437" s="64"/>
      <c r="AN437" s="67"/>
      <c r="AO437" s="64"/>
      <c r="AP437" s="64"/>
      <c r="AQ437" s="64"/>
      <c r="AR437" s="64"/>
      <c r="AS437" s="64"/>
      <c r="AT437" s="64"/>
      <c r="AU437" s="64"/>
      <c r="AV437" s="64"/>
      <c r="AW437" s="64"/>
      <c r="AX437" s="64"/>
      <c r="AY437" s="64"/>
      <c r="AZ437" s="64"/>
      <c r="BA437" s="64"/>
      <c r="BB437" s="64"/>
      <c r="BC437" s="64"/>
      <c r="BD437" s="64"/>
      <c r="BE437" s="657"/>
      <c r="BF437" s="67"/>
      <c r="BG437" s="64"/>
      <c r="BH437" s="64"/>
      <c r="BI437" s="64"/>
      <c r="BJ437" s="64"/>
      <c r="BK437" s="64"/>
      <c r="BL437" s="64"/>
      <c r="BM437" s="64"/>
      <c r="BN437" s="64"/>
      <c r="BO437" s="64"/>
      <c r="BP437" s="64"/>
      <c r="BQ437" s="64"/>
      <c r="BR437" s="69"/>
      <c r="BS437" s="69"/>
      <c r="BT437" s="64"/>
    </row>
    <row r="438" spans="1:72" ht="12.75" customHeight="1">
      <c r="A438" s="64"/>
      <c r="B438" s="64"/>
      <c r="C438" s="64"/>
      <c r="D438" s="64"/>
      <c r="E438" s="64"/>
      <c r="F438" s="67"/>
      <c r="G438" s="64"/>
      <c r="H438" s="64"/>
      <c r="I438" s="64"/>
      <c r="J438" s="64"/>
      <c r="K438" s="67"/>
      <c r="L438" s="64"/>
      <c r="M438" s="64"/>
      <c r="N438" s="64"/>
      <c r="O438" s="64"/>
      <c r="P438" s="67"/>
      <c r="Q438" s="64"/>
      <c r="R438" s="64"/>
      <c r="S438" s="64"/>
      <c r="T438" s="64"/>
      <c r="U438" s="64"/>
      <c r="V438" s="67"/>
      <c r="W438" s="64"/>
      <c r="X438" s="64"/>
      <c r="Y438" s="64"/>
      <c r="Z438" s="64"/>
      <c r="AA438" s="64"/>
      <c r="AB438" s="67"/>
      <c r="AC438" s="64"/>
      <c r="AD438" s="64"/>
      <c r="AE438" s="64"/>
      <c r="AF438" s="64"/>
      <c r="AG438" s="64"/>
      <c r="AH438" s="67"/>
      <c r="AI438" s="64"/>
      <c r="AJ438" s="64"/>
      <c r="AK438" s="64"/>
      <c r="AL438" s="64"/>
      <c r="AM438" s="64"/>
      <c r="AN438" s="67"/>
      <c r="AO438" s="64"/>
      <c r="AP438" s="64"/>
      <c r="AQ438" s="64"/>
      <c r="AR438" s="64"/>
      <c r="AS438" s="64"/>
      <c r="AT438" s="64"/>
      <c r="AU438" s="64"/>
      <c r="AV438" s="64"/>
      <c r="AW438" s="64"/>
      <c r="AX438" s="64"/>
      <c r="AY438" s="64"/>
      <c r="AZ438" s="64"/>
      <c r="BA438" s="64"/>
      <c r="BB438" s="64"/>
      <c r="BC438" s="64"/>
      <c r="BD438" s="64"/>
      <c r="BE438" s="657"/>
      <c r="BF438" s="67"/>
      <c r="BG438" s="64"/>
      <c r="BH438" s="64"/>
      <c r="BI438" s="64"/>
      <c r="BJ438" s="64"/>
      <c r="BK438" s="64"/>
      <c r="BL438" s="64"/>
      <c r="BM438" s="64"/>
      <c r="BN438" s="64"/>
      <c r="BO438" s="64"/>
      <c r="BP438" s="64"/>
      <c r="BQ438" s="64"/>
      <c r="BR438" s="69"/>
      <c r="BS438" s="69"/>
      <c r="BT438" s="64"/>
    </row>
    <row r="439" spans="1:72" ht="12.75" customHeight="1">
      <c r="A439" s="64"/>
      <c r="B439" s="64"/>
      <c r="C439" s="64"/>
      <c r="D439" s="64"/>
      <c r="E439" s="64"/>
      <c r="F439" s="67"/>
      <c r="G439" s="64"/>
      <c r="H439" s="64"/>
      <c r="I439" s="64"/>
      <c r="J439" s="64"/>
      <c r="K439" s="67"/>
      <c r="L439" s="64"/>
      <c r="M439" s="64"/>
      <c r="N439" s="64"/>
      <c r="O439" s="64"/>
      <c r="P439" s="67"/>
      <c r="Q439" s="64"/>
      <c r="R439" s="64"/>
      <c r="S439" s="64"/>
      <c r="T439" s="64"/>
      <c r="U439" s="64"/>
      <c r="V439" s="67"/>
      <c r="W439" s="64"/>
      <c r="X439" s="64"/>
      <c r="Y439" s="64"/>
      <c r="Z439" s="64"/>
      <c r="AA439" s="64"/>
      <c r="AB439" s="67"/>
      <c r="AC439" s="64"/>
      <c r="AD439" s="64"/>
      <c r="AE439" s="64"/>
      <c r="AF439" s="64"/>
      <c r="AG439" s="64"/>
      <c r="AH439" s="67"/>
      <c r="AI439" s="64"/>
      <c r="AJ439" s="64"/>
      <c r="AK439" s="64"/>
      <c r="AL439" s="64"/>
      <c r="AM439" s="64"/>
      <c r="AN439" s="67"/>
      <c r="AO439" s="64"/>
      <c r="AP439" s="64"/>
      <c r="AQ439" s="64"/>
      <c r="AR439" s="64"/>
      <c r="AS439" s="64"/>
      <c r="AT439" s="64"/>
      <c r="AU439" s="64"/>
      <c r="AV439" s="64"/>
      <c r="AW439" s="64"/>
      <c r="AX439" s="64"/>
      <c r="AY439" s="64"/>
      <c r="AZ439" s="64"/>
      <c r="BA439" s="64"/>
      <c r="BB439" s="64"/>
      <c r="BC439" s="64"/>
      <c r="BD439" s="64"/>
      <c r="BE439" s="657"/>
      <c r="BF439" s="67"/>
      <c r="BG439" s="64"/>
      <c r="BH439" s="64"/>
      <c r="BI439" s="64"/>
      <c r="BJ439" s="64"/>
      <c r="BK439" s="64"/>
      <c r="BL439" s="64"/>
      <c r="BM439" s="64"/>
      <c r="BN439" s="64"/>
      <c r="BO439" s="64"/>
      <c r="BP439" s="64"/>
      <c r="BQ439" s="64"/>
      <c r="BR439" s="69"/>
      <c r="BS439" s="69"/>
      <c r="BT439" s="64"/>
    </row>
    <row r="440" spans="1:72" ht="12.75" customHeight="1">
      <c r="A440" s="64"/>
      <c r="B440" s="64"/>
      <c r="C440" s="64"/>
      <c r="D440" s="64"/>
      <c r="E440" s="64"/>
      <c r="F440" s="67"/>
      <c r="G440" s="64"/>
      <c r="H440" s="64"/>
      <c r="I440" s="64"/>
      <c r="J440" s="64"/>
      <c r="K440" s="67"/>
      <c r="L440" s="64"/>
      <c r="M440" s="64"/>
      <c r="N440" s="64"/>
      <c r="O440" s="64"/>
      <c r="P440" s="67"/>
      <c r="Q440" s="64"/>
      <c r="R440" s="64"/>
      <c r="S440" s="64"/>
      <c r="T440" s="64"/>
      <c r="U440" s="64"/>
      <c r="V440" s="67"/>
      <c r="W440" s="64"/>
      <c r="X440" s="64"/>
      <c r="Y440" s="64"/>
      <c r="Z440" s="64"/>
      <c r="AA440" s="64"/>
      <c r="AB440" s="67"/>
      <c r="AC440" s="64"/>
      <c r="AD440" s="64"/>
      <c r="AE440" s="64"/>
      <c r="AF440" s="64"/>
      <c r="AG440" s="64"/>
      <c r="AH440" s="67"/>
      <c r="AI440" s="64"/>
      <c r="AJ440" s="64"/>
      <c r="AK440" s="64"/>
      <c r="AL440" s="64"/>
      <c r="AM440" s="64"/>
      <c r="AN440" s="67"/>
      <c r="AO440" s="64"/>
      <c r="AP440" s="64"/>
      <c r="AQ440" s="64"/>
      <c r="AR440" s="64"/>
      <c r="AS440" s="64"/>
      <c r="AT440" s="64"/>
      <c r="AU440" s="64"/>
      <c r="AV440" s="64"/>
      <c r="AW440" s="64"/>
      <c r="AX440" s="64"/>
      <c r="AY440" s="64"/>
      <c r="AZ440" s="64"/>
      <c r="BA440" s="64"/>
      <c r="BB440" s="64"/>
      <c r="BC440" s="64"/>
      <c r="BD440" s="64"/>
      <c r="BE440" s="657"/>
      <c r="BF440" s="67"/>
      <c r="BG440" s="64"/>
      <c r="BH440" s="64"/>
      <c r="BI440" s="64"/>
      <c r="BJ440" s="64"/>
      <c r="BK440" s="64"/>
      <c r="BL440" s="64"/>
      <c r="BM440" s="64"/>
      <c r="BN440" s="64"/>
      <c r="BO440" s="64"/>
      <c r="BP440" s="64"/>
      <c r="BQ440" s="64"/>
      <c r="BR440" s="69"/>
      <c r="BS440" s="69"/>
      <c r="BT440" s="64"/>
    </row>
    <row r="441" spans="1:72" ht="12.75" customHeight="1">
      <c r="A441" s="64"/>
      <c r="B441" s="64"/>
      <c r="C441" s="64"/>
      <c r="D441" s="64"/>
      <c r="E441" s="64"/>
      <c r="F441" s="67"/>
      <c r="G441" s="64"/>
      <c r="H441" s="64"/>
      <c r="I441" s="64"/>
      <c r="J441" s="64"/>
      <c r="K441" s="67"/>
      <c r="L441" s="64"/>
      <c r="M441" s="64"/>
      <c r="N441" s="64"/>
      <c r="O441" s="64"/>
      <c r="P441" s="67"/>
      <c r="Q441" s="64"/>
      <c r="R441" s="64"/>
      <c r="S441" s="64"/>
      <c r="T441" s="64"/>
      <c r="U441" s="64"/>
      <c r="V441" s="67"/>
      <c r="W441" s="64"/>
      <c r="X441" s="64"/>
      <c r="Y441" s="64"/>
      <c r="Z441" s="64"/>
      <c r="AA441" s="64"/>
      <c r="AB441" s="67"/>
      <c r="AC441" s="64"/>
      <c r="AD441" s="64"/>
      <c r="AE441" s="64"/>
      <c r="AF441" s="64"/>
      <c r="AG441" s="64"/>
      <c r="AH441" s="67"/>
      <c r="AI441" s="64"/>
      <c r="AJ441" s="64"/>
      <c r="AK441" s="64"/>
      <c r="AL441" s="64"/>
      <c r="AM441" s="64"/>
      <c r="AN441" s="67"/>
      <c r="AO441" s="64"/>
      <c r="AP441" s="64"/>
      <c r="AQ441" s="64"/>
      <c r="AR441" s="64"/>
      <c r="AS441" s="64"/>
      <c r="AT441" s="64"/>
      <c r="AU441" s="64"/>
      <c r="AV441" s="64"/>
      <c r="AW441" s="64"/>
      <c r="AX441" s="64"/>
      <c r="AY441" s="64"/>
      <c r="AZ441" s="64"/>
      <c r="BA441" s="64"/>
      <c r="BB441" s="64"/>
      <c r="BC441" s="64"/>
      <c r="BD441" s="64"/>
      <c r="BE441" s="657"/>
      <c r="BF441" s="67"/>
      <c r="BG441" s="64"/>
      <c r="BH441" s="64"/>
      <c r="BI441" s="64"/>
      <c r="BJ441" s="64"/>
      <c r="BK441" s="64"/>
      <c r="BL441" s="64"/>
      <c r="BM441" s="64"/>
      <c r="BN441" s="64"/>
      <c r="BO441" s="64"/>
      <c r="BP441" s="64"/>
      <c r="BQ441" s="64"/>
      <c r="BR441" s="69"/>
      <c r="BS441" s="69"/>
      <c r="BT441" s="64"/>
    </row>
    <row r="442" spans="1:72" ht="12.75" customHeight="1">
      <c r="A442" s="64"/>
      <c r="B442" s="64"/>
      <c r="C442" s="64"/>
      <c r="D442" s="64"/>
      <c r="E442" s="64"/>
      <c r="F442" s="67"/>
      <c r="G442" s="64"/>
      <c r="H442" s="64"/>
      <c r="I442" s="64"/>
      <c r="J442" s="64"/>
      <c r="K442" s="67"/>
      <c r="L442" s="64"/>
      <c r="M442" s="64"/>
      <c r="N442" s="64"/>
      <c r="O442" s="64"/>
      <c r="P442" s="67"/>
      <c r="Q442" s="64"/>
      <c r="R442" s="64"/>
      <c r="S442" s="64"/>
      <c r="T442" s="64"/>
      <c r="U442" s="64"/>
      <c r="V442" s="67"/>
      <c r="W442" s="64"/>
      <c r="X442" s="64"/>
      <c r="Y442" s="64"/>
      <c r="Z442" s="64"/>
      <c r="AA442" s="64"/>
      <c r="AB442" s="67"/>
      <c r="AC442" s="64"/>
      <c r="AD442" s="64"/>
      <c r="AE442" s="64"/>
      <c r="AF442" s="64"/>
      <c r="AG442" s="64"/>
      <c r="AH442" s="67"/>
      <c r="AI442" s="64"/>
      <c r="AJ442" s="64"/>
      <c r="AK442" s="64"/>
      <c r="AL442" s="64"/>
      <c r="AM442" s="64"/>
      <c r="AN442" s="67"/>
      <c r="AO442" s="64"/>
      <c r="AP442" s="64"/>
      <c r="AQ442" s="64"/>
      <c r="AR442" s="64"/>
      <c r="AS442" s="64"/>
      <c r="AT442" s="64"/>
      <c r="AU442" s="64"/>
      <c r="AV442" s="64"/>
      <c r="AW442" s="64"/>
      <c r="AX442" s="64"/>
      <c r="AY442" s="64"/>
      <c r="AZ442" s="64"/>
      <c r="BA442" s="64"/>
      <c r="BB442" s="64"/>
      <c r="BC442" s="64"/>
      <c r="BD442" s="64"/>
      <c r="BE442" s="657"/>
      <c r="BF442" s="67"/>
      <c r="BG442" s="64"/>
      <c r="BH442" s="64"/>
      <c r="BI442" s="64"/>
      <c r="BJ442" s="64"/>
      <c r="BK442" s="64"/>
      <c r="BL442" s="64"/>
      <c r="BM442" s="64"/>
      <c r="BN442" s="64"/>
      <c r="BO442" s="64"/>
      <c r="BP442" s="64"/>
      <c r="BQ442" s="64"/>
      <c r="BR442" s="69"/>
      <c r="BS442" s="69"/>
      <c r="BT442" s="64"/>
    </row>
    <row r="443" spans="1:72" ht="12.75" customHeight="1">
      <c r="A443" s="64"/>
      <c r="B443" s="64"/>
      <c r="C443" s="64"/>
      <c r="D443" s="64"/>
      <c r="E443" s="64"/>
      <c r="F443" s="67"/>
      <c r="G443" s="64"/>
      <c r="H443" s="64"/>
      <c r="I443" s="64"/>
      <c r="J443" s="64"/>
      <c r="K443" s="67"/>
      <c r="L443" s="64"/>
      <c r="M443" s="64"/>
      <c r="N443" s="64"/>
      <c r="O443" s="64"/>
      <c r="P443" s="67"/>
      <c r="Q443" s="64"/>
      <c r="R443" s="64"/>
      <c r="S443" s="64"/>
      <c r="T443" s="64"/>
      <c r="U443" s="64"/>
      <c r="V443" s="67"/>
      <c r="W443" s="64"/>
      <c r="X443" s="64"/>
      <c r="Y443" s="64"/>
      <c r="Z443" s="64"/>
      <c r="AA443" s="64"/>
      <c r="AB443" s="67"/>
      <c r="AC443" s="64"/>
      <c r="AD443" s="64"/>
      <c r="AE443" s="64"/>
      <c r="AF443" s="64"/>
      <c r="AG443" s="64"/>
      <c r="AH443" s="67"/>
      <c r="AI443" s="64"/>
      <c r="AJ443" s="64"/>
      <c r="AK443" s="64"/>
      <c r="AL443" s="64"/>
      <c r="AM443" s="64"/>
      <c r="AN443" s="67"/>
      <c r="AO443" s="64"/>
      <c r="AP443" s="64"/>
      <c r="AQ443" s="64"/>
      <c r="AR443" s="64"/>
      <c r="AS443" s="64"/>
      <c r="AT443" s="64"/>
      <c r="AU443" s="64"/>
      <c r="AV443" s="64"/>
      <c r="AW443" s="64"/>
      <c r="AX443" s="64"/>
      <c r="AY443" s="64"/>
      <c r="AZ443" s="64"/>
      <c r="BA443" s="64"/>
      <c r="BB443" s="64"/>
      <c r="BC443" s="64"/>
      <c r="BD443" s="64"/>
      <c r="BE443" s="657"/>
      <c r="BF443" s="67"/>
      <c r="BG443" s="64"/>
      <c r="BH443" s="64"/>
      <c r="BI443" s="64"/>
      <c r="BJ443" s="64"/>
      <c r="BK443" s="64"/>
      <c r="BL443" s="64"/>
      <c r="BM443" s="64"/>
      <c r="BN443" s="64"/>
      <c r="BO443" s="64"/>
      <c r="BP443" s="64"/>
      <c r="BQ443" s="64"/>
      <c r="BR443" s="69"/>
      <c r="BS443" s="69"/>
      <c r="BT443" s="64"/>
    </row>
    <row r="444" spans="1:72" ht="12.75" customHeight="1">
      <c r="A444" s="64"/>
      <c r="B444" s="64"/>
      <c r="C444" s="64"/>
      <c r="D444" s="64"/>
      <c r="E444" s="64"/>
      <c r="F444" s="67"/>
      <c r="G444" s="64"/>
      <c r="H444" s="64"/>
      <c r="I444" s="64"/>
      <c r="J444" s="64"/>
      <c r="K444" s="67"/>
      <c r="L444" s="64"/>
      <c r="M444" s="64"/>
      <c r="N444" s="64"/>
      <c r="O444" s="64"/>
      <c r="P444" s="67"/>
      <c r="Q444" s="64"/>
      <c r="R444" s="64"/>
      <c r="S444" s="64"/>
      <c r="T444" s="64"/>
      <c r="U444" s="64"/>
      <c r="V444" s="67"/>
      <c r="W444" s="64"/>
      <c r="X444" s="64"/>
      <c r="Y444" s="64"/>
      <c r="Z444" s="64"/>
      <c r="AA444" s="64"/>
      <c r="AB444" s="67"/>
      <c r="AC444" s="64"/>
      <c r="AD444" s="64"/>
      <c r="AE444" s="64"/>
      <c r="AF444" s="64"/>
      <c r="AG444" s="64"/>
      <c r="AH444" s="67"/>
      <c r="AI444" s="64"/>
      <c r="AJ444" s="64"/>
      <c r="AK444" s="64"/>
      <c r="AL444" s="64"/>
      <c r="AM444" s="64"/>
      <c r="AN444" s="67"/>
      <c r="AO444" s="64"/>
      <c r="AP444" s="64"/>
      <c r="AQ444" s="64"/>
      <c r="AR444" s="64"/>
      <c r="AS444" s="64"/>
      <c r="AT444" s="64"/>
      <c r="AU444" s="64"/>
      <c r="AV444" s="64"/>
      <c r="AW444" s="64"/>
      <c r="AX444" s="64"/>
      <c r="AY444" s="64"/>
      <c r="AZ444" s="64"/>
      <c r="BA444" s="64"/>
      <c r="BB444" s="64"/>
      <c r="BC444" s="64"/>
      <c r="BD444" s="64"/>
      <c r="BE444" s="657"/>
      <c r="BF444" s="67"/>
      <c r="BG444" s="64"/>
      <c r="BH444" s="64"/>
      <c r="BI444" s="64"/>
      <c r="BJ444" s="64"/>
      <c r="BK444" s="64"/>
      <c r="BL444" s="64"/>
      <c r="BM444" s="64"/>
      <c r="BN444" s="64"/>
      <c r="BO444" s="64"/>
      <c r="BP444" s="64"/>
      <c r="BQ444" s="64"/>
      <c r="BR444" s="69"/>
      <c r="BS444" s="69"/>
      <c r="BT444" s="64"/>
    </row>
    <row r="445" spans="1:72" ht="12.75" customHeight="1">
      <c r="A445" s="64"/>
      <c r="B445" s="64"/>
      <c r="C445" s="64"/>
      <c r="D445" s="64"/>
      <c r="E445" s="64"/>
      <c r="F445" s="67"/>
      <c r="G445" s="64"/>
      <c r="H445" s="64"/>
      <c r="I445" s="64"/>
      <c r="J445" s="64"/>
      <c r="K445" s="67"/>
      <c r="L445" s="64"/>
      <c r="M445" s="64"/>
      <c r="N445" s="64"/>
      <c r="O445" s="64"/>
      <c r="P445" s="67"/>
      <c r="Q445" s="64"/>
      <c r="R445" s="64"/>
      <c r="S445" s="64"/>
      <c r="T445" s="64"/>
      <c r="U445" s="64"/>
      <c r="V445" s="67"/>
      <c r="W445" s="64"/>
      <c r="X445" s="64"/>
      <c r="Y445" s="64"/>
      <c r="Z445" s="64"/>
      <c r="AA445" s="64"/>
      <c r="AB445" s="67"/>
      <c r="AC445" s="64"/>
      <c r="AD445" s="64"/>
      <c r="AE445" s="64"/>
      <c r="AF445" s="64"/>
      <c r="AG445" s="64"/>
      <c r="AH445" s="67"/>
      <c r="AI445" s="64"/>
      <c r="AJ445" s="64"/>
      <c r="AK445" s="64"/>
      <c r="AL445" s="64"/>
      <c r="AM445" s="64"/>
      <c r="AN445" s="67"/>
      <c r="AO445" s="64"/>
      <c r="AP445" s="64"/>
      <c r="AQ445" s="64"/>
      <c r="AR445" s="64"/>
      <c r="AS445" s="64"/>
      <c r="AT445" s="64"/>
      <c r="AU445" s="64"/>
      <c r="AV445" s="64"/>
      <c r="AW445" s="64"/>
      <c r="AX445" s="64"/>
      <c r="AY445" s="64"/>
      <c r="AZ445" s="64"/>
      <c r="BA445" s="64"/>
      <c r="BB445" s="64"/>
      <c r="BC445" s="64"/>
      <c r="BD445" s="64"/>
      <c r="BE445" s="657"/>
      <c r="BF445" s="67"/>
      <c r="BG445" s="64"/>
      <c r="BH445" s="64"/>
      <c r="BI445" s="64"/>
      <c r="BJ445" s="64"/>
      <c r="BK445" s="64"/>
      <c r="BL445" s="64"/>
      <c r="BM445" s="64"/>
      <c r="BN445" s="64"/>
      <c r="BO445" s="64"/>
      <c r="BP445" s="64"/>
      <c r="BQ445" s="64"/>
      <c r="BR445" s="69"/>
      <c r="BS445" s="69"/>
      <c r="BT445" s="64"/>
    </row>
    <row r="446" spans="1:72" ht="12.75" customHeight="1">
      <c r="A446" s="64"/>
      <c r="B446" s="64"/>
      <c r="C446" s="64"/>
      <c r="D446" s="64"/>
      <c r="E446" s="64"/>
      <c r="F446" s="67"/>
      <c r="G446" s="64"/>
      <c r="H446" s="64"/>
      <c r="I446" s="64"/>
      <c r="J446" s="64"/>
      <c r="K446" s="67"/>
      <c r="L446" s="64"/>
      <c r="M446" s="64"/>
      <c r="N446" s="64"/>
      <c r="O446" s="64"/>
      <c r="P446" s="67"/>
      <c r="Q446" s="64"/>
      <c r="R446" s="64"/>
      <c r="S446" s="64"/>
      <c r="T446" s="64"/>
      <c r="U446" s="64"/>
      <c r="V446" s="67"/>
      <c r="W446" s="64"/>
      <c r="X446" s="64"/>
      <c r="Y446" s="64"/>
      <c r="Z446" s="64"/>
      <c r="AA446" s="64"/>
      <c r="AB446" s="67"/>
      <c r="AC446" s="64"/>
      <c r="AD446" s="64"/>
      <c r="AE446" s="64"/>
      <c r="AF446" s="64"/>
      <c r="AG446" s="64"/>
      <c r="AH446" s="67"/>
      <c r="AI446" s="64"/>
      <c r="AJ446" s="64"/>
      <c r="AK446" s="64"/>
      <c r="AL446" s="64"/>
      <c r="AM446" s="64"/>
      <c r="AN446" s="67"/>
      <c r="AO446" s="64"/>
      <c r="AP446" s="64"/>
      <c r="AQ446" s="64"/>
      <c r="AR446" s="64"/>
      <c r="AS446" s="64"/>
      <c r="AT446" s="64"/>
      <c r="AU446" s="64"/>
      <c r="AV446" s="64"/>
      <c r="AW446" s="64"/>
      <c r="AX446" s="64"/>
      <c r="AY446" s="64"/>
      <c r="AZ446" s="64"/>
      <c r="BA446" s="64"/>
      <c r="BB446" s="64"/>
      <c r="BC446" s="64"/>
      <c r="BD446" s="64"/>
      <c r="BE446" s="657"/>
      <c r="BF446" s="67"/>
      <c r="BG446" s="64"/>
      <c r="BH446" s="64"/>
      <c r="BI446" s="64"/>
      <c r="BJ446" s="64"/>
      <c r="BK446" s="64"/>
      <c r="BL446" s="64"/>
      <c r="BM446" s="64"/>
      <c r="BN446" s="64"/>
      <c r="BO446" s="64"/>
      <c r="BP446" s="64"/>
      <c r="BQ446" s="64"/>
      <c r="BR446" s="69"/>
      <c r="BS446" s="69"/>
      <c r="BT446" s="64"/>
    </row>
    <row r="447" spans="1:72" ht="12.75" customHeight="1">
      <c r="A447" s="64"/>
      <c r="B447" s="64"/>
      <c r="C447" s="64"/>
      <c r="D447" s="64"/>
      <c r="E447" s="64"/>
      <c r="F447" s="67"/>
      <c r="G447" s="64"/>
      <c r="H447" s="64"/>
      <c r="I447" s="64"/>
      <c r="J447" s="64"/>
      <c r="K447" s="67"/>
      <c r="L447" s="64"/>
      <c r="M447" s="64"/>
      <c r="N447" s="64"/>
      <c r="O447" s="64"/>
      <c r="P447" s="67"/>
      <c r="Q447" s="64"/>
      <c r="R447" s="64"/>
      <c r="S447" s="64"/>
      <c r="T447" s="64"/>
      <c r="U447" s="64"/>
      <c r="V447" s="67"/>
      <c r="W447" s="64"/>
      <c r="X447" s="64"/>
      <c r="Y447" s="64"/>
      <c r="Z447" s="64"/>
      <c r="AA447" s="64"/>
      <c r="AB447" s="67"/>
      <c r="AC447" s="64"/>
      <c r="AD447" s="64"/>
      <c r="AE447" s="64"/>
      <c r="AF447" s="64"/>
      <c r="AG447" s="64"/>
      <c r="AH447" s="67"/>
      <c r="AI447" s="64"/>
      <c r="AJ447" s="64"/>
      <c r="AK447" s="64"/>
      <c r="AL447" s="64"/>
      <c r="AM447" s="64"/>
      <c r="AN447" s="67"/>
      <c r="AO447" s="64"/>
      <c r="AP447" s="64"/>
      <c r="AQ447" s="64"/>
      <c r="AR447" s="64"/>
      <c r="AS447" s="64"/>
      <c r="AT447" s="64"/>
      <c r="AU447" s="64"/>
      <c r="AV447" s="64"/>
      <c r="AW447" s="64"/>
      <c r="AX447" s="64"/>
      <c r="AY447" s="64"/>
      <c r="AZ447" s="64"/>
      <c r="BA447" s="64"/>
      <c r="BB447" s="64"/>
      <c r="BC447" s="64"/>
      <c r="BD447" s="64"/>
      <c r="BE447" s="657"/>
      <c r="BF447" s="67"/>
      <c r="BG447" s="64"/>
      <c r="BH447" s="64"/>
      <c r="BI447" s="64"/>
      <c r="BJ447" s="64"/>
      <c r="BK447" s="64"/>
      <c r="BL447" s="64"/>
      <c r="BM447" s="64"/>
      <c r="BN447" s="64"/>
      <c r="BO447" s="64"/>
      <c r="BP447" s="64"/>
      <c r="BQ447" s="64"/>
      <c r="BR447" s="69"/>
      <c r="BS447" s="69"/>
      <c r="BT447" s="64"/>
    </row>
    <row r="448" spans="1:72" ht="12.75" customHeight="1">
      <c r="A448" s="64"/>
      <c r="B448" s="64"/>
      <c r="C448" s="64"/>
      <c r="D448" s="64"/>
      <c r="E448" s="64"/>
      <c r="F448" s="67"/>
      <c r="G448" s="64"/>
      <c r="H448" s="64"/>
      <c r="I448" s="64"/>
      <c r="J448" s="64"/>
      <c r="K448" s="67"/>
      <c r="L448" s="64"/>
      <c r="M448" s="64"/>
      <c r="N448" s="64"/>
      <c r="O448" s="64"/>
      <c r="P448" s="67"/>
      <c r="Q448" s="64"/>
      <c r="R448" s="64"/>
      <c r="S448" s="64"/>
      <c r="T448" s="64"/>
      <c r="U448" s="64"/>
      <c r="V448" s="67"/>
      <c r="W448" s="64"/>
      <c r="X448" s="64"/>
      <c r="Y448" s="64"/>
      <c r="Z448" s="64"/>
      <c r="AA448" s="64"/>
      <c r="AB448" s="67"/>
      <c r="AC448" s="64"/>
      <c r="AD448" s="64"/>
      <c r="AE448" s="64"/>
      <c r="AF448" s="64"/>
      <c r="AG448" s="64"/>
      <c r="AH448" s="67"/>
      <c r="AI448" s="64"/>
      <c r="AJ448" s="64"/>
      <c r="AK448" s="64"/>
      <c r="AL448" s="64"/>
      <c r="AM448" s="64"/>
      <c r="AN448" s="67"/>
      <c r="AO448" s="64"/>
      <c r="AP448" s="64"/>
      <c r="AQ448" s="64"/>
      <c r="AR448" s="64"/>
      <c r="AS448" s="64"/>
      <c r="AT448" s="64"/>
      <c r="AU448" s="64"/>
      <c r="AV448" s="64"/>
      <c r="AW448" s="64"/>
      <c r="AX448" s="64"/>
      <c r="AY448" s="64"/>
      <c r="AZ448" s="64"/>
      <c r="BA448" s="64"/>
      <c r="BB448" s="64"/>
      <c r="BC448" s="64"/>
      <c r="BD448" s="64"/>
      <c r="BE448" s="657"/>
      <c r="BF448" s="67"/>
      <c r="BG448" s="64"/>
      <c r="BH448" s="64"/>
      <c r="BI448" s="64"/>
      <c r="BJ448" s="64"/>
      <c r="BK448" s="64"/>
      <c r="BL448" s="64"/>
      <c r="BM448" s="64"/>
      <c r="BN448" s="64"/>
      <c r="BO448" s="64"/>
      <c r="BP448" s="64"/>
      <c r="BQ448" s="64"/>
      <c r="BR448" s="69"/>
      <c r="BS448" s="69"/>
      <c r="BT448" s="64"/>
    </row>
    <row r="449" spans="1:72" ht="12.75" customHeight="1">
      <c r="A449" s="64"/>
      <c r="B449" s="64"/>
      <c r="C449" s="64"/>
      <c r="D449" s="64"/>
      <c r="E449" s="64"/>
      <c r="F449" s="67"/>
      <c r="G449" s="64"/>
      <c r="H449" s="64"/>
      <c r="I449" s="64"/>
      <c r="J449" s="64"/>
      <c r="K449" s="67"/>
      <c r="L449" s="64"/>
      <c r="M449" s="64"/>
      <c r="N449" s="64"/>
      <c r="O449" s="64"/>
      <c r="P449" s="67"/>
      <c r="Q449" s="64"/>
      <c r="R449" s="64"/>
      <c r="S449" s="64"/>
      <c r="T449" s="64"/>
      <c r="U449" s="64"/>
      <c r="V449" s="67"/>
      <c r="W449" s="64"/>
      <c r="X449" s="64"/>
      <c r="Y449" s="64"/>
      <c r="Z449" s="64"/>
      <c r="AA449" s="64"/>
      <c r="AB449" s="67"/>
      <c r="AC449" s="64"/>
      <c r="AD449" s="64"/>
      <c r="AE449" s="64"/>
      <c r="AF449" s="64"/>
      <c r="AG449" s="64"/>
      <c r="AH449" s="67"/>
      <c r="AI449" s="64"/>
      <c r="AJ449" s="64"/>
      <c r="AK449" s="64"/>
      <c r="AL449" s="64"/>
      <c r="AM449" s="64"/>
      <c r="AN449" s="67"/>
      <c r="AO449" s="64"/>
      <c r="AP449" s="64"/>
      <c r="AQ449" s="64"/>
      <c r="AR449" s="64"/>
      <c r="AS449" s="64"/>
      <c r="AT449" s="64"/>
      <c r="AU449" s="64"/>
      <c r="AV449" s="64"/>
      <c r="AW449" s="64"/>
      <c r="AX449" s="64"/>
      <c r="AY449" s="64"/>
      <c r="AZ449" s="64"/>
      <c r="BA449" s="64"/>
      <c r="BB449" s="64"/>
      <c r="BC449" s="64"/>
      <c r="BD449" s="64"/>
      <c r="BE449" s="657"/>
      <c r="BF449" s="67"/>
      <c r="BG449" s="64"/>
      <c r="BH449" s="64"/>
      <c r="BI449" s="64"/>
      <c r="BJ449" s="64"/>
      <c r="BK449" s="64"/>
      <c r="BL449" s="64"/>
      <c r="BM449" s="64"/>
      <c r="BN449" s="64"/>
      <c r="BO449" s="64"/>
      <c r="BP449" s="64"/>
      <c r="BQ449" s="64"/>
      <c r="BR449" s="69"/>
      <c r="BS449" s="69"/>
      <c r="BT449" s="64"/>
    </row>
    <row r="450" spans="1:72" ht="12.75" customHeight="1">
      <c r="A450" s="64"/>
      <c r="B450" s="64"/>
      <c r="C450" s="64"/>
      <c r="D450" s="64"/>
      <c r="E450" s="64"/>
      <c r="F450" s="67"/>
      <c r="G450" s="64"/>
      <c r="H450" s="64"/>
      <c r="I450" s="64"/>
      <c r="J450" s="64"/>
      <c r="K450" s="67"/>
      <c r="L450" s="64"/>
      <c r="M450" s="64"/>
      <c r="N450" s="64"/>
      <c r="O450" s="64"/>
      <c r="P450" s="67"/>
      <c r="Q450" s="64"/>
      <c r="R450" s="64"/>
      <c r="S450" s="64"/>
      <c r="T450" s="64"/>
      <c r="U450" s="64"/>
      <c r="V450" s="67"/>
      <c r="W450" s="64"/>
      <c r="X450" s="64"/>
      <c r="Y450" s="64"/>
      <c r="Z450" s="64"/>
      <c r="AA450" s="64"/>
      <c r="AB450" s="67"/>
      <c r="AC450" s="64"/>
      <c r="AD450" s="64"/>
      <c r="AE450" s="64"/>
      <c r="AF450" s="64"/>
      <c r="AG450" s="64"/>
      <c r="AH450" s="67"/>
      <c r="AI450" s="64"/>
      <c r="AJ450" s="64"/>
      <c r="AK450" s="64"/>
      <c r="AL450" s="64"/>
      <c r="AM450" s="64"/>
      <c r="AN450" s="67"/>
      <c r="AO450" s="64"/>
      <c r="AP450" s="64"/>
      <c r="AQ450" s="64"/>
      <c r="AR450" s="64"/>
      <c r="AS450" s="64"/>
      <c r="AT450" s="64"/>
      <c r="AU450" s="64"/>
      <c r="AV450" s="64"/>
      <c r="AW450" s="64"/>
      <c r="AX450" s="64"/>
      <c r="AY450" s="64"/>
      <c r="AZ450" s="64"/>
      <c r="BA450" s="64"/>
      <c r="BB450" s="64"/>
      <c r="BC450" s="64"/>
      <c r="BD450" s="64"/>
      <c r="BE450" s="657"/>
      <c r="BF450" s="67"/>
      <c r="BG450" s="64"/>
      <c r="BH450" s="64"/>
      <c r="BI450" s="64"/>
      <c r="BJ450" s="64"/>
      <c r="BK450" s="64"/>
      <c r="BL450" s="64"/>
      <c r="BM450" s="64"/>
      <c r="BN450" s="64"/>
      <c r="BO450" s="64"/>
      <c r="BP450" s="64"/>
      <c r="BQ450" s="64"/>
      <c r="BR450" s="69"/>
      <c r="BS450" s="69"/>
      <c r="BT450" s="64"/>
    </row>
    <row r="451" spans="1:72" ht="12.75" customHeight="1">
      <c r="A451" s="64"/>
      <c r="B451" s="64"/>
      <c r="C451" s="64"/>
      <c r="D451" s="64"/>
      <c r="E451" s="64"/>
      <c r="F451" s="67"/>
      <c r="G451" s="64"/>
      <c r="H451" s="64"/>
      <c r="I451" s="64"/>
      <c r="J451" s="64"/>
      <c r="K451" s="67"/>
      <c r="L451" s="64"/>
      <c r="M451" s="64"/>
      <c r="N451" s="64"/>
      <c r="O451" s="64"/>
      <c r="P451" s="67"/>
      <c r="Q451" s="64"/>
      <c r="R451" s="64"/>
      <c r="S451" s="64"/>
      <c r="T451" s="64"/>
      <c r="U451" s="64"/>
      <c r="V451" s="67"/>
      <c r="W451" s="64"/>
      <c r="X451" s="64"/>
      <c r="Y451" s="64"/>
      <c r="Z451" s="64"/>
      <c r="AA451" s="64"/>
      <c r="AB451" s="67"/>
      <c r="AC451" s="64"/>
      <c r="AD451" s="64"/>
      <c r="AE451" s="64"/>
      <c r="AF451" s="64"/>
      <c r="AG451" s="64"/>
      <c r="AH451" s="67"/>
      <c r="AI451" s="64"/>
      <c r="AJ451" s="64"/>
      <c r="AK451" s="64"/>
      <c r="AL451" s="64"/>
      <c r="AM451" s="64"/>
      <c r="AN451" s="67"/>
      <c r="AO451" s="64"/>
      <c r="AP451" s="64"/>
      <c r="AQ451" s="64"/>
      <c r="AR451" s="64"/>
      <c r="AS451" s="64"/>
      <c r="AT451" s="64"/>
      <c r="AU451" s="64"/>
      <c r="AV451" s="64"/>
      <c r="AW451" s="64"/>
      <c r="AX451" s="64"/>
      <c r="AY451" s="64"/>
      <c r="AZ451" s="64"/>
      <c r="BA451" s="64"/>
      <c r="BB451" s="64"/>
      <c r="BC451" s="64"/>
      <c r="BD451" s="64"/>
      <c r="BE451" s="657"/>
      <c r="BF451" s="67"/>
      <c r="BG451" s="64"/>
      <c r="BH451" s="64"/>
      <c r="BI451" s="64"/>
      <c r="BJ451" s="64"/>
      <c r="BK451" s="64"/>
      <c r="BL451" s="64"/>
      <c r="BM451" s="64"/>
      <c r="BN451" s="64"/>
      <c r="BO451" s="64"/>
      <c r="BP451" s="64"/>
      <c r="BQ451" s="64"/>
      <c r="BR451" s="69"/>
      <c r="BS451" s="69"/>
      <c r="BT451" s="64"/>
    </row>
    <row r="452" spans="1:72" ht="12.75" customHeight="1">
      <c r="A452" s="64"/>
      <c r="B452" s="64"/>
      <c r="C452" s="64"/>
      <c r="D452" s="64"/>
      <c r="E452" s="64"/>
      <c r="F452" s="67"/>
      <c r="G452" s="64"/>
      <c r="H452" s="64"/>
      <c r="I452" s="64"/>
      <c r="J452" s="64"/>
      <c r="K452" s="67"/>
      <c r="L452" s="64"/>
      <c r="M452" s="64"/>
      <c r="N452" s="64"/>
      <c r="O452" s="64"/>
      <c r="P452" s="67"/>
      <c r="Q452" s="64"/>
      <c r="R452" s="64"/>
      <c r="S452" s="64"/>
      <c r="T452" s="64"/>
      <c r="U452" s="64"/>
      <c r="V452" s="67"/>
      <c r="W452" s="64"/>
      <c r="X452" s="64"/>
      <c r="Y452" s="64"/>
      <c r="Z452" s="64"/>
      <c r="AA452" s="64"/>
      <c r="AB452" s="67"/>
      <c r="AC452" s="64"/>
      <c r="AD452" s="64"/>
      <c r="AE452" s="64"/>
      <c r="AF452" s="64"/>
      <c r="AG452" s="64"/>
      <c r="AH452" s="67"/>
      <c r="AI452" s="64"/>
      <c r="AJ452" s="64"/>
      <c r="AK452" s="64"/>
      <c r="AL452" s="64"/>
      <c r="AM452" s="64"/>
      <c r="AN452" s="67"/>
      <c r="AO452" s="64"/>
      <c r="AP452" s="64"/>
      <c r="AQ452" s="64"/>
      <c r="AR452" s="64"/>
      <c r="AS452" s="64"/>
      <c r="AT452" s="64"/>
      <c r="AU452" s="64"/>
      <c r="AV452" s="64"/>
      <c r="AW452" s="64"/>
      <c r="AX452" s="64"/>
      <c r="AY452" s="64"/>
      <c r="AZ452" s="64"/>
      <c r="BA452" s="64"/>
      <c r="BB452" s="64"/>
      <c r="BC452" s="64"/>
      <c r="BD452" s="64"/>
      <c r="BE452" s="657"/>
      <c r="BF452" s="67"/>
      <c r="BG452" s="64"/>
      <c r="BH452" s="64"/>
      <c r="BI452" s="64"/>
      <c r="BJ452" s="64"/>
      <c r="BK452" s="64"/>
      <c r="BL452" s="64"/>
      <c r="BM452" s="64"/>
      <c r="BN452" s="64"/>
      <c r="BO452" s="64"/>
      <c r="BP452" s="64"/>
      <c r="BQ452" s="64"/>
      <c r="BR452" s="69"/>
      <c r="BS452" s="69"/>
      <c r="BT452" s="64"/>
    </row>
    <row r="453" spans="1:72" ht="12.75" customHeight="1">
      <c r="A453" s="64"/>
      <c r="B453" s="64"/>
      <c r="C453" s="64"/>
      <c r="D453" s="64"/>
      <c r="E453" s="64"/>
      <c r="F453" s="67"/>
      <c r="G453" s="64"/>
      <c r="H453" s="64"/>
      <c r="I453" s="64"/>
      <c r="J453" s="64"/>
      <c r="K453" s="67"/>
      <c r="L453" s="64"/>
      <c r="M453" s="64"/>
      <c r="N453" s="64"/>
      <c r="O453" s="64"/>
      <c r="P453" s="67"/>
      <c r="Q453" s="64"/>
      <c r="R453" s="64"/>
      <c r="S453" s="64"/>
      <c r="T453" s="64"/>
      <c r="U453" s="64"/>
      <c r="V453" s="67"/>
      <c r="W453" s="64"/>
      <c r="X453" s="64"/>
      <c r="Y453" s="64"/>
      <c r="Z453" s="64"/>
      <c r="AA453" s="64"/>
      <c r="AB453" s="67"/>
      <c r="AC453" s="64"/>
      <c r="AD453" s="64"/>
      <c r="AE453" s="64"/>
      <c r="AF453" s="64"/>
      <c r="AG453" s="64"/>
      <c r="AH453" s="67"/>
      <c r="AI453" s="64"/>
      <c r="AJ453" s="64"/>
      <c r="AK453" s="64"/>
      <c r="AL453" s="64"/>
      <c r="AM453" s="64"/>
      <c r="AN453" s="67"/>
      <c r="AO453" s="64"/>
      <c r="AP453" s="64"/>
      <c r="AQ453" s="64"/>
      <c r="AR453" s="64"/>
      <c r="AS453" s="64"/>
      <c r="AT453" s="64"/>
      <c r="AU453" s="64"/>
      <c r="AV453" s="64"/>
      <c r="AW453" s="64"/>
      <c r="AX453" s="64"/>
      <c r="AY453" s="64"/>
      <c r="AZ453" s="64"/>
      <c r="BA453" s="64"/>
      <c r="BB453" s="64"/>
      <c r="BC453" s="64"/>
      <c r="BD453" s="64"/>
      <c r="BE453" s="657"/>
      <c r="BF453" s="67"/>
      <c r="BG453" s="64"/>
      <c r="BH453" s="64"/>
      <c r="BI453" s="64"/>
      <c r="BJ453" s="64"/>
      <c r="BK453" s="64"/>
      <c r="BL453" s="64"/>
      <c r="BM453" s="64"/>
      <c r="BN453" s="64"/>
      <c r="BO453" s="64"/>
      <c r="BP453" s="64"/>
      <c r="BQ453" s="64"/>
      <c r="BR453" s="69"/>
      <c r="BS453" s="69"/>
      <c r="BT453" s="64"/>
    </row>
    <row r="454" spans="1:72" ht="12.75" customHeight="1">
      <c r="A454" s="64"/>
      <c r="B454" s="64"/>
      <c r="C454" s="64"/>
      <c r="D454" s="64"/>
      <c r="E454" s="64"/>
      <c r="F454" s="67"/>
      <c r="G454" s="64"/>
      <c r="H454" s="64"/>
      <c r="I454" s="64"/>
      <c r="J454" s="64"/>
      <c r="K454" s="67"/>
      <c r="L454" s="64"/>
      <c r="M454" s="64"/>
      <c r="N454" s="64"/>
      <c r="O454" s="64"/>
      <c r="P454" s="67"/>
      <c r="Q454" s="64"/>
      <c r="R454" s="64"/>
      <c r="S454" s="64"/>
      <c r="T454" s="64"/>
      <c r="U454" s="64"/>
      <c r="V454" s="67"/>
      <c r="W454" s="64"/>
      <c r="X454" s="64"/>
      <c r="Y454" s="64"/>
      <c r="Z454" s="64"/>
      <c r="AA454" s="64"/>
      <c r="AB454" s="67"/>
      <c r="AC454" s="64"/>
      <c r="AD454" s="64"/>
      <c r="AE454" s="64"/>
      <c r="AF454" s="64"/>
      <c r="AG454" s="64"/>
      <c r="AH454" s="67"/>
      <c r="AI454" s="64"/>
      <c r="AJ454" s="64"/>
      <c r="AK454" s="64"/>
      <c r="AL454" s="64"/>
      <c r="AM454" s="64"/>
      <c r="AN454" s="67"/>
      <c r="AO454" s="64"/>
      <c r="AP454" s="64"/>
      <c r="AQ454" s="64"/>
      <c r="AR454" s="64"/>
      <c r="AS454" s="64"/>
      <c r="AT454" s="64"/>
      <c r="AU454" s="64"/>
      <c r="AV454" s="64"/>
      <c r="AW454" s="64"/>
      <c r="AX454" s="64"/>
      <c r="AY454" s="64"/>
      <c r="AZ454" s="64"/>
      <c r="BA454" s="64"/>
      <c r="BB454" s="64"/>
      <c r="BC454" s="64"/>
      <c r="BD454" s="64"/>
      <c r="BE454" s="657"/>
      <c r="BF454" s="67"/>
      <c r="BG454" s="64"/>
      <c r="BH454" s="64"/>
      <c r="BI454" s="64"/>
      <c r="BJ454" s="64"/>
      <c r="BK454" s="64"/>
      <c r="BL454" s="64"/>
      <c r="BM454" s="64"/>
      <c r="BN454" s="64"/>
      <c r="BO454" s="64"/>
      <c r="BP454" s="64"/>
      <c r="BQ454" s="64"/>
      <c r="BR454" s="69"/>
      <c r="BS454" s="69"/>
      <c r="BT454" s="64"/>
    </row>
    <row r="455" spans="1:72" ht="12.75" customHeight="1">
      <c r="A455" s="64"/>
      <c r="B455" s="64"/>
      <c r="C455" s="64"/>
      <c r="D455" s="64"/>
      <c r="E455" s="64"/>
      <c r="F455" s="67"/>
      <c r="G455" s="64"/>
      <c r="H455" s="64"/>
      <c r="I455" s="64"/>
      <c r="J455" s="64"/>
      <c r="K455" s="67"/>
      <c r="L455" s="64"/>
      <c r="M455" s="64"/>
      <c r="N455" s="64"/>
      <c r="O455" s="64"/>
      <c r="P455" s="67"/>
      <c r="Q455" s="64"/>
      <c r="R455" s="64"/>
      <c r="S455" s="64"/>
      <c r="T455" s="64"/>
      <c r="U455" s="64"/>
      <c r="V455" s="67"/>
      <c r="W455" s="64"/>
      <c r="X455" s="64"/>
      <c r="Y455" s="64"/>
      <c r="Z455" s="64"/>
      <c r="AA455" s="64"/>
      <c r="AB455" s="67"/>
      <c r="AC455" s="64"/>
      <c r="AD455" s="64"/>
      <c r="AE455" s="64"/>
      <c r="AF455" s="64"/>
      <c r="AG455" s="64"/>
      <c r="AH455" s="67"/>
      <c r="AI455" s="64"/>
      <c r="AJ455" s="64"/>
      <c r="AK455" s="64"/>
      <c r="AL455" s="64"/>
      <c r="AM455" s="64"/>
      <c r="AN455" s="67"/>
      <c r="AO455" s="64"/>
      <c r="AP455" s="64"/>
      <c r="AQ455" s="64"/>
      <c r="AR455" s="64"/>
      <c r="AS455" s="64"/>
      <c r="AT455" s="64"/>
      <c r="AU455" s="64"/>
      <c r="AV455" s="64"/>
      <c r="AW455" s="64"/>
      <c r="AX455" s="64"/>
      <c r="AY455" s="64"/>
      <c r="AZ455" s="64"/>
      <c r="BA455" s="64"/>
      <c r="BB455" s="64"/>
      <c r="BC455" s="64"/>
      <c r="BD455" s="64"/>
      <c r="BE455" s="657"/>
      <c r="BF455" s="67"/>
      <c r="BG455" s="64"/>
      <c r="BH455" s="64"/>
      <c r="BI455" s="64"/>
      <c r="BJ455" s="64"/>
      <c r="BK455" s="64"/>
      <c r="BL455" s="64"/>
      <c r="BM455" s="64"/>
      <c r="BN455" s="64"/>
      <c r="BO455" s="64"/>
      <c r="BP455" s="64"/>
      <c r="BQ455" s="64"/>
      <c r="BR455" s="69"/>
      <c r="BS455" s="69"/>
      <c r="BT455" s="64"/>
    </row>
    <row r="456" spans="1:72" ht="12.75" customHeight="1">
      <c r="A456" s="64"/>
      <c r="B456" s="64"/>
      <c r="C456" s="64"/>
      <c r="D456" s="64"/>
      <c r="E456" s="64"/>
      <c r="F456" s="67"/>
      <c r="G456" s="64"/>
      <c r="H456" s="64"/>
      <c r="I456" s="64"/>
      <c r="J456" s="64"/>
      <c r="K456" s="67"/>
      <c r="L456" s="64"/>
      <c r="M456" s="64"/>
      <c r="N456" s="64"/>
      <c r="O456" s="64"/>
      <c r="P456" s="67"/>
      <c r="Q456" s="64"/>
      <c r="R456" s="64"/>
      <c r="S456" s="64"/>
      <c r="T456" s="64"/>
      <c r="U456" s="64"/>
      <c r="V456" s="67"/>
      <c r="W456" s="64"/>
      <c r="X456" s="64"/>
      <c r="Y456" s="64"/>
      <c r="Z456" s="64"/>
      <c r="AA456" s="64"/>
      <c r="AB456" s="67"/>
      <c r="AC456" s="64"/>
      <c r="AD456" s="64"/>
      <c r="AE456" s="64"/>
      <c r="AF456" s="64"/>
      <c r="AG456" s="64"/>
      <c r="AH456" s="67"/>
      <c r="AI456" s="64"/>
      <c r="AJ456" s="64"/>
      <c r="AK456" s="64"/>
      <c r="AL456" s="64"/>
      <c r="AM456" s="64"/>
      <c r="AN456" s="67"/>
      <c r="AO456" s="64"/>
      <c r="AP456" s="64"/>
      <c r="AQ456" s="64"/>
      <c r="AR456" s="64"/>
      <c r="AS456" s="64"/>
      <c r="AT456" s="64"/>
      <c r="AU456" s="64"/>
      <c r="AV456" s="64"/>
      <c r="AW456" s="64"/>
      <c r="AX456" s="64"/>
      <c r="AY456" s="64"/>
      <c r="AZ456" s="64"/>
      <c r="BA456" s="64"/>
      <c r="BB456" s="64"/>
      <c r="BC456" s="64"/>
      <c r="BD456" s="64"/>
      <c r="BE456" s="657"/>
      <c r="BF456" s="67"/>
      <c r="BG456" s="64"/>
      <c r="BH456" s="64"/>
      <c r="BI456" s="64"/>
      <c r="BJ456" s="64"/>
      <c r="BK456" s="64"/>
      <c r="BL456" s="64"/>
      <c r="BM456" s="64"/>
      <c r="BN456" s="64"/>
      <c r="BO456" s="64"/>
      <c r="BP456" s="64"/>
      <c r="BQ456" s="64"/>
      <c r="BR456" s="69"/>
      <c r="BS456" s="69"/>
      <c r="BT456" s="64"/>
    </row>
    <row r="457" spans="1:72" ht="12.75" customHeight="1">
      <c r="A457" s="64"/>
      <c r="B457" s="64"/>
      <c r="C457" s="64"/>
      <c r="D457" s="64"/>
      <c r="E457" s="64"/>
      <c r="F457" s="67"/>
      <c r="G457" s="64"/>
      <c r="H457" s="64"/>
      <c r="I457" s="64"/>
      <c r="J457" s="64"/>
      <c r="K457" s="67"/>
      <c r="L457" s="64"/>
      <c r="M457" s="64"/>
      <c r="N457" s="64"/>
      <c r="O457" s="64"/>
      <c r="P457" s="67"/>
      <c r="Q457" s="64"/>
      <c r="R457" s="64"/>
      <c r="S457" s="64"/>
      <c r="T457" s="64"/>
      <c r="U457" s="64"/>
      <c r="V457" s="67"/>
      <c r="W457" s="64"/>
      <c r="X457" s="64"/>
      <c r="Y457" s="64"/>
      <c r="Z457" s="64"/>
      <c r="AA457" s="64"/>
      <c r="AB457" s="67"/>
      <c r="AC457" s="64"/>
      <c r="AD457" s="64"/>
      <c r="AE457" s="64"/>
      <c r="AF457" s="64"/>
      <c r="AG457" s="64"/>
      <c r="AH457" s="67"/>
      <c r="AI457" s="64"/>
      <c r="AJ457" s="64"/>
      <c r="AK457" s="64"/>
      <c r="AL457" s="64"/>
      <c r="AM457" s="64"/>
      <c r="AN457" s="67"/>
      <c r="AO457" s="64"/>
      <c r="AP457" s="64"/>
      <c r="AQ457" s="64"/>
      <c r="AR457" s="64"/>
      <c r="AS457" s="64"/>
      <c r="AT457" s="64"/>
      <c r="AU457" s="64"/>
      <c r="AV457" s="64"/>
      <c r="AW457" s="64"/>
      <c r="AX457" s="64"/>
      <c r="AY457" s="64"/>
      <c r="AZ457" s="64"/>
      <c r="BA457" s="64"/>
      <c r="BB457" s="64"/>
      <c r="BC457" s="64"/>
      <c r="BD457" s="64"/>
      <c r="BE457" s="657"/>
      <c r="BF457" s="67"/>
      <c r="BG457" s="64"/>
      <c r="BH457" s="64"/>
      <c r="BI457" s="64"/>
      <c r="BJ457" s="64"/>
      <c r="BK457" s="64"/>
      <c r="BL457" s="64"/>
      <c r="BM457" s="64"/>
      <c r="BN457" s="64"/>
      <c r="BO457" s="64"/>
      <c r="BP457" s="64"/>
      <c r="BQ457" s="64"/>
      <c r="BR457" s="69"/>
      <c r="BS457" s="69"/>
      <c r="BT457" s="64"/>
    </row>
    <row r="458" spans="1:72" ht="12.75" customHeight="1">
      <c r="A458" s="64"/>
      <c r="B458" s="64"/>
      <c r="C458" s="64"/>
      <c r="D458" s="64"/>
      <c r="E458" s="64"/>
      <c r="F458" s="67"/>
      <c r="G458" s="64"/>
      <c r="H458" s="64"/>
      <c r="I458" s="64"/>
      <c r="J458" s="64"/>
      <c r="K458" s="67"/>
      <c r="L458" s="64"/>
      <c r="M458" s="64"/>
      <c r="N458" s="64"/>
      <c r="O458" s="64"/>
      <c r="P458" s="67"/>
      <c r="Q458" s="64"/>
      <c r="R458" s="64"/>
      <c r="S458" s="64"/>
      <c r="T458" s="64"/>
      <c r="U458" s="64"/>
      <c r="V458" s="67"/>
      <c r="W458" s="64"/>
      <c r="X458" s="64"/>
      <c r="Y458" s="64"/>
      <c r="Z458" s="64"/>
      <c r="AA458" s="64"/>
      <c r="AB458" s="67"/>
      <c r="AC458" s="64"/>
      <c r="AD458" s="64"/>
      <c r="AE458" s="64"/>
      <c r="AF458" s="64"/>
      <c r="AG458" s="64"/>
      <c r="AH458" s="67"/>
      <c r="AI458" s="64"/>
      <c r="AJ458" s="64"/>
      <c r="AK458" s="64"/>
      <c r="AL458" s="64"/>
      <c r="AM458" s="64"/>
      <c r="AN458" s="67"/>
      <c r="AO458" s="64"/>
      <c r="AP458" s="64"/>
      <c r="AQ458" s="64"/>
      <c r="AR458" s="64"/>
      <c r="AS458" s="64"/>
      <c r="AT458" s="64"/>
      <c r="AU458" s="64"/>
      <c r="AV458" s="64"/>
      <c r="AW458" s="64"/>
      <c r="AX458" s="64"/>
      <c r="AY458" s="64"/>
      <c r="AZ458" s="64"/>
      <c r="BA458" s="64"/>
      <c r="BB458" s="64"/>
      <c r="BC458" s="64"/>
      <c r="BD458" s="64"/>
      <c r="BE458" s="657"/>
      <c r="BF458" s="67"/>
      <c r="BG458" s="64"/>
      <c r="BH458" s="64"/>
      <c r="BI458" s="64"/>
      <c r="BJ458" s="64"/>
      <c r="BK458" s="64"/>
      <c r="BL458" s="64"/>
      <c r="BM458" s="64"/>
      <c r="BN458" s="64"/>
      <c r="BO458" s="64"/>
      <c r="BP458" s="64"/>
      <c r="BQ458" s="64"/>
      <c r="BR458" s="69"/>
      <c r="BS458" s="69"/>
      <c r="BT458" s="64"/>
    </row>
    <row r="459" spans="1:72" ht="12.75" customHeight="1">
      <c r="A459" s="64"/>
      <c r="B459" s="64"/>
      <c r="C459" s="64"/>
      <c r="D459" s="64"/>
      <c r="E459" s="64"/>
      <c r="F459" s="67"/>
      <c r="G459" s="64"/>
      <c r="H459" s="64"/>
      <c r="I459" s="64"/>
      <c r="J459" s="64"/>
      <c r="K459" s="67"/>
      <c r="L459" s="64"/>
      <c r="M459" s="64"/>
      <c r="N459" s="64"/>
      <c r="O459" s="64"/>
      <c r="P459" s="67"/>
      <c r="Q459" s="64"/>
      <c r="R459" s="64"/>
      <c r="S459" s="64"/>
      <c r="T459" s="64"/>
      <c r="U459" s="64"/>
      <c r="V459" s="67"/>
      <c r="W459" s="64"/>
      <c r="X459" s="64"/>
      <c r="Y459" s="64"/>
      <c r="Z459" s="64"/>
      <c r="AA459" s="64"/>
      <c r="AB459" s="67"/>
      <c r="AC459" s="64"/>
      <c r="AD459" s="64"/>
      <c r="AE459" s="64"/>
      <c r="AF459" s="64"/>
      <c r="AG459" s="64"/>
      <c r="AH459" s="67"/>
      <c r="AI459" s="64"/>
      <c r="AJ459" s="64"/>
      <c r="AK459" s="64"/>
      <c r="AL459" s="64"/>
      <c r="AM459" s="64"/>
      <c r="AN459" s="67"/>
      <c r="AO459" s="64"/>
      <c r="AP459" s="64"/>
      <c r="AQ459" s="64"/>
      <c r="AR459" s="64"/>
      <c r="AS459" s="64"/>
      <c r="AT459" s="64"/>
      <c r="AU459" s="64"/>
      <c r="AV459" s="64"/>
      <c r="AW459" s="64"/>
      <c r="AX459" s="64"/>
      <c r="AY459" s="64"/>
      <c r="AZ459" s="64"/>
      <c r="BA459" s="64"/>
      <c r="BB459" s="64"/>
      <c r="BC459" s="64"/>
      <c r="BD459" s="64"/>
      <c r="BE459" s="657"/>
      <c r="BF459" s="67"/>
      <c r="BG459" s="64"/>
      <c r="BH459" s="64"/>
      <c r="BI459" s="64"/>
      <c r="BJ459" s="64"/>
      <c r="BK459" s="64"/>
      <c r="BL459" s="64"/>
      <c r="BM459" s="64"/>
      <c r="BN459" s="64"/>
      <c r="BO459" s="64"/>
      <c r="BP459" s="64"/>
      <c r="BQ459" s="64"/>
      <c r="BR459" s="69"/>
      <c r="BS459" s="69"/>
      <c r="BT459" s="64"/>
    </row>
    <row r="460" spans="1:72" ht="12.75" customHeight="1">
      <c r="A460" s="64"/>
      <c r="B460" s="64"/>
      <c r="C460" s="64"/>
      <c r="D460" s="64"/>
      <c r="E460" s="64"/>
      <c r="F460" s="67"/>
      <c r="G460" s="64"/>
      <c r="H460" s="64"/>
      <c r="I460" s="64"/>
      <c r="J460" s="64"/>
      <c r="K460" s="67"/>
      <c r="L460" s="64"/>
      <c r="M460" s="64"/>
      <c r="N460" s="64"/>
      <c r="O460" s="64"/>
      <c r="P460" s="67"/>
      <c r="Q460" s="64"/>
      <c r="R460" s="64"/>
      <c r="S460" s="64"/>
      <c r="T460" s="64"/>
      <c r="U460" s="64"/>
      <c r="V460" s="67"/>
      <c r="W460" s="64"/>
      <c r="X460" s="64"/>
      <c r="Y460" s="64"/>
      <c r="Z460" s="64"/>
      <c r="AA460" s="64"/>
      <c r="AB460" s="67"/>
      <c r="AC460" s="64"/>
      <c r="AD460" s="64"/>
      <c r="AE460" s="64"/>
      <c r="AF460" s="64"/>
      <c r="AG460" s="64"/>
      <c r="AH460" s="67"/>
      <c r="AI460" s="64"/>
      <c r="AJ460" s="64"/>
      <c r="AK460" s="64"/>
      <c r="AL460" s="64"/>
      <c r="AM460" s="64"/>
      <c r="AN460" s="67"/>
      <c r="AO460" s="64"/>
      <c r="AP460" s="64"/>
      <c r="AQ460" s="64"/>
      <c r="AR460" s="64"/>
      <c r="AS460" s="64"/>
      <c r="AT460" s="64"/>
      <c r="AU460" s="64"/>
      <c r="AV460" s="64"/>
      <c r="AW460" s="64"/>
      <c r="AX460" s="64"/>
      <c r="AY460" s="64"/>
      <c r="AZ460" s="64"/>
      <c r="BA460" s="64"/>
      <c r="BB460" s="64"/>
      <c r="BC460" s="64"/>
      <c r="BD460" s="64"/>
      <c r="BE460" s="657"/>
      <c r="BF460" s="67"/>
      <c r="BG460" s="64"/>
      <c r="BH460" s="64"/>
      <c r="BI460" s="64"/>
      <c r="BJ460" s="64"/>
      <c r="BK460" s="64"/>
      <c r="BL460" s="64"/>
      <c r="BM460" s="64"/>
      <c r="BN460" s="64"/>
      <c r="BO460" s="64"/>
      <c r="BP460" s="64"/>
      <c r="BQ460" s="64"/>
      <c r="BR460" s="69"/>
      <c r="BS460" s="69"/>
      <c r="BT460" s="64"/>
    </row>
    <row r="461" spans="1:72" ht="12.75" customHeight="1">
      <c r="A461" s="64"/>
      <c r="B461" s="64"/>
      <c r="C461" s="64"/>
      <c r="D461" s="64"/>
      <c r="E461" s="64"/>
      <c r="F461" s="67"/>
      <c r="G461" s="64"/>
      <c r="H461" s="64"/>
      <c r="I461" s="64"/>
      <c r="J461" s="64"/>
      <c r="K461" s="67"/>
      <c r="L461" s="64"/>
      <c r="M461" s="64"/>
      <c r="N461" s="64"/>
      <c r="O461" s="64"/>
      <c r="P461" s="67"/>
      <c r="Q461" s="64"/>
      <c r="R461" s="64"/>
      <c r="S461" s="64"/>
      <c r="T461" s="64"/>
      <c r="U461" s="64"/>
      <c r="V461" s="67"/>
      <c r="W461" s="64"/>
      <c r="X461" s="64"/>
      <c r="Y461" s="64"/>
      <c r="Z461" s="64"/>
      <c r="AA461" s="64"/>
      <c r="AB461" s="67"/>
      <c r="AC461" s="64"/>
      <c r="AD461" s="64"/>
      <c r="AE461" s="64"/>
      <c r="AF461" s="64"/>
      <c r="AG461" s="64"/>
      <c r="AH461" s="67"/>
      <c r="AI461" s="64"/>
      <c r="AJ461" s="64"/>
      <c r="AK461" s="64"/>
      <c r="AL461" s="64"/>
      <c r="AM461" s="64"/>
      <c r="AN461" s="67"/>
      <c r="AO461" s="64"/>
      <c r="AP461" s="64"/>
      <c r="AQ461" s="64"/>
      <c r="AR461" s="64"/>
      <c r="AS461" s="64"/>
      <c r="AT461" s="64"/>
      <c r="AU461" s="64"/>
      <c r="AV461" s="64"/>
      <c r="AW461" s="64"/>
      <c r="AX461" s="64"/>
      <c r="AY461" s="64"/>
      <c r="AZ461" s="64"/>
      <c r="BA461" s="64"/>
      <c r="BB461" s="64"/>
      <c r="BC461" s="64"/>
      <c r="BD461" s="64"/>
      <c r="BE461" s="657"/>
      <c r="BF461" s="67"/>
      <c r="BG461" s="64"/>
      <c r="BH461" s="64"/>
      <c r="BI461" s="64"/>
      <c r="BJ461" s="64"/>
      <c r="BK461" s="64"/>
      <c r="BL461" s="64"/>
      <c r="BM461" s="64"/>
      <c r="BN461" s="64"/>
      <c r="BO461" s="64"/>
      <c r="BP461" s="64"/>
      <c r="BQ461" s="64"/>
      <c r="BR461" s="69"/>
      <c r="BS461" s="69"/>
      <c r="BT461" s="64"/>
    </row>
    <row r="462" spans="1:72" ht="12.75" customHeight="1">
      <c r="A462" s="64"/>
      <c r="B462" s="64"/>
      <c r="C462" s="64"/>
      <c r="D462" s="64"/>
      <c r="E462" s="64"/>
      <c r="F462" s="67"/>
      <c r="G462" s="64"/>
      <c r="H462" s="64"/>
      <c r="I462" s="64"/>
      <c r="J462" s="64"/>
      <c r="K462" s="67"/>
      <c r="L462" s="64"/>
      <c r="M462" s="64"/>
      <c r="N462" s="64"/>
      <c r="O462" s="64"/>
      <c r="P462" s="67"/>
      <c r="Q462" s="64"/>
      <c r="R462" s="64"/>
      <c r="S462" s="64"/>
      <c r="T462" s="64"/>
      <c r="U462" s="64"/>
      <c r="V462" s="67"/>
      <c r="W462" s="64"/>
      <c r="X462" s="64"/>
      <c r="Y462" s="64"/>
      <c r="Z462" s="64"/>
      <c r="AA462" s="64"/>
      <c r="AB462" s="67"/>
      <c r="AC462" s="64"/>
      <c r="AD462" s="64"/>
      <c r="AE462" s="64"/>
      <c r="AF462" s="64"/>
      <c r="AG462" s="64"/>
      <c r="AH462" s="67"/>
      <c r="AI462" s="64"/>
      <c r="AJ462" s="64"/>
      <c r="AK462" s="64"/>
      <c r="AL462" s="64"/>
      <c r="AM462" s="64"/>
      <c r="AN462" s="67"/>
      <c r="AO462" s="64"/>
      <c r="AP462" s="64"/>
      <c r="AQ462" s="64"/>
      <c r="AR462" s="64"/>
      <c r="AS462" s="64"/>
      <c r="AT462" s="64"/>
      <c r="AU462" s="64"/>
      <c r="AV462" s="64"/>
      <c r="AW462" s="64"/>
      <c r="AX462" s="64"/>
      <c r="AY462" s="64"/>
      <c r="AZ462" s="64"/>
      <c r="BA462" s="64"/>
      <c r="BB462" s="64"/>
      <c r="BC462" s="64"/>
      <c r="BD462" s="64"/>
      <c r="BE462" s="657"/>
      <c r="BF462" s="67"/>
      <c r="BG462" s="64"/>
      <c r="BH462" s="64"/>
      <c r="BI462" s="64"/>
      <c r="BJ462" s="64"/>
      <c r="BK462" s="64"/>
      <c r="BL462" s="64"/>
      <c r="BM462" s="64"/>
      <c r="BN462" s="64"/>
      <c r="BO462" s="64"/>
      <c r="BP462" s="64"/>
      <c r="BQ462" s="64"/>
      <c r="BR462" s="69"/>
      <c r="BS462" s="69"/>
      <c r="BT462" s="64"/>
    </row>
    <row r="463" spans="1:72" ht="12.75" customHeight="1">
      <c r="A463" s="64"/>
      <c r="B463" s="64"/>
      <c r="C463" s="64"/>
      <c r="D463" s="64"/>
      <c r="E463" s="64"/>
      <c r="F463" s="67"/>
      <c r="G463" s="64"/>
      <c r="H463" s="64"/>
      <c r="I463" s="64"/>
      <c r="J463" s="64"/>
      <c r="K463" s="67"/>
      <c r="L463" s="64"/>
      <c r="M463" s="64"/>
      <c r="N463" s="64"/>
      <c r="O463" s="64"/>
      <c r="P463" s="67"/>
      <c r="Q463" s="64"/>
      <c r="R463" s="64"/>
      <c r="S463" s="64"/>
      <c r="T463" s="64"/>
      <c r="U463" s="64"/>
      <c r="V463" s="67"/>
      <c r="W463" s="64"/>
      <c r="X463" s="64"/>
      <c r="Y463" s="64"/>
      <c r="Z463" s="64"/>
      <c r="AA463" s="64"/>
      <c r="AB463" s="67"/>
      <c r="AC463" s="64"/>
      <c r="AD463" s="64"/>
      <c r="AE463" s="64"/>
      <c r="AF463" s="64"/>
      <c r="AG463" s="64"/>
      <c r="AH463" s="67"/>
      <c r="AI463" s="64"/>
      <c r="AJ463" s="64"/>
      <c r="AK463" s="64"/>
      <c r="AL463" s="64"/>
      <c r="AM463" s="64"/>
      <c r="AN463" s="67"/>
      <c r="AO463" s="64"/>
      <c r="AP463" s="64"/>
      <c r="AQ463" s="64"/>
      <c r="AR463" s="64"/>
      <c r="AS463" s="64"/>
      <c r="AT463" s="64"/>
      <c r="AU463" s="64"/>
      <c r="AV463" s="64"/>
      <c r="AW463" s="64"/>
      <c r="AX463" s="64"/>
      <c r="AY463" s="64"/>
      <c r="AZ463" s="64"/>
      <c r="BA463" s="64"/>
      <c r="BB463" s="64"/>
      <c r="BC463" s="64"/>
      <c r="BD463" s="64"/>
      <c r="BE463" s="657"/>
      <c r="BF463" s="67"/>
      <c r="BG463" s="64"/>
      <c r="BH463" s="64"/>
      <c r="BI463" s="64"/>
      <c r="BJ463" s="64"/>
      <c r="BK463" s="64"/>
      <c r="BL463" s="64"/>
      <c r="BM463" s="64"/>
      <c r="BN463" s="64"/>
      <c r="BO463" s="64"/>
      <c r="BP463" s="64"/>
      <c r="BQ463" s="64"/>
      <c r="BR463" s="69"/>
      <c r="BS463" s="69"/>
      <c r="BT463" s="64"/>
    </row>
    <row r="464" spans="1:72" ht="12.75" customHeight="1">
      <c r="A464" s="64"/>
      <c r="B464" s="64"/>
      <c r="C464" s="64"/>
      <c r="D464" s="64"/>
      <c r="E464" s="64"/>
      <c r="F464" s="67"/>
      <c r="G464" s="64"/>
      <c r="H464" s="64"/>
      <c r="I464" s="64"/>
      <c r="J464" s="64"/>
      <c r="K464" s="67"/>
      <c r="L464" s="64"/>
      <c r="M464" s="64"/>
      <c r="N464" s="64"/>
      <c r="O464" s="64"/>
      <c r="P464" s="67"/>
      <c r="Q464" s="64"/>
      <c r="R464" s="64"/>
      <c r="S464" s="64"/>
      <c r="T464" s="64"/>
      <c r="U464" s="64"/>
      <c r="V464" s="67"/>
      <c r="W464" s="64"/>
      <c r="X464" s="64"/>
      <c r="Y464" s="64"/>
      <c r="Z464" s="64"/>
      <c r="AA464" s="64"/>
      <c r="AB464" s="67"/>
      <c r="AC464" s="64"/>
      <c r="AD464" s="64"/>
      <c r="AE464" s="64"/>
      <c r="AF464" s="64"/>
      <c r="AG464" s="64"/>
      <c r="AH464" s="67"/>
      <c r="AI464" s="64"/>
      <c r="AJ464" s="64"/>
      <c r="AK464" s="64"/>
      <c r="AL464" s="64"/>
      <c r="AM464" s="64"/>
      <c r="AN464" s="67"/>
      <c r="AO464" s="64"/>
      <c r="AP464" s="64"/>
      <c r="AQ464" s="64"/>
      <c r="AR464" s="64"/>
      <c r="AS464" s="64"/>
      <c r="AT464" s="64"/>
      <c r="AU464" s="64"/>
      <c r="AV464" s="64"/>
      <c r="AW464" s="64"/>
      <c r="AX464" s="64"/>
      <c r="AY464" s="64"/>
      <c r="AZ464" s="64"/>
      <c r="BA464" s="64"/>
      <c r="BB464" s="64"/>
      <c r="BC464" s="64"/>
      <c r="BD464" s="64"/>
      <c r="BE464" s="657"/>
      <c r="BF464" s="67"/>
      <c r="BG464" s="64"/>
      <c r="BH464" s="64"/>
      <c r="BI464" s="64"/>
      <c r="BJ464" s="64"/>
      <c r="BK464" s="64"/>
      <c r="BL464" s="64"/>
      <c r="BM464" s="64"/>
      <c r="BN464" s="64"/>
      <c r="BO464" s="64"/>
      <c r="BP464" s="64"/>
      <c r="BQ464" s="64"/>
      <c r="BR464" s="69"/>
      <c r="BS464" s="69"/>
      <c r="BT464" s="64"/>
    </row>
    <row r="465" spans="1:72" ht="12.75" customHeight="1">
      <c r="A465" s="64"/>
      <c r="B465" s="64"/>
      <c r="C465" s="64"/>
      <c r="D465" s="64"/>
      <c r="E465" s="64"/>
      <c r="F465" s="67"/>
      <c r="G465" s="64"/>
      <c r="H465" s="64"/>
      <c r="I465" s="64"/>
      <c r="J465" s="64"/>
      <c r="K465" s="67"/>
      <c r="L465" s="64"/>
      <c r="M465" s="64"/>
      <c r="N465" s="64"/>
      <c r="O465" s="64"/>
      <c r="P465" s="67"/>
      <c r="Q465" s="64"/>
      <c r="R465" s="64"/>
      <c r="S465" s="64"/>
      <c r="T465" s="64"/>
      <c r="U465" s="64"/>
      <c r="V465" s="67"/>
      <c r="W465" s="64"/>
      <c r="X465" s="64"/>
      <c r="Y465" s="64"/>
      <c r="Z465" s="64"/>
      <c r="AA465" s="64"/>
      <c r="AB465" s="67"/>
      <c r="AC465" s="64"/>
      <c r="AD465" s="64"/>
      <c r="AE465" s="64"/>
      <c r="AF465" s="64"/>
      <c r="AG465" s="64"/>
      <c r="AH465" s="67"/>
      <c r="AI465" s="64"/>
      <c r="AJ465" s="64"/>
      <c r="AK465" s="64"/>
      <c r="AL465" s="64"/>
      <c r="AM465" s="64"/>
      <c r="AN465" s="67"/>
      <c r="AO465" s="64"/>
      <c r="AP465" s="64"/>
      <c r="AQ465" s="64"/>
      <c r="AR465" s="64"/>
      <c r="AS465" s="64"/>
      <c r="AT465" s="64"/>
      <c r="AU465" s="64"/>
      <c r="AV465" s="64"/>
      <c r="AW465" s="64"/>
      <c r="AX465" s="64"/>
      <c r="AY465" s="64"/>
      <c r="AZ465" s="64"/>
      <c r="BA465" s="64"/>
      <c r="BB465" s="64"/>
      <c r="BC465" s="64"/>
      <c r="BD465" s="64"/>
      <c r="BE465" s="657"/>
      <c r="BF465" s="67"/>
      <c r="BG465" s="64"/>
      <c r="BH465" s="64"/>
      <c r="BI465" s="64"/>
      <c r="BJ465" s="64"/>
      <c r="BK465" s="64"/>
      <c r="BL465" s="64"/>
      <c r="BM465" s="64"/>
      <c r="BN465" s="64"/>
      <c r="BO465" s="64"/>
      <c r="BP465" s="64"/>
      <c r="BQ465" s="64"/>
      <c r="BR465" s="69"/>
      <c r="BS465" s="69"/>
      <c r="BT465" s="64"/>
    </row>
    <row r="466" spans="1:72" ht="12.75" customHeight="1">
      <c r="A466" s="64"/>
      <c r="B466" s="64"/>
      <c r="C466" s="64"/>
      <c r="D466" s="64"/>
      <c r="E466" s="64"/>
      <c r="F466" s="67"/>
      <c r="G466" s="64"/>
      <c r="H466" s="64"/>
      <c r="I466" s="64"/>
      <c r="J466" s="64"/>
      <c r="K466" s="67"/>
      <c r="L466" s="64"/>
      <c r="M466" s="64"/>
      <c r="N466" s="64"/>
      <c r="O466" s="64"/>
      <c r="P466" s="67"/>
      <c r="Q466" s="64"/>
      <c r="R466" s="64"/>
      <c r="S466" s="64"/>
      <c r="T466" s="64"/>
      <c r="U466" s="64"/>
      <c r="V466" s="67"/>
      <c r="W466" s="64"/>
      <c r="X466" s="64"/>
      <c r="Y466" s="64"/>
      <c r="Z466" s="64"/>
      <c r="AA466" s="64"/>
      <c r="AB466" s="67"/>
      <c r="AC466" s="64"/>
      <c r="AD466" s="64"/>
      <c r="AE466" s="64"/>
      <c r="AF466" s="64"/>
      <c r="AG466" s="64"/>
      <c r="AH466" s="67"/>
      <c r="AI466" s="64"/>
      <c r="AJ466" s="64"/>
      <c r="AK466" s="64"/>
      <c r="AL466" s="64"/>
      <c r="AM466" s="64"/>
      <c r="AN466" s="67"/>
      <c r="AO466" s="64"/>
      <c r="AP466" s="64"/>
      <c r="AQ466" s="64"/>
      <c r="AR466" s="64"/>
      <c r="AS466" s="64"/>
      <c r="AT466" s="64"/>
      <c r="AU466" s="64"/>
      <c r="AV466" s="64"/>
      <c r="AW466" s="64"/>
      <c r="AX466" s="64"/>
      <c r="AY466" s="64"/>
      <c r="AZ466" s="64"/>
      <c r="BA466" s="64"/>
      <c r="BB466" s="64"/>
      <c r="BC466" s="64"/>
      <c r="BD466" s="64"/>
      <c r="BE466" s="657"/>
      <c r="BF466" s="67"/>
      <c r="BG466" s="64"/>
      <c r="BH466" s="64"/>
      <c r="BI466" s="64"/>
      <c r="BJ466" s="64"/>
      <c r="BK466" s="64"/>
      <c r="BL466" s="64"/>
      <c r="BM466" s="64"/>
      <c r="BN466" s="64"/>
      <c r="BO466" s="64"/>
      <c r="BP466" s="64"/>
      <c r="BQ466" s="64"/>
      <c r="BR466" s="69"/>
      <c r="BS466" s="69"/>
      <c r="BT466" s="64"/>
    </row>
    <row r="467" spans="1:72" ht="12.75" customHeight="1">
      <c r="A467" s="64"/>
      <c r="B467" s="64"/>
      <c r="C467" s="64"/>
      <c r="D467" s="64"/>
      <c r="E467" s="64"/>
      <c r="F467" s="67"/>
      <c r="G467" s="64"/>
      <c r="H467" s="64"/>
      <c r="I467" s="64"/>
      <c r="J467" s="64"/>
      <c r="K467" s="67"/>
      <c r="L467" s="64"/>
      <c r="M467" s="64"/>
      <c r="N467" s="64"/>
      <c r="O467" s="64"/>
      <c r="P467" s="67"/>
      <c r="Q467" s="64"/>
      <c r="R467" s="64"/>
      <c r="S467" s="64"/>
      <c r="T467" s="64"/>
      <c r="U467" s="64"/>
      <c r="V467" s="67"/>
      <c r="W467" s="64"/>
      <c r="X467" s="64"/>
      <c r="Y467" s="64"/>
      <c r="Z467" s="64"/>
      <c r="AA467" s="64"/>
      <c r="AB467" s="67"/>
      <c r="AC467" s="64"/>
      <c r="AD467" s="64"/>
      <c r="AE467" s="64"/>
      <c r="AF467" s="64"/>
      <c r="AG467" s="64"/>
      <c r="AH467" s="67"/>
      <c r="AI467" s="64"/>
      <c r="AJ467" s="64"/>
      <c r="AK467" s="64"/>
      <c r="AL467" s="64"/>
      <c r="AM467" s="64"/>
      <c r="AN467" s="67"/>
      <c r="AO467" s="64"/>
      <c r="AP467" s="64"/>
      <c r="AQ467" s="64"/>
      <c r="AR467" s="64"/>
      <c r="AS467" s="64"/>
      <c r="AT467" s="64"/>
      <c r="AU467" s="64"/>
      <c r="AV467" s="64"/>
      <c r="AW467" s="64"/>
      <c r="AX467" s="64"/>
      <c r="AY467" s="64"/>
      <c r="AZ467" s="64"/>
      <c r="BA467" s="64"/>
      <c r="BB467" s="64"/>
      <c r="BC467" s="64"/>
      <c r="BD467" s="64"/>
      <c r="BE467" s="657"/>
      <c r="BF467" s="67"/>
      <c r="BG467" s="64"/>
      <c r="BH467" s="64"/>
      <c r="BI467" s="64"/>
      <c r="BJ467" s="64"/>
      <c r="BK467" s="64"/>
      <c r="BL467" s="64"/>
      <c r="BM467" s="64"/>
      <c r="BN467" s="64"/>
      <c r="BO467" s="64"/>
      <c r="BP467" s="64"/>
      <c r="BQ467" s="64"/>
      <c r="BR467" s="69"/>
      <c r="BS467" s="69"/>
      <c r="BT467" s="64"/>
    </row>
    <row r="468" spans="1:72" ht="12.75" customHeight="1">
      <c r="A468" s="64"/>
      <c r="B468" s="64"/>
      <c r="C468" s="64"/>
      <c r="D468" s="64"/>
      <c r="E468" s="64"/>
      <c r="F468" s="67"/>
      <c r="G468" s="64"/>
      <c r="H468" s="64"/>
      <c r="I468" s="64"/>
      <c r="J468" s="64"/>
      <c r="K468" s="67"/>
      <c r="L468" s="64"/>
      <c r="M468" s="64"/>
      <c r="N468" s="64"/>
      <c r="O468" s="64"/>
      <c r="P468" s="67"/>
      <c r="Q468" s="64"/>
      <c r="R468" s="64"/>
      <c r="S468" s="64"/>
      <c r="T468" s="64"/>
      <c r="U468" s="64"/>
      <c r="V468" s="67"/>
      <c r="W468" s="64"/>
      <c r="X468" s="64"/>
      <c r="Y468" s="64"/>
      <c r="Z468" s="64"/>
      <c r="AA468" s="64"/>
      <c r="AB468" s="67"/>
      <c r="AC468" s="64"/>
      <c r="AD468" s="64"/>
      <c r="AE468" s="64"/>
      <c r="AF468" s="64"/>
      <c r="AG468" s="64"/>
      <c r="AH468" s="67"/>
      <c r="AI468" s="64"/>
      <c r="AJ468" s="64"/>
      <c r="AK468" s="64"/>
      <c r="AL468" s="64"/>
      <c r="AM468" s="64"/>
      <c r="AN468" s="67"/>
      <c r="AO468" s="64"/>
      <c r="AP468" s="64"/>
      <c r="AQ468" s="64"/>
      <c r="AR468" s="64"/>
      <c r="AS468" s="64"/>
      <c r="AT468" s="64"/>
      <c r="AU468" s="64"/>
      <c r="AV468" s="64"/>
      <c r="AW468" s="64"/>
      <c r="AX468" s="64"/>
      <c r="AY468" s="64"/>
      <c r="AZ468" s="64"/>
      <c r="BA468" s="64"/>
      <c r="BB468" s="64"/>
      <c r="BC468" s="64"/>
      <c r="BD468" s="64"/>
      <c r="BE468" s="657"/>
      <c r="BF468" s="67"/>
      <c r="BG468" s="64"/>
      <c r="BH468" s="64"/>
      <c r="BI468" s="64"/>
      <c r="BJ468" s="64"/>
      <c r="BK468" s="64"/>
      <c r="BL468" s="64"/>
      <c r="BM468" s="64"/>
      <c r="BN468" s="64"/>
      <c r="BO468" s="64"/>
      <c r="BP468" s="64"/>
      <c r="BQ468" s="64"/>
      <c r="BR468" s="69"/>
      <c r="BS468" s="69"/>
      <c r="BT468" s="64"/>
    </row>
    <row r="469" spans="1:72" ht="12.75" customHeight="1">
      <c r="A469" s="64"/>
      <c r="B469" s="64"/>
      <c r="C469" s="64"/>
      <c r="D469" s="64"/>
      <c r="E469" s="64"/>
      <c r="F469" s="67"/>
      <c r="G469" s="64"/>
      <c r="H469" s="64"/>
      <c r="I469" s="64"/>
      <c r="J469" s="64"/>
      <c r="K469" s="67"/>
      <c r="L469" s="64"/>
      <c r="M469" s="64"/>
      <c r="N469" s="64"/>
      <c r="O469" s="64"/>
      <c r="P469" s="67"/>
      <c r="Q469" s="64"/>
      <c r="R469" s="64"/>
      <c r="S469" s="64"/>
      <c r="T469" s="64"/>
      <c r="U469" s="64"/>
      <c r="V469" s="67"/>
      <c r="W469" s="64"/>
      <c r="X469" s="64"/>
      <c r="Y469" s="64"/>
      <c r="Z469" s="64"/>
      <c r="AA469" s="64"/>
      <c r="AB469" s="67"/>
      <c r="AC469" s="64"/>
      <c r="AD469" s="64"/>
      <c r="AE469" s="64"/>
      <c r="AF469" s="64"/>
      <c r="AG469" s="64"/>
      <c r="AH469" s="67"/>
      <c r="AI469" s="64"/>
      <c r="AJ469" s="64"/>
      <c r="AK469" s="64"/>
      <c r="AL469" s="64"/>
      <c r="AM469" s="64"/>
      <c r="AN469" s="67"/>
      <c r="AO469" s="64"/>
      <c r="AP469" s="64"/>
      <c r="AQ469" s="64"/>
      <c r="AR469" s="64"/>
      <c r="AS469" s="64"/>
      <c r="AT469" s="64"/>
      <c r="AU469" s="64"/>
      <c r="AV469" s="64"/>
      <c r="AW469" s="64"/>
      <c r="AX469" s="64"/>
      <c r="AY469" s="64"/>
      <c r="AZ469" s="64"/>
      <c r="BA469" s="64"/>
      <c r="BB469" s="64"/>
      <c r="BC469" s="64"/>
      <c r="BD469" s="64"/>
      <c r="BE469" s="657"/>
      <c r="BF469" s="67"/>
      <c r="BG469" s="64"/>
      <c r="BH469" s="64"/>
      <c r="BI469" s="64"/>
      <c r="BJ469" s="64"/>
      <c r="BK469" s="64"/>
      <c r="BL469" s="64"/>
      <c r="BM469" s="64"/>
      <c r="BN469" s="64"/>
      <c r="BO469" s="64"/>
      <c r="BP469" s="64"/>
      <c r="BQ469" s="64"/>
      <c r="BR469" s="69"/>
      <c r="BS469" s="69"/>
      <c r="BT469" s="64"/>
    </row>
    <row r="470" spans="1:72" ht="12.75" customHeight="1">
      <c r="A470" s="64"/>
      <c r="B470" s="64"/>
      <c r="C470" s="64"/>
      <c r="D470" s="64"/>
      <c r="E470" s="64"/>
      <c r="F470" s="67"/>
      <c r="G470" s="64"/>
      <c r="H470" s="64"/>
      <c r="I470" s="64"/>
      <c r="J470" s="64"/>
      <c r="K470" s="67"/>
      <c r="L470" s="64"/>
      <c r="M470" s="64"/>
      <c r="N470" s="64"/>
      <c r="O470" s="64"/>
      <c r="P470" s="67"/>
      <c r="Q470" s="64"/>
      <c r="R470" s="64"/>
      <c r="S470" s="64"/>
      <c r="T470" s="64"/>
      <c r="U470" s="64"/>
      <c r="V470" s="67"/>
      <c r="W470" s="64"/>
      <c r="X470" s="64"/>
      <c r="Y470" s="64"/>
      <c r="Z470" s="64"/>
      <c r="AA470" s="64"/>
      <c r="AB470" s="67"/>
      <c r="AC470" s="64"/>
      <c r="AD470" s="64"/>
      <c r="AE470" s="64"/>
      <c r="AF470" s="64"/>
      <c r="AG470" s="64"/>
      <c r="AH470" s="67"/>
      <c r="AI470" s="64"/>
      <c r="AJ470" s="64"/>
      <c r="AK470" s="64"/>
      <c r="AL470" s="64"/>
      <c r="AM470" s="64"/>
      <c r="AN470" s="67"/>
      <c r="AO470" s="64"/>
      <c r="AP470" s="64"/>
      <c r="AQ470" s="64"/>
      <c r="AR470" s="64"/>
      <c r="AS470" s="64"/>
      <c r="AT470" s="64"/>
      <c r="AU470" s="64"/>
      <c r="AV470" s="64"/>
      <c r="AW470" s="64"/>
      <c r="AX470" s="64"/>
      <c r="AY470" s="64"/>
      <c r="AZ470" s="64"/>
      <c r="BA470" s="64"/>
      <c r="BB470" s="64"/>
      <c r="BC470" s="64"/>
      <c r="BD470" s="64"/>
      <c r="BE470" s="657"/>
      <c r="BF470" s="67"/>
      <c r="BG470" s="64"/>
      <c r="BH470" s="64"/>
      <c r="BI470" s="64"/>
      <c r="BJ470" s="64"/>
      <c r="BK470" s="64"/>
      <c r="BL470" s="64"/>
      <c r="BM470" s="64"/>
      <c r="BN470" s="64"/>
      <c r="BO470" s="64"/>
      <c r="BP470" s="64"/>
      <c r="BQ470" s="64"/>
      <c r="BR470" s="69"/>
      <c r="BS470" s="69"/>
      <c r="BT470" s="64"/>
    </row>
    <row r="471" spans="1:72" ht="12.75" customHeight="1">
      <c r="A471" s="64"/>
      <c r="B471" s="64"/>
      <c r="C471" s="64"/>
      <c r="D471" s="64"/>
      <c r="E471" s="64"/>
      <c r="F471" s="67"/>
      <c r="G471" s="64"/>
      <c r="H471" s="64"/>
      <c r="I471" s="64"/>
      <c r="J471" s="64"/>
      <c r="K471" s="67"/>
      <c r="L471" s="64"/>
      <c r="M471" s="64"/>
      <c r="N471" s="64"/>
      <c r="O471" s="64"/>
      <c r="P471" s="67"/>
      <c r="Q471" s="64"/>
      <c r="R471" s="64"/>
      <c r="S471" s="64"/>
      <c r="T471" s="64"/>
      <c r="U471" s="64"/>
      <c r="V471" s="67"/>
      <c r="W471" s="64"/>
      <c r="X471" s="64"/>
      <c r="Y471" s="64"/>
      <c r="Z471" s="64"/>
      <c r="AA471" s="64"/>
      <c r="AB471" s="67"/>
      <c r="AC471" s="64"/>
      <c r="AD471" s="64"/>
      <c r="AE471" s="64"/>
      <c r="AF471" s="64"/>
      <c r="AG471" s="64"/>
      <c r="AH471" s="67"/>
      <c r="AI471" s="64"/>
      <c r="AJ471" s="64"/>
      <c r="AK471" s="64"/>
      <c r="AL471" s="64"/>
      <c r="AM471" s="64"/>
      <c r="AN471" s="67"/>
      <c r="AO471" s="64"/>
      <c r="AP471" s="64"/>
      <c r="AQ471" s="64"/>
      <c r="AR471" s="64"/>
      <c r="AS471" s="64"/>
      <c r="AT471" s="64"/>
      <c r="AU471" s="64"/>
      <c r="AV471" s="64"/>
      <c r="AW471" s="64"/>
      <c r="AX471" s="64"/>
      <c r="AY471" s="64"/>
      <c r="AZ471" s="64"/>
      <c r="BA471" s="64"/>
      <c r="BB471" s="64"/>
      <c r="BC471" s="64"/>
      <c r="BD471" s="64"/>
      <c r="BE471" s="657"/>
      <c r="BF471" s="67"/>
      <c r="BG471" s="64"/>
      <c r="BH471" s="64"/>
      <c r="BI471" s="64"/>
      <c r="BJ471" s="64"/>
      <c r="BK471" s="64"/>
      <c r="BL471" s="64"/>
      <c r="BM471" s="64"/>
      <c r="BN471" s="64"/>
      <c r="BO471" s="64"/>
      <c r="BP471" s="64"/>
      <c r="BQ471" s="64"/>
      <c r="BR471" s="69"/>
      <c r="BS471" s="69"/>
      <c r="BT471" s="64"/>
    </row>
    <row r="472" spans="1:72" ht="12.75" customHeight="1">
      <c r="A472" s="64"/>
      <c r="B472" s="64"/>
      <c r="C472" s="64"/>
      <c r="D472" s="64"/>
      <c r="E472" s="64"/>
      <c r="F472" s="67"/>
      <c r="G472" s="64"/>
      <c r="H472" s="64"/>
      <c r="I472" s="64"/>
      <c r="J472" s="64"/>
      <c r="K472" s="67"/>
      <c r="L472" s="64"/>
      <c r="M472" s="64"/>
      <c r="N472" s="64"/>
      <c r="O472" s="64"/>
      <c r="P472" s="67"/>
      <c r="Q472" s="64"/>
      <c r="R472" s="64"/>
      <c r="S472" s="64"/>
      <c r="T472" s="64"/>
      <c r="U472" s="64"/>
      <c r="V472" s="67"/>
      <c r="W472" s="64"/>
      <c r="X472" s="64"/>
      <c r="Y472" s="64"/>
      <c r="Z472" s="64"/>
      <c r="AA472" s="64"/>
      <c r="AB472" s="67"/>
      <c r="AC472" s="64"/>
      <c r="AD472" s="64"/>
      <c r="AE472" s="64"/>
      <c r="AF472" s="64"/>
      <c r="AG472" s="64"/>
      <c r="AH472" s="67"/>
      <c r="AI472" s="64"/>
      <c r="AJ472" s="64"/>
      <c r="AK472" s="64"/>
      <c r="AL472" s="64"/>
      <c r="AM472" s="64"/>
      <c r="AN472" s="67"/>
      <c r="AO472" s="64"/>
      <c r="AP472" s="64"/>
      <c r="AQ472" s="64"/>
      <c r="AR472" s="64"/>
      <c r="AS472" s="64"/>
      <c r="AT472" s="64"/>
      <c r="AU472" s="64"/>
      <c r="AV472" s="64"/>
      <c r="AW472" s="64"/>
      <c r="AX472" s="64"/>
      <c r="AY472" s="64"/>
      <c r="AZ472" s="64"/>
      <c r="BA472" s="64"/>
      <c r="BB472" s="64"/>
      <c r="BC472" s="64"/>
      <c r="BD472" s="64"/>
      <c r="BE472" s="657"/>
      <c r="BF472" s="67"/>
      <c r="BG472" s="64"/>
      <c r="BH472" s="64"/>
      <c r="BI472" s="64"/>
      <c r="BJ472" s="64"/>
      <c r="BK472" s="64"/>
      <c r="BL472" s="64"/>
      <c r="BM472" s="64"/>
      <c r="BN472" s="64"/>
      <c r="BO472" s="64"/>
      <c r="BP472" s="64"/>
      <c r="BQ472" s="64"/>
      <c r="BR472" s="69"/>
      <c r="BS472" s="69"/>
      <c r="BT472" s="64"/>
    </row>
    <row r="473" spans="1:72" ht="12.75" customHeight="1">
      <c r="A473" s="64"/>
      <c r="B473" s="64"/>
      <c r="C473" s="64"/>
      <c r="D473" s="64"/>
      <c r="E473" s="64"/>
      <c r="F473" s="67"/>
      <c r="G473" s="64"/>
      <c r="H473" s="64"/>
      <c r="I473" s="64"/>
      <c r="J473" s="64"/>
      <c r="K473" s="67"/>
      <c r="L473" s="64"/>
      <c r="M473" s="64"/>
      <c r="N473" s="64"/>
      <c r="O473" s="64"/>
      <c r="P473" s="67"/>
      <c r="Q473" s="64"/>
      <c r="R473" s="64"/>
      <c r="S473" s="64"/>
      <c r="T473" s="64"/>
      <c r="U473" s="64"/>
      <c r="V473" s="67"/>
      <c r="W473" s="64"/>
      <c r="X473" s="64"/>
      <c r="Y473" s="64"/>
      <c r="Z473" s="64"/>
      <c r="AA473" s="64"/>
      <c r="AB473" s="67"/>
      <c r="AC473" s="64"/>
      <c r="AD473" s="64"/>
      <c r="AE473" s="64"/>
      <c r="AF473" s="64"/>
      <c r="AG473" s="64"/>
      <c r="AH473" s="67"/>
      <c r="AI473" s="64"/>
      <c r="AJ473" s="64"/>
      <c r="AK473" s="64"/>
      <c r="AL473" s="64"/>
      <c r="AM473" s="64"/>
      <c r="AN473" s="67"/>
      <c r="AO473" s="64"/>
      <c r="AP473" s="64"/>
      <c r="AQ473" s="64"/>
      <c r="AR473" s="64"/>
      <c r="AS473" s="64"/>
      <c r="AT473" s="64"/>
      <c r="AU473" s="64"/>
      <c r="AV473" s="64"/>
      <c r="AW473" s="64"/>
      <c r="AX473" s="64"/>
      <c r="AY473" s="64"/>
      <c r="AZ473" s="64"/>
      <c r="BA473" s="64"/>
      <c r="BB473" s="64"/>
      <c r="BC473" s="64"/>
      <c r="BD473" s="64"/>
      <c r="BE473" s="657"/>
      <c r="BF473" s="67"/>
      <c r="BG473" s="64"/>
      <c r="BH473" s="64"/>
      <c r="BI473" s="64"/>
      <c r="BJ473" s="64"/>
      <c r="BK473" s="64"/>
      <c r="BL473" s="64"/>
      <c r="BM473" s="64"/>
      <c r="BN473" s="64"/>
      <c r="BO473" s="64"/>
      <c r="BP473" s="64"/>
      <c r="BQ473" s="64"/>
      <c r="BR473" s="69"/>
      <c r="BS473" s="69"/>
      <c r="BT473" s="64"/>
    </row>
    <row r="474" spans="1:72" ht="12.75" customHeight="1">
      <c r="A474" s="64"/>
      <c r="B474" s="64"/>
      <c r="C474" s="64"/>
      <c r="D474" s="64"/>
      <c r="E474" s="64"/>
      <c r="F474" s="67"/>
      <c r="G474" s="64"/>
      <c r="H474" s="64"/>
      <c r="I474" s="64"/>
      <c r="J474" s="64"/>
      <c r="K474" s="67"/>
      <c r="L474" s="64"/>
      <c r="M474" s="64"/>
      <c r="N474" s="64"/>
      <c r="O474" s="64"/>
      <c r="P474" s="67"/>
      <c r="Q474" s="64"/>
      <c r="R474" s="64"/>
      <c r="S474" s="64"/>
      <c r="T474" s="64"/>
      <c r="U474" s="64"/>
      <c r="V474" s="67"/>
      <c r="W474" s="64"/>
      <c r="X474" s="64"/>
      <c r="Y474" s="64"/>
      <c r="Z474" s="64"/>
      <c r="AA474" s="64"/>
      <c r="AB474" s="67"/>
      <c r="AC474" s="64"/>
      <c r="AD474" s="64"/>
      <c r="AE474" s="64"/>
      <c r="AF474" s="64"/>
      <c r="AG474" s="64"/>
      <c r="AH474" s="67"/>
      <c r="AI474" s="64"/>
      <c r="AJ474" s="64"/>
      <c r="AK474" s="64"/>
      <c r="AL474" s="64"/>
      <c r="AM474" s="64"/>
      <c r="AN474" s="67"/>
      <c r="AO474" s="64"/>
      <c r="AP474" s="64"/>
      <c r="AQ474" s="64"/>
      <c r="AR474" s="64"/>
      <c r="AS474" s="64"/>
      <c r="AT474" s="64"/>
      <c r="AU474" s="64"/>
      <c r="AV474" s="64"/>
      <c r="AW474" s="64"/>
      <c r="AX474" s="64"/>
      <c r="AY474" s="64"/>
      <c r="AZ474" s="64"/>
      <c r="BA474" s="64"/>
      <c r="BB474" s="64"/>
      <c r="BC474" s="64"/>
      <c r="BD474" s="64"/>
      <c r="BE474" s="657"/>
      <c r="BF474" s="67"/>
      <c r="BG474" s="64"/>
      <c r="BH474" s="64"/>
      <c r="BI474" s="64"/>
      <c r="BJ474" s="64"/>
      <c r="BK474" s="64"/>
      <c r="BL474" s="64"/>
      <c r="BM474" s="64"/>
      <c r="BN474" s="64"/>
      <c r="BO474" s="64"/>
      <c r="BP474" s="64"/>
      <c r="BQ474" s="64"/>
      <c r="BR474" s="69"/>
      <c r="BS474" s="69"/>
      <c r="BT474" s="64"/>
    </row>
    <row r="475" spans="1:72" ht="12.75" customHeight="1">
      <c r="A475" s="64"/>
      <c r="B475" s="64"/>
      <c r="C475" s="64"/>
      <c r="D475" s="64"/>
      <c r="E475" s="64"/>
      <c r="F475" s="67"/>
      <c r="G475" s="64"/>
      <c r="H475" s="64"/>
      <c r="I475" s="64"/>
      <c r="J475" s="64"/>
      <c r="K475" s="67"/>
      <c r="L475" s="64"/>
      <c r="M475" s="64"/>
      <c r="N475" s="64"/>
      <c r="O475" s="64"/>
      <c r="P475" s="67"/>
      <c r="Q475" s="64"/>
      <c r="R475" s="64"/>
      <c r="S475" s="64"/>
      <c r="T475" s="64"/>
      <c r="U475" s="64"/>
      <c r="V475" s="67"/>
      <c r="W475" s="64"/>
      <c r="X475" s="64"/>
      <c r="Y475" s="64"/>
      <c r="Z475" s="64"/>
      <c r="AA475" s="64"/>
      <c r="AB475" s="67"/>
      <c r="AC475" s="64"/>
      <c r="AD475" s="64"/>
      <c r="AE475" s="64"/>
      <c r="AF475" s="64"/>
      <c r="AG475" s="64"/>
      <c r="AH475" s="67"/>
      <c r="AI475" s="64"/>
      <c r="AJ475" s="64"/>
      <c r="AK475" s="64"/>
      <c r="AL475" s="64"/>
      <c r="AM475" s="64"/>
      <c r="AN475" s="67"/>
      <c r="AO475" s="64"/>
      <c r="AP475" s="64"/>
      <c r="AQ475" s="64"/>
      <c r="AR475" s="64"/>
      <c r="AS475" s="64"/>
      <c r="AT475" s="64"/>
      <c r="AU475" s="64"/>
      <c r="AV475" s="64"/>
      <c r="AW475" s="64"/>
      <c r="AX475" s="64"/>
      <c r="AY475" s="64"/>
      <c r="AZ475" s="64"/>
      <c r="BA475" s="64"/>
      <c r="BB475" s="64"/>
      <c r="BC475" s="64"/>
      <c r="BD475" s="64"/>
      <c r="BE475" s="657"/>
      <c r="BF475" s="67"/>
      <c r="BG475" s="64"/>
      <c r="BH475" s="64"/>
      <c r="BI475" s="64"/>
      <c r="BJ475" s="64"/>
      <c r="BK475" s="64"/>
      <c r="BL475" s="64"/>
      <c r="BM475" s="64"/>
      <c r="BN475" s="64"/>
      <c r="BO475" s="64"/>
      <c r="BP475" s="64"/>
      <c r="BQ475" s="64"/>
      <c r="BR475" s="69"/>
      <c r="BS475" s="69"/>
      <c r="BT475" s="64"/>
    </row>
    <row r="476" spans="1:72" ht="12.75" customHeight="1">
      <c r="A476" s="64"/>
      <c r="B476" s="64"/>
      <c r="C476" s="64"/>
      <c r="D476" s="64"/>
      <c r="E476" s="64"/>
      <c r="F476" s="67"/>
      <c r="G476" s="64"/>
      <c r="H476" s="64"/>
      <c r="I476" s="64"/>
      <c r="J476" s="64"/>
      <c r="K476" s="67"/>
      <c r="L476" s="64"/>
      <c r="M476" s="64"/>
      <c r="N476" s="64"/>
      <c r="O476" s="64"/>
      <c r="P476" s="67"/>
      <c r="Q476" s="64"/>
      <c r="R476" s="64"/>
      <c r="S476" s="64"/>
      <c r="T476" s="64"/>
      <c r="U476" s="64"/>
      <c r="V476" s="67"/>
      <c r="W476" s="64"/>
      <c r="X476" s="64"/>
      <c r="Y476" s="64"/>
      <c r="Z476" s="64"/>
      <c r="AA476" s="64"/>
      <c r="AB476" s="67"/>
      <c r="AC476" s="64"/>
      <c r="AD476" s="64"/>
      <c r="AE476" s="64"/>
      <c r="AF476" s="64"/>
      <c r="AG476" s="64"/>
      <c r="AH476" s="67"/>
      <c r="AI476" s="64"/>
      <c r="AJ476" s="64"/>
      <c r="AK476" s="64"/>
      <c r="AL476" s="64"/>
      <c r="AM476" s="64"/>
      <c r="AN476" s="67"/>
      <c r="AO476" s="64"/>
      <c r="AP476" s="64"/>
      <c r="AQ476" s="64"/>
      <c r="AR476" s="64"/>
      <c r="AS476" s="64"/>
      <c r="AT476" s="64"/>
      <c r="AU476" s="64"/>
      <c r="AV476" s="64"/>
      <c r="AW476" s="64"/>
      <c r="AX476" s="64"/>
      <c r="AY476" s="64"/>
      <c r="AZ476" s="64"/>
      <c r="BA476" s="64"/>
      <c r="BB476" s="64"/>
      <c r="BC476" s="64"/>
      <c r="BD476" s="64"/>
      <c r="BE476" s="657"/>
      <c r="BF476" s="67"/>
      <c r="BG476" s="64"/>
      <c r="BH476" s="64"/>
      <c r="BI476" s="64"/>
      <c r="BJ476" s="64"/>
      <c r="BK476" s="64"/>
      <c r="BL476" s="64"/>
      <c r="BM476" s="64"/>
      <c r="BN476" s="64"/>
      <c r="BO476" s="64"/>
      <c r="BP476" s="64"/>
      <c r="BQ476" s="64"/>
      <c r="BR476" s="69"/>
      <c r="BS476" s="69"/>
      <c r="BT476" s="64"/>
    </row>
    <row r="477" spans="1:72" ht="12.75" customHeight="1">
      <c r="A477" s="64"/>
      <c r="B477" s="64"/>
      <c r="C477" s="64"/>
      <c r="D477" s="64"/>
      <c r="E477" s="64"/>
      <c r="F477" s="67"/>
      <c r="G477" s="64"/>
      <c r="H477" s="64"/>
      <c r="I477" s="64"/>
      <c r="J477" s="64"/>
      <c r="K477" s="67"/>
      <c r="L477" s="64"/>
      <c r="M477" s="64"/>
      <c r="N477" s="64"/>
      <c r="O477" s="64"/>
      <c r="P477" s="67"/>
      <c r="Q477" s="64"/>
      <c r="R477" s="64"/>
      <c r="S477" s="64"/>
      <c r="T477" s="64"/>
      <c r="U477" s="64"/>
      <c r="V477" s="67"/>
      <c r="W477" s="64"/>
      <c r="X477" s="64"/>
      <c r="Y477" s="64"/>
      <c r="Z477" s="64"/>
      <c r="AA477" s="64"/>
      <c r="AB477" s="67"/>
      <c r="AC477" s="64"/>
      <c r="AD477" s="64"/>
      <c r="AE477" s="64"/>
      <c r="AF477" s="64"/>
      <c r="AG477" s="64"/>
      <c r="AH477" s="67"/>
      <c r="AI477" s="64"/>
      <c r="AJ477" s="64"/>
      <c r="AK477" s="64"/>
      <c r="AL477" s="64"/>
      <c r="AM477" s="64"/>
      <c r="AN477" s="67"/>
      <c r="AO477" s="64"/>
      <c r="AP477" s="64"/>
      <c r="AQ477" s="64"/>
      <c r="AR477" s="64"/>
      <c r="AS477" s="64"/>
      <c r="AT477" s="64"/>
      <c r="AU477" s="64"/>
      <c r="AV477" s="64"/>
      <c r="AW477" s="64"/>
      <c r="AX477" s="64"/>
      <c r="AY477" s="64"/>
      <c r="AZ477" s="64"/>
      <c r="BA477" s="64"/>
      <c r="BB477" s="64"/>
      <c r="BC477" s="64"/>
      <c r="BD477" s="64"/>
      <c r="BE477" s="657"/>
      <c r="BF477" s="67"/>
      <c r="BG477" s="64"/>
      <c r="BH477" s="64"/>
      <c r="BI477" s="64"/>
      <c r="BJ477" s="64"/>
      <c r="BK477" s="64"/>
      <c r="BL477" s="64"/>
      <c r="BM477" s="64"/>
      <c r="BN477" s="64"/>
      <c r="BO477" s="64"/>
      <c r="BP477" s="64"/>
      <c r="BQ477" s="64"/>
      <c r="BR477" s="69"/>
      <c r="BS477" s="69"/>
      <c r="BT477" s="64"/>
    </row>
    <row r="478" spans="1:72" ht="12.75" customHeight="1">
      <c r="A478" s="64"/>
      <c r="B478" s="64"/>
      <c r="C478" s="64"/>
      <c r="D478" s="64"/>
      <c r="E478" s="64"/>
      <c r="F478" s="67"/>
      <c r="G478" s="64"/>
      <c r="H478" s="64"/>
      <c r="I478" s="64"/>
      <c r="J478" s="64"/>
      <c r="K478" s="67"/>
      <c r="L478" s="64"/>
      <c r="M478" s="64"/>
      <c r="N478" s="64"/>
      <c r="O478" s="64"/>
      <c r="P478" s="67"/>
      <c r="Q478" s="64"/>
      <c r="R478" s="64"/>
      <c r="S478" s="64"/>
      <c r="T478" s="64"/>
      <c r="U478" s="64"/>
      <c r="V478" s="67"/>
      <c r="W478" s="64"/>
      <c r="X478" s="64"/>
      <c r="Y478" s="64"/>
      <c r="Z478" s="64"/>
      <c r="AA478" s="64"/>
      <c r="AB478" s="67"/>
      <c r="AC478" s="64"/>
      <c r="AD478" s="64"/>
      <c r="AE478" s="64"/>
      <c r="AF478" s="64"/>
      <c r="AG478" s="64"/>
      <c r="AH478" s="67"/>
      <c r="AI478" s="64"/>
      <c r="AJ478" s="64"/>
      <c r="AK478" s="64"/>
      <c r="AL478" s="64"/>
      <c r="AM478" s="64"/>
      <c r="AN478" s="67"/>
      <c r="AO478" s="64"/>
      <c r="AP478" s="64"/>
      <c r="AQ478" s="64"/>
      <c r="AR478" s="64"/>
      <c r="AS478" s="64"/>
      <c r="AT478" s="64"/>
      <c r="AU478" s="64"/>
      <c r="AV478" s="64"/>
      <c r="AW478" s="64"/>
      <c r="AX478" s="64"/>
      <c r="AY478" s="64"/>
      <c r="AZ478" s="64"/>
      <c r="BA478" s="64"/>
      <c r="BB478" s="64"/>
      <c r="BC478" s="64"/>
      <c r="BD478" s="64"/>
      <c r="BE478" s="657"/>
      <c r="BF478" s="67"/>
      <c r="BG478" s="64"/>
      <c r="BH478" s="64"/>
      <c r="BI478" s="64"/>
      <c r="BJ478" s="64"/>
      <c r="BK478" s="64"/>
      <c r="BL478" s="64"/>
      <c r="BM478" s="64"/>
      <c r="BN478" s="64"/>
      <c r="BO478" s="64"/>
      <c r="BP478" s="64"/>
      <c r="BQ478" s="64"/>
      <c r="BR478" s="69"/>
      <c r="BS478" s="69"/>
      <c r="BT478" s="64"/>
    </row>
    <row r="479" spans="1:72" ht="12.75" customHeight="1">
      <c r="A479" s="64"/>
      <c r="B479" s="64"/>
      <c r="C479" s="64"/>
      <c r="D479" s="64"/>
      <c r="E479" s="64"/>
      <c r="F479" s="67"/>
      <c r="G479" s="64"/>
      <c r="H479" s="64"/>
      <c r="I479" s="64"/>
      <c r="J479" s="64"/>
      <c r="K479" s="67"/>
      <c r="L479" s="64"/>
      <c r="M479" s="64"/>
      <c r="N479" s="64"/>
      <c r="O479" s="64"/>
      <c r="P479" s="67"/>
      <c r="Q479" s="64"/>
      <c r="R479" s="64"/>
      <c r="S479" s="64"/>
      <c r="T479" s="64"/>
      <c r="U479" s="64"/>
      <c r="V479" s="67"/>
      <c r="W479" s="64"/>
      <c r="X479" s="64"/>
      <c r="Y479" s="64"/>
      <c r="Z479" s="64"/>
      <c r="AA479" s="64"/>
      <c r="AB479" s="67"/>
      <c r="AC479" s="64"/>
      <c r="AD479" s="64"/>
      <c r="AE479" s="64"/>
      <c r="AF479" s="64"/>
      <c r="AG479" s="64"/>
      <c r="AH479" s="67"/>
      <c r="AI479" s="64"/>
      <c r="AJ479" s="64"/>
      <c r="AK479" s="64"/>
      <c r="AL479" s="64"/>
      <c r="AM479" s="64"/>
      <c r="AN479" s="67"/>
      <c r="AO479" s="64"/>
      <c r="AP479" s="64"/>
      <c r="AQ479" s="64"/>
      <c r="AR479" s="64"/>
      <c r="AS479" s="64"/>
      <c r="AT479" s="64"/>
      <c r="AU479" s="64"/>
      <c r="AV479" s="64"/>
      <c r="AW479" s="64"/>
      <c r="AX479" s="64"/>
      <c r="AY479" s="64"/>
      <c r="AZ479" s="64"/>
      <c r="BA479" s="64"/>
      <c r="BB479" s="64"/>
      <c r="BC479" s="64"/>
      <c r="BD479" s="64"/>
      <c r="BE479" s="657"/>
      <c r="BF479" s="67"/>
      <c r="BG479" s="64"/>
      <c r="BH479" s="64"/>
      <c r="BI479" s="64"/>
      <c r="BJ479" s="64"/>
      <c r="BK479" s="64"/>
      <c r="BL479" s="64"/>
      <c r="BM479" s="64"/>
      <c r="BN479" s="64"/>
      <c r="BO479" s="64"/>
      <c r="BP479" s="64"/>
      <c r="BQ479" s="64"/>
      <c r="BR479" s="69"/>
      <c r="BS479" s="69"/>
      <c r="BT479" s="64"/>
    </row>
    <row r="480" spans="1:72" ht="12.75" customHeight="1">
      <c r="A480" s="64"/>
      <c r="B480" s="64"/>
      <c r="C480" s="64"/>
      <c r="D480" s="64"/>
      <c r="E480" s="64"/>
      <c r="F480" s="67"/>
      <c r="G480" s="64"/>
      <c r="H480" s="64"/>
      <c r="I480" s="64"/>
      <c r="J480" s="64"/>
      <c r="K480" s="67"/>
      <c r="L480" s="64"/>
      <c r="M480" s="64"/>
      <c r="N480" s="64"/>
      <c r="O480" s="64"/>
      <c r="P480" s="67"/>
      <c r="Q480" s="64"/>
      <c r="R480" s="64"/>
      <c r="S480" s="64"/>
      <c r="T480" s="64"/>
      <c r="U480" s="64"/>
      <c r="V480" s="67"/>
      <c r="W480" s="64"/>
      <c r="X480" s="64"/>
      <c r="Y480" s="64"/>
      <c r="Z480" s="64"/>
      <c r="AA480" s="64"/>
      <c r="AB480" s="67"/>
      <c r="AC480" s="64"/>
      <c r="AD480" s="64"/>
      <c r="AE480" s="64"/>
      <c r="AF480" s="64"/>
      <c r="AG480" s="64"/>
      <c r="AH480" s="67"/>
      <c r="AI480" s="64"/>
      <c r="AJ480" s="64"/>
      <c r="AK480" s="64"/>
      <c r="AL480" s="64"/>
      <c r="AM480" s="64"/>
      <c r="AN480" s="67"/>
      <c r="AO480" s="64"/>
      <c r="AP480" s="64"/>
      <c r="AQ480" s="64"/>
      <c r="AR480" s="64"/>
      <c r="AS480" s="64"/>
      <c r="AT480" s="64"/>
      <c r="AU480" s="64"/>
      <c r="AV480" s="64"/>
      <c r="AW480" s="64"/>
      <c r="AX480" s="64"/>
      <c r="AY480" s="64"/>
      <c r="AZ480" s="64"/>
      <c r="BA480" s="64"/>
      <c r="BB480" s="64"/>
      <c r="BC480" s="64"/>
      <c r="BD480" s="64"/>
      <c r="BE480" s="657"/>
      <c r="BF480" s="67"/>
      <c r="BG480" s="64"/>
      <c r="BH480" s="64"/>
      <c r="BI480" s="64"/>
      <c r="BJ480" s="64"/>
      <c r="BK480" s="64"/>
      <c r="BL480" s="64"/>
      <c r="BM480" s="64"/>
      <c r="BN480" s="64"/>
      <c r="BO480" s="64"/>
      <c r="BP480" s="64"/>
      <c r="BQ480" s="64"/>
      <c r="BR480" s="69"/>
      <c r="BS480" s="69"/>
      <c r="BT480" s="64"/>
    </row>
    <row r="481" spans="1:72" ht="12.75" customHeight="1">
      <c r="A481" s="64"/>
      <c r="B481" s="64"/>
      <c r="C481" s="64"/>
      <c r="D481" s="64"/>
      <c r="E481" s="64"/>
      <c r="F481" s="67"/>
      <c r="G481" s="64"/>
      <c r="H481" s="64"/>
      <c r="I481" s="64"/>
      <c r="J481" s="64"/>
      <c r="K481" s="67"/>
      <c r="L481" s="64"/>
      <c r="M481" s="64"/>
      <c r="N481" s="64"/>
      <c r="O481" s="64"/>
      <c r="P481" s="67"/>
      <c r="Q481" s="64"/>
      <c r="R481" s="64"/>
      <c r="S481" s="64"/>
      <c r="T481" s="64"/>
      <c r="U481" s="64"/>
      <c r="V481" s="67"/>
      <c r="W481" s="64"/>
      <c r="X481" s="64"/>
      <c r="Y481" s="64"/>
      <c r="Z481" s="64"/>
      <c r="AA481" s="64"/>
      <c r="AB481" s="67"/>
      <c r="AC481" s="64"/>
      <c r="AD481" s="64"/>
      <c r="AE481" s="64"/>
      <c r="AF481" s="64"/>
      <c r="AG481" s="64"/>
      <c r="AH481" s="67"/>
      <c r="AI481" s="64"/>
      <c r="AJ481" s="64"/>
      <c r="AK481" s="64"/>
      <c r="AL481" s="64"/>
      <c r="AM481" s="64"/>
      <c r="AN481" s="67"/>
      <c r="AO481" s="64"/>
      <c r="AP481" s="64"/>
      <c r="AQ481" s="64"/>
      <c r="AR481" s="64"/>
      <c r="AS481" s="64"/>
      <c r="AT481" s="64"/>
      <c r="AU481" s="64"/>
      <c r="AV481" s="64"/>
      <c r="AW481" s="64"/>
      <c r="AX481" s="64"/>
      <c r="AY481" s="64"/>
      <c r="AZ481" s="64"/>
      <c r="BA481" s="64"/>
      <c r="BB481" s="64"/>
      <c r="BC481" s="64"/>
      <c r="BD481" s="64"/>
      <c r="BE481" s="657"/>
      <c r="BF481" s="67"/>
      <c r="BG481" s="64"/>
      <c r="BH481" s="64"/>
      <c r="BI481" s="64"/>
      <c r="BJ481" s="64"/>
      <c r="BK481" s="64"/>
      <c r="BL481" s="64"/>
      <c r="BM481" s="64"/>
      <c r="BN481" s="64"/>
      <c r="BO481" s="64"/>
      <c r="BP481" s="64"/>
      <c r="BQ481" s="64"/>
      <c r="BR481" s="69"/>
      <c r="BS481" s="69"/>
      <c r="BT481" s="64"/>
    </row>
    <row r="482" spans="1:72" ht="12.75" customHeight="1">
      <c r="A482" s="64"/>
      <c r="B482" s="64"/>
      <c r="C482" s="64"/>
      <c r="D482" s="64"/>
      <c r="E482" s="64"/>
      <c r="F482" s="67"/>
      <c r="G482" s="64"/>
      <c r="H482" s="64"/>
      <c r="I482" s="64"/>
      <c r="J482" s="64"/>
      <c r="K482" s="67"/>
      <c r="L482" s="64"/>
      <c r="M482" s="64"/>
      <c r="N482" s="64"/>
      <c r="O482" s="64"/>
      <c r="P482" s="67"/>
      <c r="Q482" s="64"/>
      <c r="R482" s="64"/>
      <c r="S482" s="64"/>
      <c r="T482" s="64"/>
      <c r="U482" s="64"/>
      <c r="V482" s="67"/>
      <c r="W482" s="64"/>
      <c r="X482" s="64"/>
      <c r="Y482" s="64"/>
      <c r="Z482" s="64"/>
      <c r="AA482" s="64"/>
      <c r="AB482" s="67"/>
      <c r="AC482" s="64"/>
      <c r="AD482" s="64"/>
      <c r="AE482" s="64"/>
      <c r="AF482" s="64"/>
      <c r="AG482" s="64"/>
      <c r="AH482" s="67"/>
      <c r="AI482" s="64"/>
      <c r="AJ482" s="64"/>
      <c r="AK482" s="64"/>
      <c r="AL482" s="64"/>
      <c r="AM482" s="64"/>
      <c r="AN482" s="67"/>
      <c r="AO482" s="64"/>
      <c r="AP482" s="64"/>
      <c r="AQ482" s="64"/>
      <c r="AR482" s="64"/>
      <c r="AS482" s="64"/>
      <c r="AT482" s="64"/>
      <c r="AU482" s="64"/>
      <c r="AV482" s="64"/>
      <c r="AW482" s="64"/>
      <c r="AX482" s="64"/>
      <c r="AY482" s="64"/>
      <c r="AZ482" s="64"/>
      <c r="BA482" s="64"/>
      <c r="BB482" s="64"/>
      <c r="BC482" s="64"/>
      <c r="BD482" s="64"/>
      <c r="BE482" s="657"/>
      <c r="BF482" s="67"/>
      <c r="BG482" s="64"/>
      <c r="BH482" s="64"/>
      <c r="BI482" s="64"/>
      <c r="BJ482" s="64"/>
      <c r="BK482" s="64"/>
      <c r="BL482" s="64"/>
      <c r="BM482" s="64"/>
      <c r="BN482" s="64"/>
      <c r="BO482" s="64"/>
      <c r="BP482" s="64"/>
      <c r="BQ482" s="64"/>
      <c r="BR482" s="69"/>
      <c r="BS482" s="69"/>
      <c r="BT482" s="64"/>
    </row>
    <row r="483" spans="1:72" ht="12.75" customHeight="1">
      <c r="A483" s="64"/>
      <c r="B483" s="64"/>
      <c r="C483" s="64"/>
      <c r="D483" s="64"/>
      <c r="E483" s="64"/>
      <c r="F483" s="67"/>
      <c r="G483" s="64"/>
      <c r="H483" s="64"/>
      <c r="I483" s="64"/>
      <c r="J483" s="64"/>
      <c r="K483" s="67"/>
      <c r="L483" s="64"/>
      <c r="M483" s="64"/>
      <c r="N483" s="64"/>
      <c r="O483" s="64"/>
      <c r="P483" s="67"/>
      <c r="Q483" s="64"/>
      <c r="R483" s="64"/>
      <c r="S483" s="64"/>
      <c r="T483" s="64"/>
      <c r="U483" s="64"/>
      <c r="V483" s="67"/>
      <c r="W483" s="64"/>
      <c r="X483" s="64"/>
      <c r="Y483" s="64"/>
      <c r="Z483" s="64"/>
      <c r="AA483" s="64"/>
      <c r="AB483" s="67"/>
      <c r="AC483" s="64"/>
      <c r="AD483" s="64"/>
      <c r="AE483" s="64"/>
      <c r="AF483" s="64"/>
      <c r="AG483" s="64"/>
      <c r="AH483" s="67"/>
      <c r="AI483" s="64"/>
      <c r="AJ483" s="64"/>
      <c r="AK483" s="64"/>
      <c r="AL483" s="64"/>
      <c r="AM483" s="64"/>
      <c r="AN483" s="67"/>
      <c r="AO483" s="64"/>
      <c r="AP483" s="64"/>
      <c r="AQ483" s="64"/>
      <c r="AR483" s="64"/>
      <c r="AS483" s="64"/>
      <c r="AT483" s="64"/>
      <c r="AU483" s="64"/>
      <c r="AV483" s="64"/>
      <c r="AW483" s="64"/>
      <c r="AX483" s="64"/>
      <c r="AY483" s="64"/>
      <c r="AZ483" s="64"/>
      <c r="BA483" s="64"/>
      <c r="BB483" s="64"/>
      <c r="BC483" s="64"/>
      <c r="BD483" s="64"/>
      <c r="BE483" s="657"/>
      <c r="BF483" s="67"/>
      <c r="BG483" s="64"/>
      <c r="BH483" s="64"/>
      <c r="BI483" s="64"/>
      <c r="BJ483" s="64"/>
      <c r="BK483" s="64"/>
      <c r="BL483" s="64"/>
      <c r="BM483" s="64"/>
      <c r="BN483" s="64"/>
      <c r="BO483" s="64"/>
      <c r="BP483" s="64"/>
      <c r="BQ483" s="64"/>
      <c r="BR483" s="69"/>
      <c r="BS483" s="69"/>
      <c r="BT483" s="64"/>
    </row>
    <row r="484" spans="1:72" ht="12.75" customHeight="1">
      <c r="A484" s="64"/>
      <c r="B484" s="64"/>
      <c r="C484" s="64"/>
      <c r="D484" s="64"/>
      <c r="E484" s="64"/>
      <c r="F484" s="67"/>
      <c r="G484" s="64"/>
      <c r="H484" s="64"/>
      <c r="I484" s="64"/>
      <c r="J484" s="64"/>
      <c r="K484" s="67"/>
      <c r="L484" s="64"/>
      <c r="M484" s="64"/>
      <c r="N484" s="64"/>
      <c r="O484" s="64"/>
      <c r="P484" s="67"/>
      <c r="Q484" s="64"/>
      <c r="R484" s="64"/>
      <c r="S484" s="64"/>
      <c r="T484" s="64"/>
      <c r="U484" s="64"/>
      <c r="V484" s="67"/>
      <c r="W484" s="64"/>
      <c r="X484" s="64"/>
      <c r="Y484" s="64"/>
      <c r="Z484" s="64"/>
      <c r="AA484" s="64"/>
      <c r="AB484" s="67"/>
      <c r="AC484" s="64"/>
      <c r="AD484" s="64"/>
      <c r="AE484" s="64"/>
      <c r="AF484" s="64"/>
      <c r="AG484" s="64"/>
      <c r="AH484" s="67"/>
      <c r="AI484" s="64"/>
      <c r="AJ484" s="64"/>
      <c r="AK484" s="64"/>
      <c r="AL484" s="64"/>
      <c r="AM484" s="64"/>
      <c r="AN484" s="67"/>
      <c r="AO484" s="64"/>
      <c r="AP484" s="64"/>
      <c r="AQ484" s="64"/>
      <c r="AR484" s="64"/>
      <c r="AS484" s="64"/>
      <c r="AT484" s="64"/>
      <c r="AU484" s="64"/>
      <c r="AV484" s="64"/>
      <c r="AW484" s="64"/>
      <c r="AX484" s="64"/>
      <c r="AY484" s="64"/>
      <c r="AZ484" s="64"/>
      <c r="BA484" s="64"/>
      <c r="BB484" s="64"/>
      <c r="BC484" s="64"/>
      <c r="BD484" s="64"/>
      <c r="BE484" s="657"/>
      <c r="BF484" s="67"/>
      <c r="BG484" s="64"/>
      <c r="BH484" s="64"/>
      <c r="BI484" s="64"/>
      <c r="BJ484" s="64"/>
      <c r="BK484" s="64"/>
      <c r="BL484" s="64"/>
      <c r="BM484" s="64"/>
      <c r="BN484" s="64"/>
      <c r="BO484" s="64"/>
      <c r="BP484" s="64"/>
      <c r="BQ484" s="64"/>
      <c r="BR484" s="69"/>
      <c r="BS484" s="69"/>
      <c r="BT484" s="64"/>
    </row>
    <row r="485" spans="1:72" ht="12.75" customHeight="1">
      <c r="A485" s="64"/>
      <c r="B485" s="64"/>
      <c r="C485" s="64"/>
      <c r="D485" s="64"/>
      <c r="E485" s="64"/>
      <c r="F485" s="67"/>
      <c r="G485" s="64"/>
      <c r="H485" s="64"/>
      <c r="I485" s="64"/>
      <c r="J485" s="64"/>
      <c r="K485" s="67"/>
      <c r="L485" s="64"/>
      <c r="M485" s="64"/>
      <c r="N485" s="64"/>
      <c r="O485" s="64"/>
      <c r="P485" s="67"/>
      <c r="Q485" s="64"/>
      <c r="R485" s="64"/>
      <c r="S485" s="64"/>
      <c r="T485" s="64"/>
      <c r="U485" s="64"/>
      <c r="V485" s="67"/>
      <c r="W485" s="64"/>
      <c r="X485" s="64"/>
      <c r="Y485" s="64"/>
      <c r="Z485" s="64"/>
      <c r="AA485" s="64"/>
      <c r="AB485" s="67"/>
      <c r="AC485" s="64"/>
      <c r="AD485" s="64"/>
      <c r="AE485" s="64"/>
      <c r="AF485" s="64"/>
      <c r="AG485" s="64"/>
      <c r="AH485" s="67"/>
      <c r="AI485" s="64"/>
      <c r="AJ485" s="64"/>
      <c r="AK485" s="64"/>
      <c r="AL485" s="64"/>
      <c r="AM485" s="64"/>
      <c r="AN485" s="67"/>
      <c r="AO485" s="64"/>
      <c r="AP485" s="64"/>
      <c r="AQ485" s="64"/>
      <c r="AR485" s="64"/>
      <c r="AS485" s="64"/>
      <c r="AT485" s="64"/>
      <c r="AU485" s="64"/>
      <c r="AV485" s="64"/>
      <c r="AW485" s="64"/>
      <c r="AX485" s="64"/>
      <c r="AY485" s="64"/>
      <c r="AZ485" s="64"/>
      <c r="BA485" s="64"/>
      <c r="BB485" s="64"/>
      <c r="BC485" s="64"/>
      <c r="BD485" s="64"/>
      <c r="BE485" s="657"/>
      <c r="BF485" s="67"/>
      <c r="BG485" s="64"/>
      <c r="BH485" s="64"/>
      <c r="BI485" s="64"/>
      <c r="BJ485" s="64"/>
      <c r="BK485" s="64"/>
      <c r="BL485" s="64"/>
      <c r="BM485" s="64"/>
      <c r="BN485" s="64"/>
      <c r="BO485" s="64"/>
      <c r="BP485" s="64"/>
      <c r="BQ485" s="64"/>
      <c r="BR485" s="69"/>
      <c r="BS485" s="69"/>
      <c r="BT485" s="64"/>
    </row>
    <row r="486" spans="1:72" ht="12.75" customHeight="1">
      <c r="A486" s="64"/>
      <c r="B486" s="64"/>
      <c r="C486" s="64"/>
      <c r="D486" s="64"/>
      <c r="E486" s="64"/>
      <c r="F486" s="67"/>
      <c r="G486" s="64"/>
      <c r="H486" s="64"/>
      <c r="I486" s="64"/>
      <c r="J486" s="64"/>
      <c r="K486" s="67"/>
      <c r="L486" s="64"/>
      <c r="M486" s="64"/>
      <c r="N486" s="64"/>
      <c r="O486" s="64"/>
      <c r="P486" s="67"/>
      <c r="Q486" s="64"/>
      <c r="R486" s="64"/>
      <c r="S486" s="64"/>
      <c r="T486" s="64"/>
      <c r="U486" s="64"/>
      <c r="V486" s="67"/>
      <c r="W486" s="64"/>
      <c r="X486" s="64"/>
      <c r="Y486" s="64"/>
      <c r="Z486" s="64"/>
      <c r="AA486" s="64"/>
      <c r="AB486" s="67"/>
      <c r="AC486" s="64"/>
      <c r="AD486" s="64"/>
      <c r="AE486" s="64"/>
      <c r="AF486" s="64"/>
      <c r="AG486" s="64"/>
      <c r="AH486" s="67"/>
      <c r="AI486" s="64"/>
      <c r="AJ486" s="64"/>
      <c r="AK486" s="64"/>
      <c r="AL486" s="64"/>
      <c r="AM486" s="64"/>
      <c r="AN486" s="67"/>
      <c r="AO486" s="64"/>
      <c r="AP486" s="64"/>
      <c r="AQ486" s="64"/>
      <c r="AR486" s="64"/>
      <c r="AS486" s="64"/>
      <c r="AT486" s="64"/>
      <c r="AU486" s="64"/>
      <c r="AV486" s="64"/>
      <c r="AW486" s="64"/>
      <c r="AX486" s="64"/>
      <c r="AY486" s="64"/>
      <c r="AZ486" s="64"/>
      <c r="BA486" s="64"/>
      <c r="BB486" s="64"/>
      <c r="BC486" s="64"/>
      <c r="BD486" s="64"/>
      <c r="BE486" s="657"/>
      <c r="BF486" s="67"/>
      <c r="BG486" s="64"/>
      <c r="BH486" s="64"/>
      <c r="BI486" s="64"/>
      <c r="BJ486" s="64"/>
      <c r="BK486" s="64"/>
      <c r="BL486" s="64"/>
      <c r="BM486" s="64"/>
      <c r="BN486" s="64"/>
      <c r="BO486" s="64"/>
      <c r="BP486" s="64"/>
      <c r="BQ486" s="64"/>
      <c r="BR486" s="69"/>
      <c r="BS486" s="69"/>
      <c r="BT486" s="64"/>
    </row>
    <row r="487" spans="1:72" ht="12.75" customHeight="1">
      <c r="A487" s="64"/>
      <c r="B487" s="64"/>
      <c r="C487" s="64"/>
      <c r="D487" s="64"/>
      <c r="E487" s="64"/>
      <c r="F487" s="67"/>
      <c r="G487" s="64"/>
      <c r="H487" s="64"/>
      <c r="I487" s="64"/>
      <c r="J487" s="64"/>
      <c r="K487" s="67"/>
      <c r="L487" s="64"/>
      <c r="M487" s="64"/>
      <c r="N487" s="64"/>
      <c r="O487" s="64"/>
      <c r="P487" s="67"/>
      <c r="Q487" s="64"/>
      <c r="R487" s="64"/>
      <c r="S487" s="64"/>
      <c r="T487" s="64"/>
      <c r="U487" s="64"/>
      <c r="V487" s="67"/>
      <c r="W487" s="64"/>
      <c r="X487" s="64"/>
      <c r="Y487" s="64"/>
      <c r="Z487" s="64"/>
      <c r="AA487" s="64"/>
      <c r="AB487" s="67"/>
      <c r="AC487" s="64"/>
      <c r="AD487" s="64"/>
      <c r="AE487" s="64"/>
      <c r="AF487" s="64"/>
      <c r="AG487" s="64"/>
      <c r="AH487" s="67"/>
      <c r="AI487" s="64"/>
      <c r="AJ487" s="64"/>
      <c r="AK487" s="64"/>
      <c r="AL487" s="64"/>
      <c r="AM487" s="64"/>
      <c r="AN487" s="67"/>
      <c r="AO487" s="64"/>
      <c r="AP487" s="64"/>
      <c r="AQ487" s="64"/>
      <c r="AR487" s="64"/>
      <c r="AS487" s="64"/>
      <c r="AT487" s="64"/>
      <c r="AU487" s="64"/>
      <c r="AV487" s="64"/>
      <c r="AW487" s="64"/>
      <c r="AX487" s="64"/>
      <c r="AY487" s="64"/>
      <c r="AZ487" s="64"/>
      <c r="BA487" s="64"/>
      <c r="BB487" s="64"/>
      <c r="BC487" s="64"/>
      <c r="BD487" s="64"/>
      <c r="BE487" s="657"/>
      <c r="BF487" s="67"/>
      <c r="BG487" s="64"/>
      <c r="BH487" s="64"/>
      <c r="BI487" s="64"/>
      <c r="BJ487" s="64"/>
      <c r="BK487" s="64"/>
      <c r="BL487" s="64"/>
      <c r="BM487" s="64"/>
      <c r="BN487" s="64"/>
      <c r="BO487" s="64"/>
      <c r="BP487" s="64"/>
      <c r="BQ487" s="64"/>
      <c r="BR487" s="69"/>
      <c r="BS487" s="69"/>
      <c r="BT487" s="64"/>
    </row>
    <row r="488" spans="1:72" ht="12.75" customHeight="1">
      <c r="A488" s="64"/>
      <c r="B488" s="64"/>
      <c r="C488" s="64"/>
      <c r="D488" s="64"/>
      <c r="E488" s="64"/>
      <c r="F488" s="67"/>
      <c r="G488" s="64"/>
      <c r="H488" s="64"/>
      <c r="I488" s="64"/>
      <c r="J488" s="64"/>
      <c r="K488" s="67"/>
      <c r="L488" s="64"/>
      <c r="M488" s="64"/>
      <c r="N488" s="64"/>
      <c r="O488" s="64"/>
      <c r="P488" s="67"/>
      <c r="Q488" s="64"/>
      <c r="R488" s="64"/>
      <c r="S488" s="64"/>
      <c r="T488" s="64"/>
      <c r="U488" s="64"/>
      <c r="V488" s="67"/>
      <c r="W488" s="64"/>
      <c r="X488" s="64"/>
      <c r="Y488" s="64"/>
      <c r="Z488" s="64"/>
      <c r="AA488" s="64"/>
      <c r="AB488" s="67"/>
      <c r="AC488" s="64"/>
      <c r="AD488" s="64"/>
      <c r="AE488" s="64"/>
      <c r="AF488" s="64"/>
      <c r="AG488" s="64"/>
      <c r="AH488" s="67"/>
      <c r="AI488" s="64"/>
      <c r="AJ488" s="64"/>
      <c r="AK488" s="64"/>
      <c r="AL488" s="64"/>
      <c r="AM488" s="64"/>
      <c r="AN488" s="67"/>
      <c r="AO488" s="64"/>
      <c r="AP488" s="64"/>
      <c r="AQ488" s="64"/>
      <c r="AR488" s="64"/>
      <c r="AS488" s="64"/>
      <c r="AT488" s="64"/>
      <c r="AU488" s="64"/>
      <c r="AV488" s="64"/>
      <c r="AW488" s="64"/>
      <c r="AX488" s="64"/>
      <c r="AY488" s="64"/>
      <c r="AZ488" s="64"/>
      <c r="BA488" s="64"/>
      <c r="BB488" s="64"/>
      <c r="BC488" s="64"/>
      <c r="BD488" s="64"/>
      <c r="BE488" s="657"/>
      <c r="BF488" s="67"/>
      <c r="BG488" s="64"/>
      <c r="BH488" s="64"/>
      <c r="BI488" s="64"/>
      <c r="BJ488" s="64"/>
      <c r="BK488" s="64"/>
      <c r="BL488" s="64"/>
      <c r="BM488" s="64"/>
      <c r="BN488" s="64"/>
      <c r="BO488" s="64"/>
      <c r="BP488" s="64"/>
      <c r="BQ488" s="64"/>
      <c r="BR488" s="69"/>
      <c r="BS488" s="69"/>
      <c r="BT488" s="64"/>
    </row>
    <row r="489" spans="1:72" ht="12.75" customHeight="1">
      <c r="A489" s="64"/>
      <c r="B489" s="64"/>
      <c r="C489" s="64"/>
      <c r="D489" s="64"/>
      <c r="E489" s="64"/>
      <c r="F489" s="67"/>
      <c r="G489" s="64"/>
      <c r="H489" s="64"/>
      <c r="I489" s="64"/>
      <c r="J489" s="64"/>
      <c r="K489" s="67"/>
      <c r="L489" s="64"/>
      <c r="M489" s="64"/>
      <c r="N489" s="64"/>
      <c r="O489" s="64"/>
      <c r="P489" s="67"/>
      <c r="Q489" s="64"/>
      <c r="R489" s="64"/>
      <c r="S489" s="64"/>
      <c r="T489" s="64"/>
      <c r="U489" s="64"/>
      <c r="V489" s="67"/>
      <c r="W489" s="64"/>
      <c r="X489" s="64"/>
      <c r="Y489" s="64"/>
      <c r="Z489" s="64"/>
      <c r="AA489" s="64"/>
      <c r="AB489" s="67"/>
      <c r="AC489" s="64"/>
      <c r="AD489" s="64"/>
      <c r="AE489" s="64"/>
      <c r="AF489" s="64"/>
      <c r="AG489" s="64"/>
      <c r="AH489" s="67"/>
      <c r="AI489" s="64"/>
      <c r="AJ489" s="64"/>
      <c r="AK489" s="64"/>
      <c r="AL489" s="64"/>
      <c r="AM489" s="64"/>
      <c r="AN489" s="67"/>
      <c r="AO489" s="64"/>
      <c r="AP489" s="64"/>
      <c r="AQ489" s="64"/>
      <c r="AR489" s="64"/>
      <c r="AS489" s="64"/>
      <c r="AT489" s="64"/>
      <c r="AU489" s="64"/>
      <c r="AV489" s="64"/>
      <c r="AW489" s="64"/>
      <c r="AX489" s="64"/>
      <c r="AY489" s="64"/>
      <c r="AZ489" s="64"/>
      <c r="BA489" s="64"/>
      <c r="BB489" s="64"/>
      <c r="BC489" s="64"/>
      <c r="BD489" s="64"/>
      <c r="BE489" s="657"/>
      <c r="BF489" s="67"/>
      <c r="BG489" s="64"/>
      <c r="BH489" s="64"/>
      <c r="BI489" s="64"/>
      <c r="BJ489" s="64"/>
      <c r="BK489" s="64"/>
      <c r="BL489" s="64"/>
      <c r="BM489" s="64"/>
      <c r="BN489" s="64"/>
      <c r="BO489" s="64"/>
      <c r="BP489" s="64"/>
      <c r="BQ489" s="64"/>
      <c r="BR489" s="69"/>
      <c r="BS489" s="69"/>
      <c r="BT489" s="64"/>
    </row>
    <row r="490" spans="1:72" ht="12.75" customHeight="1">
      <c r="A490" s="64"/>
      <c r="B490" s="64"/>
      <c r="C490" s="64"/>
      <c r="D490" s="64"/>
      <c r="E490" s="64"/>
      <c r="F490" s="67"/>
      <c r="G490" s="64"/>
      <c r="H490" s="64"/>
      <c r="I490" s="64"/>
      <c r="J490" s="64"/>
      <c r="K490" s="67"/>
      <c r="L490" s="64"/>
      <c r="M490" s="64"/>
      <c r="N490" s="64"/>
      <c r="O490" s="64"/>
      <c r="P490" s="67"/>
      <c r="Q490" s="64"/>
      <c r="R490" s="64"/>
      <c r="S490" s="64"/>
      <c r="T490" s="64"/>
      <c r="U490" s="64"/>
      <c r="V490" s="67"/>
      <c r="W490" s="64"/>
      <c r="X490" s="64"/>
      <c r="Y490" s="64"/>
      <c r="Z490" s="64"/>
      <c r="AA490" s="64"/>
      <c r="AB490" s="67"/>
      <c r="AC490" s="64"/>
      <c r="AD490" s="64"/>
      <c r="AE490" s="64"/>
      <c r="AF490" s="64"/>
      <c r="AG490" s="64"/>
      <c r="AH490" s="67"/>
      <c r="AI490" s="64"/>
      <c r="AJ490" s="64"/>
      <c r="AK490" s="64"/>
      <c r="AL490" s="64"/>
      <c r="AM490" s="64"/>
      <c r="AN490" s="67"/>
      <c r="AO490" s="64"/>
      <c r="AP490" s="64"/>
      <c r="AQ490" s="64"/>
      <c r="AR490" s="64"/>
      <c r="AS490" s="64"/>
      <c r="AT490" s="64"/>
      <c r="AU490" s="64"/>
      <c r="AV490" s="64"/>
      <c r="AW490" s="64"/>
      <c r="AX490" s="64"/>
      <c r="AY490" s="64"/>
      <c r="AZ490" s="64"/>
      <c r="BA490" s="64"/>
      <c r="BB490" s="64"/>
      <c r="BC490" s="64"/>
      <c r="BD490" s="64"/>
      <c r="BE490" s="657"/>
      <c r="BF490" s="67"/>
      <c r="BG490" s="64"/>
      <c r="BH490" s="64"/>
      <c r="BI490" s="64"/>
      <c r="BJ490" s="64"/>
      <c r="BK490" s="64"/>
      <c r="BL490" s="64"/>
      <c r="BM490" s="64"/>
      <c r="BN490" s="64"/>
      <c r="BO490" s="64"/>
      <c r="BP490" s="64"/>
      <c r="BQ490" s="64"/>
      <c r="BR490" s="69"/>
      <c r="BS490" s="69"/>
      <c r="BT490" s="64"/>
    </row>
    <row r="491" spans="1:72" ht="12.75" customHeight="1">
      <c r="A491" s="64"/>
      <c r="B491" s="64"/>
      <c r="C491" s="64"/>
      <c r="D491" s="64"/>
      <c r="E491" s="64"/>
      <c r="F491" s="67"/>
      <c r="G491" s="64"/>
      <c r="H491" s="64"/>
      <c r="I491" s="64"/>
      <c r="J491" s="64"/>
      <c r="K491" s="67"/>
      <c r="L491" s="64"/>
      <c r="M491" s="64"/>
      <c r="N491" s="64"/>
      <c r="O491" s="64"/>
      <c r="P491" s="67"/>
      <c r="Q491" s="64"/>
      <c r="R491" s="64"/>
      <c r="S491" s="64"/>
      <c r="T491" s="64"/>
      <c r="U491" s="64"/>
      <c r="V491" s="67"/>
      <c r="W491" s="64"/>
      <c r="X491" s="64"/>
      <c r="Y491" s="64"/>
      <c r="Z491" s="64"/>
      <c r="AA491" s="64"/>
      <c r="AB491" s="67"/>
      <c r="AC491" s="64"/>
      <c r="AD491" s="64"/>
      <c r="AE491" s="64"/>
      <c r="AF491" s="64"/>
      <c r="AG491" s="64"/>
      <c r="AH491" s="67"/>
      <c r="AI491" s="64"/>
      <c r="AJ491" s="64"/>
      <c r="AK491" s="64"/>
      <c r="AL491" s="64"/>
      <c r="AM491" s="64"/>
      <c r="AN491" s="67"/>
      <c r="AO491" s="64"/>
      <c r="AP491" s="64"/>
      <c r="AQ491" s="64"/>
      <c r="AR491" s="64"/>
      <c r="AS491" s="64"/>
      <c r="AT491" s="64"/>
      <c r="AU491" s="64"/>
      <c r="AV491" s="64"/>
      <c r="AW491" s="64"/>
      <c r="AX491" s="64"/>
      <c r="AY491" s="64"/>
      <c r="AZ491" s="64"/>
      <c r="BA491" s="64"/>
      <c r="BB491" s="64"/>
      <c r="BC491" s="64"/>
      <c r="BD491" s="64"/>
      <c r="BE491" s="657"/>
      <c r="BF491" s="67"/>
      <c r="BG491" s="64"/>
      <c r="BH491" s="64"/>
      <c r="BI491" s="64"/>
      <c r="BJ491" s="64"/>
      <c r="BK491" s="64"/>
      <c r="BL491" s="64"/>
      <c r="BM491" s="64"/>
      <c r="BN491" s="64"/>
      <c r="BO491" s="64"/>
      <c r="BP491" s="64"/>
      <c r="BQ491" s="64"/>
      <c r="BR491" s="69"/>
      <c r="BS491" s="69"/>
      <c r="BT491" s="64"/>
    </row>
    <row r="492" spans="1:72" ht="12.75" customHeight="1">
      <c r="A492" s="64"/>
      <c r="B492" s="64"/>
      <c r="C492" s="64"/>
      <c r="D492" s="64"/>
      <c r="E492" s="64"/>
      <c r="F492" s="67"/>
      <c r="G492" s="64"/>
      <c r="H492" s="64"/>
      <c r="I492" s="64"/>
      <c r="J492" s="64"/>
      <c r="K492" s="67"/>
      <c r="L492" s="64"/>
      <c r="M492" s="64"/>
      <c r="N492" s="64"/>
      <c r="O492" s="64"/>
      <c r="P492" s="67"/>
      <c r="Q492" s="64"/>
      <c r="R492" s="64"/>
      <c r="S492" s="64"/>
      <c r="T492" s="64"/>
      <c r="U492" s="64"/>
      <c r="V492" s="67"/>
      <c r="W492" s="64"/>
      <c r="X492" s="64"/>
      <c r="Y492" s="64"/>
      <c r="Z492" s="64"/>
      <c r="AA492" s="64"/>
      <c r="AB492" s="67"/>
      <c r="AC492" s="64"/>
      <c r="AD492" s="64"/>
      <c r="AE492" s="64"/>
      <c r="AF492" s="64"/>
      <c r="AG492" s="64"/>
      <c r="AH492" s="67"/>
      <c r="AI492" s="64"/>
      <c r="AJ492" s="64"/>
      <c r="AK492" s="64"/>
      <c r="AL492" s="64"/>
      <c r="AM492" s="64"/>
      <c r="AN492" s="67"/>
      <c r="AO492" s="64"/>
      <c r="AP492" s="64"/>
      <c r="AQ492" s="64"/>
      <c r="AR492" s="64"/>
      <c r="AS492" s="64"/>
      <c r="AT492" s="64"/>
      <c r="AU492" s="64"/>
      <c r="AV492" s="64"/>
      <c r="AW492" s="64"/>
      <c r="AX492" s="64"/>
      <c r="AY492" s="64"/>
      <c r="AZ492" s="64"/>
      <c r="BA492" s="64"/>
      <c r="BB492" s="64"/>
      <c r="BC492" s="64"/>
      <c r="BD492" s="64"/>
      <c r="BE492" s="657"/>
      <c r="BF492" s="67"/>
      <c r="BG492" s="64"/>
      <c r="BH492" s="64"/>
      <c r="BI492" s="64"/>
      <c r="BJ492" s="64"/>
      <c r="BK492" s="64"/>
      <c r="BL492" s="64"/>
      <c r="BM492" s="64"/>
      <c r="BN492" s="64"/>
      <c r="BO492" s="64"/>
      <c r="BP492" s="64"/>
      <c r="BQ492" s="64"/>
      <c r="BR492" s="69"/>
      <c r="BS492" s="69"/>
      <c r="BT492" s="64"/>
    </row>
    <row r="493" spans="1:72" ht="12.75" customHeight="1">
      <c r="A493" s="64"/>
      <c r="B493" s="64"/>
      <c r="C493" s="64"/>
      <c r="D493" s="64"/>
      <c r="E493" s="64"/>
      <c r="F493" s="67"/>
      <c r="G493" s="64"/>
      <c r="H493" s="64"/>
      <c r="I493" s="64"/>
      <c r="J493" s="64"/>
      <c r="K493" s="67"/>
      <c r="L493" s="64"/>
      <c r="M493" s="64"/>
      <c r="N493" s="64"/>
      <c r="O493" s="64"/>
      <c r="P493" s="67"/>
      <c r="Q493" s="64"/>
      <c r="R493" s="64"/>
      <c r="S493" s="64"/>
      <c r="T493" s="64"/>
      <c r="U493" s="64"/>
      <c r="V493" s="67"/>
      <c r="W493" s="64"/>
      <c r="X493" s="64"/>
      <c r="Y493" s="64"/>
      <c r="Z493" s="64"/>
      <c r="AA493" s="64"/>
      <c r="AB493" s="67"/>
      <c r="AC493" s="64"/>
      <c r="AD493" s="64"/>
      <c r="AE493" s="64"/>
      <c r="AF493" s="64"/>
      <c r="AG493" s="64"/>
      <c r="AH493" s="67"/>
      <c r="AI493" s="64"/>
      <c r="AJ493" s="64"/>
      <c r="AK493" s="64"/>
      <c r="AL493" s="64"/>
      <c r="AM493" s="64"/>
      <c r="AN493" s="67"/>
      <c r="AO493" s="64"/>
      <c r="AP493" s="64"/>
      <c r="AQ493" s="64"/>
      <c r="AR493" s="64"/>
      <c r="AS493" s="64"/>
      <c r="AT493" s="64"/>
      <c r="AU493" s="64"/>
      <c r="AV493" s="64"/>
      <c r="AW493" s="64"/>
      <c r="AX493" s="64"/>
      <c r="AY493" s="64"/>
      <c r="AZ493" s="64"/>
      <c r="BA493" s="64"/>
      <c r="BB493" s="64"/>
      <c r="BC493" s="64"/>
      <c r="BD493" s="64"/>
      <c r="BE493" s="657"/>
      <c r="BF493" s="67"/>
      <c r="BG493" s="64"/>
      <c r="BH493" s="64"/>
      <c r="BI493" s="64"/>
      <c r="BJ493" s="64"/>
      <c r="BK493" s="64"/>
      <c r="BL493" s="64"/>
      <c r="BM493" s="64"/>
      <c r="BN493" s="64"/>
      <c r="BO493" s="64"/>
      <c r="BP493" s="64"/>
      <c r="BQ493" s="64"/>
      <c r="BR493" s="69"/>
      <c r="BS493" s="69"/>
      <c r="BT493" s="64"/>
    </row>
    <row r="494" spans="1:72" ht="15.75" customHeight="1">
      <c r="BR494" s="136"/>
      <c r="BS494" s="136"/>
      <c r="BT494" s="137"/>
    </row>
    <row r="495" spans="1:72" ht="15.75" customHeight="1">
      <c r="BR495" s="136"/>
      <c r="BS495" s="136"/>
      <c r="BT495" s="137"/>
    </row>
    <row r="496" spans="1:72" ht="15.75" customHeight="1">
      <c r="BR496" s="136"/>
      <c r="BS496" s="136"/>
      <c r="BT496" s="137"/>
    </row>
    <row r="497" spans="70:72" ht="15.75" customHeight="1">
      <c r="BR497" s="136"/>
      <c r="BS497" s="136"/>
      <c r="BT497" s="137"/>
    </row>
    <row r="498" spans="70:72" ht="15.75" customHeight="1">
      <c r="BR498" s="136"/>
      <c r="BS498" s="136"/>
      <c r="BT498" s="137"/>
    </row>
    <row r="499" spans="70:72" ht="15.75" customHeight="1">
      <c r="BR499" s="136"/>
      <c r="BS499" s="136"/>
      <c r="BT499" s="137"/>
    </row>
    <row r="500" spans="70:72" ht="15.75" customHeight="1">
      <c r="BR500" s="136"/>
      <c r="BS500" s="136"/>
      <c r="BT500" s="137"/>
    </row>
    <row r="501" spans="70:72" ht="15.75" customHeight="1">
      <c r="BR501" s="136"/>
      <c r="BS501" s="136"/>
      <c r="BT501" s="137"/>
    </row>
    <row r="502" spans="70:72" ht="15.75" customHeight="1">
      <c r="BR502" s="136"/>
      <c r="BS502" s="136"/>
      <c r="BT502" s="137"/>
    </row>
    <row r="503" spans="70:72" ht="15.75" customHeight="1">
      <c r="BR503" s="136"/>
      <c r="BS503" s="136"/>
      <c r="BT503" s="137"/>
    </row>
    <row r="504" spans="70:72" ht="15.75" customHeight="1">
      <c r="BR504" s="136"/>
      <c r="BS504" s="136"/>
      <c r="BT504" s="137"/>
    </row>
    <row r="505" spans="70:72" ht="15.75" customHeight="1">
      <c r="BR505" s="136"/>
      <c r="BS505" s="136"/>
      <c r="BT505" s="137"/>
    </row>
    <row r="506" spans="70:72" ht="15.75" customHeight="1">
      <c r="BR506" s="136"/>
      <c r="BS506" s="136"/>
      <c r="BT506" s="137"/>
    </row>
    <row r="507" spans="70:72" ht="15.75" customHeight="1">
      <c r="BR507" s="136"/>
      <c r="BS507" s="136"/>
      <c r="BT507" s="137"/>
    </row>
    <row r="508" spans="70:72" ht="15.75" customHeight="1">
      <c r="BR508" s="136"/>
      <c r="BS508" s="136"/>
      <c r="BT508" s="137"/>
    </row>
    <row r="509" spans="70:72" ht="15.75" customHeight="1">
      <c r="BR509" s="136"/>
      <c r="BS509" s="136"/>
      <c r="BT509" s="137"/>
    </row>
    <row r="510" spans="70:72" ht="15.75" customHeight="1">
      <c r="BR510" s="136"/>
      <c r="BS510" s="136"/>
      <c r="BT510" s="137"/>
    </row>
    <row r="511" spans="70:72" ht="15.75" customHeight="1">
      <c r="BR511" s="136"/>
      <c r="BS511" s="136"/>
      <c r="BT511" s="137"/>
    </row>
    <row r="512" spans="70:72" ht="15.75" customHeight="1">
      <c r="BR512" s="136"/>
      <c r="BS512" s="136"/>
      <c r="BT512" s="137"/>
    </row>
    <row r="513" spans="70:72" ht="15.75" customHeight="1">
      <c r="BR513" s="136"/>
      <c r="BS513" s="136"/>
      <c r="BT513" s="137"/>
    </row>
    <row r="514" spans="70:72" ht="15.75" customHeight="1">
      <c r="BR514" s="136"/>
      <c r="BS514" s="136"/>
      <c r="BT514" s="137"/>
    </row>
    <row r="515" spans="70:72" ht="15.75" customHeight="1">
      <c r="BR515" s="136"/>
      <c r="BS515" s="136"/>
      <c r="BT515" s="137"/>
    </row>
    <row r="516" spans="70:72" ht="15.75" customHeight="1">
      <c r="BR516" s="136"/>
      <c r="BS516" s="136"/>
      <c r="BT516" s="137"/>
    </row>
    <row r="517" spans="70:72" ht="15.75" customHeight="1">
      <c r="BR517" s="136"/>
      <c r="BS517" s="136"/>
      <c r="BT517" s="137"/>
    </row>
    <row r="518" spans="70:72" ht="15.75" customHeight="1">
      <c r="BR518" s="136"/>
      <c r="BS518" s="136"/>
      <c r="BT518" s="137"/>
    </row>
    <row r="519" spans="70:72" ht="15.75" customHeight="1">
      <c r="BR519" s="136"/>
      <c r="BS519" s="136"/>
      <c r="BT519" s="137"/>
    </row>
    <row r="520" spans="70:72" ht="15.75" customHeight="1">
      <c r="BR520" s="136"/>
      <c r="BS520" s="136"/>
      <c r="BT520" s="137"/>
    </row>
    <row r="521" spans="70:72" ht="15.75" customHeight="1">
      <c r="BR521" s="136"/>
      <c r="BS521" s="136"/>
      <c r="BT521" s="137"/>
    </row>
    <row r="522" spans="70:72" ht="15.75" customHeight="1">
      <c r="BR522" s="136"/>
      <c r="BS522" s="136"/>
      <c r="BT522" s="137"/>
    </row>
    <row r="523" spans="70:72" ht="15.75" customHeight="1">
      <c r="BR523" s="136"/>
      <c r="BS523" s="136"/>
      <c r="BT523" s="137"/>
    </row>
    <row r="524" spans="70:72" ht="15.75" customHeight="1">
      <c r="BR524" s="136"/>
      <c r="BS524" s="136"/>
      <c r="BT524" s="137"/>
    </row>
    <row r="525" spans="70:72" ht="15.75" customHeight="1">
      <c r="BR525" s="136"/>
      <c r="BS525" s="136"/>
      <c r="BT525" s="137"/>
    </row>
    <row r="526" spans="70:72" ht="15.75" customHeight="1">
      <c r="BR526" s="136"/>
      <c r="BS526" s="136"/>
      <c r="BT526" s="137"/>
    </row>
    <row r="527" spans="70:72" ht="15.75" customHeight="1">
      <c r="BR527" s="136"/>
      <c r="BS527" s="136"/>
      <c r="BT527" s="137"/>
    </row>
    <row r="528" spans="70:72" ht="15.75" customHeight="1">
      <c r="BR528" s="136"/>
      <c r="BS528" s="136"/>
      <c r="BT528" s="137"/>
    </row>
    <row r="529" spans="70:72" ht="15.75" customHeight="1">
      <c r="BR529" s="136"/>
      <c r="BS529" s="136"/>
      <c r="BT529" s="137"/>
    </row>
    <row r="530" spans="70:72" ht="15.75" customHeight="1">
      <c r="BR530" s="136"/>
      <c r="BS530" s="136"/>
      <c r="BT530" s="137"/>
    </row>
    <row r="531" spans="70:72" ht="15.75" customHeight="1">
      <c r="BR531" s="136"/>
      <c r="BS531" s="136"/>
      <c r="BT531" s="137"/>
    </row>
    <row r="532" spans="70:72" ht="15.75" customHeight="1">
      <c r="BR532" s="136"/>
      <c r="BS532" s="136"/>
      <c r="BT532" s="137"/>
    </row>
    <row r="533" spans="70:72" ht="15.75" customHeight="1">
      <c r="BR533" s="136"/>
      <c r="BS533" s="136"/>
      <c r="BT533" s="137"/>
    </row>
    <row r="534" spans="70:72" ht="15.75" customHeight="1">
      <c r="BR534" s="136"/>
      <c r="BS534" s="136"/>
      <c r="BT534" s="137"/>
    </row>
    <row r="535" spans="70:72" ht="15.75" customHeight="1">
      <c r="BR535" s="136"/>
      <c r="BS535" s="136"/>
      <c r="BT535" s="137"/>
    </row>
    <row r="536" spans="70:72" ht="15.75" customHeight="1">
      <c r="BR536" s="136"/>
      <c r="BS536" s="136"/>
      <c r="BT536" s="137"/>
    </row>
    <row r="537" spans="70:72" ht="15.75" customHeight="1">
      <c r="BR537" s="136"/>
      <c r="BS537" s="136"/>
      <c r="BT537" s="137"/>
    </row>
    <row r="538" spans="70:72" ht="15.75" customHeight="1">
      <c r="BR538" s="136"/>
      <c r="BS538" s="136"/>
      <c r="BT538" s="137"/>
    </row>
    <row r="539" spans="70:72" ht="15.75" customHeight="1">
      <c r="BR539" s="136"/>
      <c r="BS539" s="136"/>
      <c r="BT539" s="137"/>
    </row>
    <row r="540" spans="70:72" ht="15.75" customHeight="1">
      <c r="BR540" s="136"/>
      <c r="BS540" s="136"/>
      <c r="BT540" s="137"/>
    </row>
    <row r="541" spans="70:72" ht="15.75" customHeight="1">
      <c r="BR541" s="136"/>
      <c r="BS541" s="136"/>
      <c r="BT541" s="137"/>
    </row>
    <row r="542" spans="70:72" ht="15.75" customHeight="1">
      <c r="BR542" s="136"/>
      <c r="BS542" s="136"/>
      <c r="BT542" s="137"/>
    </row>
    <row r="543" spans="70:72" ht="15.75" customHeight="1">
      <c r="BR543" s="136"/>
      <c r="BS543" s="136"/>
      <c r="BT543" s="137"/>
    </row>
    <row r="544" spans="70:72" ht="15.75" customHeight="1">
      <c r="BR544" s="136"/>
      <c r="BS544" s="136"/>
      <c r="BT544" s="137"/>
    </row>
    <row r="545" spans="70:72" ht="15.75" customHeight="1">
      <c r="BR545" s="136"/>
      <c r="BS545" s="136"/>
      <c r="BT545" s="137"/>
    </row>
    <row r="546" spans="70:72" ht="15.75" customHeight="1">
      <c r="BR546" s="136"/>
      <c r="BS546" s="136"/>
      <c r="BT546" s="137"/>
    </row>
    <row r="547" spans="70:72" ht="15.75" customHeight="1">
      <c r="BR547" s="136"/>
      <c r="BS547" s="136"/>
      <c r="BT547" s="137"/>
    </row>
    <row r="548" spans="70:72" ht="15.75" customHeight="1">
      <c r="BR548" s="136"/>
      <c r="BS548" s="136"/>
      <c r="BT548" s="137"/>
    </row>
    <row r="549" spans="70:72" ht="15.75" customHeight="1">
      <c r="BR549" s="136"/>
      <c r="BS549" s="136"/>
      <c r="BT549" s="137"/>
    </row>
    <row r="550" spans="70:72" ht="15.75" customHeight="1">
      <c r="BR550" s="136"/>
      <c r="BS550" s="136"/>
      <c r="BT550" s="137"/>
    </row>
    <row r="551" spans="70:72" ht="15.75" customHeight="1">
      <c r="BR551" s="136"/>
      <c r="BS551" s="136"/>
      <c r="BT551" s="137"/>
    </row>
    <row r="552" spans="70:72" ht="15.75" customHeight="1">
      <c r="BR552" s="136"/>
      <c r="BS552" s="136"/>
      <c r="BT552" s="137"/>
    </row>
    <row r="553" spans="70:72" ht="15.75" customHeight="1">
      <c r="BR553" s="136"/>
      <c r="BS553" s="136"/>
      <c r="BT553" s="137"/>
    </row>
    <row r="554" spans="70:72" ht="15.75" customHeight="1">
      <c r="BR554" s="136"/>
      <c r="BS554" s="136"/>
      <c r="BT554" s="137"/>
    </row>
    <row r="555" spans="70:72" ht="15.75" customHeight="1">
      <c r="BR555" s="136"/>
      <c r="BS555" s="136"/>
      <c r="BT555" s="137"/>
    </row>
    <row r="556" spans="70:72" ht="15.75" customHeight="1">
      <c r="BR556" s="136"/>
      <c r="BS556" s="136"/>
      <c r="BT556" s="137"/>
    </row>
    <row r="557" spans="70:72" ht="15.75" customHeight="1">
      <c r="BR557" s="136"/>
      <c r="BS557" s="136"/>
      <c r="BT557" s="137"/>
    </row>
    <row r="558" spans="70:72" ht="15.75" customHeight="1">
      <c r="BR558" s="136"/>
      <c r="BS558" s="136"/>
      <c r="BT558" s="137"/>
    </row>
    <row r="559" spans="70:72" ht="15.75" customHeight="1">
      <c r="BR559" s="136"/>
      <c r="BS559" s="136"/>
      <c r="BT559" s="137"/>
    </row>
    <row r="560" spans="70:72" ht="15.75" customHeight="1">
      <c r="BR560" s="136"/>
      <c r="BS560" s="136"/>
      <c r="BT560" s="137"/>
    </row>
    <row r="561" spans="70:72" ht="15.75" customHeight="1">
      <c r="BR561" s="136"/>
      <c r="BS561" s="136"/>
      <c r="BT561" s="137"/>
    </row>
    <row r="562" spans="70:72" ht="15.75" customHeight="1">
      <c r="BR562" s="136"/>
      <c r="BS562" s="136"/>
      <c r="BT562" s="137"/>
    </row>
    <row r="563" spans="70:72" ht="15.75" customHeight="1">
      <c r="BR563" s="136"/>
      <c r="BS563" s="136"/>
      <c r="BT563" s="137"/>
    </row>
    <row r="564" spans="70:72" ht="15.75" customHeight="1">
      <c r="BR564" s="136"/>
      <c r="BS564" s="136"/>
      <c r="BT564" s="137"/>
    </row>
    <row r="565" spans="70:72" ht="15.75" customHeight="1">
      <c r="BR565" s="136"/>
      <c r="BS565" s="136"/>
      <c r="BT565" s="137"/>
    </row>
    <row r="566" spans="70:72" ht="15.75" customHeight="1">
      <c r="BR566" s="136"/>
      <c r="BS566" s="136"/>
      <c r="BT566" s="137"/>
    </row>
    <row r="567" spans="70:72" ht="15.75" customHeight="1">
      <c r="BR567" s="136"/>
      <c r="BS567" s="136"/>
      <c r="BT567" s="137"/>
    </row>
    <row r="568" spans="70:72" ht="15.75" customHeight="1">
      <c r="BR568" s="136"/>
      <c r="BS568" s="136"/>
      <c r="BT568" s="137"/>
    </row>
    <row r="569" spans="70:72" ht="15.75" customHeight="1">
      <c r="BR569" s="136"/>
      <c r="BS569" s="136"/>
      <c r="BT569" s="137"/>
    </row>
    <row r="570" spans="70:72" ht="15.75" customHeight="1">
      <c r="BR570" s="136"/>
      <c r="BS570" s="136"/>
      <c r="BT570" s="137"/>
    </row>
    <row r="571" spans="70:72" ht="15.75" customHeight="1">
      <c r="BR571" s="136"/>
      <c r="BS571" s="136"/>
      <c r="BT571" s="137"/>
    </row>
    <row r="572" spans="70:72" ht="15.75" customHeight="1">
      <c r="BR572" s="136"/>
      <c r="BS572" s="136"/>
      <c r="BT572" s="137"/>
    </row>
    <row r="573" spans="70:72" ht="15.75" customHeight="1">
      <c r="BR573" s="136"/>
      <c r="BS573" s="136"/>
      <c r="BT573" s="137"/>
    </row>
    <row r="574" spans="70:72" ht="15.75" customHeight="1">
      <c r="BR574" s="136"/>
      <c r="BS574" s="136"/>
      <c r="BT574" s="137"/>
    </row>
    <row r="575" spans="70:72" ht="15.75" customHeight="1">
      <c r="BR575" s="136"/>
      <c r="BS575" s="136"/>
      <c r="BT575" s="137"/>
    </row>
    <row r="576" spans="70:72" ht="15.75" customHeight="1">
      <c r="BR576" s="136"/>
      <c r="BS576" s="136"/>
      <c r="BT576" s="137"/>
    </row>
    <row r="577" spans="70:72" ht="15.75" customHeight="1">
      <c r="BR577" s="136"/>
      <c r="BS577" s="136"/>
      <c r="BT577" s="137"/>
    </row>
    <row r="578" spans="70:72" ht="15.75" customHeight="1">
      <c r="BR578" s="136"/>
      <c r="BS578" s="136"/>
      <c r="BT578" s="137"/>
    </row>
    <row r="579" spans="70:72" ht="15.75" customHeight="1">
      <c r="BR579" s="136"/>
      <c r="BS579" s="136"/>
      <c r="BT579" s="137"/>
    </row>
    <row r="580" spans="70:72" ht="15.75" customHeight="1">
      <c r="BR580" s="136"/>
      <c r="BS580" s="136"/>
      <c r="BT580" s="137"/>
    </row>
    <row r="581" spans="70:72" ht="15.75" customHeight="1">
      <c r="BR581" s="136"/>
      <c r="BS581" s="136"/>
      <c r="BT581" s="137"/>
    </row>
    <row r="582" spans="70:72" ht="15.75" customHeight="1">
      <c r="BR582" s="136"/>
      <c r="BS582" s="136"/>
      <c r="BT582" s="137"/>
    </row>
    <row r="583" spans="70:72" ht="15.75" customHeight="1">
      <c r="BR583" s="136"/>
      <c r="BS583" s="136"/>
      <c r="BT583" s="137"/>
    </row>
    <row r="584" spans="70:72" ht="15.75" customHeight="1">
      <c r="BR584" s="136"/>
      <c r="BS584" s="136"/>
      <c r="BT584" s="137"/>
    </row>
    <row r="585" spans="70:72" ht="15.75" customHeight="1">
      <c r="BR585" s="136"/>
      <c r="BS585" s="136"/>
      <c r="BT585" s="137"/>
    </row>
    <row r="586" spans="70:72" ht="15.75" customHeight="1">
      <c r="BR586" s="136"/>
      <c r="BS586" s="136"/>
      <c r="BT586" s="137"/>
    </row>
    <row r="587" spans="70:72" ht="15.75" customHeight="1">
      <c r="BR587" s="136"/>
      <c r="BS587" s="136"/>
      <c r="BT587" s="137"/>
    </row>
    <row r="588" spans="70:72" ht="15.75" customHeight="1">
      <c r="BR588" s="136"/>
      <c r="BS588" s="136"/>
      <c r="BT588" s="137"/>
    </row>
    <row r="589" spans="70:72" ht="15.75" customHeight="1">
      <c r="BR589" s="136"/>
      <c r="BS589" s="136"/>
      <c r="BT589" s="137"/>
    </row>
    <row r="590" spans="70:72" ht="15.75" customHeight="1">
      <c r="BR590" s="136"/>
      <c r="BS590" s="136"/>
      <c r="BT590" s="137"/>
    </row>
    <row r="591" spans="70:72" ht="15.75" customHeight="1">
      <c r="BR591" s="136"/>
      <c r="BS591" s="136"/>
      <c r="BT591" s="137"/>
    </row>
    <row r="592" spans="70:72" ht="15.75" customHeight="1">
      <c r="BR592" s="136"/>
      <c r="BS592" s="136"/>
      <c r="BT592" s="137"/>
    </row>
    <row r="593" spans="70:72" ht="15.75" customHeight="1">
      <c r="BR593" s="136"/>
      <c r="BS593" s="136"/>
      <c r="BT593" s="137"/>
    </row>
    <row r="594" spans="70:72" ht="15.75" customHeight="1">
      <c r="BR594" s="136"/>
      <c r="BS594" s="136"/>
      <c r="BT594" s="137"/>
    </row>
    <row r="595" spans="70:72" ht="15.75" customHeight="1">
      <c r="BR595" s="136"/>
      <c r="BS595" s="136"/>
      <c r="BT595" s="137"/>
    </row>
    <row r="596" spans="70:72" ht="15.75" customHeight="1">
      <c r="BR596" s="136"/>
      <c r="BS596" s="136"/>
      <c r="BT596" s="137"/>
    </row>
    <row r="597" spans="70:72" ht="15.75" customHeight="1">
      <c r="BR597" s="136"/>
      <c r="BS597" s="136"/>
      <c r="BT597" s="137"/>
    </row>
    <row r="598" spans="70:72" ht="15.75" customHeight="1">
      <c r="BR598" s="136"/>
      <c r="BS598" s="136"/>
      <c r="BT598" s="137"/>
    </row>
    <row r="599" spans="70:72" ht="15.75" customHeight="1">
      <c r="BR599" s="136"/>
      <c r="BS599" s="136"/>
      <c r="BT599" s="137"/>
    </row>
    <row r="600" spans="70:72" ht="15.75" customHeight="1">
      <c r="BR600" s="136"/>
      <c r="BS600" s="136"/>
      <c r="BT600" s="137"/>
    </row>
    <row r="601" spans="70:72" ht="15.75" customHeight="1">
      <c r="BR601" s="136"/>
      <c r="BS601" s="136"/>
      <c r="BT601" s="137"/>
    </row>
    <row r="602" spans="70:72" ht="15.75" customHeight="1">
      <c r="BR602" s="136"/>
      <c r="BS602" s="136"/>
      <c r="BT602" s="137"/>
    </row>
    <row r="603" spans="70:72" ht="15.75" customHeight="1">
      <c r="BR603" s="136"/>
      <c r="BS603" s="136"/>
      <c r="BT603" s="137"/>
    </row>
    <row r="604" spans="70:72" ht="15.75" customHeight="1">
      <c r="BR604" s="136"/>
      <c r="BS604" s="136"/>
      <c r="BT604" s="137"/>
    </row>
    <row r="605" spans="70:72" ht="15.75" customHeight="1">
      <c r="BR605" s="136"/>
      <c r="BS605" s="136"/>
      <c r="BT605" s="137"/>
    </row>
    <row r="606" spans="70:72" ht="15.75" customHeight="1">
      <c r="BR606" s="136"/>
      <c r="BS606" s="136"/>
      <c r="BT606" s="137"/>
    </row>
    <row r="607" spans="70:72" ht="15.75" customHeight="1">
      <c r="BR607" s="136"/>
      <c r="BS607" s="136"/>
      <c r="BT607" s="137"/>
    </row>
    <row r="608" spans="70:72" ht="15.75" customHeight="1">
      <c r="BR608" s="136"/>
      <c r="BS608" s="136"/>
      <c r="BT608" s="137"/>
    </row>
    <row r="609" spans="70:72" ht="15.75" customHeight="1">
      <c r="BR609" s="136"/>
      <c r="BS609" s="136"/>
      <c r="BT609" s="137"/>
    </row>
    <row r="610" spans="70:72" ht="15.75" customHeight="1">
      <c r="BR610" s="136"/>
      <c r="BS610" s="136"/>
      <c r="BT610" s="137"/>
    </row>
    <row r="611" spans="70:72" ht="15.75" customHeight="1">
      <c r="BR611" s="136"/>
      <c r="BS611" s="136"/>
      <c r="BT611" s="137"/>
    </row>
    <row r="612" spans="70:72" ht="15.75" customHeight="1">
      <c r="BR612" s="136"/>
      <c r="BS612" s="136"/>
      <c r="BT612" s="137"/>
    </row>
    <row r="613" spans="70:72" ht="15.75" customHeight="1">
      <c r="BR613" s="136"/>
      <c r="BS613" s="136"/>
      <c r="BT613" s="137"/>
    </row>
    <row r="614" spans="70:72" ht="15.75" customHeight="1">
      <c r="BR614" s="136"/>
      <c r="BS614" s="136"/>
      <c r="BT614" s="137"/>
    </row>
    <row r="615" spans="70:72" ht="15.75" customHeight="1">
      <c r="BR615" s="136"/>
      <c r="BS615" s="136"/>
      <c r="BT615" s="137"/>
    </row>
    <row r="616" spans="70:72" ht="15.75" customHeight="1">
      <c r="BR616" s="136"/>
      <c r="BS616" s="136"/>
      <c r="BT616" s="137"/>
    </row>
    <row r="617" spans="70:72" ht="15.75" customHeight="1">
      <c r="BR617" s="136"/>
      <c r="BS617" s="136"/>
      <c r="BT617" s="137"/>
    </row>
    <row r="618" spans="70:72" ht="15.75" customHeight="1">
      <c r="BR618" s="136"/>
      <c r="BS618" s="136"/>
      <c r="BT618" s="137"/>
    </row>
    <row r="619" spans="70:72" ht="15.75" customHeight="1">
      <c r="BR619" s="136"/>
      <c r="BS619" s="136"/>
      <c r="BT619" s="137"/>
    </row>
    <row r="620" spans="70:72" ht="15.75" customHeight="1">
      <c r="BR620" s="136"/>
      <c r="BS620" s="136"/>
      <c r="BT620" s="137"/>
    </row>
    <row r="621" spans="70:72" ht="15.75" customHeight="1">
      <c r="BR621" s="136"/>
      <c r="BS621" s="136"/>
      <c r="BT621" s="137"/>
    </row>
    <row r="622" spans="70:72" ht="15.75" customHeight="1">
      <c r="BR622" s="136"/>
      <c r="BS622" s="136"/>
      <c r="BT622" s="137"/>
    </row>
    <row r="623" spans="70:72" ht="15.75" customHeight="1">
      <c r="BR623" s="136"/>
      <c r="BS623" s="136"/>
      <c r="BT623" s="137"/>
    </row>
    <row r="624" spans="70:72" ht="15.75" customHeight="1">
      <c r="BR624" s="136"/>
      <c r="BS624" s="136"/>
      <c r="BT624" s="137"/>
    </row>
    <row r="625" spans="70:72" ht="15.75" customHeight="1">
      <c r="BR625" s="136"/>
      <c r="BS625" s="136"/>
      <c r="BT625" s="137"/>
    </row>
    <row r="626" spans="70:72" ht="15.75" customHeight="1">
      <c r="BR626" s="136"/>
      <c r="BS626" s="136"/>
      <c r="BT626" s="137"/>
    </row>
    <row r="627" spans="70:72" ht="15.75" customHeight="1">
      <c r="BR627" s="136"/>
      <c r="BS627" s="136"/>
      <c r="BT627" s="137"/>
    </row>
    <row r="628" spans="70:72" ht="15.75" customHeight="1">
      <c r="BR628" s="136"/>
      <c r="BS628" s="136"/>
      <c r="BT628" s="137"/>
    </row>
    <row r="629" spans="70:72" ht="15.75" customHeight="1">
      <c r="BR629" s="136"/>
      <c r="BS629" s="136"/>
      <c r="BT629" s="137"/>
    </row>
    <row r="630" spans="70:72" ht="15.75" customHeight="1">
      <c r="BR630" s="136"/>
      <c r="BS630" s="136"/>
      <c r="BT630" s="137"/>
    </row>
    <row r="631" spans="70:72" ht="15.75" customHeight="1">
      <c r="BR631" s="136"/>
      <c r="BS631" s="136"/>
      <c r="BT631" s="137"/>
    </row>
    <row r="632" spans="70:72" ht="15.75" customHeight="1">
      <c r="BR632" s="136"/>
      <c r="BS632" s="136"/>
      <c r="BT632" s="137"/>
    </row>
    <row r="633" spans="70:72" ht="15.75" customHeight="1">
      <c r="BR633" s="136"/>
      <c r="BS633" s="136"/>
      <c r="BT633" s="137"/>
    </row>
    <row r="634" spans="70:72" ht="15.75" customHeight="1">
      <c r="BR634" s="136"/>
      <c r="BS634" s="136"/>
      <c r="BT634" s="137"/>
    </row>
    <row r="635" spans="70:72" ht="15.75" customHeight="1">
      <c r="BR635" s="136"/>
      <c r="BS635" s="136"/>
      <c r="BT635" s="137"/>
    </row>
    <row r="636" spans="70:72" ht="15.75" customHeight="1">
      <c r="BR636" s="136"/>
      <c r="BS636" s="136"/>
      <c r="BT636" s="137"/>
    </row>
    <row r="637" spans="70:72" ht="15.75" customHeight="1">
      <c r="BR637" s="136"/>
      <c r="BS637" s="136"/>
      <c r="BT637" s="137"/>
    </row>
    <row r="638" spans="70:72" ht="15.75" customHeight="1">
      <c r="BR638" s="136"/>
      <c r="BS638" s="136"/>
      <c r="BT638" s="137"/>
    </row>
    <row r="639" spans="70:72" ht="15.75" customHeight="1">
      <c r="BR639" s="136"/>
      <c r="BS639" s="136"/>
      <c r="BT639" s="137"/>
    </row>
    <row r="640" spans="70:72" ht="15.75" customHeight="1">
      <c r="BR640" s="136"/>
      <c r="BS640" s="136"/>
      <c r="BT640" s="137"/>
    </row>
    <row r="641" spans="70:72" ht="15.75" customHeight="1">
      <c r="BR641" s="136"/>
      <c r="BS641" s="136"/>
      <c r="BT641" s="137"/>
    </row>
    <row r="642" spans="70:72" ht="15.75" customHeight="1">
      <c r="BR642" s="136"/>
      <c r="BS642" s="136"/>
      <c r="BT642" s="137"/>
    </row>
    <row r="643" spans="70:72" ht="15.75" customHeight="1">
      <c r="BR643" s="136"/>
      <c r="BS643" s="136"/>
      <c r="BT643" s="137"/>
    </row>
    <row r="644" spans="70:72" ht="15.75" customHeight="1">
      <c r="BR644" s="136"/>
      <c r="BS644" s="136"/>
      <c r="BT644" s="137"/>
    </row>
    <row r="645" spans="70:72" ht="15.75" customHeight="1">
      <c r="BR645" s="136"/>
      <c r="BS645" s="136"/>
      <c r="BT645" s="137"/>
    </row>
    <row r="646" spans="70:72" ht="15.75" customHeight="1">
      <c r="BR646" s="136"/>
      <c r="BS646" s="136"/>
      <c r="BT646" s="137"/>
    </row>
    <row r="647" spans="70:72" ht="15.75" customHeight="1">
      <c r="BR647" s="136"/>
      <c r="BS647" s="136"/>
      <c r="BT647" s="137"/>
    </row>
    <row r="648" spans="70:72" ht="15.75" customHeight="1">
      <c r="BR648" s="136"/>
      <c r="BS648" s="136"/>
      <c r="BT648" s="137"/>
    </row>
    <row r="649" spans="70:72" ht="15.75" customHeight="1">
      <c r="BR649" s="136"/>
      <c r="BS649" s="136"/>
      <c r="BT649" s="137"/>
    </row>
    <row r="650" spans="70:72" ht="15.75" customHeight="1">
      <c r="BR650" s="136"/>
      <c r="BS650" s="136"/>
      <c r="BT650" s="137"/>
    </row>
    <row r="651" spans="70:72" ht="15.75" customHeight="1">
      <c r="BR651" s="136"/>
      <c r="BS651" s="136"/>
      <c r="BT651" s="137"/>
    </row>
    <row r="652" spans="70:72" ht="15.75" customHeight="1">
      <c r="BR652" s="136"/>
      <c r="BS652" s="136"/>
      <c r="BT652" s="137"/>
    </row>
    <row r="653" spans="70:72" ht="15.75" customHeight="1">
      <c r="BR653" s="136"/>
      <c r="BS653" s="136"/>
      <c r="BT653" s="137"/>
    </row>
    <row r="654" spans="70:72" ht="15.75" customHeight="1">
      <c r="BR654" s="136"/>
      <c r="BS654" s="136"/>
      <c r="BT654" s="137"/>
    </row>
    <row r="655" spans="70:72" ht="15.75" customHeight="1">
      <c r="BR655" s="136"/>
      <c r="BS655" s="136"/>
      <c r="BT655" s="137"/>
    </row>
    <row r="656" spans="70:72" ht="15.75" customHeight="1">
      <c r="BR656" s="136"/>
      <c r="BS656" s="136"/>
      <c r="BT656" s="137"/>
    </row>
    <row r="657" spans="70:72" ht="15.75" customHeight="1">
      <c r="BR657" s="136"/>
      <c r="BS657" s="136"/>
      <c r="BT657" s="137"/>
    </row>
    <row r="658" spans="70:72" ht="15.75" customHeight="1">
      <c r="BR658" s="136"/>
      <c r="BS658" s="136"/>
      <c r="BT658" s="137"/>
    </row>
    <row r="659" spans="70:72" ht="15.75" customHeight="1">
      <c r="BR659" s="136"/>
      <c r="BS659" s="136"/>
      <c r="BT659" s="137"/>
    </row>
    <row r="660" spans="70:72" ht="15.75" customHeight="1">
      <c r="BR660" s="136"/>
      <c r="BS660" s="136"/>
      <c r="BT660" s="137"/>
    </row>
    <row r="661" spans="70:72" ht="15.75" customHeight="1">
      <c r="BR661" s="136"/>
      <c r="BS661" s="136"/>
      <c r="BT661" s="137"/>
    </row>
    <row r="662" spans="70:72" ht="15.75" customHeight="1">
      <c r="BR662" s="136"/>
      <c r="BS662" s="136"/>
      <c r="BT662" s="137"/>
    </row>
    <row r="663" spans="70:72" ht="15.75" customHeight="1">
      <c r="BR663" s="136"/>
      <c r="BS663" s="136"/>
      <c r="BT663" s="137"/>
    </row>
    <row r="664" spans="70:72" ht="15.75" customHeight="1">
      <c r="BR664" s="136"/>
      <c r="BS664" s="136"/>
      <c r="BT664" s="137"/>
    </row>
    <row r="665" spans="70:72" ht="15.75" customHeight="1">
      <c r="BR665" s="136"/>
      <c r="BS665" s="136"/>
      <c r="BT665" s="137"/>
    </row>
    <row r="666" spans="70:72" ht="15.75" customHeight="1">
      <c r="BR666" s="136"/>
      <c r="BS666" s="136"/>
      <c r="BT666" s="137"/>
    </row>
    <row r="667" spans="70:72" ht="15.75" customHeight="1">
      <c r="BR667" s="136"/>
      <c r="BS667" s="136"/>
      <c r="BT667" s="137"/>
    </row>
    <row r="668" spans="70:72" ht="15.75" customHeight="1">
      <c r="BR668" s="136"/>
      <c r="BS668" s="136"/>
      <c r="BT668" s="137"/>
    </row>
    <row r="669" spans="70:72" ht="15.75" customHeight="1">
      <c r="BR669" s="136"/>
      <c r="BS669" s="136"/>
      <c r="BT669" s="137"/>
    </row>
    <row r="670" spans="70:72" ht="15.75" customHeight="1">
      <c r="BR670" s="136"/>
      <c r="BS670" s="136"/>
      <c r="BT670" s="137"/>
    </row>
    <row r="671" spans="70:72" ht="15.75" customHeight="1">
      <c r="BR671" s="136"/>
      <c r="BS671" s="136"/>
      <c r="BT671" s="137"/>
    </row>
    <row r="672" spans="70:72" ht="15.75" customHeight="1">
      <c r="BR672" s="136"/>
      <c r="BS672" s="136"/>
      <c r="BT672" s="137"/>
    </row>
    <row r="673" spans="70:72" ht="15.75" customHeight="1">
      <c r="BR673" s="136"/>
      <c r="BS673" s="136"/>
      <c r="BT673" s="137"/>
    </row>
    <row r="674" spans="70:72" ht="15.75" customHeight="1">
      <c r="BR674" s="136"/>
      <c r="BS674" s="136"/>
      <c r="BT674" s="137"/>
    </row>
    <row r="675" spans="70:72" ht="15.75" customHeight="1">
      <c r="BR675" s="136"/>
      <c r="BS675" s="136"/>
      <c r="BT675" s="137"/>
    </row>
    <row r="676" spans="70:72" ht="15.75" customHeight="1">
      <c r="BR676" s="136"/>
      <c r="BS676" s="136"/>
      <c r="BT676" s="137"/>
    </row>
    <row r="677" spans="70:72" ht="15.75" customHeight="1">
      <c r="BR677" s="136"/>
      <c r="BS677" s="136"/>
      <c r="BT677" s="137"/>
    </row>
    <row r="678" spans="70:72" ht="15.75" customHeight="1">
      <c r="BR678" s="136"/>
      <c r="BS678" s="136"/>
      <c r="BT678" s="137"/>
    </row>
    <row r="679" spans="70:72" ht="15.75" customHeight="1">
      <c r="BR679" s="136"/>
      <c r="BS679" s="136"/>
      <c r="BT679" s="137"/>
    </row>
    <row r="680" spans="70:72" ht="15.75" customHeight="1">
      <c r="BR680" s="136"/>
      <c r="BS680" s="136"/>
      <c r="BT680" s="137"/>
    </row>
    <row r="681" spans="70:72" ht="15.75" customHeight="1">
      <c r="BR681" s="136"/>
      <c r="BS681" s="136"/>
      <c r="BT681" s="137"/>
    </row>
    <row r="682" spans="70:72" ht="15.75" customHeight="1">
      <c r="BR682" s="136"/>
      <c r="BS682" s="136"/>
      <c r="BT682" s="137"/>
    </row>
    <row r="683" spans="70:72" ht="15.75" customHeight="1">
      <c r="BR683" s="136"/>
      <c r="BS683" s="136"/>
      <c r="BT683" s="137"/>
    </row>
    <row r="684" spans="70:72" ht="15.75" customHeight="1">
      <c r="BR684" s="136"/>
      <c r="BS684" s="136"/>
      <c r="BT684" s="137"/>
    </row>
    <row r="685" spans="70:72" ht="15.75" customHeight="1">
      <c r="BR685" s="136"/>
      <c r="BS685" s="136"/>
      <c r="BT685" s="137"/>
    </row>
    <row r="686" spans="70:72" ht="15.75" customHeight="1">
      <c r="BR686" s="136"/>
      <c r="BS686" s="136"/>
      <c r="BT686" s="137"/>
    </row>
    <row r="687" spans="70:72" ht="15.75" customHeight="1">
      <c r="BR687" s="136"/>
      <c r="BS687" s="136"/>
      <c r="BT687" s="137"/>
    </row>
    <row r="688" spans="70:72" ht="15.75" customHeight="1">
      <c r="BR688" s="136"/>
      <c r="BS688" s="136"/>
      <c r="BT688" s="137"/>
    </row>
    <row r="689" spans="70:72" ht="15.75" customHeight="1">
      <c r="BR689" s="136"/>
      <c r="BS689" s="136"/>
      <c r="BT689" s="137"/>
    </row>
    <row r="690" spans="70:72" ht="15.75" customHeight="1">
      <c r="BR690" s="136"/>
      <c r="BS690" s="136"/>
      <c r="BT690" s="137"/>
    </row>
    <row r="691" spans="70:72" ht="15.75" customHeight="1">
      <c r="BR691" s="136"/>
      <c r="BS691" s="136"/>
      <c r="BT691" s="137"/>
    </row>
    <row r="692" spans="70:72" ht="15.75" customHeight="1">
      <c r="BR692" s="136"/>
      <c r="BS692" s="136"/>
      <c r="BT692" s="137"/>
    </row>
    <row r="693" spans="70:72" ht="15.75" customHeight="1">
      <c r="BR693" s="136"/>
      <c r="BS693" s="136"/>
      <c r="BT693" s="137"/>
    </row>
    <row r="694" spans="70:72" ht="15.75" customHeight="1">
      <c r="BR694" s="136"/>
      <c r="BS694" s="136"/>
      <c r="BT694" s="137"/>
    </row>
    <row r="695" spans="70:72" ht="15.75" customHeight="1">
      <c r="BR695" s="136"/>
      <c r="BS695" s="136"/>
      <c r="BT695" s="137"/>
    </row>
    <row r="696" spans="70:72" ht="15.75" customHeight="1">
      <c r="BR696" s="136"/>
      <c r="BS696" s="136"/>
      <c r="BT696" s="137"/>
    </row>
    <row r="697" spans="70:72" ht="15.75" customHeight="1">
      <c r="BR697" s="136"/>
      <c r="BS697" s="136"/>
      <c r="BT697" s="137"/>
    </row>
    <row r="698" spans="70:72" ht="15.75" customHeight="1">
      <c r="BR698" s="136"/>
      <c r="BS698" s="136"/>
      <c r="BT698" s="137"/>
    </row>
    <row r="699" spans="70:72" ht="15.75" customHeight="1">
      <c r="BR699" s="136"/>
      <c r="BS699" s="136"/>
      <c r="BT699" s="137"/>
    </row>
    <row r="700" spans="70:72" ht="15.75" customHeight="1">
      <c r="BR700" s="136"/>
      <c r="BS700" s="136"/>
      <c r="BT700" s="137"/>
    </row>
    <row r="701" spans="70:72" ht="15.75" customHeight="1">
      <c r="BR701" s="136"/>
      <c r="BS701" s="136"/>
      <c r="BT701" s="137"/>
    </row>
    <row r="702" spans="70:72" ht="15.75" customHeight="1">
      <c r="BR702" s="136"/>
      <c r="BS702" s="136"/>
      <c r="BT702" s="137"/>
    </row>
    <row r="703" spans="70:72" ht="15.75" customHeight="1">
      <c r="BR703" s="136"/>
      <c r="BS703" s="136"/>
      <c r="BT703" s="137"/>
    </row>
    <row r="704" spans="70:72" ht="15.75" customHeight="1">
      <c r="BR704" s="136"/>
      <c r="BS704" s="136"/>
      <c r="BT704" s="137"/>
    </row>
    <row r="705" spans="70:72" ht="15.75" customHeight="1">
      <c r="BR705" s="136"/>
      <c r="BS705" s="136"/>
      <c r="BT705" s="137"/>
    </row>
    <row r="706" spans="70:72" ht="15.75" customHeight="1">
      <c r="BR706" s="136"/>
      <c r="BS706" s="136"/>
      <c r="BT706" s="137"/>
    </row>
    <row r="707" spans="70:72" ht="15.75" customHeight="1">
      <c r="BR707" s="136"/>
      <c r="BS707" s="136"/>
      <c r="BT707" s="137"/>
    </row>
    <row r="708" spans="70:72" ht="15.75" customHeight="1">
      <c r="BR708" s="136"/>
      <c r="BS708" s="136"/>
      <c r="BT708" s="137"/>
    </row>
    <row r="709" spans="70:72" ht="15.75" customHeight="1">
      <c r="BR709" s="136"/>
      <c r="BS709" s="136"/>
      <c r="BT709" s="137"/>
    </row>
    <row r="710" spans="70:72" ht="15.75" customHeight="1">
      <c r="BR710" s="136"/>
      <c r="BS710" s="136"/>
      <c r="BT710" s="137"/>
    </row>
    <row r="711" spans="70:72" ht="15.75" customHeight="1">
      <c r="BR711" s="136"/>
      <c r="BS711" s="136"/>
      <c r="BT711" s="137"/>
    </row>
    <row r="712" spans="70:72" ht="15.75" customHeight="1">
      <c r="BR712" s="136"/>
      <c r="BS712" s="136"/>
      <c r="BT712" s="137"/>
    </row>
    <row r="713" spans="70:72" ht="15.75" customHeight="1">
      <c r="BR713" s="136"/>
      <c r="BS713" s="136"/>
      <c r="BT713" s="137"/>
    </row>
    <row r="714" spans="70:72" ht="15.75" customHeight="1">
      <c r="BR714" s="136"/>
      <c r="BS714" s="136"/>
      <c r="BT714" s="137"/>
    </row>
    <row r="715" spans="70:72" ht="15.75" customHeight="1">
      <c r="BR715" s="136"/>
      <c r="BS715" s="136"/>
      <c r="BT715" s="137"/>
    </row>
    <row r="716" spans="70:72" ht="15.75" customHeight="1">
      <c r="BR716" s="136"/>
      <c r="BS716" s="136"/>
      <c r="BT716" s="137"/>
    </row>
    <row r="717" spans="70:72" ht="15.75" customHeight="1">
      <c r="BR717" s="136"/>
      <c r="BS717" s="136"/>
      <c r="BT717" s="137"/>
    </row>
    <row r="718" spans="70:72" ht="15.75" customHeight="1">
      <c r="BR718" s="136"/>
      <c r="BS718" s="136"/>
      <c r="BT718" s="137"/>
    </row>
    <row r="719" spans="70:72" ht="15.75" customHeight="1">
      <c r="BR719" s="136"/>
      <c r="BS719" s="136"/>
      <c r="BT719" s="137"/>
    </row>
    <row r="720" spans="70:72" ht="15.75" customHeight="1">
      <c r="BR720" s="136"/>
      <c r="BS720" s="136"/>
      <c r="BT720" s="137"/>
    </row>
    <row r="721" spans="70:72" ht="15.75" customHeight="1">
      <c r="BR721" s="136"/>
      <c r="BS721" s="136"/>
      <c r="BT721" s="137"/>
    </row>
    <row r="722" spans="70:72" ht="15.75" customHeight="1">
      <c r="BR722" s="136"/>
      <c r="BS722" s="136"/>
      <c r="BT722" s="137"/>
    </row>
    <row r="723" spans="70:72" ht="15.75" customHeight="1">
      <c r="BR723" s="136"/>
      <c r="BS723" s="136"/>
      <c r="BT723" s="137"/>
    </row>
    <row r="724" spans="70:72" ht="15.75" customHeight="1">
      <c r="BR724" s="136"/>
      <c r="BS724" s="136"/>
      <c r="BT724" s="137"/>
    </row>
    <row r="725" spans="70:72" ht="15.75" customHeight="1">
      <c r="BR725" s="136"/>
      <c r="BS725" s="136"/>
      <c r="BT725" s="137"/>
    </row>
    <row r="726" spans="70:72" ht="15.75" customHeight="1">
      <c r="BR726" s="136"/>
      <c r="BS726" s="136"/>
      <c r="BT726" s="137"/>
    </row>
    <row r="727" spans="70:72" ht="15.75" customHeight="1">
      <c r="BR727" s="136"/>
      <c r="BS727" s="136"/>
      <c r="BT727" s="137"/>
    </row>
    <row r="728" spans="70:72" ht="15.75" customHeight="1">
      <c r="BR728" s="136"/>
      <c r="BS728" s="136"/>
      <c r="BT728" s="137"/>
    </row>
    <row r="729" spans="70:72" ht="15.75" customHeight="1">
      <c r="BR729" s="136"/>
      <c r="BS729" s="136"/>
      <c r="BT729" s="137"/>
    </row>
    <row r="730" spans="70:72" ht="15.75" customHeight="1">
      <c r="BR730" s="136"/>
      <c r="BS730" s="136"/>
      <c r="BT730" s="137"/>
    </row>
    <row r="731" spans="70:72" ht="15.75" customHeight="1">
      <c r="BR731" s="136"/>
      <c r="BS731" s="136"/>
      <c r="BT731" s="137"/>
    </row>
    <row r="732" spans="70:72" ht="15.75" customHeight="1">
      <c r="BR732" s="136"/>
      <c r="BS732" s="136"/>
      <c r="BT732" s="137"/>
    </row>
    <row r="733" spans="70:72" ht="15.75" customHeight="1">
      <c r="BR733" s="136"/>
      <c r="BS733" s="136"/>
      <c r="BT733" s="137"/>
    </row>
    <row r="734" spans="70:72" ht="15.75" customHeight="1">
      <c r="BR734" s="136"/>
      <c r="BS734" s="136"/>
      <c r="BT734" s="137"/>
    </row>
    <row r="735" spans="70:72" ht="15.75" customHeight="1">
      <c r="BR735" s="136"/>
      <c r="BS735" s="136"/>
      <c r="BT735" s="137"/>
    </row>
    <row r="736" spans="70:72" ht="15.75" customHeight="1">
      <c r="BR736" s="136"/>
      <c r="BS736" s="136"/>
      <c r="BT736" s="137"/>
    </row>
    <row r="737" spans="70:72" ht="15.75" customHeight="1">
      <c r="BR737" s="136"/>
      <c r="BS737" s="136"/>
      <c r="BT737" s="137"/>
    </row>
    <row r="738" spans="70:72" ht="15.75" customHeight="1">
      <c r="BR738" s="136"/>
      <c r="BS738" s="136"/>
      <c r="BT738" s="137"/>
    </row>
    <row r="739" spans="70:72" ht="15.75" customHeight="1">
      <c r="BR739" s="136"/>
      <c r="BS739" s="136"/>
      <c r="BT739" s="137"/>
    </row>
    <row r="740" spans="70:72" ht="15.75" customHeight="1">
      <c r="BR740" s="136"/>
      <c r="BS740" s="136"/>
      <c r="BT740" s="137"/>
    </row>
    <row r="741" spans="70:72" ht="15.75" customHeight="1">
      <c r="BR741" s="136"/>
      <c r="BS741" s="136"/>
      <c r="BT741" s="137"/>
    </row>
    <row r="742" spans="70:72" ht="15.75" customHeight="1">
      <c r="BR742" s="136"/>
      <c r="BS742" s="136"/>
      <c r="BT742" s="137"/>
    </row>
    <row r="743" spans="70:72" ht="15.75" customHeight="1">
      <c r="BR743" s="136"/>
      <c r="BS743" s="136"/>
      <c r="BT743" s="137"/>
    </row>
    <row r="744" spans="70:72" ht="15.75" customHeight="1">
      <c r="BR744" s="136"/>
      <c r="BS744" s="136"/>
      <c r="BT744" s="137"/>
    </row>
    <row r="745" spans="70:72" ht="15.75" customHeight="1">
      <c r="BR745" s="136"/>
      <c r="BS745" s="136"/>
      <c r="BT745" s="137"/>
    </row>
    <row r="746" spans="70:72" ht="15.75" customHeight="1">
      <c r="BR746" s="136"/>
      <c r="BS746" s="136"/>
      <c r="BT746" s="137"/>
    </row>
    <row r="747" spans="70:72" ht="15.75" customHeight="1">
      <c r="BR747" s="136"/>
      <c r="BS747" s="136"/>
      <c r="BT747" s="137"/>
    </row>
    <row r="748" spans="70:72" ht="15.75" customHeight="1">
      <c r="BR748" s="136"/>
      <c r="BS748" s="136"/>
      <c r="BT748" s="137"/>
    </row>
    <row r="749" spans="70:72" ht="15.75" customHeight="1">
      <c r="BR749" s="136"/>
      <c r="BS749" s="136"/>
      <c r="BT749" s="137"/>
    </row>
    <row r="750" spans="70:72" ht="15.75" customHeight="1">
      <c r="BR750" s="136"/>
      <c r="BS750" s="136"/>
      <c r="BT750" s="137"/>
    </row>
    <row r="751" spans="70:72" ht="15.75" customHeight="1">
      <c r="BR751" s="136"/>
      <c r="BS751" s="136"/>
      <c r="BT751" s="137"/>
    </row>
    <row r="752" spans="70:72" ht="15.75" customHeight="1">
      <c r="BR752" s="136"/>
      <c r="BS752" s="136"/>
      <c r="BT752" s="137"/>
    </row>
    <row r="753" spans="70:72" ht="15.75" customHeight="1">
      <c r="BR753" s="136"/>
      <c r="BS753" s="136"/>
      <c r="BT753" s="137"/>
    </row>
    <row r="754" spans="70:72" ht="15.75" customHeight="1">
      <c r="BR754" s="136"/>
      <c r="BS754" s="136"/>
      <c r="BT754" s="137"/>
    </row>
    <row r="755" spans="70:72" ht="15.75" customHeight="1">
      <c r="BR755" s="136"/>
      <c r="BS755" s="136"/>
      <c r="BT755" s="137"/>
    </row>
    <row r="756" spans="70:72" ht="15.75" customHeight="1">
      <c r="BR756" s="136"/>
      <c r="BS756" s="136"/>
      <c r="BT756" s="137"/>
    </row>
    <row r="757" spans="70:72" ht="15.75" customHeight="1">
      <c r="BR757" s="136"/>
      <c r="BS757" s="136"/>
      <c r="BT757" s="137"/>
    </row>
    <row r="758" spans="70:72" ht="15.75" customHeight="1">
      <c r="BR758" s="136"/>
      <c r="BS758" s="136"/>
      <c r="BT758" s="137"/>
    </row>
    <row r="759" spans="70:72" ht="15.75" customHeight="1">
      <c r="BR759" s="136"/>
      <c r="BS759" s="136"/>
      <c r="BT759" s="137"/>
    </row>
    <row r="760" spans="70:72" ht="15.75" customHeight="1">
      <c r="BR760" s="136"/>
      <c r="BS760" s="136"/>
      <c r="BT760" s="137"/>
    </row>
    <row r="761" spans="70:72" ht="15.75" customHeight="1">
      <c r="BR761" s="136"/>
      <c r="BS761" s="136"/>
      <c r="BT761" s="137"/>
    </row>
    <row r="762" spans="70:72" ht="15.75" customHeight="1">
      <c r="BR762" s="136"/>
      <c r="BS762" s="136"/>
      <c r="BT762" s="137"/>
    </row>
    <row r="763" spans="70:72" ht="15.75" customHeight="1">
      <c r="BR763" s="136"/>
      <c r="BS763" s="136"/>
      <c r="BT763" s="137"/>
    </row>
    <row r="764" spans="70:72" ht="15.75" customHeight="1">
      <c r="BR764" s="136"/>
      <c r="BS764" s="136"/>
      <c r="BT764" s="137"/>
    </row>
    <row r="765" spans="70:72" ht="15.75" customHeight="1">
      <c r="BR765" s="136"/>
      <c r="BS765" s="136"/>
      <c r="BT765" s="137"/>
    </row>
    <row r="766" spans="70:72" ht="15.75" customHeight="1">
      <c r="BR766" s="136"/>
      <c r="BS766" s="136"/>
      <c r="BT766" s="137"/>
    </row>
    <row r="767" spans="70:72" ht="15.75" customHeight="1">
      <c r="BR767" s="136"/>
      <c r="BS767" s="136"/>
      <c r="BT767" s="137"/>
    </row>
    <row r="768" spans="70:72" ht="15.75" customHeight="1">
      <c r="BR768" s="136"/>
      <c r="BS768" s="136"/>
      <c r="BT768" s="137"/>
    </row>
    <row r="769" spans="70:72" ht="15.75" customHeight="1">
      <c r="BR769" s="136"/>
      <c r="BS769" s="136"/>
      <c r="BT769" s="137"/>
    </row>
    <row r="770" spans="70:72" ht="15.75" customHeight="1">
      <c r="BR770" s="136"/>
      <c r="BS770" s="136"/>
      <c r="BT770" s="137"/>
    </row>
    <row r="771" spans="70:72" ht="15.75" customHeight="1">
      <c r="BR771" s="136"/>
      <c r="BS771" s="136"/>
      <c r="BT771" s="137"/>
    </row>
    <row r="772" spans="70:72" ht="15.75" customHeight="1">
      <c r="BR772" s="136"/>
      <c r="BS772" s="136"/>
      <c r="BT772" s="137"/>
    </row>
    <row r="773" spans="70:72" ht="15.75" customHeight="1">
      <c r="BR773" s="136"/>
      <c r="BS773" s="136"/>
      <c r="BT773" s="137"/>
    </row>
    <row r="774" spans="70:72" ht="15.75" customHeight="1">
      <c r="BR774" s="136"/>
      <c r="BS774" s="136"/>
      <c r="BT774" s="137"/>
    </row>
    <row r="775" spans="70:72" ht="15.75" customHeight="1">
      <c r="BR775" s="136"/>
      <c r="BS775" s="136"/>
      <c r="BT775" s="137"/>
    </row>
    <row r="776" spans="70:72" ht="15.75" customHeight="1">
      <c r="BR776" s="136"/>
      <c r="BS776" s="136"/>
      <c r="BT776" s="137"/>
    </row>
    <row r="777" spans="70:72" ht="15.75" customHeight="1">
      <c r="BR777" s="136"/>
      <c r="BS777" s="136"/>
      <c r="BT777" s="137"/>
    </row>
    <row r="778" spans="70:72" ht="15.75" customHeight="1">
      <c r="BR778" s="136"/>
      <c r="BS778" s="136"/>
      <c r="BT778" s="137"/>
    </row>
    <row r="779" spans="70:72" ht="15.75" customHeight="1">
      <c r="BR779" s="136"/>
      <c r="BS779" s="136"/>
      <c r="BT779" s="137"/>
    </row>
    <row r="780" spans="70:72" ht="15.75" customHeight="1">
      <c r="BR780" s="136"/>
      <c r="BS780" s="136"/>
      <c r="BT780" s="137"/>
    </row>
    <row r="781" spans="70:72" ht="15.75" customHeight="1">
      <c r="BR781" s="136"/>
      <c r="BS781" s="136"/>
      <c r="BT781" s="137"/>
    </row>
    <row r="782" spans="70:72" ht="15.75" customHeight="1">
      <c r="BR782" s="136"/>
      <c r="BS782" s="136"/>
      <c r="BT782" s="137"/>
    </row>
    <row r="783" spans="70:72" ht="15.75" customHeight="1">
      <c r="BR783" s="136"/>
      <c r="BS783" s="136"/>
      <c r="BT783" s="137"/>
    </row>
    <row r="784" spans="70:72" ht="15.75" customHeight="1">
      <c r="BR784" s="136"/>
      <c r="BS784" s="136"/>
      <c r="BT784" s="137"/>
    </row>
    <row r="785" spans="70:72" ht="15.75" customHeight="1">
      <c r="BR785" s="136"/>
      <c r="BS785" s="136"/>
      <c r="BT785" s="137"/>
    </row>
    <row r="786" spans="70:72" ht="15.75" customHeight="1">
      <c r="BR786" s="136"/>
      <c r="BS786" s="136"/>
      <c r="BT786" s="137"/>
    </row>
    <row r="787" spans="70:72" ht="15.75" customHeight="1">
      <c r="BR787" s="136"/>
      <c r="BS787" s="136"/>
      <c r="BT787" s="137"/>
    </row>
    <row r="788" spans="70:72" ht="15.75" customHeight="1">
      <c r="BR788" s="136"/>
      <c r="BS788" s="136"/>
      <c r="BT788" s="137"/>
    </row>
    <row r="789" spans="70:72" ht="15.75" customHeight="1">
      <c r="BR789" s="136"/>
      <c r="BS789" s="136"/>
      <c r="BT789" s="137"/>
    </row>
    <row r="790" spans="70:72" ht="15.75" customHeight="1">
      <c r="BR790" s="136"/>
      <c r="BS790" s="136"/>
      <c r="BT790" s="137"/>
    </row>
    <row r="791" spans="70:72" ht="15.75" customHeight="1">
      <c r="BR791" s="136"/>
      <c r="BS791" s="136"/>
      <c r="BT791" s="137"/>
    </row>
    <row r="792" spans="70:72" ht="15.75" customHeight="1">
      <c r="BR792" s="136"/>
      <c r="BS792" s="136"/>
      <c r="BT792" s="137"/>
    </row>
    <row r="793" spans="70:72" ht="15.75" customHeight="1">
      <c r="BR793" s="136"/>
      <c r="BS793" s="136"/>
      <c r="BT793" s="137"/>
    </row>
    <row r="794" spans="70:72" ht="15.75" customHeight="1">
      <c r="BR794" s="136"/>
      <c r="BS794" s="136"/>
      <c r="BT794" s="137"/>
    </row>
    <row r="795" spans="70:72" ht="15.75" customHeight="1">
      <c r="BR795" s="136"/>
      <c r="BS795" s="136"/>
      <c r="BT795" s="137"/>
    </row>
    <row r="796" spans="70:72" ht="15.75" customHeight="1">
      <c r="BR796" s="136"/>
      <c r="BS796" s="136"/>
      <c r="BT796" s="137"/>
    </row>
    <row r="797" spans="70:72" ht="15.75" customHeight="1">
      <c r="BR797" s="136"/>
      <c r="BS797" s="136"/>
      <c r="BT797" s="137"/>
    </row>
    <row r="798" spans="70:72" ht="15.75" customHeight="1">
      <c r="BR798" s="136"/>
      <c r="BS798" s="136"/>
      <c r="BT798" s="137"/>
    </row>
    <row r="799" spans="70:72" ht="15.75" customHeight="1">
      <c r="BR799" s="136"/>
      <c r="BS799" s="136"/>
      <c r="BT799" s="137"/>
    </row>
    <row r="800" spans="70:72" ht="15.75" customHeight="1">
      <c r="BR800" s="136"/>
      <c r="BS800" s="136"/>
      <c r="BT800" s="137"/>
    </row>
    <row r="801" spans="70:72" ht="15.75" customHeight="1">
      <c r="BR801" s="136"/>
      <c r="BS801" s="136"/>
      <c r="BT801" s="137"/>
    </row>
    <row r="802" spans="70:72" ht="15.75" customHeight="1">
      <c r="BR802" s="136"/>
      <c r="BS802" s="136"/>
      <c r="BT802" s="137"/>
    </row>
    <row r="803" spans="70:72" ht="15.75" customHeight="1">
      <c r="BR803" s="136"/>
      <c r="BS803" s="136"/>
      <c r="BT803" s="137"/>
    </row>
    <row r="804" spans="70:72" ht="15.75" customHeight="1">
      <c r="BR804" s="136"/>
      <c r="BS804" s="136"/>
      <c r="BT804" s="137"/>
    </row>
    <row r="805" spans="70:72" ht="15.75" customHeight="1">
      <c r="BR805" s="136"/>
      <c r="BS805" s="136"/>
      <c r="BT805" s="137"/>
    </row>
    <row r="806" spans="70:72" ht="15.75" customHeight="1">
      <c r="BR806" s="136"/>
      <c r="BS806" s="136"/>
      <c r="BT806" s="137"/>
    </row>
    <row r="807" spans="70:72" ht="15.75" customHeight="1">
      <c r="BR807" s="136"/>
      <c r="BS807" s="136"/>
      <c r="BT807" s="137"/>
    </row>
    <row r="808" spans="70:72" ht="15.75" customHeight="1">
      <c r="BR808" s="136"/>
      <c r="BS808" s="136"/>
      <c r="BT808" s="137"/>
    </row>
    <row r="809" spans="70:72" ht="15.75" customHeight="1">
      <c r="BR809" s="136"/>
      <c r="BS809" s="136"/>
      <c r="BT809" s="137"/>
    </row>
    <row r="810" spans="70:72" ht="15.75" customHeight="1">
      <c r="BR810" s="136"/>
      <c r="BS810" s="136"/>
      <c r="BT810" s="137"/>
    </row>
    <row r="811" spans="70:72" ht="15.75" customHeight="1">
      <c r="BR811" s="136"/>
      <c r="BS811" s="136"/>
      <c r="BT811" s="137"/>
    </row>
    <row r="812" spans="70:72" ht="15.75" customHeight="1">
      <c r="BR812" s="136"/>
      <c r="BS812" s="136"/>
      <c r="BT812" s="137"/>
    </row>
    <row r="813" spans="70:72" ht="15.75" customHeight="1">
      <c r="BR813" s="136"/>
      <c r="BS813" s="136"/>
      <c r="BT813" s="137"/>
    </row>
    <row r="814" spans="70:72" ht="15.75" customHeight="1">
      <c r="BR814" s="136"/>
      <c r="BS814" s="136"/>
      <c r="BT814" s="137"/>
    </row>
    <row r="815" spans="70:72" ht="15.75" customHeight="1">
      <c r="BR815" s="136"/>
      <c r="BS815" s="136"/>
      <c r="BT815" s="137"/>
    </row>
    <row r="816" spans="70:72" ht="15.75" customHeight="1">
      <c r="BR816" s="136"/>
      <c r="BS816" s="136"/>
      <c r="BT816" s="137"/>
    </row>
    <row r="817" spans="70:72" ht="15.75" customHeight="1">
      <c r="BR817" s="136"/>
      <c r="BS817" s="136"/>
      <c r="BT817" s="137"/>
    </row>
    <row r="818" spans="70:72" ht="15.75" customHeight="1">
      <c r="BR818" s="136"/>
      <c r="BS818" s="136"/>
      <c r="BT818" s="137"/>
    </row>
    <row r="819" spans="70:72" ht="15.75" customHeight="1">
      <c r="BR819" s="136"/>
      <c r="BS819" s="136"/>
      <c r="BT819" s="137"/>
    </row>
    <row r="820" spans="70:72" ht="15.75" customHeight="1">
      <c r="BR820" s="136"/>
      <c r="BS820" s="136"/>
      <c r="BT820" s="137"/>
    </row>
    <row r="821" spans="70:72" ht="15.75" customHeight="1">
      <c r="BR821" s="136"/>
      <c r="BS821" s="136"/>
      <c r="BT821" s="137"/>
    </row>
    <row r="822" spans="70:72" ht="15.75" customHeight="1">
      <c r="BR822" s="136"/>
      <c r="BS822" s="136"/>
      <c r="BT822" s="137"/>
    </row>
    <row r="823" spans="70:72" ht="15.75" customHeight="1">
      <c r="BR823" s="136"/>
      <c r="BS823" s="136"/>
      <c r="BT823" s="137"/>
    </row>
    <row r="824" spans="70:72" ht="15.75" customHeight="1">
      <c r="BR824" s="136"/>
      <c r="BS824" s="136"/>
      <c r="BT824" s="137"/>
    </row>
    <row r="825" spans="70:72" ht="15.75" customHeight="1">
      <c r="BR825" s="136"/>
      <c r="BS825" s="136"/>
      <c r="BT825" s="137"/>
    </row>
    <row r="826" spans="70:72" ht="15.75" customHeight="1">
      <c r="BR826" s="136"/>
      <c r="BS826" s="136"/>
      <c r="BT826" s="137"/>
    </row>
    <row r="827" spans="70:72" ht="15.75" customHeight="1">
      <c r="BR827" s="136"/>
      <c r="BS827" s="136"/>
      <c r="BT827" s="137"/>
    </row>
    <row r="828" spans="70:72" ht="15.75" customHeight="1">
      <c r="BR828" s="136"/>
      <c r="BS828" s="136"/>
      <c r="BT828" s="137"/>
    </row>
    <row r="829" spans="70:72" ht="15.75" customHeight="1">
      <c r="BR829" s="136"/>
      <c r="BS829" s="136"/>
      <c r="BT829" s="137"/>
    </row>
    <row r="830" spans="70:72" ht="15.75" customHeight="1">
      <c r="BR830" s="136"/>
      <c r="BS830" s="136"/>
      <c r="BT830" s="137"/>
    </row>
    <row r="831" spans="70:72" ht="15.75" customHeight="1">
      <c r="BR831" s="136"/>
      <c r="BS831" s="136"/>
      <c r="BT831" s="137"/>
    </row>
    <row r="832" spans="70:72" ht="15.75" customHeight="1">
      <c r="BR832" s="136"/>
      <c r="BS832" s="136"/>
      <c r="BT832" s="137"/>
    </row>
    <row r="833" spans="70:72" ht="15.75" customHeight="1">
      <c r="BR833" s="136"/>
      <c r="BS833" s="136"/>
      <c r="BT833" s="137"/>
    </row>
    <row r="834" spans="70:72" ht="15.75" customHeight="1">
      <c r="BR834" s="136"/>
      <c r="BS834" s="136"/>
      <c r="BT834" s="137"/>
    </row>
    <row r="835" spans="70:72" ht="15.75" customHeight="1">
      <c r="BR835" s="136"/>
      <c r="BS835" s="136"/>
      <c r="BT835" s="137"/>
    </row>
    <row r="836" spans="70:72" ht="15.75" customHeight="1">
      <c r="BR836" s="136"/>
      <c r="BS836" s="136"/>
      <c r="BT836" s="137"/>
    </row>
    <row r="837" spans="70:72" ht="15.75" customHeight="1">
      <c r="BR837" s="136"/>
      <c r="BS837" s="136"/>
      <c r="BT837" s="137"/>
    </row>
    <row r="838" spans="70:72" ht="15.75" customHeight="1">
      <c r="BR838" s="136"/>
      <c r="BS838" s="136"/>
      <c r="BT838" s="137"/>
    </row>
    <row r="839" spans="70:72" ht="15.75" customHeight="1">
      <c r="BR839" s="136"/>
      <c r="BS839" s="136"/>
      <c r="BT839" s="137"/>
    </row>
    <row r="840" spans="70:72" ht="15.75" customHeight="1">
      <c r="BR840" s="136"/>
      <c r="BS840" s="136"/>
      <c r="BT840" s="137"/>
    </row>
    <row r="841" spans="70:72" ht="15.75" customHeight="1">
      <c r="BR841" s="136"/>
      <c r="BS841" s="136"/>
      <c r="BT841" s="137"/>
    </row>
    <row r="842" spans="70:72" ht="15.75" customHeight="1">
      <c r="BR842" s="136"/>
      <c r="BS842" s="136"/>
      <c r="BT842" s="137"/>
    </row>
    <row r="843" spans="70:72" ht="15.75" customHeight="1">
      <c r="BR843" s="136"/>
      <c r="BS843" s="136"/>
      <c r="BT843" s="137"/>
    </row>
    <row r="844" spans="70:72" ht="15.75" customHeight="1">
      <c r="BR844" s="136"/>
      <c r="BS844" s="136"/>
      <c r="BT844" s="137"/>
    </row>
    <row r="845" spans="70:72" ht="15.75" customHeight="1">
      <c r="BR845" s="136"/>
      <c r="BS845" s="136"/>
      <c r="BT845" s="137"/>
    </row>
    <row r="846" spans="70:72" ht="15.75" customHeight="1">
      <c r="BR846" s="136"/>
      <c r="BS846" s="136"/>
      <c r="BT846" s="137"/>
    </row>
    <row r="847" spans="70:72" ht="15.75" customHeight="1">
      <c r="BR847" s="136"/>
      <c r="BS847" s="136"/>
      <c r="BT847" s="137"/>
    </row>
    <row r="848" spans="70:72" ht="15.75" customHeight="1">
      <c r="BR848" s="136"/>
      <c r="BS848" s="136"/>
      <c r="BT848" s="137"/>
    </row>
    <row r="849" spans="70:72" ht="15.75" customHeight="1">
      <c r="BR849" s="136"/>
      <c r="BS849" s="136"/>
      <c r="BT849" s="137"/>
    </row>
    <row r="850" spans="70:72" ht="15.75" customHeight="1">
      <c r="BR850" s="136"/>
      <c r="BS850" s="136"/>
      <c r="BT850" s="137"/>
    </row>
    <row r="851" spans="70:72" ht="15.75" customHeight="1">
      <c r="BR851" s="136"/>
      <c r="BS851" s="136"/>
      <c r="BT851" s="137"/>
    </row>
    <row r="852" spans="70:72" ht="15.75" customHeight="1">
      <c r="BR852" s="136"/>
      <c r="BS852" s="136"/>
      <c r="BT852" s="137"/>
    </row>
    <row r="853" spans="70:72" ht="15.75" customHeight="1">
      <c r="BR853" s="136"/>
      <c r="BS853" s="136"/>
      <c r="BT853" s="137"/>
    </row>
    <row r="854" spans="70:72" ht="15.75" customHeight="1">
      <c r="BR854" s="136"/>
      <c r="BS854" s="136"/>
      <c r="BT854" s="137"/>
    </row>
    <row r="855" spans="70:72" ht="15.75" customHeight="1">
      <c r="BR855" s="136"/>
      <c r="BS855" s="136"/>
      <c r="BT855" s="137"/>
    </row>
    <row r="856" spans="70:72" ht="15.75" customHeight="1">
      <c r="BR856" s="136"/>
      <c r="BS856" s="136"/>
      <c r="BT856" s="137"/>
    </row>
    <row r="857" spans="70:72" ht="15.75" customHeight="1">
      <c r="BR857" s="136"/>
      <c r="BS857" s="136"/>
      <c r="BT857" s="137"/>
    </row>
    <row r="858" spans="70:72" ht="15.75" customHeight="1">
      <c r="BR858" s="136"/>
      <c r="BS858" s="136"/>
      <c r="BT858" s="137"/>
    </row>
    <row r="859" spans="70:72" ht="15.75" customHeight="1">
      <c r="BR859" s="136"/>
      <c r="BS859" s="136"/>
      <c r="BT859" s="137"/>
    </row>
    <row r="860" spans="70:72" ht="15.75" customHeight="1">
      <c r="BR860" s="136"/>
      <c r="BS860" s="136"/>
      <c r="BT860" s="137"/>
    </row>
    <row r="861" spans="70:72" ht="15.75" customHeight="1">
      <c r="BR861" s="136"/>
      <c r="BS861" s="136"/>
      <c r="BT861" s="137"/>
    </row>
    <row r="862" spans="70:72" ht="15.75" customHeight="1">
      <c r="BR862" s="136"/>
      <c r="BS862" s="136"/>
      <c r="BT862" s="137"/>
    </row>
    <row r="863" spans="70:72" ht="15.75" customHeight="1">
      <c r="BR863" s="136"/>
      <c r="BS863" s="136"/>
      <c r="BT863" s="137"/>
    </row>
    <row r="864" spans="70:72" ht="15.75" customHeight="1">
      <c r="BR864" s="136"/>
      <c r="BS864" s="136"/>
      <c r="BT864" s="137"/>
    </row>
    <row r="865" spans="70:72" ht="15.75" customHeight="1">
      <c r="BR865" s="136"/>
      <c r="BS865" s="136"/>
      <c r="BT865" s="137"/>
    </row>
    <row r="866" spans="70:72" ht="15.75" customHeight="1">
      <c r="BR866" s="136"/>
      <c r="BS866" s="136"/>
      <c r="BT866" s="137"/>
    </row>
    <row r="867" spans="70:72" ht="15.75" customHeight="1">
      <c r="BR867" s="136"/>
      <c r="BS867" s="136"/>
      <c r="BT867" s="137"/>
    </row>
    <row r="868" spans="70:72" ht="15.75" customHeight="1">
      <c r="BR868" s="136"/>
      <c r="BS868" s="136"/>
      <c r="BT868" s="137"/>
    </row>
    <row r="869" spans="70:72" ht="15.75" customHeight="1">
      <c r="BR869" s="136"/>
      <c r="BS869" s="136"/>
      <c r="BT869" s="137"/>
    </row>
    <row r="870" spans="70:72" ht="15.75" customHeight="1">
      <c r="BR870" s="136"/>
      <c r="BS870" s="136"/>
      <c r="BT870" s="137"/>
    </row>
    <row r="871" spans="70:72" ht="15.75" customHeight="1">
      <c r="BR871" s="136"/>
      <c r="BS871" s="136"/>
      <c r="BT871" s="137"/>
    </row>
    <row r="872" spans="70:72" ht="15.75" customHeight="1">
      <c r="BR872" s="136"/>
      <c r="BS872" s="136"/>
      <c r="BT872" s="137"/>
    </row>
    <row r="873" spans="70:72" ht="15.75" customHeight="1">
      <c r="BR873" s="136"/>
      <c r="BS873" s="136"/>
      <c r="BT873" s="137"/>
    </row>
    <row r="874" spans="70:72" ht="15.75" customHeight="1">
      <c r="BR874" s="136"/>
      <c r="BS874" s="136"/>
      <c r="BT874" s="137"/>
    </row>
    <row r="875" spans="70:72" ht="15.75" customHeight="1">
      <c r="BR875" s="136"/>
      <c r="BS875" s="136"/>
      <c r="BT875" s="137"/>
    </row>
    <row r="876" spans="70:72" ht="15.75" customHeight="1">
      <c r="BR876" s="136"/>
      <c r="BS876" s="136"/>
      <c r="BT876" s="137"/>
    </row>
    <row r="877" spans="70:72" ht="15.75" customHeight="1">
      <c r="BR877" s="136"/>
      <c r="BS877" s="136"/>
      <c r="BT877" s="137"/>
    </row>
    <row r="878" spans="70:72" ht="15.75" customHeight="1">
      <c r="BR878" s="136"/>
      <c r="BS878" s="136"/>
      <c r="BT878" s="137"/>
    </row>
    <row r="879" spans="70:72" ht="15.75" customHeight="1">
      <c r="BR879" s="136"/>
      <c r="BS879" s="136"/>
      <c r="BT879" s="137"/>
    </row>
    <row r="880" spans="70:72" ht="15.75" customHeight="1">
      <c r="BR880" s="136"/>
      <c r="BS880" s="136"/>
      <c r="BT880" s="137"/>
    </row>
    <row r="881" spans="70:72" ht="15.75" customHeight="1">
      <c r="BR881" s="136"/>
      <c r="BS881" s="136"/>
      <c r="BT881" s="137"/>
    </row>
    <row r="882" spans="70:72" ht="15.75" customHeight="1">
      <c r="BR882" s="136"/>
      <c r="BS882" s="136"/>
      <c r="BT882" s="137"/>
    </row>
    <row r="883" spans="70:72" ht="15.75" customHeight="1">
      <c r="BR883" s="136"/>
      <c r="BS883" s="136"/>
      <c r="BT883" s="137"/>
    </row>
    <row r="884" spans="70:72" ht="15.75" customHeight="1">
      <c r="BR884" s="136"/>
      <c r="BS884" s="136"/>
      <c r="BT884" s="137"/>
    </row>
    <row r="885" spans="70:72" ht="15.75" customHeight="1">
      <c r="BR885" s="136"/>
      <c r="BS885" s="136"/>
      <c r="BT885" s="137"/>
    </row>
    <row r="886" spans="70:72" ht="15.75" customHeight="1">
      <c r="BR886" s="136"/>
      <c r="BS886" s="136"/>
      <c r="BT886" s="137"/>
    </row>
    <row r="887" spans="70:72" ht="15.75" customHeight="1">
      <c r="BR887" s="136"/>
      <c r="BS887" s="136"/>
      <c r="BT887" s="137"/>
    </row>
    <row r="888" spans="70:72" ht="15.75" customHeight="1">
      <c r="BR888" s="136"/>
      <c r="BS888" s="136"/>
      <c r="BT888" s="137"/>
    </row>
    <row r="889" spans="70:72" ht="15.75" customHeight="1">
      <c r="BR889" s="136"/>
      <c r="BS889" s="136"/>
      <c r="BT889" s="137"/>
    </row>
    <row r="890" spans="70:72" ht="15.75" customHeight="1">
      <c r="BR890" s="136"/>
      <c r="BS890" s="136"/>
      <c r="BT890" s="137"/>
    </row>
    <row r="891" spans="70:72" ht="15.75" customHeight="1">
      <c r="BR891" s="136"/>
      <c r="BS891" s="136"/>
      <c r="BT891" s="137"/>
    </row>
    <row r="892" spans="70:72" ht="15.75" customHeight="1">
      <c r="BR892" s="136"/>
      <c r="BS892" s="136"/>
      <c r="BT892" s="137"/>
    </row>
    <row r="893" spans="70:72" ht="15.75" customHeight="1">
      <c r="BR893" s="136"/>
      <c r="BS893" s="136"/>
      <c r="BT893" s="137"/>
    </row>
    <row r="894" spans="70:72" ht="15.75" customHeight="1">
      <c r="BR894" s="136"/>
      <c r="BS894" s="136"/>
      <c r="BT894" s="137"/>
    </row>
    <row r="895" spans="70:72" ht="15.75" customHeight="1">
      <c r="BR895" s="136"/>
      <c r="BS895" s="136"/>
      <c r="BT895" s="137"/>
    </row>
    <row r="896" spans="70:72" ht="15.75" customHeight="1">
      <c r="BR896" s="136"/>
      <c r="BS896" s="136"/>
      <c r="BT896" s="137"/>
    </row>
    <row r="897" spans="70:72" ht="15.75" customHeight="1">
      <c r="BR897" s="136"/>
      <c r="BS897" s="136"/>
      <c r="BT897" s="137"/>
    </row>
    <row r="898" spans="70:72" ht="15.75" customHeight="1">
      <c r="BR898" s="136"/>
      <c r="BS898" s="136"/>
      <c r="BT898" s="137"/>
    </row>
    <row r="899" spans="70:72" ht="15.75" customHeight="1">
      <c r="BR899" s="136"/>
      <c r="BS899" s="136"/>
      <c r="BT899" s="137"/>
    </row>
    <row r="900" spans="70:72" ht="15.75" customHeight="1">
      <c r="BR900" s="136"/>
      <c r="BS900" s="136"/>
      <c r="BT900" s="137"/>
    </row>
    <row r="901" spans="70:72" ht="15.75" customHeight="1">
      <c r="BR901" s="136"/>
      <c r="BS901" s="136"/>
      <c r="BT901" s="137"/>
    </row>
    <row r="902" spans="70:72" ht="15.75" customHeight="1">
      <c r="BR902" s="136"/>
      <c r="BS902" s="136"/>
      <c r="BT902" s="137"/>
    </row>
    <row r="903" spans="70:72" ht="15.75" customHeight="1">
      <c r="BR903" s="136"/>
      <c r="BS903" s="136"/>
      <c r="BT903" s="137"/>
    </row>
    <row r="904" spans="70:72" ht="15.75" customHeight="1">
      <c r="BR904" s="136"/>
      <c r="BS904" s="136"/>
      <c r="BT904" s="137"/>
    </row>
    <row r="905" spans="70:72" ht="15.75" customHeight="1">
      <c r="BR905" s="136"/>
      <c r="BS905" s="136"/>
      <c r="BT905" s="137"/>
    </row>
    <row r="906" spans="70:72" ht="15.75" customHeight="1">
      <c r="BR906" s="136"/>
      <c r="BS906" s="136"/>
      <c r="BT906" s="137"/>
    </row>
    <row r="907" spans="70:72" ht="15.75" customHeight="1">
      <c r="BR907" s="136"/>
      <c r="BS907" s="136"/>
      <c r="BT907" s="137"/>
    </row>
    <row r="908" spans="70:72" ht="15.75" customHeight="1">
      <c r="BR908" s="136"/>
      <c r="BS908" s="136"/>
      <c r="BT908" s="137"/>
    </row>
    <row r="909" spans="70:72" ht="15.75" customHeight="1">
      <c r="BR909" s="136"/>
      <c r="BS909" s="136"/>
      <c r="BT909" s="137"/>
    </row>
    <row r="910" spans="70:72" ht="15.75" customHeight="1">
      <c r="BR910" s="136"/>
      <c r="BS910" s="136"/>
      <c r="BT910" s="137"/>
    </row>
    <row r="911" spans="70:72" ht="15.75" customHeight="1">
      <c r="BR911" s="136"/>
      <c r="BS911" s="136"/>
      <c r="BT911" s="137"/>
    </row>
    <row r="912" spans="70:72" ht="15.75" customHeight="1">
      <c r="BR912" s="136"/>
      <c r="BS912" s="136"/>
      <c r="BT912" s="137"/>
    </row>
    <row r="913" spans="70:72" ht="15.75" customHeight="1">
      <c r="BR913" s="136"/>
      <c r="BS913" s="136"/>
      <c r="BT913" s="137"/>
    </row>
    <row r="914" spans="70:72" ht="15.75" customHeight="1">
      <c r="BR914" s="136"/>
      <c r="BS914" s="136"/>
      <c r="BT914" s="137"/>
    </row>
    <row r="915" spans="70:72" ht="15.75" customHeight="1">
      <c r="BR915" s="136"/>
      <c r="BS915" s="136"/>
      <c r="BT915" s="137"/>
    </row>
    <row r="916" spans="70:72" ht="15.75" customHeight="1">
      <c r="BR916" s="136"/>
      <c r="BS916" s="136"/>
      <c r="BT916" s="137"/>
    </row>
    <row r="917" spans="70:72" ht="15.75" customHeight="1">
      <c r="BR917" s="136"/>
      <c r="BS917" s="136"/>
      <c r="BT917" s="137"/>
    </row>
    <row r="918" spans="70:72" ht="15.75" customHeight="1">
      <c r="BR918" s="136"/>
      <c r="BS918" s="136"/>
      <c r="BT918" s="137"/>
    </row>
    <row r="919" spans="70:72" ht="15.75" customHeight="1">
      <c r="BR919" s="136"/>
      <c r="BS919" s="136"/>
      <c r="BT919" s="137"/>
    </row>
    <row r="920" spans="70:72" ht="15.75" customHeight="1">
      <c r="BR920" s="136"/>
      <c r="BS920" s="136"/>
      <c r="BT920" s="137"/>
    </row>
    <row r="921" spans="70:72" ht="15.75" customHeight="1">
      <c r="BR921" s="136"/>
      <c r="BS921" s="136"/>
      <c r="BT921" s="137"/>
    </row>
    <row r="922" spans="70:72" ht="15.75" customHeight="1">
      <c r="BR922" s="136"/>
      <c r="BS922" s="136"/>
      <c r="BT922" s="137"/>
    </row>
    <row r="923" spans="70:72" ht="15.75" customHeight="1">
      <c r="BR923" s="136"/>
      <c r="BS923" s="136"/>
      <c r="BT923" s="137"/>
    </row>
    <row r="924" spans="70:72" ht="15.75" customHeight="1">
      <c r="BR924" s="136"/>
      <c r="BS924" s="136"/>
      <c r="BT924" s="137"/>
    </row>
    <row r="925" spans="70:72" ht="15.75" customHeight="1">
      <c r="BR925" s="136"/>
      <c r="BS925" s="136"/>
      <c r="BT925" s="137"/>
    </row>
    <row r="926" spans="70:72" ht="15.75" customHeight="1">
      <c r="BR926" s="136"/>
      <c r="BS926" s="136"/>
      <c r="BT926" s="137"/>
    </row>
    <row r="927" spans="70:72" ht="15.75" customHeight="1">
      <c r="BR927" s="136"/>
      <c r="BS927" s="136"/>
      <c r="BT927" s="137"/>
    </row>
    <row r="928" spans="70:72" ht="15.75" customHeight="1">
      <c r="BR928" s="136"/>
      <c r="BS928" s="136"/>
      <c r="BT928" s="137"/>
    </row>
    <row r="929" spans="70:72" ht="15.75" customHeight="1">
      <c r="BR929" s="136"/>
      <c r="BS929" s="136"/>
      <c r="BT929" s="137"/>
    </row>
    <row r="930" spans="70:72" ht="15.75" customHeight="1">
      <c r="BR930" s="136"/>
      <c r="BS930" s="136"/>
      <c r="BT930" s="137"/>
    </row>
    <row r="931" spans="70:72" ht="15.75" customHeight="1">
      <c r="BR931" s="136"/>
      <c r="BS931" s="136"/>
      <c r="BT931" s="137"/>
    </row>
    <row r="932" spans="70:72" ht="15.75" customHeight="1">
      <c r="BR932" s="136"/>
      <c r="BS932" s="136"/>
      <c r="BT932" s="137"/>
    </row>
    <row r="933" spans="70:72" ht="15.75" customHeight="1">
      <c r="BR933" s="136"/>
      <c r="BS933" s="136"/>
      <c r="BT933" s="137"/>
    </row>
    <row r="934" spans="70:72" ht="15.75" customHeight="1">
      <c r="BR934" s="136"/>
      <c r="BS934" s="136"/>
      <c r="BT934" s="137"/>
    </row>
    <row r="935" spans="70:72" ht="15.75" customHeight="1">
      <c r="BR935" s="136"/>
      <c r="BS935" s="136"/>
      <c r="BT935" s="137"/>
    </row>
    <row r="936" spans="70:72" ht="15.75" customHeight="1">
      <c r="BR936" s="136"/>
      <c r="BS936" s="136"/>
      <c r="BT936" s="137"/>
    </row>
    <row r="937" spans="70:72" ht="15.75" customHeight="1">
      <c r="BR937" s="136"/>
      <c r="BS937" s="136"/>
      <c r="BT937" s="137"/>
    </row>
    <row r="938" spans="70:72" ht="15.75" customHeight="1">
      <c r="BR938" s="136"/>
      <c r="BS938" s="136"/>
      <c r="BT938" s="137"/>
    </row>
    <row r="939" spans="70:72" ht="15.75" customHeight="1">
      <c r="BR939" s="136"/>
      <c r="BS939" s="136"/>
      <c r="BT939" s="137"/>
    </row>
    <row r="940" spans="70:72" ht="15.75" customHeight="1">
      <c r="BR940" s="136"/>
      <c r="BS940" s="136"/>
      <c r="BT940" s="137"/>
    </row>
    <row r="941" spans="70:72" ht="15.75" customHeight="1">
      <c r="BR941" s="136"/>
      <c r="BS941" s="136"/>
      <c r="BT941" s="137"/>
    </row>
    <row r="942" spans="70:72" ht="15.75" customHeight="1">
      <c r="BR942" s="136"/>
      <c r="BS942" s="136"/>
      <c r="BT942" s="137"/>
    </row>
    <row r="943" spans="70:72" ht="15.75" customHeight="1">
      <c r="BR943" s="136"/>
      <c r="BS943" s="136"/>
      <c r="BT943" s="137"/>
    </row>
    <row r="944" spans="70:72" ht="15.75" customHeight="1">
      <c r="BR944" s="136"/>
      <c r="BS944" s="136"/>
      <c r="BT944" s="137"/>
    </row>
    <row r="945" spans="70:72" ht="15.75" customHeight="1">
      <c r="BR945" s="136"/>
      <c r="BS945" s="136"/>
      <c r="BT945" s="137"/>
    </row>
    <row r="946" spans="70:72" ht="15.75" customHeight="1">
      <c r="BR946" s="136"/>
      <c r="BS946" s="136"/>
      <c r="BT946" s="137"/>
    </row>
    <row r="947" spans="70:72" ht="15.75" customHeight="1">
      <c r="BR947" s="136"/>
      <c r="BS947" s="136"/>
      <c r="BT947" s="137"/>
    </row>
    <row r="948" spans="70:72" ht="15.75" customHeight="1">
      <c r="BR948" s="136"/>
      <c r="BS948" s="136"/>
      <c r="BT948" s="137"/>
    </row>
    <row r="949" spans="70:72" ht="15.75" customHeight="1">
      <c r="BR949" s="136"/>
      <c r="BS949" s="136"/>
      <c r="BT949" s="137"/>
    </row>
    <row r="950" spans="70:72" ht="15.75" customHeight="1">
      <c r="BR950" s="136"/>
      <c r="BS950" s="136"/>
      <c r="BT950" s="137"/>
    </row>
    <row r="951" spans="70:72" ht="15.75" customHeight="1">
      <c r="BR951" s="136"/>
      <c r="BS951" s="136"/>
      <c r="BT951" s="137"/>
    </row>
    <row r="952" spans="70:72" ht="15.75" customHeight="1">
      <c r="BR952" s="136"/>
      <c r="BS952" s="136"/>
      <c r="BT952" s="137"/>
    </row>
    <row r="953" spans="70:72" ht="15.75" customHeight="1">
      <c r="BR953" s="136"/>
      <c r="BS953" s="136"/>
      <c r="BT953" s="137"/>
    </row>
    <row r="954" spans="70:72" ht="15.75" customHeight="1">
      <c r="BR954" s="136"/>
      <c r="BS954" s="136"/>
      <c r="BT954" s="137"/>
    </row>
    <row r="955" spans="70:72" ht="15.75" customHeight="1">
      <c r="BR955" s="136"/>
      <c r="BS955" s="136"/>
      <c r="BT955" s="137"/>
    </row>
    <row r="956" spans="70:72" ht="15.75" customHeight="1">
      <c r="BR956" s="136"/>
      <c r="BS956" s="136"/>
      <c r="BT956" s="137"/>
    </row>
    <row r="957" spans="70:72" ht="15.75" customHeight="1">
      <c r="BR957" s="136"/>
      <c r="BS957" s="136"/>
      <c r="BT957" s="137"/>
    </row>
    <row r="958" spans="70:72" ht="15.75" customHeight="1">
      <c r="BR958" s="136"/>
      <c r="BS958" s="136"/>
      <c r="BT958" s="137"/>
    </row>
    <row r="959" spans="70:72" ht="15.75" customHeight="1">
      <c r="BR959" s="136"/>
      <c r="BS959" s="136"/>
      <c r="BT959" s="137"/>
    </row>
    <row r="960" spans="70:72" ht="15.75" customHeight="1">
      <c r="BR960" s="136"/>
      <c r="BS960" s="136"/>
      <c r="BT960" s="137"/>
    </row>
    <row r="961" spans="70:72" ht="15.75" customHeight="1">
      <c r="BR961" s="136"/>
      <c r="BS961" s="136"/>
      <c r="BT961" s="137"/>
    </row>
    <row r="962" spans="70:72" ht="15.75" customHeight="1">
      <c r="BR962" s="136"/>
      <c r="BS962" s="136"/>
      <c r="BT962" s="137"/>
    </row>
    <row r="963" spans="70:72" ht="15.75" customHeight="1">
      <c r="BR963" s="136"/>
      <c r="BS963" s="136"/>
      <c r="BT963" s="137"/>
    </row>
    <row r="964" spans="70:72" ht="15.75" customHeight="1">
      <c r="BR964" s="136"/>
      <c r="BS964" s="136"/>
      <c r="BT964" s="137"/>
    </row>
    <row r="965" spans="70:72" ht="15.75" customHeight="1">
      <c r="BR965" s="136"/>
      <c r="BS965" s="136"/>
      <c r="BT965" s="137"/>
    </row>
    <row r="966" spans="70:72" ht="15.75" customHeight="1">
      <c r="BR966" s="136"/>
      <c r="BS966" s="136"/>
      <c r="BT966" s="137"/>
    </row>
    <row r="967" spans="70:72" ht="15.75" customHeight="1">
      <c r="BR967" s="136"/>
      <c r="BS967" s="136"/>
      <c r="BT967" s="137"/>
    </row>
    <row r="968" spans="70:72" ht="15.75" customHeight="1">
      <c r="BR968" s="136"/>
      <c r="BS968" s="136"/>
      <c r="BT968" s="137"/>
    </row>
    <row r="969" spans="70:72" ht="15.75" customHeight="1">
      <c r="BR969" s="136"/>
      <c r="BS969" s="136"/>
      <c r="BT969" s="137"/>
    </row>
    <row r="970" spans="70:72" ht="15.75" customHeight="1">
      <c r="BR970" s="136"/>
      <c r="BS970" s="136"/>
      <c r="BT970" s="137"/>
    </row>
    <row r="971" spans="70:72" ht="15.75" customHeight="1">
      <c r="BR971" s="136"/>
      <c r="BS971" s="136"/>
      <c r="BT971" s="137"/>
    </row>
    <row r="972" spans="70:72" ht="15.75" customHeight="1">
      <c r="BR972" s="136"/>
      <c r="BS972" s="136"/>
      <c r="BT972" s="137"/>
    </row>
    <row r="973" spans="70:72" ht="15.75" customHeight="1">
      <c r="BR973" s="136"/>
      <c r="BS973" s="136"/>
      <c r="BT973" s="137"/>
    </row>
    <row r="974" spans="70:72" ht="15.75" customHeight="1">
      <c r="BR974" s="136"/>
      <c r="BS974" s="136"/>
      <c r="BT974" s="137"/>
    </row>
    <row r="975" spans="70:72" ht="15.75" customHeight="1">
      <c r="BR975" s="136"/>
      <c r="BS975" s="136"/>
      <c r="BT975" s="137"/>
    </row>
    <row r="976" spans="70:72" ht="15.75" customHeight="1">
      <c r="BR976" s="136"/>
      <c r="BS976" s="136"/>
      <c r="BT976" s="137"/>
    </row>
    <row r="977" spans="70:72" ht="15.75" customHeight="1">
      <c r="BR977" s="136"/>
      <c r="BS977" s="136"/>
      <c r="BT977" s="137"/>
    </row>
    <row r="978" spans="70:72" ht="15.75" customHeight="1">
      <c r="BR978" s="136"/>
      <c r="BS978" s="136"/>
      <c r="BT978" s="137"/>
    </row>
    <row r="979" spans="70:72" ht="15.75" customHeight="1">
      <c r="BR979" s="136"/>
      <c r="BS979" s="136"/>
      <c r="BT979" s="137"/>
    </row>
    <row r="980" spans="70:72" ht="15.75" customHeight="1">
      <c r="BR980" s="136"/>
      <c r="BS980" s="136"/>
      <c r="BT980" s="137"/>
    </row>
    <row r="981" spans="70:72" ht="15.75" customHeight="1">
      <c r="BR981" s="136"/>
      <c r="BS981" s="136"/>
      <c r="BT981" s="137"/>
    </row>
    <row r="982" spans="70:72" ht="15.75" customHeight="1">
      <c r="BR982" s="136"/>
      <c r="BS982" s="136"/>
      <c r="BT982" s="137"/>
    </row>
    <row r="983" spans="70:72" ht="15.75" customHeight="1">
      <c r="BR983" s="136"/>
      <c r="BS983" s="136"/>
      <c r="BT983" s="137"/>
    </row>
    <row r="984" spans="70:72" ht="15.75" customHeight="1">
      <c r="BR984" s="136"/>
      <c r="BS984" s="136"/>
      <c r="BT984" s="137"/>
    </row>
    <row r="985" spans="70:72" ht="15.75" customHeight="1">
      <c r="BR985" s="136"/>
      <c r="BS985" s="136"/>
      <c r="BT985" s="137"/>
    </row>
    <row r="986" spans="70:72" ht="15.75" customHeight="1">
      <c r="BR986" s="136"/>
      <c r="BS986" s="136"/>
      <c r="BT986" s="137"/>
    </row>
    <row r="987" spans="70:72" ht="15.75" customHeight="1">
      <c r="BR987" s="136"/>
      <c r="BS987" s="136"/>
      <c r="BT987" s="137"/>
    </row>
    <row r="988" spans="70:72" ht="15.75" customHeight="1">
      <c r="BR988" s="136"/>
      <c r="BS988" s="136"/>
      <c r="BT988" s="137"/>
    </row>
    <row r="989" spans="70:72" ht="15.75" customHeight="1">
      <c r="BR989" s="136"/>
      <c r="BS989" s="136"/>
      <c r="BT989" s="137"/>
    </row>
    <row r="990" spans="70:72" ht="15.75" customHeight="1">
      <c r="BR990" s="136"/>
      <c r="BS990" s="136"/>
      <c r="BT990" s="137"/>
    </row>
    <row r="991" spans="70:72" ht="15.75" customHeight="1">
      <c r="BR991" s="136"/>
      <c r="BS991" s="136"/>
      <c r="BT991" s="137"/>
    </row>
  </sheetData>
  <autoFilter ref="A5:BT306">
    <filterColumn colId="69" showButton="0"/>
  </autoFilter>
  <mergeCells count="12">
    <mergeCell ref="AT4:AY4"/>
    <mergeCell ref="BR5:BS5"/>
    <mergeCell ref="F4:J4"/>
    <mergeCell ref="K4:O4"/>
    <mergeCell ref="P4:U4"/>
    <mergeCell ref="V4:AA4"/>
    <mergeCell ref="AB4:AG4"/>
    <mergeCell ref="AH4:AM4"/>
    <mergeCell ref="AN4:AS4"/>
    <mergeCell ref="AZ4:BE4"/>
    <mergeCell ref="BF4:BK4"/>
    <mergeCell ref="BL4:BQ4"/>
  </mergeCells>
  <conditionalFormatting sqref="G7:G12">
    <cfRule type="cellIs" dxfId="194" priority="24" operator="equal">
      <formula>"X"</formula>
    </cfRule>
  </conditionalFormatting>
  <conditionalFormatting sqref="G13">
    <cfRule type="expression" dxfId="193" priority="189">
      <formula>IF(#REF!="ja",TRUE,FALSE)</formula>
    </cfRule>
  </conditionalFormatting>
  <conditionalFormatting sqref="G14:G24 G28:G151">
    <cfRule type="cellIs" dxfId="192" priority="190" operator="equal">
      <formula>"X"</formula>
    </cfRule>
  </conditionalFormatting>
  <conditionalFormatting sqref="G25:G27">
    <cfRule type="expression" dxfId="191" priority="191">
      <formula>IF(#REF!="ja",TRUE,FALSE)</formula>
    </cfRule>
  </conditionalFormatting>
  <conditionalFormatting sqref="H10:H12 H17:H24 H28:H56 M39:M42">
    <cfRule type="expression" dxfId="190" priority="302">
      <formula>IF(#REF!="ja",TRUE,FALSE)</formula>
    </cfRule>
  </conditionalFormatting>
  <conditionalFormatting sqref="H58:H151">
    <cfRule type="expression" dxfId="189" priority="301">
      <formula>IF(#REF!="ja",TRUE,FALSE)</formula>
    </cfRule>
  </conditionalFormatting>
  <conditionalFormatting sqref="K32">
    <cfRule type="cellIs" dxfId="188" priority="306" operator="equal">
      <formula>"X"</formula>
    </cfRule>
  </conditionalFormatting>
  <conditionalFormatting sqref="L6:L12 L14:L24 L28:L151">
    <cfRule type="cellIs" dxfId="187" priority="26" operator="equal">
      <formula>"X"</formula>
    </cfRule>
  </conditionalFormatting>
  <conditionalFormatting sqref="L7">
    <cfRule type="expression" dxfId="186" priority="259">
      <formula>IF(#REF!="ja",TRUE,FALSE)</formula>
    </cfRule>
  </conditionalFormatting>
  <conditionalFormatting sqref="L13">
    <cfRule type="expression" dxfId="185" priority="25">
      <formula>IF(#REF!="ja",TRUE,FALSE)</formula>
    </cfRule>
  </conditionalFormatting>
  <conditionalFormatting sqref="L25:L27">
    <cfRule type="expression" dxfId="184" priority="27">
      <formula>IF(#REF!="ja",TRUE,FALSE)</formula>
    </cfRule>
  </conditionalFormatting>
  <conditionalFormatting sqref="N151">
    <cfRule type="expression" dxfId="183" priority="17">
      <formula>IF(#REF!="ja",TRUE,FALSE)</formula>
    </cfRule>
  </conditionalFormatting>
  <conditionalFormatting sqref="P8:AH8">
    <cfRule type="cellIs" dxfId="182" priority="64" operator="equal">
      <formula>"Dunkelverarbeitung"</formula>
    </cfRule>
    <cfRule type="cellIs" dxfId="181" priority="65" operator="notEqual">
      <formula>""</formula>
    </cfRule>
    <cfRule type="cellIs" dxfId="180" priority="63" operator="equal">
      <formula>"Trigger"</formula>
    </cfRule>
  </conditionalFormatting>
  <conditionalFormatting sqref="P13:AL13">
    <cfRule type="cellIs" dxfId="179" priority="58" operator="equal">
      <formula>"Dunkelverarbeitung"</formula>
    </cfRule>
    <cfRule type="cellIs" dxfId="178" priority="57" operator="equal">
      <formula>"Trigger"</formula>
    </cfRule>
    <cfRule type="cellIs" dxfId="177" priority="59" operator="notEqual">
      <formula>""</formula>
    </cfRule>
  </conditionalFormatting>
  <conditionalFormatting sqref="P7:BE7 AJ8:AL8 AM8:AM54 P9:AL12 P14:AL37 AN14:BE42 P38:AJ38 AL38 P39:AL42 P43:BE54 AM55:AN55 AP55:BE55 P55:AL56 AM56:BE70 P57:V57 X57:AL57 P58:AL70 P71:BE87 P88:AH88 AJ88:BF88 P89:BE151">
    <cfRule type="cellIs" dxfId="176" priority="310" operator="notEqual">
      <formula>""</formula>
    </cfRule>
  </conditionalFormatting>
  <conditionalFormatting sqref="P89:BE151 P7:BE7 AJ8:AL8 P9:AL12 P14:AL37 AL38 P39:AL42 P43:BE54 P55:AL56 X57:AL57 P58:AL70 P71:BE87 AJ88:BF88 AN14:BE42 AP55:BE55 AM56:BE70 P38:AJ38 P88:AH88 P57:V57 AM8:AM54 AM55:AN55">
    <cfRule type="cellIs" dxfId="175" priority="309" operator="equal">
      <formula>"Dunkelverarbeitung"</formula>
    </cfRule>
    <cfRule type="cellIs" dxfId="174" priority="308" operator="equal">
      <formula>"Trigger"</formula>
    </cfRule>
  </conditionalFormatting>
  <conditionalFormatting sqref="T7:T151">
    <cfRule type="expression" dxfId="173" priority="46">
      <formula>IFERROR(IF(SEARCH(ADDRESS(ROW(),COLUMN(),4,1),_xlfn.FORMULATEXT($T$6))&gt;1,TRUE,FALSE),FALSE)</formula>
    </cfRule>
  </conditionalFormatting>
  <conditionalFormatting sqref="Z7:Z151">
    <cfRule type="expression" dxfId="172" priority="47">
      <formula>IFERROR(IF(SEARCH(ADDRESS(ROW(),COLUMN(),4,1),_xlfn.FORMULATEXT($Z$6))&gt;1,TRUE,FALSE),FALSE)</formula>
    </cfRule>
  </conditionalFormatting>
  <conditionalFormatting sqref="AF7:AF151">
    <cfRule type="expression" dxfId="171" priority="48">
      <formula>IFERROR(IF(SEARCH(ADDRESS(ROW(),COLUMN(),4,1),_xlfn.FORMULATEXT($AF$6))&gt;1,TRUE,FALSE),FALSE)</formula>
    </cfRule>
  </conditionalFormatting>
  <conditionalFormatting sqref="AI8">
    <cfRule type="cellIs" dxfId="170" priority="23" operator="notEqual">
      <formula>""</formula>
    </cfRule>
    <cfRule type="cellIs" dxfId="169" priority="22" operator="equal">
      <formula>"Dunkelverarbeitung"</formula>
    </cfRule>
    <cfRule type="cellIs" dxfId="168" priority="21" operator="equal">
      <formula>"Trigger"</formula>
    </cfRule>
  </conditionalFormatting>
  <conditionalFormatting sqref="AK38">
    <cfRule type="cellIs" dxfId="167" priority="18" operator="equal">
      <formula>"Trigger"</formula>
    </cfRule>
    <cfRule type="cellIs" dxfId="166" priority="19" operator="equal">
      <formula>"Dunkelverarbeitung"</formula>
    </cfRule>
    <cfRule type="cellIs" dxfId="165" priority="20" operator="notEqual">
      <formula>""</formula>
    </cfRule>
  </conditionalFormatting>
  <conditionalFormatting sqref="AL7:AL151">
    <cfRule type="expression" dxfId="164" priority="246">
      <formula>IFERROR(IF(SEARCH(ADDRESS(ROW(),COLUMN(),4,1),_xlfn.FORMULATEXT($AL$6))&gt;1,TRUE,FALSE),FALSE)</formula>
    </cfRule>
  </conditionalFormatting>
  <conditionalFormatting sqref="AL13">
    <cfRule type="expression" dxfId="163" priority="49">
      <formula>IFERROR(IF(SEARCH(ADDRESS(ROW(),COLUMN(),4,1),_xlfn.FORMULATEXT($AL$6))&gt;1,TRUE,FALSE),FALSE)</formula>
    </cfRule>
  </conditionalFormatting>
  <conditionalFormatting sqref="AN8:BE12">
    <cfRule type="cellIs" dxfId="162" priority="77" operator="notEqual">
      <formula>""</formula>
    </cfRule>
    <cfRule type="cellIs" dxfId="161" priority="76" operator="equal">
      <formula>"Dunkelverarbeitung"</formula>
    </cfRule>
    <cfRule type="cellIs" dxfId="160" priority="75" operator="equal">
      <formula>"Trigger"</formula>
    </cfRule>
  </conditionalFormatting>
  <conditionalFormatting sqref="AN13:BF13 BI13:BL13">
    <cfRule type="cellIs" dxfId="159" priority="56" operator="notEqual">
      <formula>""</formula>
    </cfRule>
  </conditionalFormatting>
  <conditionalFormatting sqref="AR7:AR151">
    <cfRule type="expression" dxfId="158" priority="50">
      <formula>IFERROR(IF(SEARCH(ADDRESS(ROW(),COLUMN(),4,1),_xlfn.FORMULATEXT($AR$6))&gt;1,TRUE,FALSE),FALSE)</formula>
    </cfRule>
  </conditionalFormatting>
  <conditionalFormatting sqref="AR57">
    <cfRule type="notContainsBlanks" dxfId="157" priority="318">
      <formula>LEN(TRIM(AR57))&gt;0</formula>
    </cfRule>
    <cfRule type="containsBlanks" dxfId="156" priority="319">
      <formula>LEN(TRIM(AR57))=0</formula>
    </cfRule>
  </conditionalFormatting>
  <conditionalFormatting sqref="AU23">
    <cfRule type="containsText" dxfId="155" priority="314" operator="containsText" text="Dunkelverarbeitung">
      <formula>NOT(ISERROR(SEARCH(("Dunkelverarbeitung"),(AU23))))</formula>
    </cfRule>
  </conditionalFormatting>
  <conditionalFormatting sqref="AU97:AU102">
    <cfRule type="cellIs" dxfId="154" priority="274" operator="equal">
      <formula>"Trigger"</formula>
    </cfRule>
    <cfRule type="cellIs" dxfId="153" priority="276" operator="notEqual">
      <formula>""</formula>
    </cfRule>
    <cfRule type="cellIs" dxfId="152" priority="275" operator="equal">
      <formula>"Dunkelverarbeitung"</formula>
    </cfRule>
  </conditionalFormatting>
  <conditionalFormatting sqref="AX7:AX151">
    <cfRule type="expression" dxfId="151" priority="51">
      <formula>IFERROR(IF(SEARCH(ADDRESS(ROW(),COLUMN(),4,1),_xlfn.FORMULATEXT($AX$6))&gt;1,TRUE,FALSE),FALSE)</formula>
    </cfRule>
  </conditionalFormatting>
  <conditionalFormatting sqref="BD7:BD151">
    <cfRule type="expression" dxfId="150" priority="52">
      <formula>IFERROR(IF(SEARCH(ADDRESS(ROW(),COLUMN(),4,1),_xlfn.FORMULATEXT($BD$6))&gt;1,TRUE,FALSE),FALSE)</formula>
    </cfRule>
  </conditionalFormatting>
  <conditionalFormatting sqref="BF63:BF73">
    <cfRule type="cellIs" dxfId="149" priority="60" operator="equal">
      <formula>"Trigger"</formula>
    </cfRule>
    <cfRule type="cellIs" dxfId="148" priority="61" operator="equal">
      <formula>"Dunkelverarbeitung"</formula>
    </cfRule>
  </conditionalFormatting>
  <conditionalFormatting sqref="BF65:BF73">
    <cfRule type="cellIs" dxfId="147" priority="62" operator="notEqual">
      <formula>""</formula>
    </cfRule>
  </conditionalFormatting>
  <conditionalFormatting sqref="BF89:BF91">
    <cfRule type="cellIs" dxfId="146" priority="183" operator="equal">
      <formula>"Trigger"</formula>
    </cfRule>
    <cfRule type="cellIs" dxfId="145" priority="184" operator="equal">
      <formula>"Dunkelverarbeitung"</formula>
    </cfRule>
    <cfRule type="cellIs" dxfId="144" priority="185" operator="notEqual">
      <formula>""</formula>
    </cfRule>
  </conditionalFormatting>
  <conditionalFormatting sqref="BF101:BF104">
    <cfRule type="cellIs" dxfId="143" priority="200" operator="notEqual">
      <formula>""</formula>
    </cfRule>
    <cfRule type="cellIs" dxfId="142" priority="198" operator="equal">
      <formula>"Trigger"</formula>
    </cfRule>
    <cfRule type="cellIs" dxfId="141" priority="199" operator="equal">
      <formula>"Dunkelverarbeitung"</formula>
    </cfRule>
  </conditionalFormatting>
  <conditionalFormatting sqref="BF15:BL17">
    <cfRule type="cellIs" dxfId="140" priority="81" operator="equal">
      <formula>"Trigger"</formula>
    </cfRule>
    <cfRule type="cellIs" dxfId="139" priority="82" operator="equal">
      <formula>"Dunkelverarbeitung"</formula>
    </cfRule>
    <cfRule type="cellIs" dxfId="138" priority="83" operator="notEqual">
      <formula>""</formula>
    </cfRule>
  </conditionalFormatting>
  <conditionalFormatting sqref="BF24:BO24">
    <cfRule type="cellIs" dxfId="137" priority="8" operator="notEqual">
      <formula>""</formula>
    </cfRule>
    <cfRule type="cellIs" dxfId="136" priority="7" operator="equal">
      <formula>"Dunkelverarbeitung"</formula>
    </cfRule>
    <cfRule type="cellIs" dxfId="135" priority="6" operator="equal">
      <formula>"Trigger"</formula>
    </cfRule>
  </conditionalFormatting>
  <conditionalFormatting sqref="BF7:BQ12 BF14:BQ14 BF18:BQ23 BF25:BQ62 BF63:BF64 BF64:BQ64 BF74:BQ87 BG88:BK91 BF92:BK100 BG101:BK103 BG104:BQ104">
    <cfRule type="cellIs" dxfId="134" priority="254" operator="notEqual">
      <formula>""</formula>
    </cfRule>
  </conditionalFormatting>
  <conditionalFormatting sqref="BF7:BQ12 BF14:BQ14 BF18:BQ23 BF25:BQ62 BF64:BQ64 BF74:BQ87 BG88:BK91 BF92:BK100 BG101:BK103 BG104:BQ104">
    <cfRule type="cellIs" dxfId="133" priority="252" operator="equal">
      <formula>"Trigger"</formula>
    </cfRule>
    <cfRule type="cellIs" dxfId="132" priority="253" operator="equal">
      <formula>"Dunkelverarbeitung"</formula>
    </cfRule>
  </conditionalFormatting>
  <conditionalFormatting sqref="BF105:BQ151">
    <cfRule type="cellIs" dxfId="131" priority="103" operator="equal">
      <formula>"Dunkelverarbeitung"</formula>
    </cfRule>
    <cfRule type="cellIs" dxfId="130" priority="102" operator="equal">
      <formula>"Trigger"</formula>
    </cfRule>
    <cfRule type="cellIs" dxfId="129" priority="104" operator="notEqual">
      <formula>""</formula>
    </cfRule>
  </conditionalFormatting>
  <conditionalFormatting sqref="BG13:BH13">
    <cfRule type="cellIs" dxfId="128" priority="41" operator="equal">
      <formula>"Dunkelverarbeitung"</formula>
    </cfRule>
    <cfRule type="cellIs" dxfId="127" priority="40" operator="equal">
      <formula>"Trigger"</formula>
    </cfRule>
    <cfRule type="cellIs" dxfId="126" priority="42" operator="notEqual">
      <formula>""</formula>
    </cfRule>
  </conditionalFormatting>
  <conditionalFormatting sqref="BG63:BQ63">
    <cfRule type="cellIs" dxfId="125" priority="242" operator="notEqual">
      <formula>""</formula>
    </cfRule>
    <cfRule type="cellIs" dxfId="124" priority="240" operator="equal">
      <formula>"Trigger"</formula>
    </cfRule>
    <cfRule type="cellIs" dxfId="123" priority="241" operator="equal">
      <formula>"Dunkelverarbeitung"</formula>
    </cfRule>
  </conditionalFormatting>
  <conditionalFormatting sqref="BG65:BQ73">
    <cfRule type="cellIs" dxfId="122" priority="238" operator="equal">
      <formula>"Dunkelverarbeitung"</formula>
    </cfRule>
    <cfRule type="cellIs" dxfId="121" priority="239" operator="notEqual">
      <formula>""</formula>
    </cfRule>
    <cfRule type="cellIs" dxfId="120" priority="237" operator="equal">
      <formula>"Trigger"</formula>
    </cfRule>
  </conditionalFormatting>
  <conditionalFormatting sqref="BI13:BL13 AN13:BF13">
    <cfRule type="cellIs" dxfId="119" priority="55" operator="equal">
      <formula>"Dunkelverarbeitung"</formula>
    </cfRule>
    <cfRule type="cellIs" dxfId="118" priority="54" operator="equal">
      <formula>"Trigger"</formula>
    </cfRule>
  </conditionalFormatting>
  <conditionalFormatting sqref="BJ7:BJ23 BJ25:BJ151">
    <cfRule type="expression" dxfId="117" priority="53">
      <formula>IFERROR(IF(SEARCH(ADDRESS(ROW(),COLUMN(),4,1),_xlfn.FORMULATEXT($BJ$6))&gt;1,TRUE,FALSE),FALSE)</formula>
    </cfRule>
  </conditionalFormatting>
  <conditionalFormatting sqref="BJ24">
    <cfRule type="expression" dxfId="116" priority="5">
      <formula>IFERROR(IF(SEARCH(ADDRESS(ROW(),COLUMN(),4,1),_xlfn.FORMULATEXT($BD$6))&gt;1,TRUE,FALSE),FALSE)</formula>
    </cfRule>
  </conditionalFormatting>
  <conditionalFormatting sqref="BL88:BQ103">
    <cfRule type="cellIs" dxfId="115" priority="123" operator="equal">
      <formula>"Trigger"</formula>
    </cfRule>
    <cfRule type="cellIs" dxfId="114" priority="124" operator="equal">
      <formula>"Dunkelverarbeitung"</formula>
    </cfRule>
    <cfRule type="cellIs" dxfId="113" priority="125" operator="notEqual">
      <formula>""</formula>
    </cfRule>
  </conditionalFormatting>
  <conditionalFormatting sqref="BM13:BQ13">
    <cfRule type="cellIs" dxfId="112" priority="34" operator="equal">
      <formula>"Trigger"</formula>
    </cfRule>
    <cfRule type="cellIs" dxfId="111" priority="36" operator="notEqual">
      <formula>""</formula>
    </cfRule>
    <cfRule type="cellIs" dxfId="110" priority="35" operator="equal">
      <formula>"Dunkelverarbeitung"</formula>
    </cfRule>
  </conditionalFormatting>
  <conditionalFormatting sqref="BM15:BQ17">
    <cfRule type="cellIs" dxfId="109" priority="28" operator="equal">
      <formula>"Trigger"</formula>
    </cfRule>
    <cfRule type="cellIs" dxfId="108" priority="30" operator="notEqual">
      <formula>""</formula>
    </cfRule>
    <cfRule type="cellIs" dxfId="107" priority="29" operator="equal">
      <formula>"Dunkelverarbeitung"</formula>
    </cfRule>
  </conditionalFormatting>
  <conditionalFormatting sqref="BP24">
    <cfRule type="expression" dxfId="106" priority="1">
      <formula>IFERROR(IF(SEARCH(ADDRESS(ROW(),COLUMN(),4,1),_xlfn.FORMULATEXT($BD$6))&gt;1,TRUE,FALSE),FALSE)</formula>
    </cfRule>
  </conditionalFormatting>
  <conditionalFormatting sqref="BP24:BQ24">
    <cfRule type="cellIs" dxfId="105" priority="4" operator="notEqual">
      <formula>""</formula>
    </cfRule>
    <cfRule type="cellIs" dxfId="104" priority="3" operator="equal">
      <formula>"Dunkelverarbeitung"</formula>
    </cfRule>
    <cfRule type="cellIs" dxfId="103" priority="2" operator="equal">
      <formula>"Trigger"</formula>
    </cfRule>
  </conditionalFormatting>
  <printOptions gridLines="1"/>
  <pageMargins left="0.39370078740157483" right="0.39370078740157483" top="0.78740157480314965" bottom="0.78740157480314965" header="0" footer="0"/>
  <pageSetup paperSize="9" scale="50" orientation="landscape" r:id="rId1"/>
  <extLst>
    <ext xmlns:x14="http://schemas.microsoft.com/office/spreadsheetml/2009/9/main" uri="{CCE6A557-97BC-4b89-ADB6-D9C93CAAB3DF}">
      <x14:dataValidations xmlns:xm="http://schemas.microsoft.com/office/excel/2006/main" disablePrompts="1" count="2">
        <x14:dataValidation type="list" allowBlank="1" showErrorMessage="1">
          <x14:formula1>
            <xm:f>'Listen-Daten'!$F$6:$F$8</xm:f>
          </x14:formula1>
          <xm:sqref>F148:F151</xm:sqref>
        </x14:dataValidation>
        <x14:dataValidation type="list" allowBlank="1" showErrorMessage="1">
          <x14:formula1>
            <xm:f>'Listen-Daten'!$D$2:$D$3</xm:f>
          </x14:formula1>
          <xm:sqref>F60:F65 F67:F74 F80 F86:F91 F98 F101 F108:F119 F121:F125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Z1009"/>
  <sheetViews>
    <sheetView workbookViewId="0">
      <pane xSplit="2" ySplit="4" topLeftCell="C42" activePane="bottomRight" state="frozen"/>
      <selection pane="topRight" activeCell="C1" sqref="C1"/>
      <selection pane="bottomLeft" activeCell="A5" sqref="A5"/>
      <selection pane="bottomRight" activeCell="D73" sqref="D73"/>
    </sheetView>
  </sheetViews>
  <sheetFormatPr baseColWidth="10" defaultColWidth="14.33203125" defaultRowHeight="15" customHeight="1"/>
  <cols>
    <col min="1" max="1" width="0.5546875" customWidth="1"/>
    <col min="2" max="2" width="21.5546875" customWidth="1"/>
    <col min="3" max="3" width="51.33203125" customWidth="1"/>
    <col min="4" max="6" width="27.33203125" customWidth="1"/>
    <col min="7" max="8" width="1.6640625" customWidth="1"/>
    <col min="9" max="12" width="28.33203125" customWidth="1"/>
    <col min="13" max="13" width="15" customWidth="1"/>
    <col min="14" max="26" width="9.6640625" customWidth="1"/>
  </cols>
  <sheetData>
    <row r="1" spans="1:26" ht="14.25" customHeight="1">
      <c r="I1" s="1040" t="s">
        <v>3110</v>
      </c>
      <c r="J1" s="1041"/>
      <c r="K1" s="1041"/>
      <c r="L1" s="1042"/>
    </row>
    <row r="2" spans="1:26" ht="30.75" customHeight="1">
      <c r="A2" s="171"/>
      <c r="B2" s="171"/>
      <c r="C2" s="171"/>
      <c r="D2" s="1043" t="s">
        <v>3111</v>
      </c>
      <c r="E2" s="1044"/>
      <c r="F2" s="1045"/>
      <c r="G2" s="171"/>
      <c r="H2" s="171"/>
      <c r="I2" s="172" t="s">
        <v>3112</v>
      </c>
      <c r="J2" s="173" t="s">
        <v>3113</v>
      </c>
      <c r="K2" s="173" t="s">
        <v>3114</v>
      </c>
      <c r="L2" s="173" t="s">
        <v>3115</v>
      </c>
      <c r="M2" s="171"/>
      <c r="N2" s="171"/>
      <c r="O2" s="171"/>
      <c r="P2" s="171"/>
      <c r="Q2" s="171"/>
      <c r="R2" s="171"/>
      <c r="S2" s="171"/>
      <c r="T2" s="171"/>
      <c r="U2" s="171"/>
      <c r="V2" s="171"/>
      <c r="W2" s="171"/>
      <c r="X2" s="171"/>
      <c r="Y2" s="171"/>
      <c r="Z2" s="171"/>
    </row>
    <row r="3" spans="1:26" ht="14.25" customHeight="1">
      <c r="A3" s="171"/>
      <c r="B3" s="171"/>
      <c r="C3" s="171"/>
      <c r="D3" s="174" t="s">
        <v>3113</v>
      </c>
      <c r="E3" s="164" t="s">
        <v>3114</v>
      </c>
      <c r="F3" s="175" t="s">
        <v>3115</v>
      </c>
      <c r="G3" s="171"/>
      <c r="H3" s="171"/>
      <c r="I3" s="172" t="s">
        <v>3116</v>
      </c>
      <c r="J3" s="176" t="str">
        <f>IFERROR('Sterne-Rechner - GI'!V39,"")</f>
        <v>Kein Angebot möglich!</v>
      </c>
      <c r="K3" s="176" t="str">
        <f>IFERROR('Sterne-Rechner - GI'!V40,"")</f>
        <v>Kein Angebot möglich!</v>
      </c>
      <c r="L3" s="176" t="str">
        <f>IFERROR('Sterne-Rechner - GI'!V41,"")</f>
        <v>Kein Angebot möglich!</v>
      </c>
      <c r="M3" s="171"/>
      <c r="N3" s="171"/>
      <c r="O3" s="171"/>
      <c r="P3" s="171"/>
      <c r="Q3" s="171"/>
      <c r="R3" s="171"/>
      <c r="S3" s="171"/>
      <c r="T3" s="171"/>
      <c r="U3" s="171"/>
      <c r="V3" s="171"/>
      <c r="W3" s="171"/>
      <c r="X3" s="171"/>
      <c r="Y3" s="171"/>
      <c r="Z3" s="171"/>
    </row>
    <row r="4" spans="1:26" ht="14.25" customHeight="1">
      <c r="A4" s="171"/>
      <c r="B4" s="171"/>
      <c r="C4" s="177" t="s">
        <v>3117</v>
      </c>
      <c r="D4" s="178">
        <f>Deckungssumme1</f>
        <v>0</v>
      </c>
      <c r="E4" s="179">
        <f>Deckungssumme2</f>
        <v>0</v>
      </c>
      <c r="F4" s="180">
        <f>Deckungssumme3</f>
        <v>0</v>
      </c>
      <c r="G4" s="171"/>
      <c r="H4" s="171"/>
      <c r="I4" s="181" t="s">
        <v>3118</v>
      </c>
      <c r="J4" s="182" t="str">
        <f>IFERROR(ROUND('Sterne-Rechner - GI'!X39,2),"")</f>
        <v/>
      </c>
      <c r="K4" s="182" t="str">
        <f>IFERROR(ROUND('Sterne-Rechner - GI'!X40,2),"")</f>
        <v/>
      </c>
      <c r="L4" s="182" t="str">
        <f>IFERROR(ROUND('Sterne-Rechner - GI'!X41,2),"")</f>
        <v/>
      </c>
      <c r="M4" s="171"/>
      <c r="N4" s="171"/>
      <c r="O4" s="171"/>
      <c r="P4" s="171"/>
      <c r="Q4" s="171"/>
      <c r="R4" s="171"/>
      <c r="S4" s="171"/>
      <c r="T4" s="171"/>
      <c r="U4" s="171"/>
      <c r="V4" s="171"/>
      <c r="W4" s="171"/>
      <c r="X4" s="171"/>
      <c r="Y4" s="171"/>
      <c r="Z4" s="171"/>
    </row>
    <row r="5" spans="1:26" ht="14.25" customHeight="1">
      <c r="B5" s="183" t="s">
        <v>2402</v>
      </c>
      <c r="C5" s="184" t="s">
        <v>3112</v>
      </c>
      <c r="D5" s="185" t="str">
        <f ca="1">TEXT('Sterne-Rechner - Angebot'!Y4,"0")</f>
        <v/>
      </c>
      <c r="E5" s="186" t="str">
        <f ca="1">TEXT('Sterne-Rechner - Angebot'!Y5,"0")</f>
        <v/>
      </c>
      <c r="F5" s="187" t="str">
        <f ca="1">TEXT('Sterne-Rechner - Angebot'!Y6,"0")</f>
        <v/>
      </c>
      <c r="I5" s="181" t="s">
        <v>3119</v>
      </c>
      <c r="J5" s="182" t="str">
        <f>IFERROR(ROUND('Sterne-Rechner - GI'!W39,0),"")</f>
        <v/>
      </c>
      <c r="K5" s="182" t="str">
        <f>IFERROR(ROUND('Sterne-Rechner - GI'!W40,0),"")</f>
        <v/>
      </c>
      <c r="L5" s="182" t="str">
        <f>IFERROR(ROUND('Sterne-Rechner - GI'!W41,0),"")</f>
        <v/>
      </c>
      <c r="M5" s="171"/>
    </row>
    <row r="6" spans="1:26" ht="14.25" customHeight="1">
      <c r="B6" s="188"/>
      <c r="C6" s="189" t="s">
        <v>3120</v>
      </c>
      <c r="D6" s="190">
        <f>'Sterne-Rechner - Angebot'!Q4</f>
        <v>75</v>
      </c>
      <c r="E6" s="191">
        <f>'Sterne-Rechner - Angebot'!Q5</f>
        <v>75</v>
      </c>
      <c r="F6" s="192">
        <f>'Sterne-Rechner - Angebot'!Q6</f>
        <v>75</v>
      </c>
      <c r="I6" s="193"/>
      <c r="J6" s="194"/>
      <c r="K6" s="194"/>
      <c r="L6" s="194"/>
      <c r="M6" s="171"/>
    </row>
    <row r="7" spans="1:26" ht="15.75" customHeight="1">
      <c r="B7" s="188"/>
      <c r="C7" s="189" t="s">
        <v>3119</v>
      </c>
      <c r="D7" s="190">
        <f ca="1">'Sterne-Rechner - Angebot'!AD4</f>
        <v>0</v>
      </c>
      <c r="E7" s="191">
        <f ca="1">'Sterne-Rechner - Angebot'!AD5</f>
        <v>0</v>
      </c>
      <c r="F7" s="192">
        <f ca="1">'Sterne-Rechner - Angebot'!AD6</f>
        <v>0</v>
      </c>
      <c r="M7" s="171"/>
    </row>
    <row r="8" spans="1:26" ht="14.25" customHeight="1">
      <c r="B8" s="188"/>
      <c r="C8" s="189" t="s">
        <v>3121</v>
      </c>
      <c r="D8" s="195" t="str">
        <f ca="1">'Sterne-Rechner - Angebot'!AC4</f>
        <v/>
      </c>
      <c r="E8" s="196" t="str">
        <f ca="1">'Sterne-Rechner - Angebot'!AC5</f>
        <v/>
      </c>
      <c r="F8" s="197" t="str">
        <f ca="1">'Sterne-Rechner - Angebot'!AC6</f>
        <v/>
      </c>
      <c r="M8" s="171"/>
    </row>
    <row r="9" spans="1:26" ht="14.25" customHeight="1">
      <c r="B9" s="188"/>
      <c r="C9" s="189" t="s">
        <v>3122</v>
      </c>
      <c r="D9" s="198">
        <f ca="1">'Preisrechner Alle Tarife'!R34</f>
        <v>0</v>
      </c>
      <c r="E9" s="199">
        <f ca="1">'Preisrechner Alle Tarife'!S34</f>
        <v>0</v>
      </c>
      <c r="F9" s="200">
        <f ca="1">'Preisrechner Alle Tarife'!T34</f>
        <v>0</v>
      </c>
      <c r="M9" s="171"/>
    </row>
    <row r="10" spans="1:26" ht="14.25" customHeight="1">
      <c r="B10" s="188"/>
      <c r="C10" s="189" t="s">
        <v>3123</v>
      </c>
      <c r="D10" s="201">
        <f ca="1">'Preisrechner Alle Tarife'!V34</f>
        <v>0</v>
      </c>
      <c r="E10" s="201">
        <f ca="1">'Preisrechner Alle Tarife'!W34</f>
        <v>0</v>
      </c>
      <c r="F10" s="201">
        <f ca="1">'Preisrechner Alle Tarife'!X34</f>
        <v>0</v>
      </c>
    </row>
    <row r="11" spans="1:26" ht="14.25" customHeight="1">
      <c r="B11" s="589"/>
      <c r="C11" s="941" t="s">
        <v>4075</v>
      </c>
      <c r="D11" s="942"/>
      <c r="E11" s="943"/>
      <c r="F11" s="944"/>
    </row>
    <row r="12" spans="1:26" ht="15" customHeight="1">
      <c r="B12" s="188"/>
      <c r="C12" s="189" t="s">
        <v>2417</v>
      </c>
      <c r="D12" s="202" t="str">
        <f>wvagUsedClauses</f>
        <v>,</v>
      </c>
      <c r="E12" s="203" t="str">
        <f>wvagUsedClauses</f>
        <v>,</v>
      </c>
      <c r="F12" s="204" t="str">
        <f>wvagUsedClauses</f>
        <v>,</v>
      </c>
    </row>
    <row r="13" spans="1:26" ht="15" customHeight="1">
      <c r="B13" s="205"/>
      <c r="C13" s="206" t="s">
        <v>2817</v>
      </c>
      <c r="D13" s="207" t="str">
        <f ca="1">'Sterne-Rechner - Angebot'!AE4</f>
        <v>OFFER_DECLINED</v>
      </c>
      <c r="E13" s="208" t="str">
        <f ca="1">'Sterne-Rechner - Angebot'!AE5</f>
        <v>OFFER_DECLINED</v>
      </c>
      <c r="F13" s="209" t="str">
        <f ca="1">'Sterne-Rechner - Angebot'!AE6</f>
        <v>OFFER_DECLINED</v>
      </c>
    </row>
    <row r="14" spans="1:26" ht="15" customHeight="1">
      <c r="B14" s="188"/>
      <c r="C14" s="189" t="s">
        <v>3124</v>
      </c>
      <c r="D14" s="1046" t="b">
        <f>IF(AXAFacilityKriterien="Kriterien erfüllt",TRUE,FALSE)</f>
        <v>0</v>
      </c>
      <c r="E14" s="1047"/>
      <c r="F14" s="1048"/>
    </row>
    <row r="15" spans="1:26" ht="15" customHeight="1">
      <c r="B15" s="188" t="s">
        <v>2393</v>
      </c>
      <c r="C15" s="210" t="s">
        <v>3112</v>
      </c>
      <c r="D15" s="211" t="str">
        <f>TEXT('Sterne-Rechner - Angebot'!Y7,"0")</f>
        <v/>
      </c>
      <c r="E15" s="212" t="str">
        <f>TEXT('Sterne-Rechner - Angebot'!Y8,"0")</f>
        <v/>
      </c>
      <c r="F15" s="213" t="str">
        <f>TEXT('Sterne-Rechner - Angebot'!Y9,"0")</f>
        <v/>
      </c>
    </row>
    <row r="16" spans="1:26" ht="15" customHeight="1">
      <c r="B16" s="188"/>
      <c r="C16" s="210" t="s">
        <v>3120</v>
      </c>
      <c r="D16" s="211">
        <f>'Sterne-Rechner - Angebot'!Q7</f>
        <v>95</v>
      </c>
      <c r="E16" s="212">
        <f>'Sterne-Rechner - Angebot'!Q8</f>
        <v>95</v>
      </c>
      <c r="F16" s="213">
        <f>'Sterne-Rechner - Angebot'!Q9</f>
        <v>95</v>
      </c>
    </row>
    <row r="17" spans="2:6" ht="15" customHeight="1">
      <c r="B17" s="188"/>
      <c r="C17" s="210" t="s">
        <v>3119</v>
      </c>
      <c r="D17" s="214">
        <f>'Sterne-Rechner - Angebot'!AD7</f>
        <v>0</v>
      </c>
      <c r="E17" s="215">
        <f>'Sterne-Rechner - Angebot'!AD8</f>
        <v>0</v>
      </c>
      <c r="F17" s="216">
        <f>'Sterne-Rechner - Angebot'!AD9</f>
        <v>0</v>
      </c>
    </row>
    <row r="18" spans="2:6" ht="15" customHeight="1">
      <c r="B18" s="188"/>
      <c r="C18" s="210" t="s">
        <v>3121</v>
      </c>
      <c r="D18" s="195" t="str">
        <f>'Sterne-Rechner - Angebot'!AC7</f>
        <v/>
      </c>
      <c r="E18" s="196" t="str">
        <f>'Sterne-Rechner - Angebot'!AC8</f>
        <v/>
      </c>
      <c r="F18" s="197" t="str">
        <f>'Sterne-Rechner - Angebot'!AC9</f>
        <v/>
      </c>
    </row>
    <row r="19" spans="2:6" ht="15.75" customHeight="1">
      <c r="B19" s="188"/>
      <c r="C19" s="210" t="s">
        <v>3122</v>
      </c>
      <c r="D19" s="198">
        <f>'Preisrechner Alle Tarife'!R35</f>
        <v>0</v>
      </c>
      <c r="E19" s="199">
        <f>'Preisrechner Alle Tarife'!S35</f>
        <v>0</v>
      </c>
      <c r="F19" s="200">
        <f>'Preisrechner Alle Tarife'!T35</f>
        <v>0</v>
      </c>
    </row>
    <row r="20" spans="2:6" ht="15" customHeight="1">
      <c r="B20" s="188"/>
      <c r="C20" s="210" t="s">
        <v>3123</v>
      </c>
      <c r="D20" s="201">
        <f>'Preisrechner Alle Tarife'!V35</f>
        <v>0</v>
      </c>
      <c r="E20" s="201">
        <f>'Preisrechner Alle Tarife'!W35</f>
        <v>0</v>
      </c>
      <c r="F20" s="201">
        <f>'Preisrechner Alle Tarife'!X35</f>
        <v>0</v>
      </c>
    </row>
    <row r="21" spans="2:6" ht="14.25" customHeight="1">
      <c r="B21" s="589"/>
      <c r="C21" s="941" t="s">
        <v>4075</v>
      </c>
      <c r="D21" s="942" t="str">
        <f>IF(AND(OR(Fragenkatalog!K8="AG",Fragenkatalog!K8="SE",Fragenkatalog!K8="Versicherungsverein aG",Fragenkatalog!K8="e.G."),Außenumsatz&gt;150000000,Branche="FI"),"WpHG,","")</f>
        <v/>
      </c>
      <c r="E21" s="943" t="str">
        <f>IF(AND(OR(Fragenkatalog!K8="AG",Fragenkatalog!K8="SE",Fragenkatalog!K8="Versicherungsverein aG",Fragenkatalog!K8="e.G."),Außenumsatz&gt;150000000,Branche="FI"),"WpHG,","")</f>
        <v/>
      </c>
      <c r="F21" s="944" t="str">
        <f>IF(AND(OR(Fragenkatalog!K8="AG",Fragenkatalog!K8="SE",Fragenkatalog!K8="Versicherungsverein aG",Fragenkatalog!K8="e.G."),Außenumsatz&gt;150000000,Branche="FI"),"WpHG,","")</f>
        <v/>
      </c>
    </row>
    <row r="22" spans="2:6" ht="15" customHeight="1">
      <c r="B22" s="188"/>
      <c r="C22" s="210" t="s">
        <v>2417</v>
      </c>
      <c r="D22" s="217" t="str">
        <f>axaUsedClauses</f>
        <v>,,</v>
      </c>
      <c r="E22" s="203" t="str">
        <f>axaUsedClauses</f>
        <v>,,</v>
      </c>
      <c r="F22" s="218" t="str">
        <f>axaUsedClauses</f>
        <v>,,</v>
      </c>
    </row>
    <row r="23" spans="2:6" ht="15" customHeight="1">
      <c r="B23" s="205"/>
      <c r="C23" s="219" t="s">
        <v>2817</v>
      </c>
      <c r="D23" s="207" t="str">
        <f>'Sterne-Rechner - Angebot'!AE7</f>
        <v>OFFER_DECLINED</v>
      </c>
      <c r="E23" s="220" t="str">
        <f>'Sterne-Rechner - Angebot'!AE8</f>
        <v>OFFER_DECLINED</v>
      </c>
      <c r="F23" s="209" t="str">
        <f>'Sterne-Rechner - Angebot'!AE9</f>
        <v>OFFER_DECLINED</v>
      </c>
    </row>
    <row r="24" spans="2:6" ht="15" customHeight="1">
      <c r="B24" s="183" t="str">
        <f>IF('Sterne-Rechner - Angebot'!C13=OfferReady,"AIG Facility","AIG")</f>
        <v>AIG</v>
      </c>
      <c r="C24" s="221" t="s">
        <v>3125</v>
      </c>
      <c r="D24" s="1049" t="b">
        <f>IF(AIGFacilityKriterien="Kriterien erfüllt",TRUE,FALSE)</f>
        <v>0</v>
      </c>
      <c r="E24" s="1044"/>
      <c r="F24" s="1045"/>
    </row>
    <row r="25" spans="2:6" ht="15" customHeight="1">
      <c r="B25" s="188"/>
      <c r="C25" s="210" t="s">
        <v>3112</v>
      </c>
      <c r="D25" s="214" t="str">
        <f ca="1">TEXT(IF(D24=TRUE,'Sterne-Rechner - Angebot'!Y13,'Sterne-Rechner - Angebot'!Y10),"0")</f>
        <v/>
      </c>
      <c r="E25" s="215" t="str">
        <f ca="1">TEXT(IF(D24=TRUE,'Sterne-Rechner - Angebot'!Y14,'Sterne-Rechner - Angebot'!Y11),"0")</f>
        <v/>
      </c>
      <c r="F25" s="216" t="str">
        <f ca="1">TEXT(IF(D24=TRUE,'Sterne-Rechner - Angebot'!Y15,'Sterne-Rechner - Angebot'!Y12),"0")</f>
        <v/>
      </c>
    </row>
    <row r="26" spans="2:6" ht="15" customHeight="1">
      <c r="B26" s="188"/>
      <c r="C26" s="210" t="s">
        <v>3120</v>
      </c>
      <c r="D26" s="214">
        <v>0</v>
      </c>
      <c r="E26" s="215">
        <v>0</v>
      </c>
      <c r="F26" s="216">
        <v>0</v>
      </c>
    </row>
    <row r="27" spans="2:6" ht="15" customHeight="1">
      <c r="B27" s="188"/>
      <c r="C27" s="210" t="s">
        <v>3119</v>
      </c>
      <c r="D27" s="214">
        <f ca="1">IF(aigFacilityYesNo=TRUE,'Sterne-Rechner - Angebot'!AD13,'Sterne-Rechner - Angebot'!AD10)</f>
        <v>0</v>
      </c>
      <c r="E27" s="215">
        <f ca="1">IF(aigFacilityYesNo=TRUE,'Sterne-Rechner - Angebot'!AD14,'Sterne-Rechner - Angebot'!AD11)</f>
        <v>0</v>
      </c>
      <c r="F27" s="216">
        <f ca="1">IF(aigFacilityYesNo=TRUE,'Sterne-Rechner - Angebot'!AD15,'Sterne-Rechner - Angebot'!AD12)</f>
        <v>0</v>
      </c>
    </row>
    <row r="28" spans="2:6" ht="15" customHeight="1">
      <c r="B28" s="188"/>
      <c r="C28" s="210" t="s">
        <v>3121</v>
      </c>
      <c r="D28" s="195" t="str">
        <f ca="1">IF(aigFacilityYesNo=TRUE,'Sterne-Rechner - Angebot'!AC13,'Sterne-Rechner - Angebot'!AC10)</f>
        <v/>
      </c>
      <c r="E28" s="196" t="str">
        <f ca="1">IF(aigFacilityYesNo=TRUE,'Sterne-Rechner - Angebot'!AC14,'Sterne-Rechner - Angebot'!AC11)</f>
        <v/>
      </c>
      <c r="F28" s="197" t="str">
        <f ca="1">IF(aigFacilityYesNo=TRUE,'Sterne-Rechner - Angebot'!AC15,'Sterne-Rechner - Angebot'!AC12)</f>
        <v/>
      </c>
    </row>
    <row r="29" spans="2:6" ht="15" customHeight="1">
      <c r="B29" s="188"/>
      <c r="C29" s="210" t="s">
        <v>3122</v>
      </c>
      <c r="D29" s="198">
        <f>IF(aigFacilityYesNo=TRUE,'Preisrechner Alle Tarife'!U8,'Preisrechner Alle Tarife'!U7)</f>
        <v>0</v>
      </c>
      <c r="E29" s="199">
        <f>IF(aigFacilityYesNo=TRUE,'Preisrechner Alle Tarife'!V8,'Preisrechner Alle Tarife'!V7)</f>
        <v>0</v>
      </c>
      <c r="F29" s="199">
        <f>IF(aigFacilityYesNo=TRUE,'Preisrechner Alle Tarife'!W8,'Preisrechner Alle Tarife'!W7)</f>
        <v>0</v>
      </c>
    </row>
    <row r="30" spans="2:6" ht="14.25" customHeight="1">
      <c r="B30" s="188"/>
      <c r="C30" s="210" t="s">
        <v>3123</v>
      </c>
      <c r="D30" s="201">
        <f>IF(aigFacilityYesNo=TRUE,'Preisrechner Alle Tarife'!Y8,'Preisrechner Alle Tarife'!Y7)</f>
        <v>0</v>
      </c>
      <c r="E30" s="222"/>
      <c r="F30" s="223"/>
    </row>
    <row r="31" spans="2:6" ht="14.25" customHeight="1">
      <c r="B31" s="589"/>
      <c r="C31" s="941" t="s">
        <v>4075</v>
      </c>
      <c r="D31" s="942"/>
      <c r="E31" s="943"/>
      <c r="F31" s="944"/>
    </row>
    <row r="32" spans="2:6" ht="14.25" customHeight="1">
      <c r="B32" s="188"/>
      <c r="C32" s="210" t="s">
        <v>2417</v>
      </c>
      <c r="D32" s="217" t="str">
        <f>aigUsedClauses</f>
        <v>,</v>
      </c>
      <c r="E32" s="203" t="str">
        <f>aigUsedClauses</f>
        <v>,</v>
      </c>
      <c r="F32" s="218" t="str">
        <f>aigUsedClauses</f>
        <v>,</v>
      </c>
    </row>
    <row r="33" spans="2:6" ht="14.25" customHeight="1">
      <c r="B33" s="205"/>
      <c r="C33" s="219" t="s">
        <v>2817</v>
      </c>
      <c r="D33" s="207" t="str">
        <f ca="1">IF(aigFacilityYesNo=TRUE,'Sterne-Rechner - Angebot'!AE13,'Sterne-Rechner - Angebot'!AE10)</f>
        <v>OFFER_DECLINED</v>
      </c>
      <c r="E33" s="208" t="str">
        <f ca="1">IF(aigFacilityYesNo=TRUE,'Sterne-Rechner - Angebot'!AE14,'Sterne-Rechner - Angebot'!AE11)</f>
        <v>OFFER_DECLINED</v>
      </c>
      <c r="F33" s="209" t="str">
        <f ca="1">IF(aigFacilityYesNo=TRUE,'Sterne-Rechner - Angebot'!AE15,'Sterne-Rechner - Angebot'!AE12)</f>
        <v>OFFER_DECLINED</v>
      </c>
    </row>
    <row r="34" spans="2:6" ht="14.25" customHeight="1">
      <c r="B34" s="183" t="s">
        <v>2400</v>
      </c>
      <c r="C34" s="221" t="s">
        <v>3112</v>
      </c>
      <c r="D34" s="185" t="str">
        <f ca="1">TEXT('Sterne-Rechner - Angebot'!Y16,"0")</f>
        <v/>
      </c>
      <c r="E34" s="186" t="str">
        <f ca="1">TEXT('Sterne-Rechner - Angebot'!Y17,"0")</f>
        <v/>
      </c>
      <c r="F34" s="187" t="str">
        <f ca="1">TEXT('Sterne-Rechner - Angebot'!Y18,"0")</f>
        <v/>
      </c>
    </row>
    <row r="35" spans="2:6" ht="14.25" customHeight="1">
      <c r="B35" s="188"/>
      <c r="C35" s="210" t="s">
        <v>3120</v>
      </c>
      <c r="D35" s="211">
        <f>'Sterne-Rechner - Angebot'!Q16</f>
        <v>10</v>
      </c>
      <c r="E35" s="212">
        <f>'Sterne-Rechner - Angebot'!Q17</f>
        <v>10</v>
      </c>
      <c r="F35" s="213">
        <f>'Sterne-Rechner - Angebot'!Q18</f>
        <v>10</v>
      </c>
    </row>
    <row r="36" spans="2:6" ht="14.25" customHeight="1">
      <c r="B36" s="188"/>
      <c r="C36" s="210" t="s">
        <v>3119</v>
      </c>
      <c r="D36" s="190">
        <f ca="1">'Sterne-Rechner - Angebot'!AD16</f>
        <v>0</v>
      </c>
      <c r="E36" s="191">
        <f ca="1">'Sterne-Rechner - Angebot'!AD17</f>
        <v>0</v>
      </c>
      <c r="F36" s="192">
        <f ca="1">'Sterne-Rechner - Angebot'!AD18</f>
        <v>0</v>
      </c>
    </row>
    <row r="37" spans="2:6" ht="14.25" customHeight="1">
      <c r="B37" s="188"/>
      <c r="C37" s="210" t="s">
        <v>3121</v>
      </c>
      <c r="D37" s="195" t="str">
        <f ca="1">'Sterne-Rechner - Angebot'!AC16</f>
        <v/>
      </c>
      <c r="E37" s="196" t="str">
        <f ca="1">'Sterne-Rechner - Angebot'!AC17</f>
        <v/>
      </c>
      <c r="F37" s="197" t="str">
        <f ca="1">'Sterne-Rechner - Angebot'!AC18</f>
        <v/>
      </c>
    </row>
    <row r="38" spans="2:6" ht="15" customHeight="1">
      <c r="B38" s="188"/>
      <c r="C38" s="210" t="s">
        <v>3122</v>
      </c>
      <c r="D38" s="198">
        <f ca="1">'Preisrechner Alle Tarife'!R38</f>
        <v>0</v>
      </c>
      <c r="E38" s="199">
        <f ca="1">'Preisrechner Alle Tarife'!S38</f>
        <v>0</v>
      </c>
      <c r="F38" s="199">
        <f ca="1">'Preisrechner Alle Tarife'!T38</f>
        <v>0</v>
      </c>
    </row>
    <row r="39" spans="2:6" ht="14.25" customHeight="1">
      <c r="B39" s="188"/>
      <c r="C39" s="210" t="s">
        <v>3123</v>
      </c>
      <c r="D39" s="201">
        <f ca="1">'Preisrechner Alle Tarife'!V38</f>
        <v>0</v>
      </c>
      <c r="E39" s="201">
        <f ca="1">'Preisrechner Alle Tarife'!W38</f>
        <v>0</v>
      </c>
      <c r="F39" s="201">
        <f ca="1">'Preisrechner Alle Tarife'!X38</f>
        <v>0</v>
      </c>
    </row>
    <row r="40" spans="2:6" ht="14.25" customHeight="1">
      <c r="B40" s="589"/>
      <c r="C40" s="941" t="s">
        <v>4075</v>
      </c>
      <c r="D40" s="942"/>
      <c r="E40" s="943"/>
      <c r="F40" s="944"/>
    </row>
    <row r="41" spans="2:6" ht="14.25" customHeight="1">
      <c r="B41" s="188"/>
      <c r="C41" s="210" t="s">
        <v>2417</v>
      </c>
      <c r="D41" s="217" t="str">
        <f>dualUsedClauses</f>
        <v>,</v>
      </c>
      <c r="E41" s="203" t="str">
        <f>dualUsedClauses</f>
        <v>,</v>
      </c>
      <c r="F41" s="218" t="str">
        <f>dualUsedClauses</f>
        <v>,</v>
      </c>
    </row>
    <row r="42" spans="2:6" ht="14.25" customHeight="1">
      <c r="B42" s="205"/>
      <c r="C42" s="219" t="s">
        <v>2817</v>
      </c>
      <c r="D42" s="207" t="str">
        <f ca="1">'Sterne-Rechner - Angebot'!AE16</f>
        <v>OFFER_DECLINED</v>
      </c>
      <c r="E42" s="220" t="str">
        <f ca="1">'Sterne-Rechner - Angebot'!AE17</f>
        <v>OFFER_DECLINED</v>
      </c>
      <c r="F42" s="209" t="str">
        <f ca="1">'Sterne-Rechner - Angebot'!AE18</f>
        <v>OFFER_DECLINED</v>
      </c>
    </row>
    <row r="43" spans="2:6" ht="14.25" customHeight="1">
      <c r="B43" s="183" t="s">
        <v>2401</v>
      </c>
      <c r="C43" s="221" t="s">
        <v>3112</v>
      </c>
      <c r="D43" s="185" t="str">
        <f ca="1">TEXT('Sterne-Rechner - Angebot'!Y19,"0")</f>
        <v/>
      </c>
      <c r="E43" s="186" t="str">
        <f ca="1">TEXT('Sterne-Rechner - Angebot'!Y20,"0")</f>
        <v/>
      </c>
      <c r="F43" s="187" t="str">
        <f ca="1">TEXT('Sterne-Rechner - Angebot'!Y21,"0")</f>
        <v/>
      </c>
    </row>
    <row r="44" spans="2:6" ht="14.25" customHeight="1">
      <c r="B44" s="188"/>
      <c r="C44" s="210" t="s">
        <v>3120</v>
      </c>
      <c r="D44" s="211">
        <f>'Sterne-Rechner - Angebot'!Q19</f>
        <v>75</v>
      </c>
      <c r="E44" s="212">
        <f>'Sterne-Rechner - Angebot'!Q20</f>
        <v>75</v>
      </c>
      <c r="F44" s="213">
        <f>'Sterne-Rechner - Angebot'!Q21</f>
        <v>75</v>
      </c>
    </row>
    <row r="45" spans="2:6" ht="14.25" customHeight="1">
      <c r="B45" s="188"/>
      <c r="C45" s="210" t="s">
        <v>3119</v>
      </c>
      <c r="D45" s="214">
        <f ca="1">'Sterne-Rechner - Angebot'!AD19</f>
        <v>0</v>
      </c>
      <c r="E45" s="215">
        <f ca="1">'Sterne-Rechner - Angebot'!AD20</f>
        <v>0</v>
      </c>
      <c r="F45" s="216">
        <f ca="1">'Sterne-Rechner - Angebot'!AD21</f>
        <v>0</v>
      </c>
    </row>
    <row r="46" spans="2:6" ht="14.25" customHeight="1">
      <c r="B46" s="188"/>
      <c r="C46" s="210" t="s">
        <v>3121</v>
      </c>
      <c r="D46" s="195" t="str">
        <f ca="1">'Sterne-Rechner - Angebot'!AC19</f>
        <v/>
      </c>
      <c r="E46" s="196" t="str">
        <f ca="1">'Sterne-Rechner - Angebot'!AC20</f>
        <v/>
      </c>
      <c r="F46" s="197" t="str">
        <f ca="1">'Sterne-Rechner - Angebot'!AC21</f>
        <v/>
      </c>
    </row>
    <row r="47" spans="2:6" ht="14.25" customHeight="1">
      <c r="B47" s="188"/>
      <c r="C47" s="210" t="s">
        <v>3122</v>
      </c>
      <c r="D47" s="224">
        <f ca="1">'Preisrechner Alle Tarife'!R39</f>
        <v>0</v>
      </c>
      <c r="E47" s="225">
        <f ca="1">'Preisrechner Alle Tarife'!S39</f>
        <v>0</v>
      </c>
      <c r="F47" s="226">
        <f ca="1">'Preisrechner Alle Tarife'!T39</f>
        <v>0</v>
      </c>
    </row>
    <row r="48" spans="2:6" ht="14.25" customHeight="1">
      <c r="B48" s="188"/>
      <c r="C48" s="210" t="s">
        <v>3123</v>
      </c>
      <c r="D48" s="201">
        <f ca="1">'Preisrechner Alle Tarife'!V39</f>
        <v>0</v>
      </c>
      <c r="E48" s="201">
        <f ca="1">'Preisrechner Alle Tarife'!W39</f>
        <v>0</v>
      </c>
      <c r="F48" s="201">
        <f ca="1">'Preisrechner Alle Tarife'!X39</f>
        <v>0</v>
      </c>
    </row>
    <row r="49" spans="2:6" ht="14.25" customHeight="1">
      <c r="B49" s="589"/>
      <c r="C49" s="941" t="s">
        <v>4075</v>
      </c>
      <c r="D49" s="942" t="str">
        <f>IF(OR(Fragenkatalog!K8="AG",Fragenkatalog!K8="SE",Fragenkatalog!K8="Versicherungsverein aG",Fragenkatalog!K8="e.G."),"WpHG,","")</f>
        <v/>
      </c>
      <c r="E49" s="943" t="str">
        <f>IF(OR(Fragenkatalog!K8="AG",Fragenkatalog!K8="SE",Fragenkatalog!K8="Versicherungsverein aG",Fragenkatalog!K8="e.G."),"WpHG,","")</f>
        <v/>
      </c>
      <c r="F49" s="944" t="str">
        <f>IF(OR(Fragenkatalog!K8="AG",Fragenkatalog!K8="SE",Fragenkatalog!K8="Versicherungsverein aG",Fragenkatalog!K8="e.G."),"WpHG,","")</f>
        <v/>
      </c>
    </row>
    <row r="50" spans="2:6" ht="14.25" customHeight="1">
      <c r="B50" s="188"/>
      <c r="C50" s="210" t="s">
        <v>2417</v>
      </c>
      <c r="D50" s="217" t="str">
        <f>newlineUsedClauses</f>
        <v>,</v>
      </c>
      <c r="E50" s="203" t="str">
        <f>newlineUsedClauses</f>
        <v>,</v>
      </c>
      <c r="F50" s="218" t="str">
        <f>newlineUsedClauses</f>
        <v>,</v>
      </c>
    </row>
    <row r="51" spans="2:6" ht="14.25" customHeight="1">
      <c r="B51" s="205"/>
      <c r="C51" s="219" t="s">
        <v>2817</v>
      </c>
      <c r="D51" s="207" t="str">
        <f ca="1">'Sterne-Rechner - Angebot'!AE19</f>
        <v>OFFER_DECLINED</v>
      </c>
      <c r="E51" s="220" t="str">
        <f ca="1">'Sterne-Rechner - Angebot'!AE20</f>
        <v>OFFER_DECLINED</v>
      </c>
      <c r="F51" s="209" t="str">
        <f ca="1">'Sterne-Rechner - Angebot'!AE21</f>
        <v>OFFER_DECLINED</v>
      </c>
    </row>
    <row r="52" spans="2:6" ht="14.25" customHeight="1">
      <c r="B52" s="188" t="s">
        <v>2392</v>
      </c>
      <c r="C52" s="210" t="s">
        <v>3112</v>
      </c>
      <c r="D52" s="211" t="str">
        <f ca="1">TEXT('Sterne-Rechner - Angebot'!Y22,"0")</f>
        <v/>
      </c>
      <c r="E52" s="212" t="str">
        <f ca="1">TEXT('Sterne-Rechner - Angebot'!Y23,"0")</f>
        <v/>
      </c>
      <c r="F52" s="213" t="str">
        <f ca="1">TEXT('Sterne-Rechner - Angebot'!Y24,"0")</f>
        <v/>
      </c>
    </row>
    <row r="53" spans="2:6" ht="14.25" customHeight="1">
      <c r="B53" s="188"/>
      <c r="C53" s="210" t="s">
        <v>3120</v>
      </c>
      <c r="D53" s="211">
        <f>'Sterne-Rechner - Angebot'!Q22</f>
        <v>25</v>
      </c>
      <c r="E53" s="212">
        <f>'Sterne-Rechner - Angebot'!Q23</f>
        <v>25</v>
      </c>
      <c r="F53" s="213">
        <f>'Sterne-Rechner - Angebot'!Q24</f>
        <v>25</v>
      </c>
    </row>
    <row r="54" spans="2:6" ht="14.25" customHeight="1">
      <c r="B54" s="188"/>
      <c r="C54" s="210" t="s">
        <v>3119</v>
      </c>
      <c r="D54" s="190">
        <f ca="1">'Sterne-Rechner - Angebot'!AD22</f>
        <v>0</v>
      </c>
      <c r="E54" s="191">
        <f ca="1">'Sterne-Rechner - Angebot'!AD23</f>
        <v>0</v>
      </c>
      <c r="F54" s="192">
        <f ca="1">'Sterne-Rechner - Angebot'!AD24</f>
        <v>0</v>
      </c>
    </row>
    <row r="55" spans="2:6" ht="14.25" customHeight="1">
      <c r="B55" s="188"/>
      <c r="C55" s="210" t="s">
        <v>3121</v>
      </c>
      <c r="D55" s="195" t="str">
        <f ca="1">'Sterne-Rechner - Angebot'!AC22</f>
        <v/>
      </c>
      <c r="E55" s="196" t="str">
        <f ca="1">'Sterne-Rechner - Angebot'!AC23</f>
        <v/>
      </c>
      <c r="F55" s="197" t="str">
        <f ca="1">'Sterne-Rechner - Angebot'!AC24</f>
        <v/>
      </c>
    </row>
    <row r="56" spans="2:6" ht="14.25" customHeight="1">
      <c r="B56" s="188"/>
      <c r="C56" s="210" t="s">
        <v>3122</v>
      </c>
      <c r="D56" s="224">
        <f ca="1">'Preisrechner Alle Tarife'!R40</f>
        <v>0</v>
      </c>
      <c r="E56" s="225">
        <f ca="1">'Preisrechner Alle Tarife'!S40</f>
        <v>0</v>
      </c>
      <c r="F56" s="226">
        <f ca="1">'Preisrechner Alle Tarife'!T40</f>
        <v>0</v>
      </c>
    </row>
    <row r="57" spans="2:6" ht="14.25" customHeight="1">
      <c r="B57" s="188"/>
      <c r="C57" s="210" t="s">
        <v>3123</v>
      </c>
      <c r="D57" s="201">
        <f ca="1">'Preisrechner Alle Tarife'!V40</f>
        <v>0</v>
      </c>
      <c r="E57" s="201">
        <f ca="1">'Preisrechner Alle Tarife'!W40</f>
        <v>0</v>
      </c>
      <c r="F57" s="201">
        <f ca="1">'Preisrechner Alle Tarife'!X40</f>
        <v>0</v>
      </c>
    </row>
    <row r="58" spans="2:6" ht="14.25" customHeight="1">
      <c r="B58" s="589"/>
      <c r="C58" s="941" t="s">
        <v>4075</v>
      </c>
      <c r="D58" s="945" t="str">
        <f>IF(OR(Fragenkatalog!K8="AG",Fragenkatalog!K8="SE",Fragenkatalog!K8="Versicherungsverein aG",Fragenkatalog!K8="e.G."),"WpHG,","")</f>
        <v/>
      </c>
      <c r="E58" s="943" t="str">
        <f>IF(OR(Fragenkatalog!K8="AG",Fragenkatalog!K8="SE",Fragenkatalog!K8="Versicherungsverein aG",Fragenkatalog!K8="e.G."),"WpHG,","")</f>
        <v/>
      </c>
      <c r="F58" s="944" t="str">
        <f>IF(OR(Fragenkatalog!K8="AG",Fragenkatalog!K8="SE",Fragenkatalog!K8="Versicherungsverein aG",Fragenkatalog!K8="e.G."),"WpHG,","")</f>
        <v/>
      </c>
    </row>
    <row r="59" spans="2:6" ht="14.25" customHeight="1">
      <c r="B59" s="188"/>
      <c r="C59" s="210" t="s">
        <v>2417</v>
      </c>
      <c r="D59" s="217" t="str">
        <f>berkleyUsedClauses</f>
        <v>,</v>
      </c>
      <c r="E59" s="203" t="str">
        <f>berkleyUsedClauses</f>
        <v>,</v>
      </c>
      <c r="F59" s="218" t="str">
        <f>berkleyUsedClauses</f>
        <v>,</v>
      </c>
    </row>
    <row r="60" spans="2:6" ht="14.25" customHeight="1" thickBot="1">
      <c r="B60" s="205"/>
      <c r="C60" s="219" t="s">
        <v>2817</v>
      </c>
      <c r="D60" s="207" t="str">
        <f ca="1">'Sterne-Rechner - Angebot'!AE22</f>
        <v>OFFER_DECLINED</v>
      </c>
      <c r="E60" s="220" t="str">
        <f ca="1">'Sterne-Rechner - Angebot'!AE23</f>
        <v>OFFER_DECLINED</v>
      </c>
      <c r="F60" s="209" t="str">
        <f ca="1">'Sterne-Rechner - Angebot'!AE24</f>
        <v>OFFER_DECLINED</v>
      </c>
    </row>
    <row r="61" spans="2:6" ht="14.25" customHeight="1">
      <c r="B61" s="589" t="s">
        <v>3727</v>
      </c>
      <c r="C61" s="590" t="s">
        <v>3112</v>
      </c>
      <c r="D61" s="211" t="str">
        <f ca="1">TEXT('Sterne-Rechner - Angebot'!Y25,"0")</f>
        <v/>
      </c>
      <c r="E61" s="591" t="str">
        <f ca="1">TEXT('Sterne-Rechner - Angebot'!Y26,"0")</f>
        <v/>
      </c>
      <c r="F61" s="213" t="str">
        <f ca="1">TEXT('Sterne-Rechner - Angebot'!Y27,"0")</f>
        <v/>
      </c>
    </row>
    <row r="62" spans="2:6" ht="14.25" customHeight="1">
      <c r="B62" s="589"/>
      <c r="C62" s="590" t="s">
        <v>3120</v>
      </c>
      <c r="D62" s="211">
        <f>'Sterne-Rechner - Angebot'!Q25</f>
        <v>75</v>
      </c>
      <c r="E62" s="591">
        <f>'Sterne-Rechner - Angebot'!Q26</f>
        <v>75</v>
      </c>
      <c r="F62" s="213">
        <f>'Sterne-Rechner - Angebot'!Q27</f>
        <v>75</v>
      </c>
    </row>
    <row r="63" spans="2:6" ht="14.25" customHeight="1">
      <c r="B63" s="589"/>
      <c r="C63" s="590" t="s">
        <v>3119</v>
      </c>
      <c r="D63" s="190">
        <f ca="1">'Sterne-Rechner - Angebot'!AD25</f>
        <v>0</v>
      </c>
      <c r="E63" s="191">
        <f ca="1">'Sterne-Rechner - Angebot'!AD26</f>
        <v>0</v>
      </c>
      <c r="F63" s="192">
        <f ca="1">'Sterne-Rechner - Angebot'!AD27</f>
        <v>0</v>
      </c>
    </row>
    <row r="64" spans="2:6" ht="14.25" customHeight="1">
      <c r="B64" s="589"/>
      <c r="C64" s="590" t="s">
        <v>3121</v>
      </c>
      <c r="D64" s="195" t="str">
        <f ca="1">'Sterne-Rechner - Angebot'!AC25</f>
        <v/>
      </c>
      <c r="E64" s="196" t="str">
        <f ca="1">'Sterne-Rechner - Angebot'!AC26</f>
        <v/>
      </c>
      <c r="F64" s="197" t="str">
        <f ca="1">'Sterne-Rechner - Angebot'!AC27</f>
        <v/>
      </c>
    </row>
    <row r="65" spans="2:6" ht="14.25" customHeight="1">
      <c r="B65" s="589"/>
      <c r="C65" s="590" t="s">
        <v>3122</v>
      </c>
      <c r="D65" s="224">
        <f ca="1">'Preisrechner Alle Tarife'!R41</f>
        <v>0</v>
      </c>
      <c r="E65" s="225">
        <f ca="1">'Preisrechner Alle Tarife'!S41</f>
        <v>0</v>
      </c>
      <c r="F65" s="226">
        <f ca="1">'Preisrechner Alle Tarife'!T41</f>
        <v>0</v>
      </c>
    </row>
    <row r="66" spans="2:6" ht="14.25" customHeight="1">
      <c r="B66" s="589"/>
      <c r="C66" s="590" t="s">
        <v>3123</v>
      </c>
      <c r="D66" s="201">
        <f ca="1">'Preisrechner Alle Tarife'!V41</f>
        <v>0</v>
      </c>
      <c r="E66" s="201">
        <f ca="1">'Preisrechner Alle Tarife'!W41</f>
        <v>0</v>
      </c>
      <c r="F66" s="201">
        <f ca="1">'Preisrechner Alle Tarife'!X41</f>
        <v>0</v>
      </c>
    </row>
    <row r="67" spans="2:6" ht="14.25" customHeight="1">
      <c r="B67" s="589"/>
      <c r="C67" s="941" t="s">
        <v>4075</v>
      </c>
      <c r="D67" s="942"/>
      <c r="E67" s="943"/>
      <c r="F67" s="944"/>
    </row>
    <row r="68" spans="2:6" ht="14.25" customHeight="1">
      <c r="B68" s="589"/>
      <c r="C68" s="590" t="s">
        <v>2417</v>
      </c>
      <c r="D68" s="217" t="str">
        <f>markelUsedClauses</f>
        <v>,</v>
      </c>
      <c r="E68" s="203" t="str">
        <f>markelUsedClauses</f>
        <v>,</v>
      </c>
      <c r="F68" s="592" t="str">
        <f>markelUsedClauses</f>
        <v>,</v>
      </c>
    </row>
    <row r="69" spans="2:6" ht="14.25" customHeight="1" thickBot="1">
      <c r="B69" s="593"/>
      <c r="C69" s="594" t="s">
        <v>2817</v>
      </c>
      <c r="D69" s="750" t="str">
        <f ca="1">'Sterne-Rechner - Angebot'!AE25</f>
        <v>OFFER_DECLINED</v>
      </c>
      <c r="E69" s="751" t="str">
        <f ca="1">'Sterne-Rechner - Angebot'!AE26</f>
        <v>OFFER_DECLINED</v>
      </c>
      <c r="F69" s="752" t="str">
        <f ca="1">'Sterne-Rechner - Angebot'!AE27</f>
        <v>OFFER_DECLINED</v>
      </c>
    </row>
    <row r="70" spans="2:6" ht="14.25" customHeight="1">
      <c r="B70" s="589" t="s">
        <v>3747</v>
      </c>
      <c r="C70" s="590" t="s">
        <v>3112</v>
      </c>
      <c r="D70" s="757" t="str">
        <f ca="1">TEXT('Sterne-Rechner - Angebot'!Y28,"0")</f>
        <v/>
      </c>
      <c r="E70" s="758" t="str">
        <f ca="1">TEXT('Sterne-Rechner - Angebot'!Y29,"0")</f>
        <v/>
      </c>
      <c r="F70" s="759" t="str">
        <f ca="1">TEXT('Sterne-Rechner - Angebot'!Y30,"0")</f>
        <v/>
      </c>
    </row>
    <row r="71" spans="2:6" ht="14.25" customHeight="1">
      <c r="B71" s="589"/>
      <c r="C71" s="823" t="s">
        <v>3120</v>
      </c>
      <c r="D71" s="760">
        <f>'Sterne-Rechner - Angebot'!Q28</f>
        <v>95</v>
      </c>
      <c r="E71" s="754">
        <f>'Sterne-Rechner - Angebot'!Q29</f>
        <v>95</v>
      </c>
      <c r="F71" s="761">
        <f>'Sterne-Rechner - Angebot'!Q30</f>
        <v>95</v>
      </c>
    </row>
    <row r="72" spans="2:6" ht="14.25" customHeight="1">
      <c r="B72" s="589"/>
      <c r="C72" s="823" t="s">
        <v>3119</v>
      </c>
      <c r="D72" s="762">
        <f ca="1">'Sterne-Rechner - Angebot'!AD28</f>
        <v>0</v>
      </c>
      <c r="E72" s="753">
        <f ca="1">'Sterne-Rechner - Angebot'!AD29</f>
        <v>0</v>
      </c>
      <c r="F72" s="763">
        <f ca="1">'Sterne-Rechner - Angebot'!AD30</f>
        <v>0</v>
      </c>
    </row>
    <row r="73" spans="2:6" ht="14.25" customHeight="1">
      <c r="B73" s="589"/>
      <c r="C73" s="823" t="s">
        <v>3121</v>
      </c>
      <c r="D73" s="762" t="str">
        <f ca="1">'Sterne-Rechner - Angebot'!$AC28</f>
        <v/>
      </c>
      <c r="E73" s="753" t="str">
        <f ca="1">'Sterne-Rechner - Angebot'!$AC29</f>
        <v/>
      </c>
      <c r="F73" s="763" t="str">
        <f ca="1">'Sterne-Rechner - Angebot'!$AC30</f>
        <v/>
      </c>
    </row>
    <row r="74" spans="2:6" ht="14.25" customHeight="1">
      <c r="B74" s="589"/>
      <c r="C74" s="823" t="s">
        <v>3122</v>
      </c>
      <c r="D74" s="764">
        <f ca="1">'Preisrechner Alle Tarife'!R42</f>
        <v>0</v>
      </c>
      <c r="E74" s="755">
        <f ca="1">'Preisrechner Alle Tarife'!S42</f>
        <v>0</v>
      </c>
      <c r="F74" s="765">
        <f ca="1">'Preisrechner Alle Tarife'!T42</f>
        <v>0</v>
      </c>
    </row>
    <row r="75" spans="2:6" ht="14.25" customHeight="1">
      <c r="B75" s="589"/>
      <c r="C75" s="823" t="s">
        <v>3123</v>
      </c>
      <c r="D75" s="764">
        <f ca="1">'Preisrechner Alle Tarife'!V42</f>
        <v>0</v>
      </c>
      <c r="E75" s="755">
        <f ca="1">'Preisrechner Alle Tarife'!W42</f>
        <v>0</v>
      </c>
      <c r="F75" s="765">
        <f ca="1">'Preisrechner Alle Tarife'!X42</f>
        <v>0</v>
      </c>
    </row>
    <row r="76" spans="2:6" ht="14.25" customHeight="1">
      <c r="B76" s="589"/>
      <c r="C76" s="941" t="s">
        <v>4075</v>
      </c>
      <c r="D76" s="942"/>
      <c r="E76" s="943"/>
      <c r="F76" s="944"/>
    </row>
    <row r="77" spans="2:6" ht="14.25" customHeight="1">
      <c r="B77" s="589"/>
      <c r="C77" s="823" t="s">
        <v>2417</v>
      </c>
      <c r="D77" s="766" t="str">
        <f>libertyUsedClauses</f>
        <v>,</v>
      </c>
      <c r="E77" s="756" t="str">
        <f>libertyUsedClauses</f>
        <v>,</v>
      </c>
      <c r="F77" s="767" t="str">
        <f>libertyUsedClauses</f>
        <v>,</v>
      </c>
    </row>
    <row r="78" spans="2:6" ht="14.25" customHeight="1" thickBot="1">
      <c r="B78" s="593"/>
      <c r="C78" s="824" t="s">
        <v>2817</v>
      </c>
      <c r="D78" s="768" t="str">
        <f ca="1">'Sterne-Rechner - Angebot'!$AE28</f>
        <v>OFFER_DECLINED</v>
      </c>
      <c r="E78" s="769" t="str">
        <f ca="1">'Sterne-Rechner - Angebot'!$AE29</f>
        <v>OFFER_DECLINED</v>
      </c>
      <c r="F78" s="770" t="str">
        <f ca="1">'Sterne-Rechner - Angebot'!$AE30</f>
        <v>OFFER_DECLINED</v>
      </c>
    </row>
    <row r="79" spans="2:6" ht="14.25" customHeight="1">
      <c r="B79" s="589" t="s">
        <v>3796</v>
      </c>
      <c r="C79" s="823" t="s">
        <v>3112</v>
      </c>
      <c r="D79" s="757" t="str">
        <f ca="1">TEXT('Sterne-Rechner - Angebot'!Y31,"0")</f>
        <v/>
      </c>
      <c r="E79" s="757" t="str">
        <f ca="1">TEXT('Sterne-Rechner - Angebot'!Y32,"0")</f>
        <v/>
      </c>
      <c r="F79" s="757" t="str">
        <f ca="1">TEXT('Sterne-Rechner - Angebot'!Y33,"0")</f>
        <v/>
      </c>
    </row>
    <row r="80" spans="2:6" ht="14.25" customHeight="1">
      <c r="B80" s="589"/>
      <c r="C80" s="823" t="s">
        <v>3120</v>
      </c>
      <c r="D80" s="760">
        <f>'Sterne-Rechner - Angebot'!Q31</f>
        <v>50</v>
      </c>
      <c r="E80" s="760">
        <f>'Sterne-Rechner - Angebot'!Q32</f>
        <v>50</v>
      </c>
      <c r="F80" s="760">
        <f>'Sterne-Rechner - Angebot'!Q33</f>
        <v>50</v>
      </c>
    </row>
    <row r="81" spans="2:6" ht="14.25" customHeight="1">
      <c r="B81" s="589"/>
      <c r="C81" s="590" t="s">
        <v>3119</v>
      </c>
      <c r="D81" s="762">
        <f ca="1">'Sterne-Rechner - Angebot'!AD31</f>
        <v>0</v>
      </c>
      <c r="E81" s="762">
        <f ca="1">'Sterne-Rechner - Angebot'!AD32</f>
        <v>0</v>
      </c>
      <c r="F81" s="762">
        <f ca="1">'Sterne-Rechner - Angebot'!AD33</f>
        <v>0</v>
      </c>
    </row>
    <row r="82" spans="2:6" ht="14.25" customHeight="1">
      <c r="B82" s="589"/>
      <c r="C82" s="590" t="s">
        <v>3121</v>
      </c>
      <c r="D82" s="762" t="str">
        <f ca="1">'Sterne-Rechner - Angebot'!$AC31</f>
        <v/>
      </c>
      <c r="E82" s="762" t="str">
        <f ca="1">'Sterne-Rechner - Angebot'!$AC32</f>
        <v/>
      </c>
      <c r="F82" s="762" t="str">
        <f ca="1">'Sterne-Rechner - Angebot'!$AC33</f>
        <v/>
      </c>
    </row>
    <row r="83" spans="2:6" ht="14.25" customHeight="1">
      <c r="B83" s="589"/>
      <c r="C83" s="590" t="s">
        <v>3122</v>
      </c>
      <c r="D83" s="764">
        <f ca="1">'Preisrechner Alle Tarife'!R43</f>
        <v>0</v>
      </c>
      <c r="E83" s="764">
        <f ca="1">'Preisrechner Alle Tarife'!S43</f>
        <v>0</v>
      </c>
      <c r="F83" s="764">
        <f ca="1">'Preisrechner Alle Tarife'!T43</f>
        <v>0</v>
      </c>
    </row>
    <row r="84" spans="2:6" ht="14.25" customHeight="1">
      <c r="B84" s="589"/>
      <c r="C84" s="590" t="s">
        <v>3123</v>
      </c>
      <c r="D84" s="764">
        <f ca="1">'Preisrechner Alle Tarife'!V43</f>
        <v>0</v>
      </c>
      <c r="E84" s="764">
        <f ca="1">'Preisrechner Alle Tarife'!W43</f>
        <v>0</v>
      </c>
      <c r="F84" s="764">
        <f ca="1">'Preisrechner Alle Tarife'!X43</f>
        <v>0</v>
      </c>
    </row>
    <row r="85" spans="2:6" ht="14.25" customHeight="1">
      <c r="B85" s="589"/>
      <c r="C85" s="941" t="s">
        <v>4075</v>
      </c>
      <c r="D85" s="942"/>
      <c r="E85" s="943"/>
      <c r="F85" s="944"/>
    </row>
    <row r="86" spans="2:6" ht="14.25" customHeight="1">
      <c r="B86" s="589"/>
      <c r="C86" s="590" t="s">
        <v>2417</v>
      </c>
      <c r="D86" s="766" t="str">
        <f>ergoUsedClauses</f>
        <v>,ergo_nettoisierung:group-4,</v>
      </c>
      <c r="E86" s="766" t="str">
        <f>ergoUsedClauses</f>
        <v>,ergo_nettoisierung:group-4,</v>
      </c>
      <c r="F86" s="766" t="str">
        <f>ergoUsedClauses</f>
        <v>,ergo_nettoisierung:group-4,</v>
      </c>
    </row>
    <row r="87" spans="2:6" ht="14.25" customHeight="1" thickBot="1">
      <c r="B87" s="593"/>
      <c r="C87" s="594" t="s">
        <v>2817</v>
      </c>
      <c r="D87" s="768" t="str">
        <f ca="1">'Sterne-Rechner - Angebot'!$AE31</f>
        <v>OFFER_DECLINED</v>
      </c>
      <c r="E87" s="768" t="str">
        <f ca="1">'Sterne-Rechner - Angebot'!$AE32</f>
        <v>OFFER_DECLINED</v>
      </c>
      <c r="F87" s="768" t="str">
        <f ca="1">'Sterne-Rechner - Angebot'!$AE33</f>
        <v>OFFER_DECLINED</v>
      </c>
    </row>
    <row r="88" spans="2:6" ht="14.25" customHeight="1"/>
    <row r="89" spans="2:6" ht="14.25" customHeight="1"/>
    <row r="90" spans="2:6" ht="14.25" customHeight="1"/>
    <row r="91" spans="2:6" ht="14.25" customHeight="1"/>
    <row r="92" spans="2:6" ht="14.25" customHeight="1"/>
    <row r="93" spans="2:6" ht="14.25" customHeight="1"/>
    <row r="94" spans="2:6" ht="14.25" customHeight="1"/>
    <row r="95" spans="2:6" ht="14.25" customHeight="1"/>
    <row r="96" spans="2: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mergeCells count="4">
    <mergeCell ref="I1:L1"/>
    <mergeCell ref="D2:F2"/>
    <mergeCell ref="D14:F14"/>
    <mergeCell ref="D24:F24"/>
  </mergeCells>
  <pageMargins left="0.70866141732283472" right="0.70866141732283472" top="0.78740157480314965" bottom="0.78740157480314965"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P22"/>
  <sheetViews>
    <sheetView workbookViewId="0">
      <selection activeCell="K37" sqref="K37"/>
    </sheetView>
  </sheetViews>
  <sheetFormatPr baseColWidth="10" defaultColWidth="11.5546875" defaultRowHeight="14.4"/>
  <cols>
    <col min="1" max="1" width="34.6640625" customWidth="1"/>
    <col min="2" max="16" width="15.6640625" customWidth="1"/>
  </cols>
  <sheetData>
    <row r="1" spans="1:16" ht="15.6">
      <c r="A1" s="906" t="s">
        <v>4066</v>
      </c>
      <c r="B1" s="907"/>
      <c r="C1" s="907"/>
      <c r="D1" s="907"/>
      <c r="E1" s="907"/>
      <c r="F1" s="907"/>
      <c r="G1" s="907"/>
      <c r="H1" s="907"/>
      <c r="I1" s="907"/>
      <c r="J1" s="907"/>
      <c r="K1" s="907"/>
      <c r="L1" s="907"/>
      <c r="M1" s="907"/>
      <c r="N1" s="907"/>
      <c r="O1" s="907"/>
      <c r="P1" s="907"/>
    </row>
    <row r="2" spans="1:16" ht="15.6">
      <c r="A2" s="906"/>
      <c r="B2" s="907"/>
      <c r="C2" s="907"/>
      <c r="D2" s="907"/>
      <c r="E2" s="907"/>
      <c r="F2" s="907"/>
      <c r="G2" s="907"/>
      <c r="H2" s="907"/>
      <c r="I2" s="907"/>
      <c r="J2" s="907"/>
      <c r="K2" s="907"/>
      <c r="L2" s="907"/>
      <c r="M2" s="907"/>
      <c r="N2" s="907"/>
      <c r="O2" s="907"/>
      <c r="P2" s="907"/>
    </row>
    <row r="3" spans="1:16" ht="15.6">
      <c r="A3" s="1050" t="s">
        <v>4076</v>
      </c>
      <c r="B3" s="1051"/>
      <c r="C3" s="1051"/>
      <c r="D3" s="1051"/>
      <c r="E3" s="1051"/>
      <c r="F3" s="1052"/>
      <c r="G3" s="907"/>
      <c r="H3" s="907"/>
      <c r="I3" s="907"/>
      <c r="J3" s="907"/>
      <c r="K3" s="907"/>
      <c r="L3" s="907"/>
      <c r="M3" s="907"/>
      <c r="N3" s="907"/>
      <c r="O3" s="907"/>
      <c r="P3" s="907"/>
    </row>
    <row r="4" spans="1:16" ht="15" thickBot="1">
      <c r="A4" s="907"/>
      <c r="B4" s="907"/>
      <c r="C4" s="907"/>
      <c r="D4" s="907"/>
      <c r="E4" s="907"/>
      <c r="F4" s="907"/>
      <c r="G4" s="907"/>
      <c r="H4" s="907"/>
      <c r="I4" s="907"/>
      <c r="J4" s="907"/>
      <c r="K4" s="907"/>
      <c r="L4" s="907"/>
      <c r="M4" s="907"/>
      <c r="N4" s="907"/>
      <c r="O4" s="907"/>
      <c r="P4" s="907"/>
    </row>
    <row r="5" spans="1:16">
      <c r="A5" s="908" t="s">
        <v>4067</v>
      </c>
      <c r="B5" s="909" t="s">
        <v>2795</v>
      </c>
      <c r="C5" s="909" t="s">
        <v>4078</v>
      </c>
      <c r="D5" s="909" t="s">
        <v>4077</v>
      </c>
      <c r="E5" s="909" t="s">
        <v>2400</v>
      </c>
      <c r="F5" s="909" t="s">
        <v>2401</v>
      </c>
      <c r="G5" s="909" t="s">
        <v>2392</v>
      </c>
      <c r="H5" s="909" t="s">
        <v>2402</v>
      </c>
      <c r="I5" s="909" t="s">
        <v>3727</v>
      </c>
      <c r="J5" s="909" t="s">
        <v>3747</v>
      </c>
      <c r="K5" s="910" t="s">
        <v>3796</v>
      </c>
      <c r="L5" s="907"/>
      <c r="M5" s="907"/>
      <c r="N5" s="907"/>
      <c r="O5" s="907"/>
      <c r="P5" s="907"/>
    </row>
    <row r="6" spans="1:16">
      <c r="A6" s="911" t="s">
        <v>4068</v>
      </c>
      <c r="B6" s="912" t="b">
        <v>1</v>
      </c>
      <c r="C6" s="912" t="b">
        <v>1</v>
      </c>
      <c r="D6" s="912" t="b">
        <v>1</v>
      </c>
      <c r="E6" s="912" t="b">
        <v>1</v>
      </c>
      <c r="F6" s="912" t="b">
        <v>1</v>
      </c>
      <c r="G6" s="912" t="b">
        <v>1</v>
      </c>
      <c r="H6" s="912" t="b">
        <v>1</v>
      </c>
      <c r="I6" s="912" t="b">
        <v>1</v>
      </c>
      <c r="J6" s="912" t="b">
        <v>1</v>
      </c>
      <c r="K6" s="913" t="b">
        <v>1</v>
      </c>
      <c r="L6" s="907"/>
      <c r="M6" s="907"/>
      <c r="N6" s="907"/>
      <c r="O6" s="907"/>
      <c r="P6" s="907"/>
    </row>
    <row r="7" spans="1:16">
      <c r="A7" s="914" t="s">
        <v>4069</v>
      </c>
      <c r="B7" s="915" t="b">
        <v>0</v>
      </c>
      <c r="C7" s="915" t="b">
        <v>0</v>
      </c>
      <c r="D7" s="915" t="b">
        <v>0</v>
      </c>
      <c r="E7" s="915" t="b">
        <v>0</v>
      </c>
      <c r="F7" s="915" t="b">
        <v>0</v>
      </c>
      <c r="G7" s="915" t="b">
        <v>0</v>
      </c>
      <c r="H7" s="915" t="b">
        <v>0</v>
      </c>
      <c r="I7" s="915" t="b">
        <v>0</v>
      </c>
      <c r="J7" s="915" t="b">
        <v>0</v>
      </c>
      <c r="K7" s="916" t="b">
        <v>0</v>
      </c>
      <c r="L7" s="907"/>
      <c r="M7" s="907"/>
      <c r="N7" s="907"/>
      <c r="O7" s="907"/>
      <c r="P7" s="907"/>
    </row>
    <row r="8" spans="1:16" ht="15" thickBot="1">
      <c r="A8" s="917" t="s">
        <v>4070</v>
      </c>
      <c r="B8" s="918">
        <v>15</v>
      </c>
      <c r="C8" s="918">
        <v>20</v>
      </c>
      <c r="D8" s="918">
        <v>20</v>
      </c>
      <c r="E8" s="918">
        <v>25</v>
      </c>
      <c r="F8" s="918">
        <v>15</v>
      </c>
      <c r="G8" s="918">
        <v>15</v>
      </c>
      <c r="H8" s="918">
        <v>15</v>
      </c>
      <c r="I8" s="918">
        <v>10</v>
      </c>
      <c r="J8" s="918">
        <v>20</v>
      </c>
      <c r="K8" s="919">
        <v>20</v>
      </c>
      <c r="L8" s="907"/>
      <c r="M8" s="907"/>
      <c r="N8" s="907"/>
      <c r="O8" s="907"/>
      <c r="P8" s="907"/>
    </row>
    <row r="9" spans="1:16" ht="15" thickBot="1">
      <c r="A9" s="907"/>
      <c r="B9" s="907"/>
      <c r="C9" s="907"/>
      <c r="D9" s="907"/>
      <c r="E9" s="907"/>
      <c r="F9" s="907"/>
      <c r="G9" s="907"/>
      <c r="H9" s="907"/>
      <c r="I9" s="907"/>
      <c r="J9" s="907"/>
      <c r="K9" s="907"/>
      <c r="L9" s="907"/>
      <c r="M9" s="907"/>
      <c r="N9" s="907"/>
      <c r="O9" s="907"/>
      <c r="P9" s="907"/>
    </row>
    <row r="10" spans="1:16">
      <c r="A10" s="908" t="s">
        <v>4085</v>
      </c>
      <c r="B10" s="909" t="s">
        <v>2795</v>
      </c>
      <c r="C10" s="909" t="s">
        <v>4078</v>
      </c>
      <c r="D10" s="909" t="s">
        <v>4077</v>
      </c>
      <c r="E10" s="909" t="s">
        <v>2400</v>
      </c>
      <c r="F10" s="909" t="s">
        <v>2401</v>
      </c>
      <c r="G10" s="909" t="s">
        <v>2392</v>
      </c>
      <c r="H10" s="909" t="s">
        <v>2402</v>
      </c>
      <c r="I10" s="909" t="s">
        <v>3727</v>
      </c>
      <c r="J10" s="909" t="s">
        <v>3747</v>
      </c>
      <c r="K10" s="910" t="s">
        <v>3796</v>
      </c>
      <c r="L10" s="922"/>
      <c r="M10" s="923" t="s">
        <v>4071</v>
      </c>
      <c r="N10" s="1053" t="s">
        <v>4084</v>
      </c>
      <c r="O10" s="1054"/>
      <c r="P10" s="1054"/>
    </row>
    <row r="11" spans="1:16">
      <c r="A11" s="911" t="s">
        <v>4068</v>
      </c>
      <c r="B11" s="912" t="b">
        <v>1</v>
      </c>
      <c r="C11" s="912" t="b">
        <v>1</v>
      </c>
      <c r="D11" s="912" t="b">
        <f>includedArbitrationCourtSelected</f>
        <v>1</v>
      </c>
      <c r="E11" s="946" t="b">
        <f>noOptionSelected</f>
        <v>0</v>
      </c>
      <c r="F11" s="925" t="b">
        <f>includedArbitrationCourtSelected</f>
        <v>1</v>
      </c>
      <c r="G11" s="946" t="b">
        <f>noOptionSelected</f>
        <v>0</v>
      </c>
      <c r="H11" s="946" t="b">
        <f>noOptionSelected</f>
        <v>0</v>
      </c>
      <c r="I11" s="912" t="b">
        <f>includedArbitrationCourtSelected</f>
        <v>1</v>
      </c>
      <c r="J11" s="912" t="b">
        <f>includedArbitrationCourtSelected</f>
        <v>1</v>
      </c>
      <c r="K11" s="947" t="b">
        <f>includedArbitrationCourtSelected</f>
        <v>1</v>
      </c>
      <c r="L11" s="907"/>
      <c r="M11" s="926" t="b">
        <v>1</v>
      </c>
      <c r="N11" s="1055"/>
      <c r="O11" s="1054"/>
      <c r="P11" s="1054"/>
    </row>
    <row r="12" spans="1:16">
      <c r="A12" s="914" t="s">
        <v>4069</v>
      </c>
      <c r="B12" s="915" t="b">
        <v>0</v>
      </c>
      <c r="C12" s="915" t="b">
        <v>1</v>
      </c>
      <c r="D12" s="915" t="b">
        <f>includedArbitrationCourtPremiumNeutral</f>
        <v>1</v>
      </c>
      <c r="E12" s="927" t="b">
        <f>noOptionPremiumNeutral</f>
        <v>0</v>
      </c>
      <c r="F12" s="928" t="b">
        <f>includedArbitrationCourtPremiumNeutral</f>
        <v>1</v>
      </c>
      <c r="G12" s="927" t="b">
        <f>noOptionPremiumNeutral</f>
        <v>0</v>
      </c>
      <c r="H12" s="927" t="b">
        <f>noOptionPremiumNeutral</f>
        <v>0</v>
      </c>
      <c r="I12" s="915" t="b">
        <f>includedArbitrationCourtPremiumNeutral</f>
        <v>1</v>
      </c>
      <c r="J12" s="915" t="b">
        <f>includedArbitrationCourtPremiumNeutral</f>
        <v>1</v>
      </c>
      <c r="K12" s="948" t="b">
        <f>includedArbitrationCourtPremiumNeutral</f>
        <v>1</v>
      </c>
      <c r="L12" s="907"/>
      <c r="M12" s="929" t="b">
        <v>1</v>
      </c>
      <c r="N12" s="1055"/>
      <c r="O12" s="1054"/>
      <c r="P12" s="1054"/>
    </row>
    <row r="13" spans="1:16" ht="15" thickBot="1">
      <c r="A13" s="917" t="s">
        <v>4070</v>
      </c>
      <c r="B13" s="918">
        <v>20</v>
      </c>
      <c r="C13" s="918">
        <v>0</v>
      </c>
      <c r="D13" s="918">
        <f>includedArbitrationCourtPercentage</f>
        <v>0</v>
      </c>
      <c r="E13" s="930">
        <f>noOptionPercentage</f>
        <v>0</v>
      </c>
      <c r="F13" s="931">
        <f>includedArbitrationCourtPercentage</f>
        <v>0</v>
      </c>
      <c r="G13" s="930">
        <f>noOptionPercentage</f>
        <v>0</v>
      </c>
      <c r="H13" s="930">
        <f>noOptionPercentage</f>
        <v>0</v>
      </c>
      <c r="I13" s="918">
        <f>includedArbitrationCourtPercentage</f>
        <v>0</v>
      </c>
      <c r="J13" s="918">
        <f>includedArbitrationCourtPercentage</f>
        <v>0</v>
      </c>
      <c r="K13" s="949">
        <f>includedArbitrationCourtPercentage</f>
        <v>0</v>
      </c>
      <c r="L13" s="907"/>
      <c r="M13" s="932">
        <v>0</v>
      </c>
      <c r="N13" s="1055"/>
      <c r="O13" s="1054"/>
      <c r="P13" s="1054"/>
    </row>
    <row r="14" spans="1:16" ht="15" thickBot="1">
      <c r="A14" s="907"/>
      <c r="B14" s="907"/>
      <c r="C14" s="907"/>
      <c r="D14" s="907"/>
      <c r="E14" s="907"/>
      <c r="F14" s="907"/>
      <c r="G14" s="907"/>
      <c r="H14" s="907"/>
      <c r="I14" s="907"/>
      <c r="J14" s="907"/>
      <c r="K14" s="907"/>
      <c r="L14" s="907"/>
      <c r="M14" s="907"/>
      <c r="N14" s="933"/>
      <c r="O14" s="933"/>
      <c r="P14" s="933"/>
    </row>
    <row r="15" spans="1:16">
      <c r="A15" s="908" t="s">
        <v>4072</v>
      </c>
      <c r="B15" s="909" t="s">
        <v>2795</v>
      </c>
      <c r="C15" s="909" t="s">
        <v>4078</v>
      </c>
      <c r="D15" s="909" t="s">
        <v>4077</v>
      </c>
      <c r="E15" s="920" t="s">
        <v>2400</v>
      </c>
      <c r="F15" s="909" t="s">
        <v>2401</v>
      </c>
      <c r="G15" s="909" t="s">
        <v>2392</v>
      </c>
      <c r="H15" s="920" t="s">
        <v>2402</v>
      </c>
      <c r="I15" s="909" t="s">
        <v>3727</v>
      </c>
      <c r="J15" s="920" t="s">
        <v>3747</v>
      </c>
      <c r="K15" s="921" t="s">
        <v>3796</v>
      </c>
      <c r="L15" s="907"/>
      <c r="M15" s="907"/>
      <c r="N15" s="907"/>
      <c r="O15" s="907"/>
      <c r="P15" s="907"/>
    </row>
    <row r="16" spans="1:16">
      <c r="A16" s="911" t="s">
        <v>4068</v>
      </c>
      <c r="B16" s="912" t="b">
        <v>1</v>
      </c>
      <c r="C16" s="912" t="b">
        <v>0</v>
      </c>
      <c r="D16" s="924" t="b">
        <f>noOptionSelected</f>
        <v>0</v>
      </c>
      <c r="E16" s="924" t="b">
        <f>noOptionSelected</f>
        <v>0</v>
      </c>
      <c r="F16" s="925" t="b">
        <v>0</v>
      </c>
      <c r="G16" s="912" t="b">
        <v>0</v>
      </c>
      <c r="H16" s="924" t="b">
        <f>noOptionSelected</f>
        <v>0</v>
      </c>
      <c r="I16" s="925" t="b">
        <v>0</v>
      </c>
      <c r="J16" s="924" t="b">
        <f>noOptionSelected</f>
        <v>0</v>
      </c>
      <c r="K16" s="934" t="b">
        <f>noOptionSelected</f>
        <v>0</v>
      </c>
      <c r="L16" s="907"/>
      <c r="M16" s="907"/>
      <c r="N16" s="907"/>
      <c r="O16" s="907"/>
      <c r="P16" s="907"/>
    </row>
    <row r="17" spans="1:16">
      <c r="A17" s="914" t="s">
        <v>4069</v>
      </c>
      <c r="B17" s="915" t="b">
        <v>0</v>
      </c>
      <c r="C17" s="915" t="b">
        <v>0</v>
      </c>
      <c r="D17" s="927" t="b">
        <f>noOptionPremiumNeutral</f>
        <v>0</v>
      </c>
      <c r="E17" s="927" t="b">
        <f>noOptionPremiumNeutral</f>
        <v>0</v>
      </c>
      <c r="F17" s="928" t="b">
        <v>0</v>
      </c>
      <c r="G17" s="915" t="b">
        <v>0</v>
      </c>
      <c r="H17" s="927" t="b">
        <f>noOptionPremiumNeutral</f>
        <v>0</v>
      </c>
      <c r="I17" s="928" t="b">
        <v>0</v>
      </c>
      <c r="J17" s="927" t="b">
        <f>noOptionPremiumNeutral</f>
        <v>0</v>
      </c>
      <c r="K17" s="935" t="b">
        <f>noOptionPremiumNeutral</f>
        <v>0</v>
      </c>
      <c r="L17" s="907"/>
      <c r="M17" s="907"/>
      <c r="N17" s="907"/>
      <c r="O17" s="907"/>
      <c r="P17" s="907"/>
    </row>
    <row r="18" spans="1:16" ht="15" thickBot="1">
      <c r="A18" s="917" t="s">
        <v>4070</v>
      </c>
      <c r="B18" s="918">
        <v>10</v>
      </c>
      <c r="C18" s="918">
        <v>10</v>
      </c>
      <c r="D18" s="930">
        <f>noOptionPercentage</f>
        <v>0</v>
      </c>
      <c r="E18" s="930">
        <f>noOptionPercentage</f>
        <v>0</v>
      </c>
      <c r="F18" s="931">
        <v>10</v>
      </c>
      <c r="G18" s="918">
        <v>10</v>
      </c>
      <c r="H18" s="930">
        <f>noOptionPercentage</f>
        <v>0</v>
      </c>
      <c r="I18" s="931">
        <v>10</v>
      </c>
      <c r="J18" s="930">
        <f>noOptionPercentage</f>
        <v>0</v>
      </c>
      <c r="K18" s="936">
        <f>noOptionPercentage</f>
        <v>0</v>
      </c>
      <c r="L18" s="907"/>
      <c r="M18" s="907"/>
      <c r="N18" s="907"/>
      <c r="O18" s="907"/>
      <c r="P18" s="907"/>
    </row>
    <row r="19" spans="1:16" ht="15" thickBot="1">
      <c r="A19" s="907"/>
      <c r="B19" s="907"/>
      <c r="C19" s="907"/>
      <c r="D19" s="907"/>
      <c r="E19" s="907"/>
      <c r="F19" s="907"/>
      <c r="G19" s="907"/>
      <c r="H19" s="907"/>
      <c r="I19" s="907"/>
      <c r="J19" s="907"/>
      <c r="K19" s="907"/>
      <c r="L19" s="907"/>
      <c r="M19" s="907"/>
      <c r="N19" s="907"/>
      <c r="O19" s="907"/>
      <c r="P19" s="907"/>
    </row>
    <row r="20" spans="1:16">
      <c r="A20" s="937" t="s">
        <v>4073</v>
      </c>
      <c r="B20" s="938" t="b">
        <v>0</v>
      </c>
      <c r="C20" s="907"/>
      <c r="D20" s="907"/>
      <c r="E20" s="907"/>
      <c r="F20" s="907"/>
      <c r="G20" s="907"/>
      <c r="H20" s="907"/>
      <c r="I20" s="907"/>
      <c r="J20" s="907"/>
      <c r="K20" s="907"/>
      <c r="L20" s="907"/>
      <c r="M20" s="907"/>
      <c r="N20" s="907"/>
      <c r="O20" s="907"/>
      <c r="P20" s="907"/>
    </row>
    <row r="21" spans="1:16">
      <c r="A21" s="939" t="s">
        <v>4074</v>
      </c>
      <c r="B21" s="935" t="b">
        <v>0</v>
      </c>
      <c r="C21" s="907"/>
      <c r="D21" s="907"/>
      <c r="E21" s="907"/>
      <c r="F21" s="907"/>
      <c r="G21" s="907"/>
      <c r="H21" s="907"/>
      <c r="I21" s="907"/>
      <c r="J21" s="907"/>
      <c r="K21" s="907"/>
      <c r="L21" s="907"/>
      <c r="M21" s="907"/>
      <c r="N21" s="907"/>
      <c r="O21" s="907"/>
      <c r="P21" s="907"/>
    </row>
    <row r="22" spans="1:16" ht="15" thickBot="1">
      <c r="A22" s="940"/>
      <c r="B22" s="936">
        <v>0</v>
      </c>
      <c r="C22" s="907"/>
      <c r="D22" s="907"/>
      <c r="E22" s="907"/>
      <c r="F22" s="907"/>
      <c r="G22" s="907"/>
      <c r="H22" s="907"/>
      <c r="I22" s="907"/>
      <c r="J22" s="907"/>
      <c r="K22" s="907"/>
      <c r="L22" s="907"/>
      <c r="M22" s="907"/>
      <c r="N22" s="907"/>
      <c r="O22" s="907"/>
      <c r="P22" s="907"/>
    </row>
  </sheetData>
  <mergeCells count="2">
    <mergeCell ref="A3:F3"/>
    <mergeCell ref="N10:P13"/>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7DFF"/>
  </sheetPr>
  <dimension ref="A1:W976"/>
  <sheetViews>
    <sheetView zoomScale="85" zoomScaleNormal="85" workbookViewId="0">
      <pane xSplit="1" ySplit="2" topLeftCell="D145" activePane="bottomRight" state="frozen"/>
      <selection pane="topRight" activeCell="B1" sqref="B1"/>
      <selection pane="bottomLeft" activeCell="A3" sqref="A3"/>
      <selection pane="bottomRight" activeCell="M164" sqref="M164"/>
    </sheetView>
  </sheetViews>
  <sheetFormatPr baseColWidth="10" defaultColWidth="14.33203125" defaultRowHeight="15" customHeight="1"/>
  <cols>
    <col min="1" max="1" width="48.33203125" customWidth="1"/>
    <col min="2" max="2" width="7.33203125" hidden="1" customWidth="1"/>
    <col min="3" max="3" width="10.6640625" hidden="1" customWidth="1"/>
    <col min="4" max="4" width="24.33203125" customWidth="1"/>
    <col min="5" max="5" width="16.33203125" customWidth="1"/>
    <col min="6" max="6" width="24.33203125" customWidth="1"/>
    <col min="7" max="7" width="16.33203125" customWidth="1"/>
    <col min="8" max="8" width="2.33203125" hidden="1" customWidth="1"/>
    <col min="9" max="9" width="4" hidden="1" customWidth="1"/>
    <col min="10" max="10" width="9.33203125" hidden="1" customWidth="1"/>
    <col min="11" max="11" width="13.6640625" hidden="1" customWidth="1"/>
    <col min="12" max="12" width="24.33203125" customWidth="1"/>
    <col min="13" max="13" width="16.33203125" customWidth="1"/>
    <col min="14" max="14" width="24.33203125" customWidth="1"/>
    <col min="15" max="15" width="16.33203125" customWidth="1"/>
    <col min="16" max="16" width="24.33203125" customWidth="1"/>
    <col min="17" max="17" width="16.33203125" customWidth="1"/>
    <col min="18" max="18" width="24.33203125" customWidth="1"/>
    <col min="19" max="19" width="16.33203125" customWidth="1"/>
    <col min="20" max="20" width="24.33203125" customWidth="1"/>
    <col min="21" max="21" width="16.33203125" customWidth="1"/>
    <col min="22" max="22" width="24.33203125" customWidth="1"/>
    <col min="23" max="23" width="16.33203125" customWidth="1"/>
    <col min="24" max="26" width="11.33203125" customWidth="1"/>
  </cols>
  <sheetData>
    <row r="1" spans="1:23" ht="24" customHeight="1">
      <c r="B1" s="1058" t="s">
        <v>3099</v>
      </c>
      <c r="C1" s="1037"/>
      <c r="D1" s="1059" t="s">
        <v>2773</v>
      </c>
      <c r="E1" s="1037"/>
      <c r="F1" s="1058" t="s">
        <v>3100</v>
      </c>
      <c r="G1" s="1037"/>
      <c r="H1" s="1059" t="s">
        <v>2795</v>
      </c>
      <c r="I1" s="1037"/>
      <c r="J1" s="1058" t="s">
        <v>2391</v>
      </c>
      <c r="K1" s="1037"/>
      <c r="L1" s="1059" t="s">
        <v>2400</v>
      </c>
      <c r="M1" s="1037"/>
      <c r="N1" s="1058" t="s">
        <v>2401</v>
      </c>
      <c r="O1" s="1037"/>
      <c r="P1" s="1059" t="s">
        <v>2392</v>
      </c>
      <c r="Q1" s="1037"/>
      <c r="R1" s="1056" t="s">
        <v>3727</v>
      </c>
      <c r="S1" s="1057"/>
      <c r="T1" s="1060" t="s">
        <v>3747</v>
      </c>
      <c r="U1" s="1039"/>
      <c r="V1" s="1056" t="s">
        <v>3797</v>
      </c>
      <c r="W1" s="1057"/>
    </row>
    <row r="2" spans="1:23" ht="24" customHeight="1">
      <c r="A2" t="s">
        <v>2432</v>
      </c>
      <c r="B2" s="163" t="s">
        <v>2420</v>
      </c>
      <c r="C2" s="164" t="s">
        <v>2421</v>
      </c>
      <c r="D2" s="165" t="s">
        <v>2420</v>
      </c>
      <c r="E2" s="166" t="s">
        <v>2421</v>
      </c>
      <c r="F2" s="163" t="s">
        <v>2420</v>
      </c>
      <c r="G2" s="164" t="s">
        <v>2421</v>
      </c>
      <c r="H2" s="165" t="s">
        <v>2420</v>
      </c>
      <c r="I2" s="166" t="s">
        <v>2421</v>
      </c>
      <c r="J2" s="163" t="s">
        <v>2420</v>
      </c>
      <c r="K2" s="164" t="s">
        <v>2421</v>
      </c>
      <c r="L2" s="165" t="s">
        <v>2420</v>
      </c>
      <c r="M2" s="166" t="s">
        <v>2421</v>
      </c>
      <c r="N2" s="163" t="s">
        <v>2420</v>
      </c>
      <c r="O2" s="164" t="s">
        <v>2421</v>
      </c>
      <c r="P2" s="165" t="s">
        <v>2420</v>
      </c>
      <c r="Q2" s="166" t="s">
        <v>2421</v>
      </c>
      <c r="R2" s="795" t="s">
        <v>2420</v>
      </c>
      <c r="S2" s="796" t="s">
        <v>2421</v>
      </c>
      <c r="T2" s="797" t="s">
        <v>2420</v>
      </c>
      <c r="U2" s="798" t="s">
        <v>2421</v>
      </c>
      <c r="V2" s="795" t="s">
        <v>2420</v>
      </c>
      <c r="W2" s="796" t="s">
        <v>2421</v>
      </c>
    </row>
    <row r="3" spans="1:23" ht="49.95" customHeight="1">
      <c r="A3">
        <v>1</v>
      </c>
      <c r="B3" s="167" t="str">
        <f t="array" ref="B3">IFERROR(IF(ROW(A1)&gt;COUNTA(B$20:B$162),"",INDEX(B:B,SMALL(IF(B$20:B$162&lt;&gt;"",
ROW($20:$162)),ROW(A1)))),"")</f>
        <v/>
      </c>
      <c r="C3" s="167" t="str">
        <f t="array" ref="C3">IFERROR(IF(ROW(A1)&gt;COUNTA(C$20:C$162),"",INDEX(C:C,SMALL(IF(C$20:C$162&lt;&gt;"",
ROW($20:$162)),ROW(A1)))),"")</f>
        <v/>
      </c>
      <c r="D3" s="167" t="str">
        <f t="array" aca="1" ref="D3" ca="1">IFERROR(INDEX(D:D,SMALL(IF(D$20:D$177&lt;&gt;"",
ROW($20:$177)),$A3)),"")</f>
        <v>Eigenkapital</v>
      </c>
      <c r="E3" s="167" t="str">
        <f t="array" ref="E3">IFERROR(INDEX(E:E,SMALL(IF(E$20:E$177&lt;&gt;"",
ROW($20:$177)),$A3)),"")</f>
        <v/>
      </c>
      <c r="F3" s="167" t="str">
        <f t="array" aca="1" ref="F3" ca="1">IFERROR(INDEX(F:F,SMALL(IF(F$20:F$177&lt;&gt;"",
ROW($20:$177)),$A3)),"")</f>
        <v>Policenbeginn</v>
      </c>
      <c r="G3" s="167" t="str">
        <f t="array" ref="G3">IFERROR(INDEX(G:G,SMALL(IF(G$20:G$177&lt;&gt;"",
ROW($20:$177)),$A3)),"")</f>
        <v>Policenende bzw. Laufzeit</v>
      </c>
      <c r="H3" s="167" t="str">
        <f t="array" ref="H3">IFERROR(IF(ROW(D1)&gt;COUNTA(H$20:H$162),"",INDEX(H:H,SMALL(IF(H$20:H$162&lt;&gt;"",
ROW($20:$162)),ROW($A$1)))),"")</f>
        <v/>
      </c>
      <c r="I3" s="167" t="str">
        <f t="array" ref="I3">IFERROR(IF(ROW(E1)&gt;COUNTA(I$20:I$162),"",INDEX(I:I,SMALL(IF(I$20:I$162&lt;&gt;"",
ROW($20:$162)),ROW($A$1)))),"")</f>
        <v/>
      </c>
      <c r="J3" s="167" t="str">
        <f t="array" aca="1" ref="J3" ca="1">IFERROR(IF(ROW(F1)&gt;COUNTA(J$20:J$162),"",INDEX(J:J,SMALL(IF(J$20:J$162&lt;&gt;"",
ROW($20:$162)),ROW($A$1)))),"")</f>
        <v>Policenbeginn</v>
      </c>
      <c r="K3" s="167" t="str">
        <f t="array" ref="K3">IFERROR(IF(ROW(G1)&gt;COUNTA(K$20:K$162),"",INDEX(K:K,SMALL(IF(K$20:K$162&lt;&gt;"",
ROW($20:$162)),ROW($A$1)))),"")</f>
        <v/>
      </c>
      <c r="L3" s="167" t="str">
        <f t="array" aca="1" ref="L3" ca="1">IFERROR(INDEX(L:L,SMALL(IF(L$20:L$177&lt;&gt;"",
ROW($20:$177)),$A3)),"")</f>
        <v>Policenbeginn</v>
      </c>
      <c r="M3" s="167" t="str">
        <f t="array" ref="M3">IFERROR(INDEX(M:M,SMALL(IF(M$20:M$177&lt;&gt;"",
ROW($20:$177)),$A3)),"")</f>
        <v>Manueller Backstop</v>
      </c>
      <c r="N3" s="167" t="str">
        <f t="array" aca="1" ref="N3" ca="1">IFERROR(INDEX(N:N,SMALL(IF(N$20:N$177&lt;&gt;"",
ROW($20:$177)),$A3)),"")</f>
        <v>Policenbeginn</v>
      </c>
      <c r="O3" s="167" t="str">
        <f t="array" ref="O3">IFERROR(INDEX(O:O,SMALL(IF(O$20:O$177&lt;&gt;"",
ROW($20:$177)),$A3)),"")</f>
        <v/>
      </c>
      <c r="P3" s="167" t="str">
        <f t="array" aca="1" ref="P3" ca="1">IFERROR(INDEX(P:P,SMALL(IF(P$20:P$177&lt;&gt;"",
ROW($20:$177)),$A3)),"")</f>
        <v>Policenbeginn</v>
      </c>
      <c r="Q3" s="167" t="str">
        <f t="array" ref="Q3">IFERROR(INDEX(Q:Q,SMALL(IF(Q$20:Q$177&lt;&gt;"",
ROW($20:$177)),$A3)),"")</f>
        <v/>
      </c>
      <c r="R3" s="167" t="str">
        <f t="array" ref="R3">IFERROR(INDEX(R:R,SMALL(IF(R$20:R$177&lt;&gt;"",
ROW($20:$177)),$A3)),"")</f>
        <v/>
      </c>
      <c r="S3" s="167" t="str">
        <f t="array" aca="1" ref="S3" ca="1">IFERROR(INDEX(S:S,SMALL(IF(S$20:S$177&lt;&gt;"",
ROW($20:$177)),$A3)),"")</f>
        <v>Policenbeginn</v>
      </c>
      <c r="T3" s="799" t="str">
        <f t="array" aca="1" ref="T3" ca="1">IFERROR(INDEX(T:T,SMALL(IF(T$20:T$177&lt;&gt;"",
ROW($20:$177)),$A3)),"")</f>
        <v/>
      </c>
      <c r="U3" s="799" t="str">
        <f t="array" ref="U3">IFERROR(INDEX(U:U,SMALL(IF(U$20:U$177&lt;&gt;"",
ROW($20:$177)),$A3)),"")</f>
        <v/>
      </c>
      <c r="V3" s="799" t="str">
        <f t="array" ref="V3">IFERROR(INDEX(V:V,SMALL(IF(V$20:V$177&lt;&gt;"",
ROW($20:$177)),$A3)),"")</f>
        <v>Nettoisierung</v>
      </c>
      <c r="W3" s="799" t="str">
        <f t="array" aca="1" ref="W3" ca="1">IFERROR(INDEX(W:W,SMALL(IF(W$20:W$177&lt;&gt;"",
ROW($20:$177)),$A3)),"")</f>
        <v>Policenende bzw. Laufzeit</v>
      </c>
    </row>
    <row r="4" spans="1:23" ht="49.95" customHeight="1">
      <c r="A4">
        <f t="shared" ref="A4:A17" si="0">A3+1</f>
        <v>2</v>
      </c>
      <c r="B4" s="167" t="str">
        <f t="array" ref="B4">IFERROR(IF(ROW(A2)&gt;COUNTA(B$20:B$162),"",INDEX(B:B,SMALL(IF(B$20:B$162&lt;&gt;"",
ROW($20:$162)),ROW(A2)))),"")</f>
        <v/>
      </c>
      <c r="C4" s="167" t="str">
        <f t="array" ref="C4">IFERROR(IF(ROW(A2)&gt;COUNTA(C$20:C$162),"",INDEX(C:C,SMALL(IF(C$20:C$162&lt;&gt;"",
ROW($20:$162)),ROW(A2)))),"")</f>
        <v/>
      </c>
      <c r="D4" s="167" t="str">
        <f t="array" aca="1" ref="D4" ca="1">IFERROR(INDEX(D:D,SMALL(IF(D$20:D$177&lt;&gt;"",
ROW($20:$177)),$A4)),"")</f>
        <v/>
      </c>
      <c r="E4" s="167" t="str">
        <f t="array" ref="E4">IFERROR(INDEX(E:E,SMALL(IF(E$20:E$177&lt;&gt;"",
ROW($20:$177)),$A4)),"")</f>
        <v/>
      </c>
      <c r="F4" s="167" t="str">
        <f t="array" aca="1" ref="F4" ca="1">IFERROR(INDEX(F:F,SMALL(IF(F$20:F$177&lt;&gt;"",
ROW($20:$177)),$A4)),"")</f>
        <v>Nettoisierung</v>
      </c>
      <c r="G4" s="167" t="str">
        <f t="array" ref="G4">IFERROR(INDEX(G:G,SMALL(IF(G$20:G$177&lt;&gt;"",
ROW($20:$177)),$A4)),"")</f>
        <v/>
      </c>
      <c r="H4" s="167" t="str">
        <f t="array" ref="H4">IFERROR(IF(ROW(D2)&gt;COUNTA(H$20:H$162),"",INDEX(H:H,SMALL(IF(H$20:H$162&lt;&gt;"",
ROW($20:$162)),ROW(C2)))),"")</f>
        <v/>
      </c>
      <c r="I4" s="167" t="str">
        <f t="array" ref="I4">IFERROR(IF(ROW(E2)&gt;COUNTA(I$20:I$162),"",INDEX(I:I,SMALL(IF(I$20:I$162&lt;&gt;"",
ROW($20:$162)),ROW(D2)))),"")</f>
        <v/>
      </c>
      <c r="J4" s="167" t="str">
        <f t="array" aca="1" ref="J4" ca="1">IFERROR(IF(ROW(F2)&gt;COUNTA(J$20:J$162),"",INDEX(J:J,SMALL(IF(J$20:J$162&lt;&gt;"",
ROW($20:$162)),ROW(E2)))),"")</f>
        <v/>
      </c>
      <c r="K4" s="167" t="str">
        <f t="array" ref="K4">IFERROR(IF(ROW(G2)&gt;COUNTA(K$20:K$162),"",INDEX(K:K,SMALL(IF(K$20:K$162&lt;&gt;"",
ROW($20:$162)),ROW(F2)))),"")</f>
        <v/>
      </c>
      <c r="L4" s="167" t="str">
        <f t="array" aca="1" ref="L4" ca="1">IFERROR(INDEX(L:L,SMALL(IF(L$20:L$177&lt;&gt;"",
ROW($20:$177)),$A4)),"")</f>
        <v/>
      </c>
      <c r="M4" s="167" t="str">
        <f t="array" ref="M4">IFERROR(INDEX(M:M,SMALL(IF(M$20:M$177&lt;&gt;"",
ROW($20:$177)),$A4)),"")</f>
        <v/>
      </c>
      <c r="N4" s="167" t="str">
        <f t="array" aca="1" ref="N4" ca="1">IFERROR(INDEX(N:N,SMALL(IF(N$20:N$177&lt;&gt;"",
ROW($20:$177)),$A4)),"")</f>
        <v>Policenende bzw. Laufzeit</v>
      </c>
      <c r="O4" s="167" t="str">
        <f t="array" ref="O4">IFERROR(INDEX(O:O,SMALL(IF(O$20:O$177&lt;&gt;"",
ROW($20:$177)),$A4)),"")</f>
        <v/>
      </c>
      <c r="P4" s="167" t="str">
        <f t="array" aca="1" ref="P4" ca="1">IFERROR(INDEX(P:P,SMALL(IF(P$20:P$177&lt;&gt;"",
ROW($20:$177)),$A4)),"")</f>
        <v>Policenende bzw. Laufzeit</v>
      </c>
      <c r="Q4" s="167" t="str">
        <f t="array" ref="Q4">IFERROR(INDEX(Q:Q,SMALL(IF(Q$20:Q$177&lt;&gt;"",
ROW($20:$177)),$A4)),"")</f>
        <v/>
      </c>
      <c r="R4" s="167" t="str">
        <f t="array" ref="R4">IFERROR(INDEX(R:R,SMALL(IF(R$20:R$177&lt;&gt;"",
ROW($20:$177)),$A4)),"")</f>
        <v/>
      </c>
      <c r="S4" s="167" t="str">
        <f t="array" aca="1" ref="S4" ca="1">IFERROR(INDEX(S:S,SMALL(IF(S$20:S$177&lt;&gt;"",
ROW($20:$177)),$A4)),"")</f>
        <v/>
      </c>
      <c r="T4" s="799" t="str">
        <f t="array" aca="1" ref="T4" ca="1">IFERROR(INDEX(T:T,SMALL(IF(T$20:T$177&lt;&gt;"",
ROW($20:$177)),$A4)),"")</f>
        <v/>
      </c>
      <c r="U4" s="799" t="str">
        <f t="array" ref="U4">IFERROR(INDEX(U:U,SMALL(IF(U$20:U$177&lt;&gt;"",
ROW($20:$177)),$A4)),"")</f>
        <v/>
      </c>
      <c r="V4" s="799" t="str">
        <f t="array" ref="V4">IFERROR(INDEX(V:V,SMALL(IF(V$20:V$177&lt;&gt;"",
ROW($20:$177)),$A4)),"")</f>
        <v/>
      </c>
      <c r="W4" s="799" t="str">
        <f t="array" aca="1" ref="W4" ca="1">IFERROR(INDEX(W:W,SMALL(IF(W$20:W$177&lt;&gt;"",
ROW($20:$177)),$A4)),"")</f>
        <v/>
      </c>
    </row>
    <row r="5" spans="1:23" ht="49.95" customHeight="1">
      <c r="A5">
        <f t="shared" si="0"/>
        <v>3</v>
      </c>
      <c r="B5" s="167" t="str">
        <f t="array" ref="B5">IFERROR(IF(ROW(A3)&gt;COUNTA(B$20:B$162),"",INDEX(B:B,SMALL(IF(B$20:B$162&lt;&gt;"",
ROW($20:$162)),ROW(A3)))),"")</f>
        <v/>
      </c>
      <c r="C5" s="167" t="str">
        <f t="array" ref="C5">IFERROR(IF(ROW(A3)&gt;COUNTA(C$20:C$162),"",INDEX(C:C,SMALL(IF(C$20:C$162&lt;&gt;"",
ROW($20:$162)),ROW(A3)))),"")</f>
        <v/>
      </c>
      <c r="D5" s="167" t="str">
        <f t="array" aca="1" ref="D5" ca="1">IFERROR(INDEX(D:D,SMALL(IF(D$20:D$177&lt;&gt;"",
ROW($20:$177)),$A5)),"")</f>
        <v/>
      </c>
      <c r="E5" s="167" t="str">
        <f t="array" ref="E5">IFERROR(INDEX(E:E,SMALL(IF(E$20:E$177&lt;&gt;"",
ROW($20:$177)),$A5)),"")</f>
        <v/>
      </c>
      <c r="F5" s="167" t="str">
        <f t="array" aca="1" ref="F5" ca="1">IFERROR(INDEX(F:F,SMALL(IF(F$20:F$177&lt;&gt;"",
ROW($20:$177)),$A5)),"")</f>
        <v/>
      </c>
      <c r="G5" s="167" t="str">
        <f t="array" ref="G5">IFERROR(INDEX(G:G,SMALL(IF(G$20:G$177&lt;&gt;"",
ROW($20:$177)),$A5)),"")</f>
        <v/>
      </c>
      <c r="H5" s="167" t="str">
        <f t="array" ref="H5">IFERROR(IF(ROW(D3)&gt;COUNTA(H$20:H$162),"",INDEX(H:H,SMALL(IF(H$20:H$162&lt;&gt;"",
ROW($20:$162)),ROW(C3)))),"")</f>
        <v/>
      </c>
      <c r="I5" s="167" t="str">
        <f t="array" ref="I5">IFERROR(IF(ROW(E3)&gt;COUNTA(I$20:I$162),"",INDEX(I:I,SMALL(IF(I$20:I$162&lt;&gt;"",
ROW($20:$162)),ROW(D3)))),"")</f>
        <v/>
      </c>
      <c r="J5" s="167" t="str">
        <f t="array" aca="1" ref="J5" ca="1">IFERROR(IF(ROW(F3)&gt;COUNTA(J$20:J$162),"",INDEX(J:J,SMALL(IF(J$20:J$162&lt;&gt;"",
ROW($20:$162)),ROW(E3)))),"")</f>
        <v/>
      </c>
      <c r="K5" s="167" t="str">
        <f t="array" ref="K5">IFERROR(IF(ROW(G3)&gt;COUNTA(K$20:K$162),"",INDEX(K:K,SMALL(IF(K$20:K$162&lt;&gt;"",
ROW($20:$162)),ROW(F3)))),"")</f>
        <v/>
      </c>
      <c r="L5" s="167" t="str">
        <f t="array" aca="1" ref="L5" ca="1">IFERROR(INDEX(L:L,SMALL(IF(L$20:L$177&lt;&gt;"",
ROW($20:$177)),$A5)),"")</f>
        <v/>
      </c>
      <c r="M5" s="167" t="str">
        <f t="array" ref="M5">IFERROR(INDEX(M:M,SMALL(IF(M$20:M$177&lt;&gt;"",
ROW($20:$177)),$A5)),"")</f>
        <v/>
      </c>
      <c r="N5" s="167" t="str">
        <f t="array" aca="1" ref="N5" ca="1">IFERROR(INDEX(N:N,SMALL(IF(N$20:N$177&lt;&gt;"",
ROW($20:$177)),$A5)),"")</f>
        <v>Nettoisierung</v>
      </c>
      <c r="O5" s="167" t="str">
        <f t="array" ref="O5">IFERROR(INDEX(O:O,SMALL(IF(O$20:O$177&lt;&gt;"",
ROW($20:$177)),$A5)),"")</f>
        <v/>
      </c>
      <c r="P5" s="167" t="str">
        <f t="array" aca="1" ref="P5" ca="1">IFERROR(INDEX(P:P,SMALL(IF(P$20:P$177&lt;&gt;"",
ROW($20:$177)),$A5)),"")</f>
        <v/>
      </c>
      <c r="Q5" s="167" t="str">
        <f t="array" ref="Q5">IFERROR(INDEX(Q:Q,SMALL(IF(Q$20:Q$177&lt;&gt;"",
ROW($20:$177)),$A5)),"")</f>
        <v/>
      </c>
      <c r="R5" s="167" t="str">
        <f t="array" ref="R5">IFERROR(INDEX(R:R,SMALL(IF(R$20:R$177&lt;&gt;"",
ROW($20:$177)),$A5)),"")</f>
        <v/>
      </c>
      <c r="S5" s="167" t="str">
        <f t="array" aca="1" ref="S5" ca="1">IFERROR(INDEX(S:S,SMALL(IF(S$20:S$177&lt;&gt;"",
ROW($20:$177)),$A5)),"")</f>
        <v/>
      </c>
      <c r="T5" s="799" t="str">
        <f t="array" aca="1" ref="T5" ca="1">IFERROR(INDEX(T:T,SMALL(IF(T$20:T$177&lt;&gt;"",
ROW($20:$177)),$A5)),"")</f>
        <v/>
      </c>
      <c r="U5" s="799" t="str">
        <f t="array" ref="U5">IFERROR(INDEX(U:U,SMALL(IF(U$20:U$177&lt;&gt;"",
ROW($20:$177)),$A5)),"")</f>
        <v/>
      </c>
      <c r="V5" s="799" t="str">
        <f t="array" ref="V5">IFERROR(INDEX(V:V,SMALL(IF(V$20:V$177&lt;&gt;"",
ROW($20:$177)),$A5)),"")</f>
        <v/>
      </c>
      <c r="W5" s="799" t="str">
        <f t="array" aca="1" ref="W5" ca="1">IFERROR(INDEX(W:W,SMALL(IF(W$20:W$177&lt;&gt;"",
ROW($20:$177)),$A5)),"")</f>
        <v/>
      </c>
    </row>
    <row r="6" spans="1:23" ht="49.95" customHeight="1">
      <c r="A6">
        <f t="shared" si="0"/>
        <v>4</v>
      </c>
      <c r="B6" s="167" t="str">
        <f t="array" ref="B6">IFERROR(IF(ROW(A4)&gt;COUNTA(B$20:B$162),"",INDEX(B:B,SMALL(IF(B$20:B$162&lt;&gt;"",
ROW($20:$162)),ROW(A4)))),"")</f>
        <v/>
      </c>
      <c r="C6" s="167" t="str">
        <f t="array" ref="C6">IFERROR(IF(ROW(A4)&gt;COUNTA(C$20:C$162),"",INDEX(C:C,SMALL(IF(C$20:C$162&lt;&gt;"",
ROW($20:$162)),ROW(A4)))),"")</f>
        <v/>
      </c>
      <c r="D6" s="167" t="str">
        <f t="array" aca="1" ref="D6" ca="1">IFERROR(INDEX(D:D,SMALL(IF(D$20:D$177&lt;&gt;"",
ROW($20:$177)),$A6)),"")</f>
        <v/>
      </c>
      <c r="E6" s="167" t="str">
        <f t="array" ref="E6">IFERROR(INDEX(E:E,SMALL(IF(E$20:E$177&lt;&gt;"",
ROW($20:$177)),$A6)),"")</f>
        <v/>
      </c>
      <c r="F6" s="167" t="str">
        <f t="array" aca="1" ref="F6" ca="1">IFERROR(INDEX(F:F,SMALL(IF(F$20:F$177&lt;&gt;"",
ROW($20:$177)),$A6)),"")</f>
        <v/>
      </c>
      <c r="G6" s="167" t="str">
        <f t="array" ref="G6">IFERROR(INDEX(G:G,SMALL(IF(G$20:G$177&lt;&gt;"",
ROW($20:$177)),$A6)),"")</f>
        <v/>
      </c>
      <c r="H6" s="167" t="str">
        <f t="array" ref="H6">IFERROR(IF(ROW(D4)&gt;COUNTA(H$20:H$162),"",INDEX(H:H,SMALL(IF(H$20:H$162&lt;&gt;"",
ROW($20:$162)),ROW(C4)))),"")</f>
        <v/>
      </c>
      <c r="I6" s="167" t="str">
        <f t="array" ref="I6">IFERROR(IF(ROW(E4)&gt;COUNTA(I$20:I$162),"",INDEX(I:I,SMALL(IF(I$20:I$162&lt;&gt;"",
ROW($20:$162)),ROW(D4)))),"")</f>
        <v/>
      </c>
      <c r="J6" s="167" t="str">
        <f t="array" aca="1" ref="J6" ca="1">IFERROR(IF(ROW(F4)&gt;COUNTA(J$20:J$162),"",INDEX(J:J,SMALL(IF(J$20:J$162&lt;&gt;"",
ROW($20:$162)),ROW(E4)))),"")</f>
        <v/>
      </c>
      <c r="K6" s="167" t="str">
        <f t="array" ref="K6">IFERROR(IF(ROW(G4)&gt;COUNTA(K$20:K$162),"",INDEX(K:K,SMALL(IF(K$20:K$162&lt;&gt;"",
ROW($20:$162)),ROW(F4)))),"")</f>
        <v/>
      </c>
      <c r="L6" s="167" t="str">
        <f t="array" aca="1" ref="L6" ca="1">IFERROR(INDEX(L:L,SMALL(IF(L$20:L$177&lt;&gt;"",
ROW($20:$177)),$A6)),"")</f>
        <v/>
      </c>
      <c r="M6" s="167" t="str">
        <f t="array" ref="M6">IFERROR(INDEX(M:M,SMALL(IF(M$20:M$177&lt;&gt;"",
ROW($20:$177)),$A6)),"")</f>
        <v/>
      </c>
      <c r="N6" s="167" t="str">
        <f t="array" aca="1" ref="N6" ca="1">IFERROR(INDEX(N:N,SMALL(IF(N$20:N$177&lt;&gt;"",
ROW($20:$177)),$A6)),"")</f>
        <v>Manueller Backstop</v>
      </c>
      <c r="O6" s="167" t="str">
        <f t="array" ref="O6">IFERROR(INDEX(O:O,SMALL(IF(O$20:O$177&lt;&gt;"",
ROW($20:$177)),$A6)),"")</f>
        <v/>
      </c>
      <c r="P6" s="167" t="str">
        <f t="array" aca="1" ref="P6" ca="1">IFERROR(INDEX(P:P,SMALL(IF(P$20:P$177&lt;&gt;"",
ROW($20:$177)),$A6)),"")</f>
        <v/>
      </c>
      <c r="Q6" s="167" t="str">
        <f t="array" ref="Q6">IFERROR(INDEX(Q:Q,SMALL(IF(Q$20:Q$177&lt;&gt;"",
ROW($20:$177)),$A6)),"")</f>
        <v/>
      </c>
      <c r="R6" s="167" t="str">
        <f t="array" ref="R6">IFERROR(INDEX(R:R,SMALL(IF(R$20:R$177&lt;&gt;"",
ROW($20:$177)),$A6)),"")</f>
        <v/>
      </c>
      <c r="S6" s="167" t="str">
        <f t="array" aca="1" ref="S6" ca="1">IFERROR(INDEX(S:S,SMALL(IF(S$20:S$177&lt;&gt;"",
ROW($20:$177)),$A6)),"")</f>
        <v/>
      </c>
      <c r="T6" s="799" t="str">
        <f t="array" aca="1" ref="T6" ca="1">IFERROR(INDEX(T:T,SMALL(IF(T$20:T$177&lt;&gt;"",
ROW($20:$177)),$A6)),"")</f>
        <v/>
      </c>
      <c r="U6" s="799" t="str">
        <f t="array" ref="U6">IFERROR(INDEX(U:U,SMALL(IF(U$20:U$177&lt;&gt;"",
ROW($20:$177)),$A6)),"")</f>
        <v/>
      </c>
      <c r="V6" s="799" t="str">
        <f t="array" ref="V6">IFERROR(INDEX(V:V,SMALL(IF(V$20:V$177&lt;&gt;"",
ROW($20:$177)),$A6)),"")</f>
        <v/>
      </c>
      <c r="W6" s="799" t="str">
        <f t="array" aca="1" ref="W6" ca="1">IFERROR(INDEX(W:W,SMALL(IF(W$20:W$177&lt;&gt;"",
ROW($20:$177)),$A6)),"")</f>
        <v/>
      </c>
    </row>
    <row r="7" spans="1:23" ht="49.95" customHeight="1">
      <c r="A7">
        <f t="shared" si="0"/>
        <v>5</v>
      </c>
      <c r="B7" s="167" t="str">
        <f t="array" ref="B7">IFERROR(IF(ROW(A5)&gt;COUNTA(B$20:B$162),"",INDEX(B:B,SMALL(IF(B$20:B$162&lt;&gt;"",
ROW($20:$162)),ROW(A5)))),"")</f>
        <v/>
      </c>
      <c r="C7" s="167" t="str">
        <f t="array" ref="C7">IFERROR(IF(ROW(A5)&gt;COUNTA(C$20:C$162),"",INDEX(C:C,SMALL(IF(C$20:C$162&lt;&gt;"",
ROW($20:$162)),ROW(A5)))),"")</f>
        <v/>
      </c>
      <c r="D7" s="167" t="str">
        <f t="array" aca="1" ref="D7" ca="1">IFERROR(INDEX(D:D,SMALL(IF(D$20:D$177&lt;&gt;"",
ROW($20:$177)),$A7)),"")</f>
        <v/>
      </c>
      <c r="E7" s="167" t="str">
        <f t="array" ref="E7">IFERROR(INDEX(E:E,SMALL(IF(E$20:E$177&lt;&gt;"",
ROW($20:$177)),$A7)),"")</f>
        <v/>
      </c>
      <c r="F7" s="167" t="str">
        <f t="array" aca="1" ref="F7" ca="1">IFERROR(INDEX(F:F,SMALL(IF(F$20:F$177&lt;&gt;"",
ROW($20:$177)),$A7)),"")</f>
        <v/>
      </c>
      <c r="G7" s="167" t="str">
        <f t="array" ref="G7">IFERROR(INDEX(G:G,SMALL(IF(G$20:G$177&lt;&gt;"",
ROW($20:$177)),$A7)),"")</f>
        <v/>
      </c>
      <c r="H7" s="167" t="str">
        <f t="array" ref="H7">IFERROR(IF(ROW(D5)&gt;COUNTA(H$20:H$162),"",INDEX(H:H,SMALL(IF(H$20:H$162&lt;&gt;"",
ROW($20:$162)),ROW(C5)))),"")</f>
        <v/>
      </c>
      <c r="I7" s="167" t="str">
        <f t="array" ref="I7">IFERROR(IF(ROW(E5)&gt;COUNTA(I$20:I$162),"",INDEX(I:I,SMALL(IF(I$20:I$162&lt;&gt;"",
ROW($20:$162)),ROW(D5)))),"")</f>
        <v/>
      </c>
      <c r="J7" s="167" t="str">
        <f t="array" aca="1" ref="J7" ca="1">IFERROR(IF(ROW(F5)&gt;COUNTA(J$20:J$162),"",INDEX(J:J,SMALL(IF(J$20:J$162&lt;&gt;"",
ROW($20:$162)),ROW(E5)))),"")</f>
        <v/>
      </c>
      <c r="K7" s="167" t="str">
        <f t="array" ref="K7">IFERROR(IF(ROW(G5)&gt;COUNTA(K$20:K$162),"",INDEX(K:K,SMALL(IF(K$20:K$162&lt;&gt;"",
ROW($20:$162)),ROW(F5)))),"")</f>
        <v/>
      </c>
      <c r="L7" s="167" t="str">
        <f t="array" aca="1" ref="L7" ca="1">IFERROR(INDEX(L:L,SMALL(IF(L$20:L$177&lt;&gt;"",
ROW($20:$177)),$A7)),"")</f>
        <v/>
      </c>
      <c r="M7" s="167" t="str">
        <f t="array" ref="M7">IFERROR(INDEX(M:M,SMALL(IF(M$20:M$177&lt;&gt;"",
ROW($20:$177)),$A7)),"")</f>
        <v/>
      </c>
      <c r="N7" s="167" t="str">
        <f t="array" aca="1" ref="N7" ca="1">IFERROR(INDEX(N:N,SMALL(IF(N$20:N$177&lt;&gt;"",
ROW($20:$177)),$A7)),"")</f>
        <v/>
      </c>
      <c r="O7" s="167" t="str">
        <f t="array" ref="O7">IFERROR(INDEX(O:O,SMALL(IF(O$20:O$177&lt;&gt;"",
ROW($20:$177)),$A7)),"")</f>
        <v/>
      </c>
      <c r="P7" s="167" t="str">
        <f t="array" aca="1" ref="P7" ca="1">IFERROR(INDEX(P:P,SMALL(IF(P$20:P$177&lt;&gt;"",
ROW($20:$177)),$A7)),"")</f>
        <v/>
      </c>
      <c r="Q7" s="167" t="str">
        <f t="array" ref="Q7">IFERROR(INDEX(Q:Q,SMALL(IF(Q$20:Q$177&lt;&gt;"",
ROW($20:$177)),$A7)),"")</f>
        <v/>
      </c>
      <c r="R7" s="167" t="str">
        <f t="array" ref="R7">IFERROR(INDEX(R:R,SMALL(IF(R$20:R$177&lt;&gt;"",
ROW($20:$177)),$A7)),"")</f>
        <v/>
      </c>
      <c r="S7" s="167" t="str">
        <f t="array" aca="1" ref="S7" ca="1">IFERROR(INDEX(S:S,SMALL(IF(S$20:S$177&lt;&gt;"",
ROW($20:$177)),$A7)),"")</f>
        <v/>
      </c>
      <c r="T7" s="799" t="str">
        <f t="array" aca="1" ref="T7" ca="1">IFERROR(INDEX(T:T,SMALL(IF(T$20:T$177&lt;&gt;"",
ROW($20:$177)),$A7)),"")</f>
        <v/>
      </c>
      <c r="U7" s="799" t="str">
        <f t="array" ref="U7">IFERROR(INDEX(U:U,SMALL(IF(U$20:U$177&lt;&gt;"",
ROW($20:$177)),$A7)),"")</f>
        <v/>
      </c>
      <c r="V7" s="799" t="str">
        <f t="array" ref="V7">IFERROR(INDEX(V:V,SMALL(IF(V$20:V$177&lt;&gt;"",
ROW($20:$177)),$A7)),"")</f>
        <v/>
      </c>
      <c r="W7" s="799" t="str">
        <f t="array" aca="1" ref="W7" ca="1">IFERROR(INDEX(W:W,SMALL(IF(W$20:W$177&lt;&gt;"",
ROW($20:$177)),$A7)),"")</f>
        <v/>
      </c>
    </row>
    <row r="8" spans="1:23" ht="49.95" customHeight="1">
      <c r="A8">
        <f t="shared" si="0"/>
        <v>6</v>
      </c>
      <c r="B8" s="167" t="str">
        <f t="array" ref="B8">IFERROR(IF(ROW(A6)&gt;COUNTA(B$20:B$162),"",INDEX(B:B,SMALL(IF(B$20:B$162&lt;&gt;"",
ROW($20:$162)),ROW(A6)))),"")</f>
        <v/>
      </c>
      <c r="C8" s="167" t="str">
        <f t="array" ref="C8">IFERROR(IF(ROW(A6)&gt;COUNTA(C$20:C$162),"",INDEX(C:C,SMALL(IF(C$20:C$162&lt;&gt;"",
ROW($20:$162)),ROW(A6)))),"")</f>
        <v/>
      </c>
      <c r="D8" s="167" t="str">
        <f t="array" aca="1" ref="D8" ca="1">IFERROR(INDEX(D:D,SMALL(IF(D$20:D$177&lt;&gt;"",
ROW($20:$177)),$A8)),"")</f>
        <v/>
      </c>
      <c r="E8" s="167" t="str">
        <f t="array" ref="E8">IFERROR(INDEX(E:E,SMALL(IF(E$20:E$177&lt;&gt;"",
ROW($20:$177)),$A8)),"")</f>
        <v/>
      </c>
      <c r="F8" s="167" t="str">
        <f t="array" aca="1" ref="F8" ca="1">IFERROR(INDEX(F:F,SMALL(IF(F$20:F$177&lt;&gt;"",
ROW($20:$177)),$A8)),"")</f>
        <v/>
      </c>
      <c r="G8" s="167" t="str">
        <f t="array" ref="G8">IFERROR(INDEX(G:G,SMALL(IF(G$20:G$177&lt;&gt;"",
ROW($20:$177)),$A8)),"")</f>
        <v/>
      </c>
      <c r="H8" s="167" t="str">
        <f t="array" ref="H8">IFERROR(IF(ROW(D6)&gt;COUNTA(H$20:H$162),"",INDEX(H:H,SMALL(IF(H$20:H$162&lt;&gt;"",
ROW($20:$162)),ROW(C6)))),"")</f>
        <v/>
      </c>
      <c r="I8" s="167" t="str">
        <f t="array" ref="I8">IFERROR(IF(ROW(E6)&gt;COUNTA(I$20:I$162),"",INDEX(I:I,SMALL(IF(I$20:I$162&lt;&gt;"",
ROW($20:$162)),ROW(D6)))),"")</f>
        <v/>
      </c>
      <c r="J8" s="167" t="str">
        <f t="array" aca="1" ref="J8" ca="1">IFERROR(IF(ROW(F6)&gt;COUNTA(J$20:J$162),"",INDEX(J:J,SMALL(IF(J$20:J$162&lt;&gt;"",
ROW($20:$162)),ROW(E6)))),"")</f>
        <v/>
      </c>
      <c r="K8" s="167" t="str">
        <f t="array" ref="K8">IFERROR(IF(ROW(G6)&gt;COUNTA(K$20:K$162),"",INDEX(K:K,SMALL(IF(K$20:K$162&lt;&gt;"",
ROW($20:$162)),ROW(F6)))),"")</f>
        <v/>
      </c>
      <c r="L8" s="167" t="str">
        <f t="array" aca="1" ref="L8" ca="1">IFERROR(INDEX(L:L,SMALL(IF(L$20:L$177&lt;&gt;"",
ROW($20:$177)),$A8)),"")</f>
        <v/>
      </c>
      <c r="M8" s="167" t="str">
        <f t="array" ref="M8">IFERROR(INDEX(M:M,SMALL(IF(M$20:M$177&lt;&gt;"",
ROW($20:$177)),$A8)),"")</f>
        <v/>
      </c>
      <c r="N8" s="167" t="str">
        <f t="array" aca="1" ref="N8" ca="1">IFERROR(INDEX(N:N,SMALL(IF(N$20:N$177&lt;&gt;"",
ROW($20:$177)),$A8)),"")</f>
        <v/>
      </c>
      <c r="O8" s="167" t="str">
        <f t="array" ref="O8">IFERROR(INDEX(O:O,SMALL(IF(O$20:O$177&lt;&gt;"",
ROW($20:$177)),$A8)),"")</f>
        <v/>
      </c>
      <c r="P8" s="167" t="str">
        <f t="array" aca="1" ref="P8" ca="1">IFERROR(INDEX(P:P,SMALL(IF(P$20:P$177&lt;&gt;"",
ROW($20:$177)),$A8)),"")</f>
        <v/>
      </c>
      <c r="Q8" s="167" t="str">
        <f t="array" ref="Q8">IFERROR(INDEX(Q:Q,SMALL(IF(Q$20:Q$177&lt;&gt;"",
ROW($20:$177)),$A8)),"")</f>
        <v/>
      </c>
      <c r="R8" s="167" t="str">
        <f t="array" ref="R8">IFERROR(INDEX(R:R,SMALL(IF(R$20:R$177&lt;&gt;"",
ROW($20:$177)),$A8)),"")</f>
        <v/>
      </c>
      <c r="S8" s="167" t="str">
        <f t="array" aca="1" ref="S8" ca="1">IFERROR(INDEX(S:S,SMALL(IF(S$20:S$177&lt;&gt;"",
ROW($20:$177)),$A8)),"")</f>
        <v/>
      </c>
      <c r="T8" s="799" t="str">
        <f t="array" aca="1" ref="T8" ca="1">IFERROR(INDEX(T:T,SMALL(IF(T$20:T$177&lt;&gt;"",
ROW($20:$177)),$A8)),"")</f>
        <v/>
      </c>
      <c r="U8" s="799" t="str">
        <f t="array" ref="U8">IFERROR(INDEX(U:U,SMALL(IF(U$20:U$177&lt;&gt;"",
ROW($20:$177)),$A8)),"")</f>
        <v/>
      </c>
      <c r="V8" s="799" t="str">
        <f t="array" ref="V8">IFERROR(INDEX(V:V,SMALL(IF(V$20:V$177&lt;&gt;"",
ROW($20:$177)),$A8)),"")</f>
        <v/>
      </c>
      <c r="W8" s="799" t="str">
        <f t="array" aca="1" ref="W8" ca="1">IFERROR(INDEX(W:W,SMALL(IF(W$20:W$177&lt;&gt;"",
ROW($20:$177)),$A8)),"")</f>
        <v/>
      </c>
    </row>
    <row r="9" spans="1:23" ht="49.95" customHeight="1">
      <c r="A9">
        <f t="shared" si="0"/>
        <v>7</v>
      </c>
      <c r="B9" s="167" t="str">
        <f t="array" ref="B9">IFERROR(IF(ROW(A7)&gt;COUNTA(B$20:B$162),"",INDEX(B:B,SMALL(IF(B$20:B$162&lt;&gt;"",
ROW($20:$162)),ROW(A7)))),"")</f>
        <v/>
      </c>
      <c r="C9" s="167" t="str">
        <f t="array" ref="C9">IFERROR(IF(ROW(A7)&gt;COUNTA(C$20:C$162),"",INDEX(C:C,SMALL(IF(C$20:C$162&lt;&gt;"",
ROW($20:$162)),ROW(A7)))),"")</f>
        <v/>
      </c>
      <c r="D9" s="167" t="str">
        <f t="array" aca="1" ref="D9" ca="1">IFERROR(INDEX(D:D,SMALL(IF(D$20:D$177&lt;&gt;"",
ROW($20:$177)),$A9)),"")</f>
        <v/>
      </c>
      <c r="E9" s="167" t="str">
        <f t="array" ref="E9">IFERROR(INDEX(E:E,SMALL(IF(E$20:E$177&lt;&gt;"",
ROW($20:$177)),$A9)),"")</f>
        <v/>
      </c>
      <c r="F9" s="167" t="str">
        <f t="array" aca="1" ref="F9" ca="1">IFERROR(INDEX(F:F,SMALL(IF(F$20:F$177&lt;&gt;"",
ROW($20:$177)),$A9)),"")</f>
        <v/>
      </c>
      <c r="G9" s="167" t="str">
        <f t="array" ref="G9">IFERROR(INDEX(G:G,SMALL(IF(G$20:G$177&lt;&gt;"",
ROW($20:$177)),$A9)),"")</f>
        <v/>
      </c>
      <c r="H9" s="167" t="str">
        <f t="array" ref="H9">IFERROR(IF(ROW(D7)&gt;COUNTA(H$20:H$162),"",INDEX(H:H,SMALL(IF(H$20:H$162&lt;&gt;"",
ROW($20:$162)),ROW(C7)))),"")</f>
        <v/>
      </c>
      <c r="I9" s="167" t="str">
        <f t="array" ref="I9">IFERROR(IF(ROW(E7)&gt;COUNTA(I$20:I$162),"",INDEX(I:I,SMALL(IF(I$20:I$162&lt;&gt;"",
ROW($20:$162)),ROW(D7)))),"")</f>
        <v/>
      </c>
      <c r="J9" s="167" t="str">
        <f t="array" aca="1" ref="J9" ca="1">IFERROR(IF(ROW(F7)&gt;COUNTA(J$20:J$162),"",INDEX(J:J,SMALL(IF(J$20:J$162&lt;&gt;"",
ROW($20:$162)),ROW(E7)))),"")</f>
        <v/>
      </c>
      <c r="K9" s="167" t="str">
        <f t="array" ref="K9">IFERROR(IF(ROW(G7)&gt;COUNTA(K$20:K$162),"",INDEX(K:K,SMALL(IF(K$20:K$162&lt;&gt;"",
ROW($20:$162)),ROW(F7)))),"")</f>
        <v/>
      </c>
      <c r="L9" s="167" t="str">
        <f t="array" aca="1" ref="L9" ca="1">IFERROR(INDEX(L:L,SMALL(IF(L$20:L$177&lt;&gt;"",
ROW($20:$177)),$A9)),"")</f>
        <v/>
      </c>
      <c r="M9" s="167" t="str">
        <f t="array" ref="M9">IFERROR(INDEX(M:M,SMALL(IF(M$20:M$177&lt;&gt;"",
ROW($20:$177)),$A9)),"")</f>
        <v/>
      </c>
      <c r="N9" s="167" t="str">
        <f t="array" aca="1" ref="N9" ca="1">IFERROR(INDEX(N:N,SMALL(IF(N$20:N$177&lt;&gt;"",
ROW($20:$177)),$A9)),"")</f>
        <v/>
      </c>
      <c r="O9" s="167" t="str">
        <f t="array" ref="O9">IFERROR(INDEX(O:O,SMALL(IF(O$20:O$177&lt;&gt;"",
ROW($20:$177)),$A9)),"")</f>
        <v/>
      </c>
      <c r="P9" s="167" t="str">
        <f t="array" aca="1" ref="P9" ca="1">IFERROR(INDEX(P:P,SMALL(IF(P$20:P$177&lt;&gt;"",
ROW($20:$177)),$A9)),"")</f>
        <v/>
      </c>
      <c r="Q9" s="167" t="str">
        <f t="array" ref="Q9">IFERROR(INDEX(Q:Q,SMALL(IF(Q$20:Q$177&lt;&gt;"",
ROW($20:$177)),$A9)),"")</f>
        <v/>
      </c>
      <c r="R9" s="167" t="str">
        <f t="array" ref="R9">IFERROR(INDEX(R:R,SMALL(IF(R$20:R$177&lt;&gt;"",
ROW($20:$177)),$A9)),"")</f>
        <v/>
      </c>
      <c r="S9" s="167" t="str">
        <f t="array" aca="1" ref="S9" ca="1">IFERROR(INDEX(S:S,SMALL(IF(S$20:S$177&lt;&gt;"",
ROW($20:$177)),$A9)),"")</f>
        <v/>
      </c>
      <c r="T9" s="799" t="str">
        <f t="array" aca="1" ref="T9" ca="1">IFERROR(INDEX(T:T,SMALL(IF(T$20:T$177&lt;&gt;"",
ROW($20:$177)),$A9)),"")</f>
        <v/>
      </c>
      <c r="U9" s="799" t="str">
        <f t="array" ref="U9">IFERROR(INDEX(U:U,SMALL(IF(U$20:U$177&lt;&gt;"",
ROW($20:$177)),$A9)),"")</f>
        <v/>
      </c>
      <c r="V9" s="799" t="str">
        <f t="array" ref="V9">IFERROR(INDEX(V:V,SMALL(IF(V$20:V$177&lt;&gt;"",
ROW($20:$177)),$A9)),"")</f>
        <v/>
      </c>
      <c r="W9" s="799" t="str">
        <f t="array" aca="1" ref="W9" ca="1">IFERROR(INDEX(W:W,SMALL(IF(W$20:W$177&lt;&gt;"",
ROW($20:$177)),$A9)),"")</f>
        <v/>
      </c>
    </row>
    <row r="10" spans="1:23" ht="49.95" customHeight="1">
      <c r="A10">
        <f t="shared" si="0"/>
        <v>8</v>
      </c>
      <c r="B10" s="167" t="str">
        <f t="array" ref="B10">IFERROR(IF(ROW(A8)&gt;COUNTA(B$20:B$162),"",INDEX(B:B,SMALL(IF(B$20:B$162&lt;&gt;"",
ROW($20:$162)),ROW(A8)))),"")</f>
        <v/>
      </c>
      <c r="C10" s="167" t="str">
        <f t="array" ref="C10">IFERROR(IF(ROW(A8)&gt;COUNTA(C$20:C$162),"",INDEX(C:C,SMALL(IF(C$20:C$162&lt;&gt;"",
ROW($20:$162)),ROW(A8)))),"")</f>
        <v/>
      </c>
      <c r="D10" s="167" t="str">
        <f t="array" aca="1" ref="D10" ca="1">IFERROR(INDEX(D:D,SMALL(IF(D$20:D$177&lt;&gt;"",
ROW($20:$177)),$A10)),"")</f>
        <v/>
      </c>
      <c r="E10" s="167" t="str">
        <f t="array" ref="E10">IFERROR(INDEX(E:E,SMALL(IF(E$20:E$177&lt;&gt;"",
ROW($20:$177)),$A10)),"")</f>
        <v/>
      </c>
      <c r="F10" s="167" t="str">
        <f t="array" aca="1" ref="F10" ca="1">IFERROR(INDEX(F:F,SMALL(IF(F$20:F$177&lt;&gt;"",
ROW($20:$177)),$A10)),"")</f>
        <v/>
      </c>
      <c r="G10" s="167" t="str">
        <f t="array" ref="G10">IFERROR(INDEX(G:G,SMALL(IF(G$20:G$177&lt;&gt;"",
ROW($20:$177)),$A10)),"")</f>
        <v/>
      </c>
      <c r="H10" s="167" t="str">
        <f t="array" ref="H10">IFERROR(IF(ROW(D8)&gt;COUNTA(H$20:H$162),"",INDEX(H:H,SMALL(IF(H$20:H$162&lt;&gt;"",
ROW($20:$162)),ROW(C8)))),"")</f>
        <v/>
      </c>
      <c r="I10" s="167" t="str">
        <f t="array" ref="I10">IFERROR(IF(ROW(E8)&gt;COUNTA(I$20:I$162),"",INDEX(I:I,SMALL(IF(I$20:I$162&lt;&gt;"",
ROW($20:$162)),ROW(D8)))),"")</f>
        <v/>
      </c>
      <c r="J10" s="167" t="str">
        <f t="array" aca="1" ref="J10" ca="1">IFERROR(IF(ROW(F8)&gt;COUNTA(J$20:J$162),"",INDEX(J:J,SMALL(IF(J$20:J$162&lt;&gt;"",
ROW($20:$162)),ROW(E8)))),"")</f>
        <v/>
      </c>
      <c r="K10" s="167" t="str">
        <f t="array" ref="K10">IFERROR(IF(ROW(G8)&gt;COUNTA(K$20:K$162),"",INDEX(K:K,SMALL(IF(K$20:K$162&lt;&gt;"",
ROW($20:$162)),ROW(F8)))),"")</f>
        <v/>
      </c>
      <c r="L10" s="167" t="str">
        <f t="array" aca="1" ref="L10" ca="1">IFERROR(INDEX(L:L,SMALL(IF(L$20:L$177&lt;&gt;"",
ROW($20:$177)),$A10)),"")</f>
        <v/>
      </c>
      <c r="M10" s="167" t="str">
        <f t="array" ref="M10">IFERROR(INDEX(M:M,SMALL(IF(M$20:M$177&lt;&gt;"",
ROW($20:$177)),$A10)),"")</f>
        <v/>
      </c>
      <c r="N10" s="167" t="str">
        <f t="array" aca="1" ref="N10" ca="1">IFERROR(INDEX(N:N,SMALL(IF(N$20:N$177&lt;&gt;"",
ROW($20:$177)),$A10)),"")</f>
        <v/>
      </c>
      <c r="O10" s="167" t="str">
        <f t="array" ref="O10">IFERROR(INDEX(O:O,SMALL(IF(O$20:O$177&lt;&gt;"",
ROW($20:$177)),$A10)),"")</f>
        <v/>
      </c>
      <c r="P10" s="167" t="str">
        <f t="array" aca="1" ref="P10" ca="1">IFERROR(INDEX(P:P,SMALL(IF(P$20:P$177&lt;&gt;"",
ROW($20:$177)),$A10)),"")</f>
        <v/>
      </c>
      <c r="Q10" s="167" t="str">
        <f t="array" ref="Q10">IFERROR(INDEX(Q:Q,SMALL(IF(Q$20:Q$177&lt;&gt;"",
ROW($20:$177)),$A10)),"")</f>
        <v/>
      </c>
      <c r="R10" s="167" t="str">
        <f t="array" ref="R10">IFERROR(INDEX(R:R,SMALL(IF(R$20:R$177&lt;&gt;"",
ROW($20:$177)),$A10)),"")</f>
        <v/>
      </c>
      <c r="S10" s="167" t="str">
        <f t="array" aca="1" ref="S10" ca="1">IFERROR(INDEX(S:S,SMALL(IF(S$20:S$177&lt;&gt;"",
ROW($20:$177)),$A10)),"")</f>
        <v/>
      </c>
      <c r="T10" s="799" t="str">
        <f t="array" aca="1" ref="T10" ca="1">IFERROR(INDEX(T:T,SMALL(IF(T$20:T$177&lt;&gt;"",
ROW($20:$177)),$A10)),"")</f>
        <v/>
      </c>
      <c r="U10" s="799" t="str">
        <f t="array" ref="U10">IFERROR(INDEX(U:U,SMALL(IF(U$20:U$177&lt;&gt;"",
ROW($20:$177)),$A10)),"")</f>
        <v/>
      </c>
      <c r="V10" s="799" t="str">
        <f t="array" ref="V10">IFERROR(INDEX(V:V,SMALL(IF(V$20:V$177&lt;&gt;"",
ROW($20:$177)),$A10)),"")</f>
        <v/>
      </c>
      <c r="W10" s="799" t="str">
        <f t="array" aca="1" ref="W10" ca="1">IFERROR(INDEX(W:W,SMALL(IF(W$20:W$177&lt;&gt;"",
ROW($20:$177)),$A10)),"")</f>
        <v/>
      </c>
    </row>
    <row r="11" spans="1:23" ht="49.95" customHeight="1">
      <c r="A11">
        <f t="shared" si="0"/>
        <v>9</v>
      </c>
      <c r="B11" s="167" t="str">
        <f t="array" ref="B11">IFERROR(IF(ROW(A9)&gt;COUNTA(B$20:B$162),"",INDEX(B:B,SMALL(IF(B$20:B$162&lt;&gt;"",
ROW($20:$162)),ROW(A9)))),"")</f>
        <v/>
      </c>
      <c r="C11" s="167" t="str">
        <f t="array" ref="C11">IFERROR(IF(ROW(A9)&gt;COUNTA(C$20:C$162),"",INDEX(C:C,SMALL(IF(C$20:C$162&lt;&gt;"",
ROW($20:$162)),ROW(A9)))),"")</f>
        <v/>
      </c>
      <c r="D11" s="167" t="str">
        <f t="array" aca="1" ref="D11" ca="1">IFERROR(INDEX(D:D,SMALL(IF(D$20:D$177&lt;&gt;"",
ROW($20:$177)),$A11)),"")</f>
        <v/>
      </c>
      <c r="E11" s="167" t="str">
        <f t="array" ref="E11">IFERROR(INDEX(E:E,SMALL(IF(E$20:E$177&lt;&gt;"",
ROW($20:$177)),$A11)),"")</f>
        <v/>
      </c>
      <c r="F11" s="167" t="str">
        <f t="array" aca="1" ref="F11" ca="1">IFERROR(INDEX(F:F,SMALL(IF(F$20:F$177&lt;&gt;"",
ROW($20:$177)),$A11)),"")</f>
        <v/>
      </c>
      <c r="G11" s="167" t="str">
        <f t="array" ref="G11">IFERROR(INDEX(G:G,SMALL(IF(G$20:G$177&lt;&gt;"",
ROW($20:$177)),$A11)),"")</f>
        <v/>
      </c>
      <c r="H11" s="167" t="str">
        <f t="array" ref="H11">IFERROR(IF(ROW(D9)&gt;COUNTA(H$20:H$162),"",INDEX(H:H,SMALL(IF(H$20:H$162&lt;&gt;"",
ROW($20:$162)),ROW(C9)))),"")</f>
        <v/>
      </c>
      <c r="I11" s="167" t="str">
        <f t="array" ref="I11">IFERROR(IF(ROW(E9)&gt;COUNTA(I$20:I$162),"",INDEX(I:I,SMALL(IF(I$20:I$162&lt;&gt;"",
ROW($20:$162)),ROW(D9)))),"")</f>
        <v/>
      </c>
      <c r="J11" s="167" t="str">
        <f t="array" aca="1" ref="J11" ca="1">IFERROR(IF(ROW(F9)&gt;COUNTA(J$20:J$162),"",INDEX(J:J,SMALL(IF(J$20:J$162&lt;&gt;"",
ROW($20:$162)),ROW(E9)))),"")</f>
        <v/>
      </c>
      <c r="K11" s="167" t="str">
        <f t="array" ref="K11">IFERROR(IF(ROW(G9)&gt;COUNTA(K$20:K$162),"",INDEX(K:K,SMALL(IF(K$20:K$162&lt;&gt;"",
ROW($20:$162)),ROW(F9)))),"")</f>
        <v/>
      </c>
      <c r="L11" s="167" t="str">
        <f t="array" aca="1" ref="L11" ca="1">IFERROR(INDEX(L:L,SMALL(IF(L$20:L$177&lt;&gt;"",
ROW($20:$177)),$A11)),"")</f>
        <v/>
      </c>
      <c r="M11" s="167" t="str">
        <f t="array" ref="M11">IFERROR(INDEX(M:M,SMALL(IF(M$20:M$177&lt;&gt;"",
ROW($20:$177)),$A11)),"")</f>
        <v/>
      </c>
      <c r="N11" s="167" t="str">
        <f t="array" aca="1" ref="N11" ca="1">IFERROR(INDEX(N:N,SMALL(IF(N$20:N$177&lt;&gt;"",
ROW($20:$177)),$A11)),"")</f>
        <v/>
      </c>
      <c r="O11" s="167" t="str">
        <f t="array" ref="O11">IFERROR(INDEX(O:O,SMALL(IF(O$20:O$177&lt;&gt;"",
ROW($20:$177)),$A11)),"")</f>
        <v/>
      </c>
      <c r="P11" s="167" t="str">
        <f t="array" aca="1" ref="P11" ca="1">IFERROR(INDEX(P:P,SMALL(IF(P$20:P$177&lt;&gt;"",
ROW($20:$177)),$A11)),"")</f>
        <v/>
      </c>
      <c r="Q11" s="167" t="str">
        <f t="array" ref="Q11">IFERROR(INDEX(Q:Q,SMALL(IF(Q$20:Q$177&lt;&gt;"",
ROW($20:$177)),$A11)),"")</f>
        <v/>
      </c>
      <c r="R11" s="167" t="str">
        <f t="array" ref="R11">IFERROR(INDEX(R:R,SMALL(IF(R$20:R$177&lt;&gt;"",
ROW($20:$177)),$A11)),"")</f>
        <v/>
      </c>
      <c r="S11" s="167" t="str">
        <f t="array" aca="1" ref="S11" ca="1">IFERROR(INDEX(S:S,SMALL(IF(S$20:S$177&lt;&gt;"",
ROW($20:$177)),$A11)),"")</f>
        <v/>
      </c>
      <c r="T11" s="799" t="str">
        <f t="array" aca="1" ref="T11" ca="1">IFERROR(INDEX(T:T,SMALL(IF(T$20:T$177&lt;&gt;"",
ROW($20:$177)),$A11)),"")</f>
        <v/>
      </c>
      <c r="U11" s="799" t="str">
        <f t="array" ref="U11">IFERROR(INDEX(U:U,SMALL(IF(U$20:U$177&lt;&gt;"",
ROW($20:$177)),$A11)),"")</f>
        <v/>
      </c>
      <c r="V11" s="799" t="str">
        <f t="array" ref="V11">IFERROR(INDEX(V:V,SMALL(IF(V$20:V$177&lt;&gt;"",
ROW($20:$177)),$A11)),"")</f>
        <v/>
      </c>
      <c r="W11" s="799" t="str">
        <f t="array" aca="1" ref="W11" ca="1">IFERROR(INDEX(W:W,SMALL(IF(W$20:W$177&lt;&gt;"",
ROW($20:$177)),$A11)),"")</f>
        <v/>
      </c>
    </row>
    <row r="12" spans="1:23" ht="49.95" customHeight="1">
      <c r="A12">
        <f t="shared" si="0"/>
        <v>10</v>
      </c>
      <c r="B12" s="167" t="str">
        <f t="array" ref="B12">IFERROR(IF(ROW(A10)&gt;COUNTA(B$20:B$162),"",INDEX(B:B,SMALL(IF(B$20:B$162&lt;&gt;"",
ROW($20:$162)),ROW(A10)))),"")</f>
        <v/>
      </c>
      <c r="C12" s="167" t="str">
        <f t="array" ref="C12">IFERROR(IF(ROW(A10)&gt;COUNTA(C$20:C$162),"",INDEX(C:C,SMALL(IF(C$20:C$162&lt;&gt;"",
ROW($20:$162)),ROW(A10)))),"")</f>
        <v/>
      </c>
      <c r="D12" s="167" t="str">
        <f t="array" aca="1" ref="D12" ca="1">IFERROR(INDEX(D:D,SMALL(IF(D$20:D$177&lt;&gt;"",
ROW($20:$177)),$A12)),"")</f>
        <v/>
      </c>
      <c r="E12" s="167" t="str">
        <f t="array" ref="E12">IFERROR(INDEX(E:E,SMALL(IF(E$20:E$177&lt;&gt;"",
ROW($20:$177)),$A12)),"")</f>
        <v/>
      </c>
      <c r="F12" s="167" t="str">
        <f t="array" aca="1" ref="F12" ca="1">IFERROR(INDEX(F:F,SMALL(IF(F$20:F$177&lt;&gt;"",
ROW($20:$177)),$A12)),"")</f>
        <v/>
      </c>
      <c r="G12" s="167" t="str">
        <f t="array" ref="G12">IFERROR(INDEX(G:G,SMALL(IF(G$20:G$177&lt;&gt;"",
ROW($20:$177)),$A12)),"")</f>
        <v/>
      </c>
      <c r="H12" s="167" t="str">
        <f t="array" ref="H12">IFERROR(IF(ROW(D10)&gt;COUNTA(H$20:H$162),"",INDEX(H:H,SMALL(IF(H$20:H$162&lt;&gt;"",
ROW($20:$162)),ROW(C10)))),"")</f>
        <v/>
      </c>
      <c r="I12" s="167" t="str">
        <f t="array" ref="I12">IFERROR(IF(ROW(E10)&gt;COUNTA(I$20:I$162),"",INDEX(I:I,SMALL(IF(I$20:I$162&lt;&gt;"",
ROW($20:$162)),ROW(D10)))),"")</f>
        <v/>
      </c>
      <c r="J12" s="167" t="str">
        <f t="array" aca="1" ref="J12" ca="1">IFERROR(IF(ROW(F10)&gt;COUNTA(J$20:J$162),"",INDEX(J:J,SMALL(IF(J$20:J$162&lt;&gt;"",
ROW($20:$162)),ROW(E10)))),"")</f>
        <v/>
      </c>
      <c r="K12" s="167" t="str">
        <f t="array" ref="K12">IFERROR(IF(ROW(G10)&gt;COUNTA(K$20:K$162),"",INDEX(K:K,SMALL(IF(K$20:K$162&lt;&gt;"",
ROW($20:$162)),ROW(F10)))),"")</f>
        <v/>
      </c>
      <c r="L12" s="167" t="str">
        <f t="array" aca="1" ref="L12" ca="1">IFERROR(INDEX(L:L,SMALL(IF(L$20:L$177&lt;&gt;"",
ROW($20:$177)),$A12)),"")</f>
        <v/>
      </c>
      <c r="M12" s="167" t="str">
        <f t="array" ref="M12">IFERROR(INDEX(M:M,SMALL(IF(M$20:M$177&lt;&gt;"",
ROW($20:$177)),$A12)),"")</f>
        <v/>
      </c>
      <c r="N12" s="167" t="str">
        <f t="array" aca="1" ref="N12" ca="1">IFERROR(INDEX(N:N,SMALL(IF(N$20:N$177&lt;&gt;"",
ROW($20:$177)),$A12)),"")</f>
        <v/>
      </c>
      <c r="O12" s="167" t="str">
        <f t="array" ref="O12">IFERROR(INDEX(O:O,SMALL(IF(O$20:O$177&lt;&gt;"",
ROW($20:$177)),$A12)),"")</f>
        <v/>
      </c>
      <c r="P12" s="167" t="str">
        <f t="array" aca="1" ref="P12" ca="1">IFERROR(INDEX(P:P,SMALL(IF(P$20:P$177&lt;&gt;"",
ROW($20:$177)),$A12)),"")</f>
        <v/>
      </c>
      <c r="Q12" s="167" t="str">
        <f t="array" ref="Q12">IFERROR(INDEX(Q:Q,SMALL(IF(Q$20:Q$177&lt;&gt;"",
ROW($20:$177)),$A12)),"")</f>
        <v/>
      </c>
      <c r="R12" s="167" t="str">
        <f t="array" ref="R12">IFERROR(INDEX(R:R,SMALL(IF(R$20:R$177&lt;&gt;"",
ROW($20:$177)),$A12)),"")</f>
        <v/>
      </c>
      <c r="S12" s="167" t="str">
        <f t="array" aca="1" ref="S12" ca="1">IFERROR(INDEX(S:S,SMALL(IF(S$20:S$177&lt;&gt;"",
ROW($20:$177)),$A12)),"")</f>
        <v/>
      </c>
      <c r="T12" s="799" t="str">
        <f t="array" aca="1" ref="T12" ca="1">IFERROR(INDEX(T:T,SMALL(IF(T$20:T$177&lt;&gt;"",
ROW($20:$177)),$A12)),"")</f>
        <v/>
      </c>
      <c r="U12" s="799" t="str">
        <f t="array" ref="U12">IFERROR(INDEX(U:U,SMALL(IF(U$20:U$177&lt;&gt;"",
ROW($20:$177)),$A12)),"")</f>
        <v/>
      </c>
      <c r="V12" s="799" t="str">
        <f t="array" ref="V12">IFERROR(INDEX(V:V,SMALL(IF(V$20:V$177&lt;&gt;"",
ROW($20:$177)),$A12)),"")</f>
        <v/>
      </c>
      <c r="W12" s="799" t="str">
        <f t="array" aca="1" ref="W12" ca="1">IFERROR(INDEX(W:W,SMALL(IF(W$20:W$177&lt;&gt;"",
ROW($20:$177)),$A12)),"")</f>
        <v/>
      </c>
    </row>
    <row r="13" spans="1:23" ht="49.95" customHeight="1">
      <c r="A13">
        <f t="shared" si="0"/>
        <v>11</v>
      </c>
      <c r="B13" s="167"/>
      <c r="C13" s="167"/>
      <c r="D13" s="167" t="str">
        <f t="array" aca="1" ref="D13" ca="1">IFERROR(INDEX(D:D,SMALL(IF(D$20:D$177&lt;&gt;"",
ROW($20:$177)),$A13)),"")</f>
        <v/>
      </c>
      <c r="E13" s="167" t="str">
        <f t="array" ref="E13">IFERROR(INDEX(E:E,SMALL(IF(E$20:E$177&lt;&gt;"",
ROW($20:$177)),$A13)),"")</f>
        <v/>
      </c>
      <c r="F13" s="167" t="str">
        <f t="array" aca="1" ref="F13" ca="1">IFERROR(INDEX(F:F,SMALL(IF(F$20:F$177&lt;&gt;"",
ROW($20:$177)),$A13)),"")</f>
        <v/>
      </c>
      <c r="G13" s="167" t="str">
        <f t="array" ref="G13">IFERROR(INDEX(G:G,SMALL(IF(G$20:G$177&lt;&gt;"",
ROW($20:$177)),$A13)),"")</f>
        <v/>
      </c>
      <c r="H13" s="167"/>
      <c r="I13" s="167"/>
      <c r="J13" s="167"/>
      <c r="K13" s="167"/>
      <c r="L13" s="167" t="str">
        <f t="array" aca="1" ref="L13" ca="1">IFERROR(INDEX(L:L,SMALL(IF(L$20:L$177&lt;&gt;"",
ROW($20:$177)),$A13)),"")</f>
        <v/>
      </c>
      <c r="M13" s="167" t="str">
        <f t="array" ref="M13">IFERROR(INDEX(M:M,SMALL(IF(M$20:M$177&lt;&gt;"",
ROW($20:$177)),$A13)),"")</f>
        <v/>
      </c>
      <c r="N13" s="167" t="str">
        <f t="array" aca="1" ref="N13" ca="1">IFERROR(INDEX(N:N,SMALL(IF(N$20:N$177&lt;&gt;"",
ROW($20:$177)),$A13)),"")</f>
        <v/>
      </c>
      <c r="O13" s="167" t="str">
        <f t="array" ref="O13">IFERROR(INDEX(O:O,SMALL(IF(O$20:O$177&lt;&gt;"",
ROW($20:$177)),$A13)),"")</f>
        <v/>
      </c>
      <c r="P13" s="167" t="str">
        <f t="array" aca="1" ref="P13" ca="1">IFERROR(INDEX(P:P,SMALL(IF(P$20:P$177&lt;&gt;"",
ROW($20:$177)),$A13)),"")</f>
        <v/>
      </c>
      <c r="Q13" s="167" t="str">
        <f t="array" ref="Q13">IFERROR(INDEX(Q:Q,SMALL(IF(Q$20:Q$177&lt;&gt;"",
ROW($20:$177)),$A13)),"")</f>
        <v/>
      </c>
      <c r="R13" s="167" t="str">
        <f t="array" ref="R13">IFERROR(INDEX(R:R,SMALL(IF(R$20:R$177&lt;&gt;"",
ROW($20:$177)),$A13)),"")</f>
        <v/>
      </c>
      <c r="S13" s="167" t="str">
        <f t="array" aca="1" ref="S13" ca="1">IFERROR(INDEX(S:S,SMALL(IF(S$20:S$177&lt;&gt;"",
ROW($20:$177)),$A13)),"")</f>
        <v/>
      </c>
      <c r="T13" s="799" t="str">
        <f t="array" aca="1" ref="T13" ca="1">IFERROR(INDEX(T:T,SMALL(IF(T$20:T$177&lt;&gt;"",
ROW($20:$177)),$A13)),"")</f>
        <v/>
      </c>
      <c r="U13" s="799" t="str">
        <f t="array" ref="U13">IFERROR(INDEX(U:U,SMALL(IF(U$20:U$177&lt;&gt;"",
ROW($20:$177)),$A13)),"")</f>
        <v/>
      </c>
      <c r="V13" s="799" t="str">
        <f t="array" ref="V13">IFERROR(INDEX(V:V,SMALL(IF(V$20:V$177&lt;&gt;"",
ROW($20:$177)),$A13)),"")</f>
        <v/>
      </c>
      <c r="W13" s="799" t="str">
        <f t="array" aca="1" ref="W13" ca="1">IFERROR(INDEX(W:W,SMALL(IF(W$20:W$177&lt;&gt;"",
ROW($20:$177)),$A13)),"")</f>
        <v/>
      </c>
    </row>
    <row r="14" spans="1:23" ht="49.95" customHeight="1">
      <c r="A14">
        <f t="shared" si="0"/>
        <v>12</v>
      </c>
      <c r="B14" s="167"/>
      <c r="C14" s="167"/>
      <c r="D14" s="167" t="str">
        <f t="array" aca="1" ref="D14" ca="1">IFERROR(INDEX(D:D,SMALL(IF(D$20:D$177&lt;&gt;"",
ROW($20:$177)),$A14)),"")</f>
        <v/>
      </c>
      <c r="E14" s="167" t="str">
        <f t="array" ref="E14">IFERROR(INDEX(E:E,SMALL(IF(E$20:E$177&lt;&gt;"",
ROW($20:$177)),$A14)),"")</f>
        <v/>
      </c>
      <c r="F14" s="167" t="str">
        <f t="array" aca="1" ref="F14" ca="1">IFERROR(INDEX(F:F,SMALL(IF(F$20:F$177&lt;&gt;"",
ROW($20:$177)),$A14)),"")</f>
        <v/>
      </c>
      <c r="G14" s="167" t="str">
        <f t="array" ref="G14">IFERROR(INDEX(G:G,SMALL(IF(G$20:G$177&lt;&gt;"",
ROW($20:$177)),$A14)),"")</f>
        <v/>
      </c>
      <c r="H14" s="167"/>
      <c r="I14" s="167"/>
      <c r="J14" s="167"/>
      <c r="K14" s="167"/>
      <c r="L14" s="167" t="str">
        <f t="array" aca="1" ref="L14" ca="1">IFERROR(INDEX(L:L,SMALL(IF(L$20:L$177&lt;&gt;"",
ROW($20:$177)),$A14)),"")</f>
        <v/>
      </c>
      <c r="M14" s="167" t="str">
        <f t="array" ref="M14">IFERROR(INDEX(M:M,SMALL(IF(M$20:M$177&lt;&gt;"",
ROW($20:$177)),$A14)),"")</f>
        <v/>
      </c>
      <c r="N14" s="167" t="str">
        <f t="array" aca="1" ref="N14" ca="1">IFERROR(INDEX(N:N,SMALL(IF(N$20:N$177&lt;&gt;"",
ROW($20:$177)),$A14)),"")</f>
        <v/>
      </c>
      <c r="O14" s="167" t="str">
        <f t="array" ref="O14">IFERROR(INDEX(O:O,SMALL(IF(O$20:O$177&lt;&gt;"",
ROW($20:$177)),$A14)),"")</f>
        <v/>
      </c>
      <c r="P14" s="167" t="str">
        <f t="array" aca="1" ref="P14" ca="1">IFERROR(INDEX(P:P,SMALL(IF(P$20:P$177&lt;&gt;"",
ROW($20:$177)),$A14)),"")</f>
        <v/>
      </c>
      <c r="Q14" s="167" t="str">
        <f t="array" ref="Q14">IFERROR(INDEX(Q:Q,SMALL(IF(Q$20:Q$177&lt;&gt;"",
ROW($20:$177)),$A14)),"")</f>
        <v/>
      </c>
      <c r="R14" s="167" t="str">
        <f t="array" ref="R14">IFERROR(INDEX(R:R,SMALL(IF(R$20:R$177&lt;&gt;"",
ROW($20:$177)),$A14)),"")</f>
        <v/>
      </c>
      <c r="S14" s="167" t="str">
        <f t="array" aca="1" ref="S14" ca="1">IFERROR(INDEX(S:S,SMALL(IF(S$20:S$177&lt;&gt;"",
ROW($20:$177)),$A14)),"")</f>
        <v/>
      </c>
      <c r="T14" s="799" t="str">
        <f t="array" aca="1" ref="T14" ca="1">IFERROR(INDEX(T:T,SMALL(IF(T$20:T$177&lt;&gt;"",
ROW($20:$177)),$A14)),"")</f>
        <v/>
      </c>
      <c r="U14" s="799" t="str">
        <f t="array" ref="U14">IFERROR(INDEX(U:U,SMALL(IF(U$20:U$177&lt;&gt;"",
ROW($20:$177)),$A14)),"")</f>
        <v/>
      </c>
      <c r="V14" s="799" t="str">
        <f t="array" ref="V14">IFERROR(INDEX(V:V,SMALL(IF(V$20:V$177&lt;&gt;"",
ROW($20:$177)),$A14)),"")</f>
        <v/>
      </c>
      <c r="W14" s="799" t="str">
        <f t="array" aca="1" ref="W14" ca="1">IFERROR(INDEX(W:W,SMALL(IF(W$20:W$177&lt;&gt;"",
ROW($20:$177)),$A14)),"")</f>
        <v/>
      </c>
    </row>
    <row r="15" spans="1:23" ht="49.95" customHeight="1">
      <c r="A15">
        <f t="shared" si="0"/>
        <v>13</v>
      </c>
      <c r="B15" s="167"/>
      <c r="C15" s="167"/>
      <c r="D15" s="167" t="str">
        <f t="array" aca="1" ref="D15" ca="1">IFERROR(INDEX(D:D,SMALL(IF(D$20:D$177&lt;&gt;"",
ROW($20:$177)),$A15)),"")</f>
        <v/>
      </c>
      <c r="E15" s="167" t="str">
        <f t="array" ref="E15">IFERROR(INDEX(E:E,SMALL(IF(E$20:E$177&lt;&gt;"",
ROW($20:$177)),$A15)),"")</f>
        <v/>
      </c>
      <c r="F15" s="167" t="str">
        <f t="array" aca="1" ref="F15" ca="1">IFERROR(INDEX(F:F,SMALL(IF(F$20:F$177&lt;&gt;"",
ROW($20:$177)),$A15)),"")</f>
        <v/>
      </c>
      <c r="G15" s="167" t="str">
        <f t="array" ref="G15">IFERROR(INDEX(G:G,SMALL(IF(G$20:G$177&lt;&gt;"",
ROW($20:$177)),$A15)),"")</f>
        <v/>
      </c>
      <c r="H15" s="167"/>
      <c r="I15" s="167"/>
      <c r="J15" s="167"/>
      <c r="K15" s="167"/>
      <c r="L15" s="167" t="str">
        <f t="array" aca="1" ref="L15" ca="1">IFERROR(INDEX(L:L,SMALL(IF(L$20:L$177&lt;&gt;"",
ROW($20:$177)),$A15)),"")</f>
        <v/>
      </c>
      <c r="M15" s="167" t="str">
        <f t="array" ref="M15">IFERROR(INDEX(M:M,SMALL(IF(M$20:M$177&lt;&gt;"",
ROW($20:$177)),$A15)),"")</f>
        <v/>
      </c>
      <c r="N15" s="167" t="str">
        <f t="array" aca="1" ref="N15" ca="1">IFERROR(INDEX(N:N,SMALL(IF(N$20:N$177&lt;&gt;"",
ROW($20:$177)),$A15)),"")</f>
        <v/>
      </c>
      <c r="O15" s="167" t="str">
        <f t="array" ref="O15">IFERROR(INDEX(O:O,SMALL(IF(O$20:O$177&lt;&gt;"",
ROW($20:$177)),$A15)),"")</f>
        <v/>
      </c>
      <c r="P15" s="167" t="str">
        <f t="array" aca="1" ref="P15" ca="1">IFERROR(INDEX(P:P,SMALL(IF(P$20:P$177&lt;&gt;"",
ROW($20:$177)),$A15)),"")</f>
        <v/>
      </c>
      <c r="Q15" s="167" t="str">
        <f t="array" ref="Q15">IFERROR(INDEX(Q:Q,SMALL(IF(Q$20:Q$177&lt;&gt;"",
ROW($20:$177)),$A15)),"")</f>
        <v/>
      </c>
      <c r="R15" s="167" t="str">
        <f t="array" ref="R15">IFERROR(INDEX(R:R,SMALL(IF(R$20:R$177&lt;&gt;"",
ROW($20:$177)),$A15)),"")</f>
        <v/>
      </c>
      <c r="S15" s="167" t="str">
        <f t="array" aca="1" ref="S15" ca="1">IFERROR(INDEX(S:S,SMALL(IF(S$20:S$177&lt;&gt;"",
ROW($20:$177)),$A15)),"")</f>
        <v/>
      </c>
      <c r="T15" s="799" t="str">
        <f t="array" aca="1" ref="T15" ca="1">IFERROR(INDEX(T:T,SMALL(IF(T$20:T$177&lt;&gt;"",
ROW($20:$177)),$A15)),"")</f>
        <v/>
      </c>
      <c r="U15" s="799" t="str">
        <f t="array" ref="U15">IFERROR(INDEX(U:U,SMALL(IF(U$20:U$177&lt;&gt;"",
ROW($20:$177)),$A15)),"")</f>
        <v/>
      </c>
      <c r="V15" s="799" t="str">
        <f t="array" ref="V15">IFERROR(INDEX(V:V,SMALL(IF(V$20:V$177&lt;&gt;"",
ROW($20:$177)),$A15)),"")</f>
        <v/>
      </c>
      <c r="W15" s="799" t="str">
        <f t="array" aca="1" ref="W15" ca="1">IFERROR(INDEX(W:W,SMALL(IF(W$20:W$177&lt;&gt;"",
ROW($20:$177)),$A15)),"")</f>
        <v/>
      </c>
    </row>
    <row r="16" spans="1:23" ht="49.95" customHeight="1">
      <c r="A16">
        <f t="shared" si="0"/>
        <v>14</v>
      </c>
      <c r="B16" s="167"/>
      <c r="C16" s="167"/>
      <c r="D16" s="167" t="str">
        <f t="array" aca="1" ref="D16" ca="1">IFERROR(INDEX(D:D,SMALL(IF(D$20:D$177&lt;&gt;"",
ROW($20:$177)),$A16)),"")</f>
        <v/>
      </c>
      <c r="E16" s="167" t="str">
        <f t="array" ref="E16">IFERROR(INDEX(E:E,SMALL(IF(E$20:E$177&lt;&gt;"",
ROW($20:$177)),$A16)),"")</f>
        <v/>
      </c>
      <c r="F16" s="167" t="str">
        <f t="array" aca="1" ref="F16" ca="1">IFERROR(INDEX(F:F,SMALL(IF(F$20:F$177&lt;&gt;"",
ROW($20:$177)),$A16)),"")</f>
        <v/>
      </c>
      <c r="G16" s="167" t="str">
        <f t="array" ref="G16">IFERROR(INDEX(G:G,SMALL(IF(G$20:G$177&lt;&gt;"",
ROW($20:$177)),$A16)),"")</f>
        <v/>
      </c>
      <c r="H16" s="167"/>
      <c r="I16" s="167"/>
      <c r="J16" s="167"/>
      <c r="K16" s="167"/>
      <c r="L16" s="167" t="str">
        <f t="array" aca="1" ref="L16" ca="1">IFERROR(INDEX(L:L,SMALL(IF(L$20:L$177&lt;&gt;"",
ROW($20:$177)),$A16)),"")</f>
        <v/>
      </c>
      <c r="M16" s="167" t="str">
        <f t="array" ref="M16">IFERROR(INDEX(M:M,SMALL(IF(M$20:M$177&lt;&gt;"",
ROW($20:$177)),$A16)),"")</f>
        <v/>
      </c>
      <c r="N16" s="167" t="str">
        <f t="array" aca="1" ref="N16" ca="1">IFERROR(INDEX(N:N,SMALL(IF(N$20:N$177&lt;&gt;"",
ROW($20:$177)),$A16)),"")</f>
        <v/>
      </c>
      <c r="O16" s="167" t="str">
        <f t="array" ref="O16">IFERROR(INDEX(O:O,SMALL(IF(O$20:O$177&lt;&gt;"",
ROW($20:$177)),$A16)),"")</f>
        <v/>
      </c>
      <c r="P16" s="167" t="str">
        <f t="array" aca="1" ref="P16" ca="1">IFERROR(INDEX(P:P,SMALL(IF(P$20:P$177&lt;&gt;"",
ROW($20:$177)),$A16)),"")</f>
        <v/>
      </c>
      <c r="Q16" s="167" t="str">
        <f t="array" ref="Q16">IFERROR(INDEX(Q:Q,SMALL(IF(Q$20:Q$177&lt;&gt;"",
ROW($20:$177)),$A16)),"")</f>
        <v/>
      </c>
      <c r="R16" s="167" t="str">
        <f t="array" ref="R16">IFERROR(INDEX(R:R,SMALL(IF(R$20:R$177&lt;&gt;"",
ROW($20:$177)),$A16)),"")</f>
        <v/>
      </c>
      <c r="S16" s="167" t="str">
        <f t="array" aca="1" ref="S16" ca="1">IFERROR(INDEX(S:S,SMALL(IF(S$20:S$177&lt;&gt;"",
ROW($20:$177)),$A16)),"")</f>
        <v/>
      </c>
      <c r="T16" s="799" t="str">
        <f t="array" aca="1" ref="T16" ca="1">IFERROR(INDEX(T:T,SMALL(IF(T$20:T$177&lt;&gt;"",
ROW($20:$177)),$A16)),"")</f>
        <v/>
      </c>
      <c r="U16" s="799" t="str">
        <f t="array" ref="U16">IFERROR(INDEX(U:U,SMALL(IF(U$20:U$177&lt;&gt;"",
ROW($20:$177)),$A16)),"")</f>
        <v/>
      </c>
      <c r="V16" s="799" t="str">
        <f t="array" ref="V16">IFERROR(INDEX(V:V,SMALL(IF(V$20:V$177&lt;&gt;"",
ROW($20:$177)),$A16)),"")</f>
        <v/>
      </c>
      <c r="W16" s="799" t="str">
        <f t="array" aca="1" ref="W16" ca="1">IFERROR(INDEX(W:W,SMALL(IF(W$20:W$177&lt;&gt;"",
ROW($20:$177)),$A16)),"")</f>
        <v/>
      </c>
    </row>
    <row r="17" spans="1:23" ht="49.95" customHeight="1">
      <c r="A17">
        <f t="shared" si="0"/>
        <v>15</v>
      </c>
      <c r="B17" s="167"/>
      <c r="C17" s="167"/>
      <c r="D17" s="167" t="str">
        <f t="array" aca="1" ref="D17" ca="1">IFERROR(INDEX(D:D,SMALL(IF(D$20:D$177&lt;&gt;"",
ROW($20:$177)),$A17)),"")</f>
        <v/>
      </c>
      <c r="E17" s="167" t="str">
        <f t="array" ref="E17">IFERROR(INDEX(E:E,SMALL(IF(E$20:E$177&lt;&gt;"",
ROW($20:$177)),$A17)),"")</f>
        <v/>
      </c>
      <c r="F17" s="167" t="str">
        <f t="array" aca="1" ref="F17" ca="1">IFERROR(INDEX(F:F,SMALL(IF(F$20:F$177&lt;&gt;"",
ROW($20:$177)),$A17)),"")</f>
        <v/>
      </c>
      <c r="G17" s="167" t="str">
        <f t="array" ref="G17">IFERROR(INDEX(G:G,SMALL(IF(G$20:G$177&lt;&gt;"",
ROW($20:$177)),$A17)),"")</f>
        <v/>
      </c>
      <c r="H17" s="167"/>
      <c r="I17" s="167"/>
      <c r="J17" s="167"/>
      <c r="K17" s="167"/>
      <c r="L17" s="167" t="str">
        <f t="array" aca="1" ref="L17" ca="1">IFERROR(INDEX(L:L,SMALL(IF(L$20:L$177&lt;&gt;"",
ROW($20:$177)),$A17)),"")</f>
        <v/>
      </c>
      <c r="M17" s="167" t="str">
        <f t="array" ref="M17">IFERROR(INDEX(M:M,SMALL(IF(M$20:M$177&lt;&gt;"",
ROW($20:$177)),$A17)),"")</f>
        <v/>
      </c>
      <c r="N17" s="167" t="str">
        <f t="array" aca="1" ref="N17" ca="1">IFERROR(INDEX(N:N,SMALL(IF(N$20:N$177&lt;&gt;"",
ROW($20:$177)),$A17)),"")</f>
        <v/>
      </c>
      <c r="O17" s="167" t="str">
        <f t="array" ref="O17">IFERROR(INDEX(O:O,SMALL(IF(O$20:O$177&lt;&gt;"",
ROW($20:$177)),$A17)),"")</f>
        <v/>
      </c>
      <c r="P17" s="167" t="str">
        <f t="array" aca="1" ref="P17" ca="1">IFERROR(INDEX(P:P,SMALL(IF(P$20:P$177&lt;&gt;"",
ROW($20:$177)),$A17)),"")</f>
        <v/>
      </c>
      <c r="Q17" s="167" t="str">
        <f t="array" ref="Q17">IFERROR(INDEX(Q:Q,SMALL(IF(Q$20:Q$177&lt;&gt;"",
ROW($20:$177)),$A17)),"")</f>
        <v/>
      </c>
      <c r="R17" s="167" t="str">
        <f t="array" ref="R17">IFERROR(INDEX(R:R,SMALL(IF(R$20:R$177&lt;&gt;"",
ROW($20:$177)),$A17)),"")</f>
        <v/>
      </c>
      <c r="S17" s="167" t="str">
        <f t="array" aca="1" ref="S17" ca="1">IFERROR(INDEX(S:S,SMALL(IF(S$20:S$177&lt;&gt;"",
ROW($20:$177)),$A17)),"")</f>
        <v/>
      </c>
      <c r="T17" s="799" t="str">
        <f t="array" aca="1" ref="T17" ca="1">IFERROR(INDEX(T:T,SMALL(IF(T$20:T$177&lt;&gt;"",
ROW($20:$177)),$A17)),"")</f>
        <v/>
      </c>
      <c r="U17" s="799" t="str">
        <f t="array" ref="U17">IFERROR(INDEX(U:U,SMALL(IF(U$20:U$177&lt;&gt;"",
ROW($20:$177)),$A17)),"")</f>
        <v/>
      </c>
      <c r="V17" s="799" t="str">
        <f t="array" ref="V17">IFERROR(INDEX(V:V,SMALL(IF(V$20:V$177&lt;&gt;"",
ROW($20:$177)),$A17)),"")</f>
        <v/>
      </c>
      <c r="W17" s="799" t="str">
        <f t="array" aca="1" ref="W17" ca="1">IFERROR(INDEX(W:W,SMALL(IF(W$20:W$177&lt;&gt;"",
ROW($20:$177)),$A17)),"")</f>
        <v/>
      </c>
    </row>
    <row r="18" spans="1:23" ht="20.25" customHeight="1">
      <c r="B18" s="23"/>
      <c r="C18" s="23"/>
      <c r="D18" s="23"/>
      <c r="E18" s="23"/>
      <c r="F18" s="23"/>
      <c r="G18" s="23"/>
      <c r="H18" s="23"/>
      <c r="I18" s="23"/>
      <c r="J18" s="23"/>
      <c r="K18" s="23"/>
      <c r="L18" s="23"/>
      <c r="M18" s="23"/>
      <c r="N18" s="23"/>
      <c r="O18" s="23"/>
    </row>
    <row r="19" spans="1:23" ht="20.25" customHeight="1">
      <c r="A19" s="168"/>
      <c r="B19" s="168" t="s">
        <v>2420</v>
      </c>
      <c r="C19" s="168" t="s">
        <v>3092</v>
      </c>
      <c r="D19" s="168" t="s">
        <v>2420</v>
      </c>
      <c r="E19" s="168" t="s">
        <v>3092</v>
      </c>
      <c r="F19" s="168" t="s">
        <v>2420</v>
      </c>
      <c r="G19" s="168" t="s">
        <v>3092</v>
      </c>
      <c r="H19" s="168" t="s">
        <v>2420</v>
      </c>
      <c r="I19" s="168" t="s">
        <v>3092</v>
      </c>
      <c r="J19" s="168" t="s">
        <v>2420</v>
      </c>
      <c r="K19" s="168" t="s">
        <v>3092</v>
      </c>
      <c r="L19" s="168" t="s">
        <v>2420</v>
      </c>
      <c r="M19" s="168" t="s">
        <v>3092</v>
      </c>
      <c r="N19" s="168" t="s">
        <v>2420</v>
      </c>
      <c r="O19" s="168" t="s">
        <v>3092</v>
      </c>
      <c r="P19" s="168" t="s">
        <v>2420</v>
      </c>
      <c r="Q19" s="168" t="s">
        <v>3092</v>
      </c>
      <c r="R19" s="168" t="s">
        <v>2420</v>
      </c>
      <c r="S19" s="168" t="s">
        <v>3092</v>
      </c>
      <c r="T19" s="625" t="s">
        <v>2420</v>
      </c>
      <c r="U19" s="625" t="s">
        <v>3092</v>
      </c>
      <c r="V19" s="625" t="s">
        <v>2420</v>
      </c>
      <c r="W19" s="625" t="s">
        <v>3092</v>
      </c>
    </row>
    <row r="20" spans="1:23" ht="20.25" customHeight="1">
      <c r="A20" s="168" t="str">
        <f>Fragenkatalog!B7</f>
        <v>Stamm-Daten1</v>
      </c>
      <c r="D20" t="str">
        <f>LEFT(IFERROR(INDEX(Fragenkatalog!$BR7,MATCH('Referral Stati'!$D$19,Fragenkatalog!AU7,0)),""),250)</f>
        <v/>
      </c>
      <c r="E20" s="19" t="str">
        <f>LEFT(IFERROR(INDEX(Fragenkatalog!$BR7,MATCH('Referral Stati'!$E$19,Fragenkatalog!AV7,0)),""),250)</f>
        <v/>
      </c>
      <c r="F20" s="19" t="str">
        <f>LEFT(IFERROR(INDEX(Fragenkatalog!$BR7,MATCH('Referral Stati'!$F$19,Fragenkatalog!AO7,0)),""),250)</f>
        <v/>
      </c>
      <c r="G20" t="str">
        <f>LEFT(IFERROR(INDEX(Fragenkatalog!$BR7,MATCH('Referral Stati'!$G$19,Fragenkatalog!AP7,0)),""),250)</f>
        <v/>
      </c>
      <c r="J20" s="19" t="str">
        <f t="array" ref="J20">LEFT(IFERROR(INDEX(Fragenkatalog!BR7,MATCH('Referral Stati'!$J$19,Fragenkatalog!W7,0)),""),250)</f>
        <v/>
      </c>
      <c r="K20" t="str">
        <f t="array" ref="K20">LEFT(IFERROR(INDEX(Fragenkatalog!BR7,MATCH('Referral Stati'!$K$19,Fragenkatalog!X7,0)),""),250)</f>
        <v/>
      </c>
      <c r="L20" s="19" t="str">
        <f>LEFT(IFERROR(INDEX(Fragenkatalog!$BR7,MATCH('Referral Stati'!$L$19,Fragenkatalog!Q7,0)),""),250)</f>
        <v/>
      </c>
      <c r="M20" s="19" t="str">
        <f>LEFT(IFERROR(INDEX(Fragenkatalog!$BR7,MATCH('Referral Stati'!$M$19,Fragenkatalog!R7,0)),""),250)</f>
        <v/>
      </c>
      <c r="N20" s="19" t="str">
        <f>LEFT(IFERROR(INDEX(Fragenkatalog!$BR7,MATCH('Referral Stati'!$N$19,Fragenkatalog!AI7,0)),""),250)</f>
        <v/>
      </c>
      <c r="O20" t="str">
        <f>LEFT(IFERROR(INDEX(Fragenkatalog!$BR7,MATCH('Referral Stati'!$O$19,Fragenkatalog!AJ7,0)),""),250)</f>
        <v/>
      </c>
      <c r="P20" s="19" t="str">
        <f>LEFT(IFERROR(INDEX(Fragenkatalog!$BR7,MATCH('Referral Stati'!$P$19,Fragenkatalog!AC7,0)),""),250)</f>
        <v/>
      </c>
      <c r="Q20" s="19" t="str">
        <f>LEFT(IFERROR(INDEX(Fragenkatalog!$BR7,MATCH('Referral Stati'!$Q$19,Fragenkatalog!AD7,0)),""),250)</f>
        <v/>
      </c>
      <c r="R20" t="str">
        <f>LEFT(IFERROR(INDEX(Fragenkatalog!$BR7,MATCH('Referral Stati'!$R$19,Fragenkatalog!BA7,0)),""),250)</f>
        <v/>
      </c>
      <c r="S20" t="str">
        <f>LEFT(IFERROR(INDEX(Fragenkatalog!$BR7,MATCH('Referral Stati'!$S$19,Fragenkatalog!BB7,0)),""),250)</f>
        <v/>
      </c>
      <c r="T20" t="str">
        <f>LEFT(IFERROR(INDEX(Fragenkatalog!$BR7,MATCH('Referral Stati'!$T$19,Fragenkatalog!BG7,0)),""),250)</f>
        <v/>
      </c>
      <c r="U20" t="str">
        <f>LEFT(IFERROR(INDEX(Fragenkatalog!$BR7,MATCH('Referral Stati'!$U$19,Fragenkatalog!BH7,0)),""),250)</f>
        <v/>
      </c>
      <c r="V20" t="str">
        <f>LEFT(IFERROR(INDEX(Fragenkatalog!$BR7,MATCH('Referral Stati'!$V$19,Fragenkatalog!BM7,0)),""),250)</f>
        <v/>
      </c>
      <c r="W20" t="str">
        <f>LEFT(IFERROR(INDEX(Fragenkatalog!$BR7,MATCH('Referral Stati'!$U$19,Fragenkatalog!BN7,0)),""),250)</f>
        <v/>
      </c>
    </row>
    <row r="21" spans="1:23" ht="20.25" customHeight="1">
      <c r="A21" s="168" t="str">
        <f>Fragenkatalog!B8</f>
        <v>StammDaten2</v>
      </c>
      <c r="D21" t="str">
        <f>LEFT(IFERROR(INDEX(Fragenkatalog!$BR8,MATCH('Referral Stati'!$D$19,Fragenkatalog!AU8,0)),""),250)</f>
        <v/>
      </c>
      <c r="E21" s="19" t="str">
        <f>LEFT(IFERROR(INDEX(Fragenkatalog!$BR8,MATCH('Referral Stati'!$E$19,Fragenkatalog!AV8,0)),""),250)</f>
        <v/>
      </c>
      <c r="F21" s="19" t="str">
        <f>LEFT(IFERROR(INDEX(Fragenkatalog!$BR8,MATCH('Referral Stati'!$F$19,Fragenkatalog!AO8,0)),""),250)</f>
        <v/>
      </c>
      <c r="G21" t="str">
        <f>LEFT(IFERROR(INDEX(Fragenkatalog!$BR8,MATCH('Referral Stati'!$G$19,Fragenkatalog!AP8,0)),""),250)</f>
        <v/>
      </c>
      <c r="J21" t="str">
        <f t="array" ref="J21">LEFT(IFERROR(INDEX(Fragenkatalog!BR8,MATCH('Referral Stati'!$J$19,Fragenkatalog!W8,0)),""),250)</f>
        <v/>
      </c>
      <c r="K21" t="str">
        <f t="array" ref="K21">LEFT(IFERROR(INDEX(Fragenkatalog!BR8,MATCH('Referral Stati'!$K$19,Fragenkatalog!X8,0)),""),250)</f>
        <v/>
      </c>
      <c r="L21" s="19" t="str">
        <f>LEFT(IFERROR(INDEX(Fragenkatalog!$BR8,MATCH('Referral Stati'!$L$19,Fragenkatalog!Q8,0)),""),250)</f>
        <v/>
      </c>
      <c r="M21" s="19" t="str">
        <f>LEFT(IFERROR(INDEX(Fragenkatalog!$BR8,MATCH('Referral Stati'!$M$19,Fragenkatalog!R8,0)),""),250)</f>
        <v/>
      </c>
      <c r="N21" s="19" t="str">
        <f>LEFT(IFERROR(INDEX(Fragenkatalog!$BR8,MATCH('Referral Stati'!$N$19,Fragenkatalog!AI8,0)),""),250)</f>
        <v/>
      </c>
      <c r="O21" t="str">
        <f>LEFT(IFERROR(INDEX(Fragenkatalog!$BR8,MATCH('Referral Stati'!$O$19,Fragenkatalog!AJ8,0)),""),250)</f>
        <v/>
      </c>
      <c r="P21" s="19" t="str">
        <f>LEFT(IFERROR(INDEX(Fragenkatalog!$BR8,MATCH('Referral Stati'!$P$19,Fragenkatalog!AC8,0)),""),250)</f>
        <v/>
      </c>
      <c r="Q21" s="19" t="str">
        <f>LEFT(IFERROR(INDEX(Fragenkatalog!$BR8,MATCH('Referral Stati'!$Q$19,Fragenkatalog!AD8,0)),""),250)</f>
        <v/>
      </c>
      <c r="R21" t="str">
        <f>LEFT(IFERROR(INDEX(Fragenkatalog!$BR8,MATCH('Referral Stati'!$R$19,Fragenkatalog!BA8,0)),""),250)</f>
        <v/>
      </c>
      <c r="S21" t="str">
        <f>LEFT(IFERROR(INDEX(Fragenkatalog!$BR8,MATCH('Referral Stati'!$S$19,Fragenkatalog!BB8,0)),""),250)</f>
        <v/>
      </c>
      <c r="T21" t="str">
        <f>LEFT(IFERROR(INDEX(Fragenkatalog!$BR8,MATCH('Referral Stati'!$T$19,Fragenkatalog!BG8,0)),""),250)</f>
        <v/>
      </c>
      <c r="U21" t="str">
        <f>LEFT(IFERROR(INDEX(Fragenkatalog!$BR8,MATCH('Referral Stati'!$U$19,Fragenkatalog!BH8,0)),""),250)</f>
        <v/>
      </c>
      <c r="V21" t="str">
        <f>LEFT(IFERROR(INDEX(Fragenkatalog!$BR8,MATCH('Referral Stati'!$V$19,Fragenkatalog!BM8,0)),""),250)</f>
        <v/>
      </c>
      <c r="W21" t="str">
        <f>LEFT(IFERROR(INDEX(Fragenkatalog!$BR8,MATCH('Referral Stati'!$U$19,Fragenkatalog!BN8,0)),""),250)</f>
        <v/>
      </c>
    </row>
    <row r="22" spans="1:23" ht="20.25" customHeight="1">
      <c r="A22" s="168" t="str">
        <f>Fragenkatalog!B9</f>
        <v>StammDaten10</v>
      </c>
      <c r="D22" t="str">
        <f>LEFT(IFERROR(INDEX(Fragenkatalog!$BR9,MATCH('Referral Stati'!$D$19,Fragenkatalog!AU9,0)),""),250)</f>
        <v/>
      </c>
      <c r="E22" s="19" t="str">
        <f>LEFT(IFERROR(INDEX(Fragenkatalog!$BR9,MATCH('Referral Stati'!$E$19,Fragenkatalog!AV9,0)),""),250)</f>
        <v/>
      </c>
      <c r="F22" s="19" t="str">
        <f>LEFT(IFERROR(INDEX(Fragenkatalog!$BR9,MATCH('Referral Stati'!$F$19,Fragenkatalog!AO9,0)),""),250)</f>
        <v/>
      </c>
      <c r="G22" t="str">
        <f>LEFT(IFERROR(INDEX(Fragenkatalog!$BR9,MATCH('Referral Stati'!$G$19,Fragenkatalog!AP9,0)),""),250)</f>
        <v/>
      </c>
      <c r="J22" t="str">
        <f t="array" ref="J22">LEFT(IFERROR(INDEX(Fragenkatalog!BR9,MATCH('Referral Stati'!$J$19,Fragenkatalog!W9,0)),""),250)</f>
        <v/>
      </c>
      <c r="K22" t="str">
        <f t="array" ref="K22">LEFT(IFERROR(INDEX(Fragenkatalog!BR9,MATCH('Referral Stati'!$K$19,Fragenkatalog!X9,0)),""),250)</f>
        <v/>
      </c>
      <c r="L22" s="19" t="str">
        <f>LEFT(IFERROR(INDEX(Fragenkatalog!$BR9,MATCH('Referral Stati'!$L$19,Fragenkatalog!Q9,0)),""),250)</f>
        <v/>
      </c>
      <c r="M22" s="19" t="str">
        <f>LEFT(IFERROR(INDEX(Fragenkatalog!$BR9,MATCH('Referral Stati'!$M$19,Fragenkatalog!R9,0)),""),250)</f>
        <v/>
      </c>
      <c r="N22" s="19" t="str">
        <f>LEFT(IFERROR(INDEX(Fragenkatalog!$BR9,MATCH('Referral Stati'!$N$19,Fragenkatalog!AI9,0)),""),250)</f>
        <v/>
      </c>
      <c r="O22" t="str">
        <f>LEFT(IFERROR(INDEX(Fragenkatalog!$BR9,MATCH('Referral Stati'!$O$19,Fragenkatalog!AJ9,0)),""),250)</f>
        <v/>
      </c>
      <c r="P22" s="19" t="str">
        <f>LEFT(IFERROR(INDEX(Fragenkatalog!$BR9,MATCH('Referral Stati'!$P$19,Fragenkatalog!AC9,0)),""),250)</f>
        <v/>
      </c>
      <c r="Q22" s="19" t="str">
        <f>LEFT(IFERROR(INDEX(Fragenkatalog!$BR9,MATCH('Referral Stati'!$Q$19,Fragenkatalog!AD9,0)),""),250)</f>
        <v/>
      </c>
      <c r="R22" t="str">
        <f>LEFT(IFERROR(INDEX(Fragenkatalog!$BR9,MATCH('Referral Stati'!$R$19,Fragenkatalog!BA9,0)),""),250)</f>
        <v/>
      </c>
      <c r="S22" t="str">
        <f>LEFT(IFERROR(INDEX(Fragenkatalog!$BR9,MATCH('Referral Stati'!$S$19,Fragenkatalog!BB9,0)),""),250)</f>
        <v/>
      </c>
      <c r="T22" t="str">
        <f>LEFT(IFERROR(INDEX(Fragenkatalog!$BR9,MATCH('Referral Stati'!$T$19,Fragenkatalog!BG9,0)),""),250)</f>
        <v/>
      </c>
      <c r="U22" t="str">
        <f>LEFT(IFERROR(INDEX(Fragenkatalog!$BR9,MATCH('Referral Stati'!$U$19,Fragenkatalog!BH9,0)),""),250)</f>
        <v/>
      </c>
      <c r="V22" t="str">
        <f>LEFT(IFERROR(INDEX(Fragenkatalog!$BR9,MATCH('Referral Stati'!$V$19,Fragenkatalog!BM9,0)),""),250)</f>
        <v/>
      </c>
      <c r="W22" t="str">
        <f>LEFT(IFERROR(INDEX(Fragenkatalog!$BR9,MATCH('Referral Stati'!$U$19,Fragenkatalog!BN9,0)),""),250)</f>
        <v/>
      </c>
    </row>
    <row r="23" spans="1:23" ht="20.25" customHeight="1">
      <c r="A23" s="168" t="str">
        <f>Fragenkatalog!B10</f>
        <v>StammDaten901</v>
      </c>
      <c r="D23" t="str">
        <f>LEFT(IFERROR(INDEX(Fragenkatalog!$BR10,MATCH('Referral Stati'!$D$19,Fragenkatalog!AU10,0)),""),250)</f>
        <v/>
      </c>
      <c r="E23" s="19" t="str">
        <f>LEFT(IFERROR(INDEX(Fragenkatalog!$BR10,MATCH('Referral Stati'!$E$19,Fragenkatalog!AV10,0)),""),250)</f>
        <v/>
      </c>
      <c r="F23" s="19" t="str">
        <f>LEFT(IFERROR(INDEX(Fragenkatalog!$BR10,MATCH('Referral Stati'!$F$19,Fragenkatalog!AO10,0)),""),250)</f>
        <v/>
      </c>
      <c r="G23" t="str">
        <f>LEFT(IFERROR(INDEX(Fragenkatalog!$BR10,MATCH('Referral Stati'!$G$19,Fragenkatalog!AP10,0)),""),250)</f>
        <v/>
      </c>
      <c r="J23" t="str">
        <f t="array" ref="J23">LEFT(IFERROR(INDEX(Fragenkatalog!BR10,MATCH('Referral Stati'!$J$19,Fragenkatalog!W10,0)),""),250)</f>
        <v/>
      </c>
      <c r="K23" t="str">
        <f t="array" ref="K23">LEFT(IFERROR(INDEX(Fragenkatalog!BR10,MATCH('Referral Stati'!$K$19,Fragenkatalog!X10,0)),""),250)</f>
        <v/>
      </c>
      <c r="L23" s="19" t="str">
        <f>LEFT(IFERROR(INDEX(Fragenkatalog!$BR10,MATCH('Referral Stati'!$L$19,Fragenkatalog!Q10,0)),""),250)</f>
        <v/>
      </c>
      <c r="M23" s="19" t="str">
        <f>LEFT(IFERROR(INDEX(Fragenkatalog!$BR10,MATCH('Referral Stati'!$M$19,Fragenkatalog!R10,0)),""),250)</f>
        <v/>
      </c>
      <c r="N23" s="19" t="str">
        <f>LEFT(IFERROR(INDEX(Fragenkatalog!$BR10,MATCH('Referral Stati'!$N$19,Fragenkatalog!AI10,0)),""),250)</f>
        <v/>
      </c>
      <c r="O23" t="str">
        <f>LEFT(IFERROR(INDEX(Fragenkatalog!$BR10,MATCH('Referral Stati'!$O$19,Fragenkatalog!AJ10,0)),""),250)</f>
        <v/>
      </c>
      <c r="P23" s="19" t="str">
        <f>LEFT(IFERROR(INDEX(Fragenkatalog!$BR10,MATCH('Referral Stati'!$P$19,Fragenkatalog!AC10,0)),""),250)</f>
        <v/>
      </c>
      <c r="Q23" s="19" t="str">
        <f>LEFT(IFERROR(INDEX(Fragenkatalog!$BR10,MATCH('Referral Stati'!$Q$19,Fragenkatalog!AD10,0)),""),250)</f>
        <v/>
      </c>
      <c r="R23" t="str">
        <f>LEFT(IFERROR(INDEX(Fragenkatalog!$BR10,MATCH('Referral Stati'!$R$19,Fragenkatalog!BA10,0)),""),250)</f>
        <v/>
      </c>
      <c r="S23" t="str">
        <f>LEFT(IFERROR(INDEX(Fragenkatalog!$BR10,MATCH('Referral Stati'!$S$19,Fragenkatalog!BB10,0)),""),250)</f>
        <v/>
      </c>
      <c r="T23" t="str">
        <f>LEFT(IFERROR(INDEX(Fragenkatalog!$BR10,MATCH('Referral Stati'!$T$19,Fragenkatalog!BG10,0)),""),250)</f>
        <v/>
      </c>
      <c r="U23" t="str">
        <f>LEFT(IFERROR(INDEX(Fragenkatalog!$BR10,MATCH('Referral Stati'!$U$19,Fragenkatalog!BH10,0)),""),250)</f>
        <v/>
      </c>
      <c r="V23" t="str">
        <f>LEFT(IFERROR(INDEX(Fragenkatalog!$BR10,MATCH('Referral Stati'!$V$19,Fragenkatalog!BM10,0)),""),250)</f>
        <v/>
      </c>
      <c r="W23" t="str">
        <f>LEFT(IFERROR(INDEX(Fragenkatalog!$BR10,MATCH('Referral Stati'!$U$19,Fragenkatalog!BN10,0)),""),250)</f>
        <v/>
      </c>
    </row>
    <row r="24" spans="1:23" ht="20.25" customHeight="1">
      <c r="A24" s="168" t="str">
        <f>Fragenkatalog!B11</f>
        <v>RisikoFragen127</v>
      </c>
      <c r="D24" t="str">
        <f>LEFT(IFERROR(INDEX(Fragenkatalog!$BR11,MATCH('Referral Stati'!$D$19,Fragenkatalog!AU11,0)),""),250)</f>
        <v/>
      </c>
      <c r="E24" s="19" t="str">
        <f>LEFT(IFERROR(INDEX(Fragenkatalog!$BR11,MATCH('Referral Stati'!$E$19,Fragenkatalog!AV11,0)),""),250)</f>
        <v/>
      </c>
      <c r="F24" s="19" t="str">
        <f>LEFT(IFERROR(INDEX(Fragenkatalog!$BR11,MATCH('Referral Stati'!$F$19,Fragenkatalog!AO11,0)),""),250)</f>
        <v/>
      </c>
      <c r="G24" t="str">
        <f>LEFT(IFERROR(INDEX(Fragenkatalog!$BR11,MATCH('Referral Stati'!$G$19,Fragenkatalog!AP11,0)),""),250)</f>
        <v/>
      </c>
      <c r="J24" t="str">
        <f t="array" ref="J24">LEFT(IFERROR(INDEX(Fragenkatalog!BR11,MATCH('Referral Stati'!$J$19,Fragenkatalog!W11,0)),""),250)</f>
        <v/>
      </c>
      <c r="K24" t="str">
        <f t="array" ref="K24">LEFT(IFERROR(INDEX(Fragenkatalog!BR11,MATCH('Referral Stati'!$K$19,Fragenkatalog!X11,0)),""),250)</f>
        <v/>
      </c>
      <c r="L24" s="19" t="str">
        <f>LEFT(IFERROR(INDEX(Fragenkatalog!$BR11,MATCH('Referral Stati'!$L$19,Fragenkatalog!Q11,0)),""),250)</f>
        <v/>
      </c>
      <c r="M24" s="19" t="str">
        <f>LEFT(IFERROR(INDEX(Fragenkatalog!$BR11,MATCH('Referral Stati'!$M$19,Fragenkatalog!R11,0)),""),250)</f>
        <v/>
      </c>
      <c r="N24" s="19" t="str">
        <f>LEFT(IFERROR(INDEX(Fragenkatalog!$BR11,MATCH('Referral Stati'!$N$19,Fragenkatalog!AI11,0)),""),250)</f>
        <v/>
      </c>
      <c r="O24" t="str">
        <f>LEFT(IFERROR(INDEX(Fragenkatalog!$BR11,MATCH('Referral Stati'!$O$19,Fragenkatalog!AJ11,0)),""),250)</f>
        <v/>
      </c>
      <c r="P24" s="19" t="str">
        <f>LEFT(IFERROR(INDEX(Fragenkatalog!$BR11,MATCH('Referral Stati'!$P$19,Fragenkatalog!AC11,0)),""),250)</f>
        <v/>
      </c>
      <c r="Q24" s="19" t="str">
        <f>LEFT(IFERROR(INDEX(Fragenkatalog!$BR11,MATCH('Referral Stati'!$Q$19,Fragenkatalog!AD11,0)),""),250)</f>
        <v/>
      </c>
      <c r="R24" t="str">
        <f>LEFT(IFERROR(INDEX(Fragenkatalog!$BR11,MATCH('Referral Stati'!$R$19,Fragenkatalog!BA11,0)),""),250)</f>
        <v/>
      </c>
      <c r="S24" t="str">
        <f>LEFT(IFERROR(INDEX(Fragenkatalog!$BR11,MATCH('Referral Stati'!$S$19,Fragenkatalog!BB11,0)),""),250)</f>
        <v/>
      </c>
      <c r="T24" t="str">
        <f>LEFT(IFERROR(INDEX(Fragenkatalog!$BR11,MATCH('Referral Stati'!$T$19,Fragenkatalog!BG11,0)),""),250)</f>
        <v/>
      </c>
      <c r="U24" t="str">
        <f>LEFT(IFERROR(INDEX(Fragenkatalog!$BR11,MATCH('Referral Stati'!$U$19,Fragenkatalog!BH11,0)),""),250)</f>
        <v/>
      </c>
      <c r="V24" t="str">
        <f>LEFT(IFERROR(INDEX(Fragenkatalog!$BR11,MATCH('Referral Stati'!$V$19,Fragenkatalog!BM11,0)),""),250)</f>
        <v/>
      </c>
      <c r="W24" t="str">
        <f>LEFT(IFERROR(INDEX(Fragenkatalog!$BR11,MATCH('Referral Stati'!$U$19,Fragenkatalog!BN11,0)),""),250)</f>
        <v/>
      </c>
    </row>
    <row r="25" spans="1:23" ht="20.25" customHeight="1">
      <c r="A25" s="168" t="str">
        <f>Fragenkatalog!B12</f>
        <v>RisikoFragenVereine103</v>
      </c>
      <c r="D25" t="str">
        <f>LEFT(IFERROR(INDEX(Fragenkatalog!$BR12,MATCH('Referral Stati'!$D$19,Fragenkatalog!AU12,0)),""),250)</f>
        <v/>
      </c>
      <c r="E25" s="19" t="str">
        <f>LEFT(IFERROR(INDEX(Fragenkatalog!$BR12,MATCH('Referral Stati'!$E$19,Fragenkatalog!AV12,0)),""),250)</f>
        <v/>
      </c>
      <c r="F25" s="19" t="str">
        <f>LEFT(IFERROR(INDEX(Fragenkatalog!$BR12,MATCH('Referral Stati'!$F$19,Fragenkatalog!AO12,0)),""),250)</f>
        <v/>
      </c>
      <c r="G25" t="str">
        <f>LEFT(IFERROR(INDEX(Fragenkatalog!$BR12,MATCH('Referral Stati'!$G$19,Fragenkatalog!AP12,0)),""),250)</f>
        <v/>
      </c>
      <c r="J25" t="str">
        <f t="array" ref="J25">LEFT(IFERROR(INDEX(Fragenkatalog!BR12,MATCH('Referral Stati'!$J$19,Fragenkatalog!W12,0)),""),250)</f>
        <v/>
      </c>
      <c r="K25" t="str">
        <f t="array" ref="K25">LEFT(IFERROR(INDEX(Fragenkatalog!BR12,MATCH('Referral Stati'!$K$19,Fragenkatalog!X12,0)),""),250)</f>
        <v/>
      </c>
      <c r="L25" s="19" t="str">
        <f>LEFT(IFERROR(INDEX(Fragenkatalog!$BR12,MATCH('Referral Stati'!$L$19,Fragenkatalog!Q12,0)),""),250)</f>
        <v/>
      </c>
      <c r="M25" s="19" t="str">
        <f>LEFT(IFERROR(INDEX(Fragenkatalog!$BR12,MATCH('Referral Stati'!$M$19,Fragenkatalog!R12,0)),""),250)</f>
        <v/>
      </c>
      <c r="N25" s="19" t="str">
        <f>LEFT(IFERROR(INDEX(Fragenkatalog!$BR12,MATCH('Referral Stati'!$N$19,Fragenkatalog!AI12,0)),""),250)</f>
        <v/>
      </c>
      <c r="O25" t="str">
        <f>LEFT(IFERROR(INDEX(Fragenkatalog!$BR12,MATCH('Referral Stati'!$O$19,Fragenkatalog!AJ12,0)),""),250)</f>
        <v/>
      </c>
      <c r="P25" s="19" t="str">
        <f>LEFT(IFERROR(INDEX(Fragenkatalog!$BR12,MATCH('Referral Stati'!$P$19,Fragenkatalog!AC12,0)),""),250)</f>
        <v/>
      </c>
      <c r="Q25" s="19" t="str">
        <f>LEFT(IFERROR(INDEX(Fragenkatalog!$BR12,MATCH('Referral Stati'!$Q$19,Fragenkatalog!AD12,0)),""),250)</f>
        <v/>
      </c>
      <c r="R25" t="str">
        <f>LEFT(IFERROR(INDEX(Fragenkatalog!$BR12,MATCH('Referral Stati'!$R$19,Fragenkatalog!BA12,0)),""),250)</f>
        <v/>
      </c>
      <c r="S25" t="str">
        <f>LEFT(IFERROR(INDEX(Fragenkatalog!$BR12,MATCH('Referral Stati'!$S$19,Fragenkatalog!BB12,0)),""),250)</f>
        <v/>
      </c>
      <c r="T25" t="str">
        <f>LEFT(IFERROR(INDEX(Fragenkatalog!$BR12,MATCH('Referral Stati'!$T$19,Fragenkatalog!BG12,0)),""),250)</f>
        <v/>
      </c>
      <c r="U25" t="str">
        <f>LEFT(IFERROR(INDEX(Fragenkatalog!$BR12,MATCH('Referral Stati'!$U$19,Fragenkatalog!BH12,0)),""),250)</f>
        <v/>
      </c>
      <c r="V25" t="str">
        <f>LEFT(IFERROR(INDEX(Fragenkatalog!$BR12,MATCH('Referral Stati'!$V$19,Fragenkatalog!BM12,0)),""),250)</f>
        <v/>
      </c>
      <c r="W25" t="str">
        <f>LEFT(IFERROR(INDEX(Fragenkatalog!$BR12,MATCH('Referral Stati'!$U$19,Fragenkatalog!BN12,0)),""),250)</f>
        <v/>
      </c>
    </row>
    <row r="26" spans="1:23" ht="20.25" customHeight="1">
      <c r="A26" s="168" t="str">
        <f>Fragenkatalog!B13</f>
        <v>RisikoFragen11</v>
      </c>
      <c r="D26" t="str">
        <f>LEFT(IFERROR(INDEX(Fragenkatalog!$BR13,MATCH('Referral Stati'!$D$19,Fragenkatalog!AU13,0)),""),250)</f>
        <v/>
      </c>
      <c r="E26" s="19" t="str">
        <f>LEFT(IFERROR(INDEX(Fragenkatalog!$BR13,MATCH('Referral Stati'!$E$19,Fragenkatalog!AV13,0)),""),250)</f>
        <v/>
      </c>
      <c r="F26" s="19" t="str">
        <f>LEFT(IFERROR(INDEX(Fragenkatalog!$BR13,MATCH('Referral Stati'!$F$19,Fragenkatalog!AO13,0)),""),250)</f>
        <v/>
      </c>
      <c r="G26" t="str">
        <f>LEFT(IFERROR(INDEX(Fragenkatalog!$BR13,MATCH('Referral Stati'!$G$19,Fragenkatalog!AP13,0)),""),250)</f>
        <v/>
      </c>
      <c r="J26" t="str">
        <f t="array" ref="J26">LEFT(IFERROR(INDEX(Fragenkatalog!BR13,MATCH('Referral Stati'!$J$19,Fragenkatalog!W13,0)),""),250)</f>
        <v/>
      </c>
      <c r="K26" t="str">
        <f t="array" ref="K26">LEFT(IFERROR(INDEX(Fragenkatalog!BR13,MATCH('Referral Stati'!$K$19,Fragenkatalog!X13,0)),""),250)</f>
        <v/>
      </c>
      <c r="L26" s="19" t="str">
        <f>LEFT(IFERROR(INDEX(Fragenkatalog!$BR13,MATCH('Referral Stati'!$L$19,Fragenkatalog!Q13,0)),""),250)</f>
        <v/>
      </c>
      <c r="M26" s="19" t="str">
        <f>LEFT(IFERROR(INDEX(Fragenkatalog!$BR13,MATCH('Referral Stati'!$M$19,Fragenkatalog!R13,0)),""),250)</f>
        <v/>
      </c>
      <c r="N26" s="19" t="str">
        <f>LEFT(IFERROR(INDEX(Fragenkatalog!$BR13,MATCH('Referral Stati'!$N$19,Fragenkatalog!AI13,0)),""),250)</f>
        <v/>
      </c>
      <c r="O26" t="str">
        <f>LEFT(IFERROR(INDEX(Fragenkatalog!$BR13,MATCH('Referral Stati'!$O$19,Fragenkatalog!AJ13,0)),""),250)</f>
        <v/>
      </c>
      <c r="P26" s="19" t="str">
        <f>LEFT(IFERROR(INDEX(Fragenkatalog!$BR13,MATCH('Referral Stati'!$P$19,Fragenkatalog!AC13,0)),""),250)</f>
        <v/>
      </c>
      <c r="Q26" s="19" t="str">
        <f>LEFT(IFERROR(INDEX(Fragenkatalog!$BR13,MATCH('Referral Stati'!$Q$19,Fragenkatalog!AD13,0)),""),250)</f>
        <v/>
      </c>
      <c r="R26" t="str">
        <f>LEFT(IFERROR(INDEX(Fragenkatalog!$BR13,MATCH('Referral Stati'!$R$19,Fragenkatalog!BA13,0)),""),250)</f>
        <v/>
      </c>
      <c r="S26" t="str">
        <f>LEFT(IFERROR(INDEX(Fragenkatalog!$BR13,MATCH('Referral Stati'!$S$19,Fragenkatalog!BB13,0)),""),250)</f>
        <v/>
      </c>
      <c r="T26" t="str">
        <f>LEFT(IFERROR(INDEX(Fragenkatalog!$BR13,MATCH('Referral Stati'!$T$19,Fragenkatalog!BG13,0)),""),250)</f>
        <v/>
      </c>
      <c r="U26" t="str">
        <f>LEFT(IFERROR(INDEX(Fragenkatalog!$BR13,MATCH('Referral Stati'!$U$19,Fragenkatalog!BH13,0)),""),250)</f>
        <v/>
      </c>
      <c r="V26" t="str">
        <f>LEFT(IFERROR(INDEX(Fragenkatalog!$BR13,MATCH('Referral Stati'!$V$19,Fragenkatalog!BM13,0)),""),250)</f>
        <v/>
      </c>
      <c r="W26" t="str">
        <f>LEFT(IFERROR(INDEX(Fragenkatalog!$BR13,MATCH('Referral Stati'!$U$19,Fragenkatalog!BN13,0)),""),250)</f>
        <v/>
      </c>
    </row>
    <row r="27" spans="1:23" ht="20.25" customHeight="1">
      <c r="A27" s="168" t="str">
        <f>Fragenkatalog!B14</f>
        <v>RisikoFragen2</v>
      </c>
      <c r="D27" t="str">
        <f>LEFT(IFERROR(INDEX(Fragenkatalog!$BR14,MATCH('Referral Stati'!$D$19,Fragenkatalog!AU14,0)),""),250)</f>
        <v/>
      </c>
      <c r="E27" s="19" t="str">
        <f>LEFT(IFERROR(INDEX(Fragenkatalog!$BR14,MATCH('Referral Stati'!$E$19,Fragenkatalog!AV14,0)),""),250)</f>
        <v/>
      </c>
      <c r="F27" s="19" t="str">
        <f>LEFT(IFERROR(INDEX(Fragenkatalog!$BR14,MATCH('Referral Stati'!$F$19,Fragenkatalog!AO14,0)),""),250)</f>
        <v/>
      </c>
      <c r="G27" t="str">
        <f>LEFT(IFERROR(INDEX(Fragenkatalog!$BR14,MATCH('Referral Stati'!$G$19,Fragenkatalog!AP14,0)),""),250)</f>
        <v/>
      </c>
      <c r="J27" t="str">
        <f t="array" ref="J27">LEFT(IFERROR(INDEX(Fragenkatalog!BR14,MATCH('Referral Stati'!$J$19,Fragenkatalog!W14,0)),""),250)</f>
        <v/>
      </c>
      <c r="K27" t="str">
        <f t="array" ref="K27">LEFT(IFERROR(INDEX(Fragenkatalog!BR14,MATCH('Referral Stati'!$K$19,Fragenkatalog!X14,0)),""),250)</f>
        <v/>
      </c>
      <c r="L27" s="19" t="str">
        <f>LEFT(IFERROR(INDEX(Fragenkatalog!$BR14,MATCH('Referral Stati'!$L$19,Fragenkatalog!Q14,0)),""),250)</f>
        <v/>
      </c>
      <c r="M27" s="19" t="str">
        <f>LEFT(IFERROR(INDEX(Fragenkatalog!$BR14,MATCH('Referral Stati'!$M$19,Fragenkatalog!R14,0)),""),250)</f>
        <v/>
      </c>
      <c r="N27" s="19" t="str">
        <f>LEFT(IFERROR(INDEX(Fragenkatalog!$BR14,MATCH('Referral Stati'!$N$19,Fragenkatalog!AI14,0)),""),250)</f>
        <v/>
      </c>
      <c r="O27" t="str">
        <f>LEFT(IFERROR(INDEX(Fragenkatalog!$BR14,MATCH('Referral Stati'!$O$19,Fragenkatalog!AJ14,0)),""),250)</f>
        <v/>
      </c>
      <c r="P27" s="19" t="str">
        <f>LEFT(IFERROR(INDEX(Fragenkatalog!$BR14,MATCH('Referral Stati'!$P$19,Fragenkatalog!AC14,0)),""),250)</f>
        <v/>
      </c>
      <c r="Q27" s="19" t="str">
        <f>LEFT(IFERROR(INDEX(Fragenkatalog!$BR14,MATCH('Referral Stati'!$Q$19,Fragenkatalog!AD14,0)),""),250)</f>
        <v/>
      </c>
      <c r="R27" t="str">
        <f>LEFT(IFERROR(INDEX(Fragenkatalog!$BR14,MATCH('Referral Stati'!$R$19,Fragenkatalog!BA14,0)),""),250)</f>
        <v/>
      </c>
      <c r="S27" t="str">
        <f>LEFT(IFERROR(INDEX(Fragenkatalog!$BR14,MATCH('Referral Stati'!$S$19,Fragenkatalog!BB14,0)),""),250)</f>
        <v/>
      </c>
      <c r="T27" t="str">
        <f>LEFT(IFERROR(INDEX(Fragenkatalog!$BR14,MATCH('Referral Stati'!$T$19,Fragenkatalog!BG14,0)),""),250)</f>
        <v/>
      </c>
      <c r="U27" t="str">
        <f>LEFT(IFERROR(INDEX(Fragenkatalog!$BR14,MATCH('Referral Stati'!$U$19,Fragenkatalog!BH14,0)),""),250)</f>
        <v/>
      </c>
      <c r="V27" t="str">
        <f>LEFT(IFERROR(INDEX(Fragenkatalog!$BR14,MATCH('Referral Stati'!$V$19,Fragenkatalog!BM14,0)),""),250)</f>
        <v/>
      </c>
      <c r="W27" t="str">
        <f>LEFT(IFERROR(INDEX(Fragenkatalog!$BR14,MATCH('Referral Stati'!$U$19,Fragenkatalog!BN14,0)),""),250)</f>
        <v/>
      </c>
    </row>
    <row r="28" spans="1:23" ht="20.25" customHeight="1">
      <c r="A28" s="168" t="str">
        <f>Fragenkatalog!B15</f>
        <v>RisikoFragen9</v>
      </c>
      <c r="D28" t="str">
        <f>LEFT(IFERROR(INDEX(Fragenkatalog!$BR15,MATCH('Referral Stati'!$D$19,Fragenkatalog!AU15,0)),""),250)</f>
        <v/>
      </c>
      <c r="E28" s="19" t="str">
        <f>LEFT(IFERROR(INDEX(Fragenkatalog!$BR15,MATCH('Referral Stati'!$E$19,Fragenkatalog!AV15,0)),""),250)</f>
        <v/>
      </c>
      <c r="F28" s="19" t="str">
        <f>LEFT(IFERROR(INDEX(Fragenkatalog!$BR15,MATCH('Referral Stati'!$F$19,Fragenkatalog!AO15,0)),""),250)</f>
        <v/>
      </c>
      <c r="G28" t="str">
        <f>LEFT(IFERROR(INDEX(Fragenkatalog!$BR15,MATCH('Referral Stati'!$G$19,Fragenkatalog!AP15,0)),""),250)</f>
        <v/>
      </c>
      <c r="J28" t="str">
        <f t="array" ref="J28">LEFT(IFERROR(INDEX(Fragenkatalog!BR15,MATCH('Referral Stati'!$J$19,Fragenkatalog!W15,0)),""),250)</f>
        <v/>
      </c>
      <c r="K28" t="str">
        <f t="array" ref="K28">LEFT(IFERROR(INDEX(Fragenkatalog!BR15,MATCH('Referral Stati'!$K$19,Fragenkatalog!X15,0)),""),250)</f>
        <v/>
      </c>
      <c r="L28" s="19" t="str">
        <f>LEFT(IFERROR(INDEX(Fragenkatalog!$BR15,MATCH('Referral Stati'!$L$19,Fragenkatalog!Q15,0)),""),250)</f>
        <v/>
      </c>
      <c r="M28" s="19" t="str">
        <f>LEFT(IFERROR(INDEX(Fragenkatalog!$BR15,MATCH('Referral Stati'!$M$19,Fragenkatalog!R15,0)),""),250)</f>
        <v/>
      </c>
      <c r="N28" s="19" t="str">
        <f>LEFT(IFERROR(INDEX(Fragenkatalog!$BR15,MATCH('Referral Stati'!$N$19,Fragenkatalog!AI15,0)),""),250)</f>
        <v/>
      </c>
      <c r="O28" t="str">
        <f>LEFT(IFERROR(INDEX(Fragenkatalog!$BR15,MATCH('Referral Stati'!$O$19,Fragenkatalog!AJ15,0)),""),250)</f>
        <v/>
      </c>
      <c r="P28" s="19" t="str">
        <f>LEFT(IFERROR(INDEX(Fragenkatalog!$BR15,MATCH('Referral Stati'!$P$19,Fragenkatalog!AC15,0)),""),250)</f>
        <v/>
      </c>
      <c r="Q28" s="19" t="str">
        <f>LEFT(IFERROR(INDEX(Fragenkatalog!$BR15,MATCH('Referral Stati'!$Q$19,Fragenkatalog!AD15,0)),""),250)</f>
        <v/>
      </c>
      <c r="R28" t="str">
        <f>LEFT(IFERROR(INDEX(Fragenkatalog!$BR15,MATCH('Referral Stati'!$R$19,Fragenkatalog!BA15,0)),""),250)</f>
        <v/>
      </c>
      <c r="S28" t="str">
        <f>LEFT(IFERROR(INDEX(Fragenkatalog!$BR15,MATCH('Referral Stati'!$S$19,Fragenkatalog!BB15,0)),""),250)</f>
        <v/>
      </c>
      <c r="T28" t="str">
        <f>LEFT(IFERROR(INDEX(Fragenkatalog!$BR15,MATCH('Referral Stati'!$T$19,Fragenkatalog!BG15,0)),""),250)</f>
        <v/>
      </c>
      <c r="U28" t="str">
        <f>LEFT(IFERROR(INDEX(Fragenkatalog!$BR15,MATCH('Referral Stati'!$U$19,Fragenkatalog!BH15,0)),""),250)</f>
        <v/>
      </c>
      <c r="V28" t="str">
        <f>LEFT(IFERROR(INDEX(Fragenkatalog!$BR15,MATCH('Referral Stati'!$V$19,Fragenkatalog!BM15,0)),""),250)</f>
        <v/>
      </c>
      <c r="W28" t="str">
        <f>LEFT(IFERROR(INDEX(Fragenkatalog!$BR15,MATCH('Referral Stati'!$U$19,Fragenkatalog!BN15,0)),""),250)</f>
        <v/>
      </c>
    </row>
    <row r="29" spans="1:23" ht="20.25" customHeight="1">
      <c r="A29" s="625" t="s">
        <v>3810</v>
      </c>
      <c r="D29" t="str">
        <f>LEFT(IFERROR(INDEX(Fragenkatalog!$BR16,MATCH('Referral Stati'!$D$19,Fragenkatalog!AU16,0)),""),250)</f>
        <v/>
      </c>
      <c r="E29" s="19" t="str">
        <f>LEFT(IFERROR(INDEX(Fragenkatalog!$BR16,MATCH('Referral Stati'!$E$19,Fragenkatalog!AV16,0)),""),250)</f>
        <v/>
      </c>
      <c r="F29" s="19" t="str">
        <f>LEFT(IFERROR(INDEX(Fragenkatalog!$BR16,MATCH('Referral Stati'!$F$19,Fragenkatalog!AO16,0)),""),250)</f>
        <v/>
      </c>
      <c r="G29" t="str">
        <f>LEFT(IFERROR(INDEX(Fragenkatalog!$BR16,MATCH('Referral Stati'!$G$19,Fragenkatalog!AP16,0)),""),250)</f>
        <v/>
      </c>
      <c r="L29" s="19" t="str">
        <f>LEFT(IFERROR(INDEX(Fragenkatalog!$BR16,MATCH('Referral Stati'!$L$19,Fragenkatalog!Q16,0)),""),250)</f>
        <v/>
      </c>
      <c r="M29" s="19" t="str">
        <f>LEFT(IFERROR(INDEX(Fragenkatalog!$BR16,MATCH('Referral Stati'!$M$19,Fragenkatalog!R16,0)),""),250)</f>
        <v/>
      </c>
      <c r="N29" s="19" t="str">
        <f>LEFT(IFERROR(INDEX(Fragenkatalog!$BR16,MATCH('Referral Stati'!$N$19,Fragenkatalog!AI16,0)),""),250)</f>
        <v/>
      </c>
      <c r="O29" t="str">
        <f>LEFT(IFERROR(INDEX(Fragenkatalog!$BR16,MATCH('Referral Stati'!$O$19,Fragenkatalog!AJ16,0)),""),250)</f>
        <v/>
      </c>
      <c r="P29" s="19" t="str">
        <f>LEFT(IFERROR(INDEX(Fragenkatalog!$BR16,MATCH('Referral Stati'!$P$19,Fragenkatalog!AC16,0)),""),250)</f>
        <v/>
      </c>
      <c r="Q29" s="19" t="str">
        <f>LEFT(IFERROR(INDEX(Fragenkatalog!$BR16,MATCH('Referral Stati'!$Q$19,Fragenkatalog!AD16,0)),""),250)</f>
        <v/>
      </c>
      <c r="R29" t="str">
        <f>LEFT(IFERROR(INDEX(Fragenkatalog!$BR16,MATCH('Referral Stati'!$R$19,Fragenkatalog!BA16,0)),""),250)</f>
        <v/>
      </c>
      <c r="S29" t="str">
        <f>LEFT(IFERROR(INDEX(Fragenkatalog!$BR16,MATCH('Referral Stati'!$S$19,Fragenkatalog!BB16,0)),""),250)</f>
        <v/>
      </c>
      <c r="T29" t="str">
        <f>LEFT(IFERROR(INDEX(Fragenkatalog!$BR16,MATCH('Referral Stati'!$T$19,Fragenkatalog!BG16,0)),""),250)</f>
        <v/>
      </c>
      <c r="U29" t="str">
        <f>LEFT(IFERROR(INDEX(Fragenkatalog!$BR16,MATCH('Referral Stati'!$U$19,Fragenkatalog!BH16,0)),""),250)</f>
        <v/>
      </c>
      <c r="V29" t="str">
        <f>LEFT(IFERROR(INDEX(Fragenkatalog!$BR16,MATCH('Referral Stati'!$V$19,Fragenkatalog!BM16,0)),""),250)</f>
        <v/>
      </c>
      <c r="W29" t="str">
        <f ca="1">LEFT(IFERROR(INDEX(Fragenkatalog!$BR16,MATCH('Referral Stati'!$U$19,Fragenkatalog!BN16,0)),""),250)</f>
        <v/>
      </c>
    </row>
    <row r="30" spans="1:23" ht="20.25" customHeight="1">
      <c r="A30" s="168" t="str">
        <f>Fragenkatalog!B17</f>
        <v>StammDaten3</v>
      </c>
      <c r="D30" t="str">
        <f>LEFT(IFERROR(INDEX(Fragenkatalog!$BR17,MATCH('Referral Stati'!$D$19,Fragenkatalog!AU17,0)),""),250)</f>
        <v/>
      </c>
      <c r="E30" s="19" t="str">
        <f>LEFT(IFERROR(INDEX(Fragenkatalog!$BR17,MATCH('Referral Stati'!$E$19,Fragenkatalog!AV17,0)),""),250)</f>
        <v/>
      </c>
      <c r="F30" s="19" t="str">
        <f>LEFT(IFERROR(INDEX(Fragenkatalog!$BR17,MATCH('Referral Stati'!$F$19,Fragenkatalog!AO17,0)),""),250)</f>
        <v/>
      </c>
      <c r="G30" t="str">
        <f>LEFT(IFERROR(INDEX(Fragenkatalog!$BR17,MATCH('Referral Stati'!$G$19,Fragenkatalog!AP17,0)),""),250)</f>
        <v/>
      </c>
      <c r="J30" t="str">
        <f t="array" ref="J30">LEFT(IFERROR(INDEX(Fragenkatalog!BR17,MATCH('Referral Stati'!$J$19,Fragenkatalog!W17,0)),""),250)</f>
        <v/>
      </c>
      <c r="K30" t="str">
        <f t="array" ref="K30">LEFT(IFERROR(INDEX(Fragenkatalog!BR17,MATCH('Referral Stati'!$K$19,Fragenkatalog!X17,0)),""),250)</f>
        <v/>
      </c>
      <c r="L30" s="19" t="str">
        <f>LEFT(IFERROR(INDEX(Fragenkatalog!$BR17,MATCH('Referral Stati'!$L$19,Fragenkatalog!Q17,0)),""),250)</f>
        <v/>
      </c>
      <c r="M30" s="19" t="str">
        <f>LEFT(IFERROR(INDEX(Fragenkatalog!$BR17,MATCH('Referral Stati'!$M$19,Fragenkatalog!R17,0)),""),250)</f>
        <v/>
      </c>
      <c r="N30" s="19" t="str">
        <f>LEFT(IFERROR(INDEX(Fragenkatalog!$BR17,MATCH('Referral Stati'!$N$19,Fragenkatalog!AI17,0)),""),250)</f>
        <v/>
      </c>
      <c r="O30" t="str">
        <f>LEFT(IFERROR(INDEX(Fragenkatalog!$BR17,MATCH('Referral Stati'!$O$19,Fragenkatalog!AJ17,0)),""),250)</f>
        <v/>
      </c>
      <c r="P30" s="19" t="str">
        <f>LEFT(IFERROR(INDEX(Fragenkatalog!$BR17,MATCH('Referral Stati'!$P$19,Fragenkatalog!AC17,0)),""),250)</f>
        <v/>
      </c>
      <c r="Q30" s="19" t="str">
        <f>LEFT(IFERROR(INDEX(Fragenkatalog!$BR17,MATCH('Referral Stati'!$Q$19,Fragenkatalog!AD17,0)),""),250)</f>
        <v/>
      </c>
      <c r="R30" t="str">
        <f>LEFT(IFERROR(INDEX(Fragenkatalog!$BR17,MATCH('Referral Stati'!$R$19,Fragenkatalog!BA17,0)),""),250)</f>
        <v/>
      </c>
      <c r="S30" t="str">
        <f>LEFT(IFERROR(INDEX(Fragenkatalog!$BR17,MATCH('Referral Stati'!$S$19,Fragenkatalog!BB17,0)),""),250)</f>
        <v/>
      </c>
      <c r="T30" t="str">
        <f>LEFT(IFERROR(INDEX(Fragenkatalog!$BR17,MATCH('Referral Stati'!$T$19,Fragenkatalog!BG17,0)),""),250)</f>
        <v/>
      </c>
      <c r="U30" t="str">
        <f>LEFT(IFERROR(INDEX(Fragenkatalog!$BR17,MATCH('Referral Stati'!$U$19,Fragenkatalog!BH17,0)),""),250)</f>
        <v/>
      </c>
      <c r="V30" t="str">
        <f>LEFT(IFERROR(INDEX(Fragenkatalog!$BR17,MATCH('Referral Stati'!$V$19,Fragenkatalog!BN17,0)),""),250)</f>
        <v/>
      </c>
      <c r="W30" t="str">
        <f>LEFT(IFERROR(INDEX(Fragenkatalog!$BR17,MATCH('Referral Stati'!$U$19,Fragenkatalog!#REF!,0)),""),250)</f>
        <v/>
      </c>
    </row>
    <row r="31" spans="1:23" ht="20.25" customHeight="1">
      <c r="A31" s="168" t="str">
        <f>Fragenkatalog!B18</f>
        <v>Stamm-Daten4</v>
      </c>
      <c r="D31" t="str">
        <f>LEFT(IFERROR(INDEX(Fragenkatalog!$BR18,MATCH('Referral Stati'!$D$19,Fragenkatalog!AU18,0)),""),250)</f>
        <v/>
      </c>
      <c r="E31" s="19" t="str">
        <f>LEFT(IFERROR(INDEX(Fragenkatalog!$BR18,MATCH('Referral Stati'!$E$19,Fragenkatalog!AV18,0)),""),250)</f>
        <v/>
      </c>
      <c r="F31" s="19" t="str">
        <f>LEFT(IFERROR(INDEX(Fragenkatalog!$BR18,MATCH('Referral Stati'!$F$19,Fragenkatalog!AO18,0)),""),250)</f>
        <v/>
      </c>
      <c r="G31" t="str">
        <f>LEFT(IFERROR(INDEX(Fragenkatalog!$BR18,MATCH('Referral Stati'!$G$19,Fragenkatalog!AP18,0)),""),250)</f>
        <v/>
      </c>
      <c r="J31" t="str">
        <f t="array" ref="J31">LEFT(IFERROR(INDEX(Fragenkatalog!BR18,MATCH('Referral Stati'!$J$19,Fragenkatalog!W18,0)),""),250)</f>
        <v/>
      </c>
      <c r="K31" t="str">
        <f t="array" ref="K31">LEFT(IFERROR(INDEX(Fragenkatalog!BR18,MATCH('Referral Stati'!$K$19,Fragenkatalog!X18,0)),""),250)</f>
        <v/>
      </c>
      <c r="L31" s="19" t="str">
        <f>LEFT(IFERROR(INDEX(Fragenkatalog!$BR18,MATCH('Referral Stati'!$L$19,Fragenkatalog!Q18,0)),""),250)</f>
        <v/>
      </c>
      <c r="M31" s="19" t="str">
        <f>LEFT(IFERROR(INDEX(Fragenkatalog!$BR18,MATCH('Referral Stati'!$M$19,Fragenkatalog!R18,0)),""),250)</f>
        <v/>
      </c>
      <c r="N31" s="19" t="str">
        <f>LEFT(IFERROR(INDEX(Fragenkatalog!$BR18,MATCH('Referral Stati'!$N$19,Fragenkatalog!AI18,0)),""),250)</f>
        <v/>
      </c>
      <c r="O31" t="str">
        <f>LEFT(IFERROR(INDEX(Fragenkatalog!$BR18,MATCH('Referral Stati'!$O$19,Fragenkatalog!AJ18,0)),""),250)</f>
        <v/>
      </c>
      <c r="P31" s="19" t="str">
        <f>LEFT(IFERROR(INDEX(Fragenkatalog!$BR18,MATCH('Referral Stati'!$P$19,Fragenkatalog!AC18,0)),""),250)</f>
        <v/>
      </c>
      <c r="Q31" s="19" t="str">
        <f>LEFT(IFERROR(INDEX(Fragenkatalog!$BR18,MATCH('Referral Stati'!$Q$19,Fragenkatalog!AD18,0)),""),250)</f>
        <v/>
      </c>
      <c r="R31" t="str">
        <f>LEFT(IFERROR(INDEX(Fragenkatalog!$BR18,MATCH('Referral Stati'!$R$19,Fragenkatalog!BA18,0)),""),250)</f>
        <v/>
      </c>
      <c r="S31" t="str">
        <f>LEFT(IFERROR(INDEX(Fragenkatalog!$BR18,MATCH('Referral Stati'!$S$19,Fragenkatalog!BB18,0)),""),250)</f>
        <v/>
      </c>
      <c r="T31" t="str">
        <f>LEFT(IFERROR(INDEX(Fragenkatalog!$BR18,MATCH('Referral Stati'!$T$19,Fragenkatalog!BG18,0)),""),250)</f>
        <v/>
      </c>
      <c r="U31" t="str">
        <f>LEFT(IFERROR(INDEX(Fragenkatalog!$BR18,MATCH('Referral Stati'!$U$19,Fragenkatalog!BH18,0)),""),250)</f>
        <v/>
      </c>
      <c r="V31" t="str">
        <f>LEFT(IFERROR(INDEX(Fragenkatalog!$BR18,MATCH('Referral Stati'!$V$19,Fragenkatalog!BM18,0)),""),250)</f>
        <v/>
      </c>
      <c r="W31" t="str">
        <f>LEFT(IFERROR(INDEX(Fragenkatalog!$BR18,MATCH('Referral Stati'!$U$19,Fragenkatalog!BN18,0)),""),250)</f>
        <v/>
      </c>
    </row>
    <row r="32" spans="1:23" ht="20.25" customHeight="1">
      <c r="A32" s="168" t="str">
        <f>Fragenkatalog!B19</f>
        <v>Stamm-Daten5</v>
      </c>
      <c r="D32" t="str">
        <f>LEFT(IFERROR(INDEX(Fragenkatalog!$BR19,MATCH('Referral Stati'!$D$19,Fragenkatalog!AU19,0)),""),250)</f>
        <v/>
      </c>
      <c r="E32" s="19" t="str">
        <f>LEFT(IFERROR(INDEX(Fragenkatalog!$BR19,MATCH('Referral Stati'!$E$19,Fragenkatalog!AV19,0)),""),250)</f>
        <v/>
      </c>
      <c r="F32" s="19" t="str">
        <f>LEFT(IFERROR(INDEX(Fragenkatalog!$BR19,MATCH('Referral Stati'!$F$19,Fragenkatalog!AO19,0)),""),250)</f>
        <v/>
      </c>
      <c r="G32" t="str">
        <f>LEFT(IFERROR(INDEX(Fragenkatalog!$BR19,MATCH('Referral Stati'!$G$19,Fragenkatalog!AP19,0)),""),250)</f>
        <v/>
      </c>
      <c r="J32" t="str">
        <f t="array" ref="J32">LEFT(IFERROR(INDEX(Fragenkatalog!BR19,MATCH('Referral Stati'!$J$19,Fragenkatalog!W19,0)),""),250)</f>
        <v/>
      </c>
      <c r="K32" t="str">
        <f t="array" ref="K32">LEFT(IFERROR(INDEX(Fragenkatalog!BR19,MATCH('Referral Stati'!$K$19,Fragenkatalog!X19,0)),""),250)</f>
        <v/>
      </c>
      <c r="L32" s="19" t="str">
        <f>LEFT(IFERROR(INDEX(Fragenkatalog!$BR19,MATCH('Referral Stati'!$L$19,Fragenkatalog!Q19,0)),""),250)</f>
        <v/>
      </c>
      <c r="M32" s="19" t="str">
        <f>LEFT(IFERROR(INDEX(Fragenkatalog!$BR19,MATCH('Referral Stati'!$M$19,Fragenkatalog!R19,0)),""),250)</f>
        <v/>
      </c>
      <c r="N32" s="19" t="str">
        <f>LEFT(IFERROR(INDEX(Fragenkatalog!$BR19,MATCH('Referral Stati'!$N$19,Fragenkatalog!AI19,0)),""),250)</f>
        <v/>
      </c>
      <c r="O32" t="str">
        <f>LEFT(IFERROR(INDEX(Fragenkatalog!$BR19,MATCH('Referral Stati'!$O$19,Fragenkatalog!AJ19,0)),""),250)</f>
        <v/>
      </c>
      <c r="P32" s="19" t="str">
        <f>LEFT(IFERROR(INDEX(Fragenkatalog!$BR19,MATCH('Referral Stati'!$P$19,Fragenkatalog!AC19,0)),""),250)</f>
        <v/>
      </c>
      <c r="Q32" s="19" t="str">
        <f>LEFT(IFERROR(INDEX(Fragenkatalog!$BR19,MATCH('Referral Stati'!$Q$19,Fragenkatalog!AD19,0)),""),250)</f>
        <v/>
      </c>
      <c r="R32" t="str">
        <f>LEFT(IFERROR(INDEX(Fragenkatalog!$BR19,MATCH('Referral Stati'!$R$19,Fragenkatalog!BA19,0)),""),250)</f>
        <v/>
      </c>
      <c r="S32" t="str">
        <f>LEFT(IFERROR(INDEX(Fragenkatalog!$BR19,MATCH('Referral Stati'!$S$19,Fragenkatalog!BB19,0)),""),250)</f>
        <v/>
      </c>
      <c r="T32" t="str">
        <f>LEFT(IFERROR(INDEX(Fragenkatalog!$BR19,MATCH('Referral Stati'!$T$19,Fragenkatalog!BG19,0)),""),250)</f>
        <v/>
      </c>
      <c r="U32" t="str">
        <f>LEFT(IFERROR(INDEX(Fragenkatalog!$BR19,MATCH('Referral Stati'!$U$19,Fragenkatalog!BH19,0)),""),250)</f>
        <v/>
      </c>
      <c r="V32" t="str">
        <f>LEFT(IFERROR(INDEX(Fragenkatalog!$BR19,MATCH('Referral Stati'!$V$19,Fragenkatalog!BM19,0)),""),250)</f>
        <v/>
      </c>
      <c r="W32" t="str">
        <f>LEFT(IFERROR(INDEX(Fragenkatalog!$BR19,MATCH('Referral Stati'!$U$19,Fragenkatalog!BN19,0)),""),250)</f>
        <v/>
      </c>
    </row>
    <row r="33" spans="1:23" ht="20.25" customHeight="1">
      <c r="A33" s="168" t="str">
        <f>Fragenkatalog!B20</f>
        <v>Stamm-Daten6</v>
      </c>
      <c r="D33" t="str">
        <f>LEFT(IFERROR(INDEX(Fragenkatalog!$BR20,MATCH('Referral Stati'!$D$19,Fragenkatalog!AU20,0)),""),250)</f>
        <v/>
      </c>
      <c r="E33" s="19" t="str">
        <f>LEFT(IFERROR(INDEX(Fragenkatalog!$BR20,MATCH('Referral Stati'!$E$19,Fragenkatalog!AV20,0)),""),250)</f>
        <v/>
      </c>
      <c r="F33" s="19" t="str">
        <f>LEFT(IFERROR(INDEX(Fragenkatalog!$BR20,MATCH('Referral Stati'!$F$19,Fragenkatalog!AO20,0)),""),250)</f>
        <v/>
      </c>
      <c r="G33" t="str">
        <f>LEFT(IFERROR(INDEX(Fragenkatalog!$BR20,MATCH('Referral Stati'!$G$19,Fragenkatalog!AP20,0)),""),250)</f>
        <v/>
      </c>
      <c r="J33" t="str">
        <f t="array" ref="J33">LEFT(IFERROR(INDEX(Fragenkatalog!BR20,MATCH('Referral Stati'!$J$19,Fragenkatalog!W20,0)),""),250)</f>
        <v/>
      </c>
      <c r="K33" t="str">
        <f t="array" ref="K33">LEFT(IFERROR(INDEX(Fragenkatalog!BR20,MATCH('Referral Stati'!$K$19,Fragenkatalog!X20,0)),""),250)</f>
        <v/>
      </c>
      <c r="L33" s="19" t="str">
        <f>LEFT(IFERROR(INDEX(Fragenkatalog!$BR20,MATCH('Referral Stati'!$L$19,Fragenkatalog!Q20,0)),""),250)</f>
        <v/>
      </c>
      <c r="M33" s="19" t="str">
        <f>LEFT(IFERROR(INDEX(Fragenkatalog!$BR20,MATCH('Referral Stati'!$M$19,Fragenkatalog!R20,0)),""),250)</f>
        <v/>
      </c>
      <c r="N33" s="19" t="str">
        <f>LEFT(IFERROR(INDEX(Fragenkatalog!$BR20,MATCH('Referral Stati'!$N$19,Fragenkatalog!AI20,0)),""),250)</f>
        <v/>
      </c>
      <c r="O33" t="str">
        <f>LEFT(IFERROR(INDEX(Fragenkatalog!$BR20,MATCH('Referral Stati'!$O$19,Fragenkatalog!AJ20,0)),""),250)</f>
        <v/>
      </c>
      <c r="P33" s="19" t="str">
        <f>LEFT(IFERROR(INDEX(Fragenkatalog!$BR20,MATCH('Referral Stati'!$P$19,Fragenkatalog!AC20,0)),""),250)</f>
        <v/>
      </c>
      <c r="Q33" s="19" t="str">
        <f>LEFT(IFERROR(INDEX(Fragenkatalog!$BR20,MATCH('Referral Stati'!$Q$19,Fragenkatalog!AD20,0)),""),250)</f>
        <v/>
      </c>
      <c r="R33" t="str">
        <f>LEFT(IFERROR(INDEX(Fragenkatalog!$BR20,MATCH('Referral Stati'!$R$19,Fragenkatalog!BA20,0)),""),250)</f>
        <v/>
      </c>
      <c r="S33" t="str">
        <f>LEFT(IFERROR(INDEX(Fragenkatalog!$BR20,MATCH('Referral Stati'!$S$19,Fragenkatalog!BB20,0)),""),250)</f>
        <v/>
      </c>
      <c r="T33" t="str">
        <f>LEFT(IFERROR(INDEX(Fragenkatalog!$BR20,MATCH('Referral Stati'!$T$19,Fragenkatalog!BG20,0)),""),250)</f>
        <v/>
      </c>
      <c r="U33" t="str">
        <f>LEFT(IFERROR(INDEX(Fragenkatalog!$BR20,MATCH('Referral Stati'!$U$19,Fragenkatalog!BH20,0)),""),250)</f>
        <v/>
      </c>
      <c r="V33" t="str">
        <f>LEFT(IFERROR(INDEX(Fragenkatalog!$BR20,MATCH('Referral Stati'!$V$19,Fragenkatalog!BM20,0)),""),250)</f>
        <v/>
      </c>
      <c r="W33" t="str">
        <f>LEFT(IFERROR(INDEX(Fragenkatalog!$BR20,MATCH('Referral Stati'!$U$19,Fragenkatalog!BN20,0)),""),250)</f>
        <v/>
      </c>
    </row>
    <row r="34" spans="1:23" ht="20.25" customHeight="1">
      <c r="A34" s="168" t="str">
        <f>Fragenkatalog!B21</f>
        <v>RisikoFragen7</v>
      </c>
      <c r="D34" t="str">
        <f>LEFT(IFERROR(INDEX(Fragenkatalog!$BR21,MATCH('Referral Stati'!$D$19,Fragenkatalog!AU21,0)),""),250)</f>
        <v/>
      </c>
      <c r="E34" s="19" t="str">
        <f>LEFT(IFERROR(INDEX(Fragenkatalog!$BR21,MATCH('Referral Stati'!$E$19,Fragenkatalog!AV21,0)),""),250)</f>
        <v/>
      </c>
      <c r="F34" s="19" t="str">
        <f>LEFT(IFERROR(INDEX(Fragenkatalog!$BR21,MATCH('Referral Stati'!$F$19,Fragenkatalog!AO21,0)),""),250)</f>
        <v/>
      </c>
      <c r="G34" t="str">
        <f>LEFT(IFERROR(INDEX(Fragenkatalog!$BR21,MATCH('Referral Stati'!$G$19,Fragenkatalog!AP21,0)),""),250)</f>
        <v/>
      </c>
      <c r="J34" t="str">
        <f t="array" ref="J34">LEFT(IFERROR(INDEX(Fragenkatalog!BR21,MATCH('Referral Stati'!$J$19,Fragenkatalog!W21,0)),""),250)</f>
        <v/>
      </c>
      <c r="K34" t="str">
        <f t="array" ref="K34">LEFT(IFERROR(INDEX(Fragenkatalog!BR21,MATCH('Referral Stati'!$K$19,Fragenkatalog!X21,0)),""),250)</f>
        <v/>
      </c>
      <c r="L34" s="19" t="str">
        <f>LEFT(IFERROR(INDEX(Fragenkatalog!$BR21,MATCH('Referral Stati'!$L$19,Fragenkatalog!Q21,0)),""),250)</f>
        <v/>
      </c>
      <c r="M34" s="19" t="str">
        <f>LEFT(IFERROR(INDEX(Fragenkatalog!$BR21,MATCH('Referral Stati'!$M$19,Fragenkatalog!R21,0)),""),250)</f>
        <v/>
      </c>
      <c r="N34" s="19" t="str">
        <f>LEFT(IFERROR(INDEX(Fragenkatalog!$BR21,MATCH('Referral Stati'!$N$19,Fragenkatalog!AI21,0)),""),250)</f>
        <v/>
      </c>
      <c r="O34" t="str">
        <f>LEFT(IFERROR(INDEX(Fragenkatalog!$BR21,MATCH('Referral Stati'!$O$19,Fragenkatalog!AJ21,0)),""),250)</f>
        <v/>
      </c>
      <c r="P34" s="19" t="str">
        <f>LEFT(IFERROR(INDEX(Fragenkatalog!$BR21,MATCH('Referral Stati'!$P$19,Fragenkatalog!AC21,0)),""),250)</f>
        <v/>
      </c>
      <c r="Q34" s="19" t="str">
        <f>LEFT(IFERROR(INDEX(Fragenkatalog!$BR21,MATCH('Referral Stati'!$Q$19,Fragenkatalog!AD21,0)),""),250)</f>
        <v/>
      </c>
      <c r="R34" t="str">
        <f>LEFT(IFERROR(INDEX(Fragenkatalog!$BR21,MATCH('Referral Stati'!$R$19,Fragenkatalog!BA21,0)),""),250)</f>
        <v/>
      </c>
      <c r="S34" t="str">
        <f>LEFT(IFERROR(INDEX(Fragenkatalog!$BR21,MATCH('Referral Stati'!$S$19,Fragenkatalog!BB21,0)),""),250)</f>
        <v/>
      </c>
      <c r="T34" t="str">
        <f>LEFT(IFERROR(INDEX(Fragenkatalog!$BR21,MATCH('Referral Stati'!$T$19,Fragenkatalog!BG21,0)),""),250)</f>
        <v/>
      </c>
      <c r="U34" t="str">
        <f>LEFT(IFERROR(INDEX(Fragenkatalog!$BR21,MATCH('Referral Stati'!$U$19,Fragenkatalog!BH21,0)),""),250)</f>
        <v/>
      </c>
      <c r="V34" t="str">
        <f>LEFT(IFERROR(INDEX(Fragenkatalog!$BR21,MATCH('Referral Stati'!$V$19,Fragenkatalog!BM21,0)),""),250)</f>
        <v/>
      </c>
      <c r="W34" t="str">
        <f>LEFT(IFERROR(INDEX(Fragenkatalog!$BR21,MATCH('Referral Stati'!$U$19,Fragenkatalog!BN21,0)),""),250)</f>
        <v/>
      </c>
    </row>
    <row r="35" spans="1:23" ht="20.25" customHeight="1">
      <c r="A35" s="168" t="str">
        <f>Fragenkatalog!B22</f>
        <v>RisikoFragen8</v>
      </c>
      <c r="D35" t="str">
        <f>LEFT(IFERROR(INDEX(Fragenkatalog!$BR22,MATCH('Referral Stati'!$D$19,Fragenkatalog!AU22,0)),""),250)</f>
        <v/>
      </c>
      <c r="E35" s="19" t="str">
        <f>LEFT(IFERROR(INDEX(Fragenkatalog!$BR22,MATCH('Referral Stati'!$E$19,Fragenkatalog!AV22,0)),""),250)</f>
        <v/>
      </c>
      <c r="F35" s="19" t="str">
        <f>LEFT(IFERROR(INDEX(Fragenkatalog!$BR22,MATCH('Referral Stati'!$F$19,Fragenkatalog!AO22,0)),""),250)</f>
        <v/>
      </c>
      <c r="G35" t="str">
        <f>LEFT(IFERROR(INDEX(Fragenkatalog!$BR22,MATCH('Referral Stati'!$G$19,Fragenkatalog!AP22,0)),""),250)</f>
        <v/>
      </c>
      <c r="J35" t="str">
        <f t="array" ref="J35">LEFT(IFERROR(INDEX(Fragenkatalog!BR22,MATCH('Referral Stati'!$J$19,Fragenkatalog!W22,0)),""),250)</f>
        <v/>
      </c>
      <c r="K35" t="str">
        <f t="array" ref="K35">LEFT(IFERROR(INDEX(Fragenkatalog!BR22,MATCH('Referral Stati'!$K$19,Fragenkatalog!X22,0)),""),250)</f>
        <v/>
      </c>
      <c r="L35" s="19" t="str">
        <f>LEFT(IFERROR(INDEX(Fragenkatalog!$BR22,MATCH('Referral Stati'!$L$19,Fragenkatalog!Q22,0)),""),250)</f>
        <v/>
      </c>
      <c r="M35" s="19" t="str">
        <f>LEFT(IFERROR(INDEX(Fragenkatalog!$BR22,MATCH('Referral Stati'!$M$19,Fragenkatalog!R22,0)),""),250)</f>
        <v/>
      </c>
      <c r="N35" s="19" t="str">
        <f>LEFT(IFERROR(INDEX(Fragenkatalog!$BR22,MATCH('Referral Stati'!$N$19,Fragenkatalog!AI22,0)),""),250)</f>
        <v/>
      </c>
      <c r="O35" t="str">
        <f>LEFT(IFERROR(INDEX(Fragenkatalog!$BR22,MATCH('Referral Stati'!$O$19,Fragenkatalog!AJ22,0)),""),250)</f>
        <v/>
      </c>
      <c r="P35" s="19" t="str">
        <f>LEFT(IFERROR(INDEX(Fragenkatalog!$BR22,MATCH('Referral Stati'!$P$19,Fragenkatalog!AC22,0)),""),250)</f>
        <v/>
      </c>
      <c r="Q35" s="19" t="str">
        <f>LEFT(IFERROR(INDEX(Fragenkatalog!$BR22,MATCH('Referral Stati'!$Q$19,Fragenkatalog!AD22,0)),""),250)</f>
        <v/>
      </c>
      <c r="R35" t="str">
        <f>LEFT(IFERROR(INDEX(Fragenkatalog!$BR22,MATCH('Referral Stati'!$R$19,Fragenkatalog!BA22,0)),""),250)</f>
        <v/>
      </c>
      <c r="S35" t="str">
        <f>LEFT(IFERROR(INDEX(Fragenkatalog!$BR22,MATCH('Referral Stati'!$S$19,Fragenkatalog!BB22,0)),""),250)</f>
        <v/>
      </c>
      <c r="T35" t="str">
        <f>LEFT(IFERROR(INDEX(Fragenkatalog!$BR22,MATCH('Referral Stati'!$T$19,Fragenkatalog!BG22,0)),""),250)</f>
        <v/>
      </c>
      <c r="U35" t="str">
        <f>LEFT(IFERROR(INDEX(Fragenkatalog!$BR22,MATCH('Referral Stati'!$U$19,Fragenkatalog!BH22,0)),""),250)</f>
        <v/>
      </c>
      <c r="V35" t="str">
        <f>LEFT(IFERROR(INDEX(Fragenkatalog!$BR22,MATCH('Referral Stati'!$V$19,Fragenkatalog!BM22,0)),""),250)</f>
        <v/>
      </c>
      <c r="W35" t="str">
        <f>LEFT(IFERROR(INDEX(Fragenkatalog!$BR22,MATCH('Referral Stati'!$U$19,Fragenkatalog!BN22,0)),""),250)</f>
        <v/>
      </c>
    </row>
    <row r="36" spans="1:23" ht="20.25" customHeight="1">
      <c r="A36" s="168" t="str">
        <f>Fragenkatalog!B23</f>
        <v>RisikoFragen0a</v>
      </c>
      <c r="D36" t="str">
        <f ca="1">LEFT(IFERROR(INDEX(Fragenkatalog!$BR23,MATCH('Referral Stati'!$D$19,Fragenkatalog!AU23,0)),""),250)</f>
        <v/>
      </c>
      <c r="E36" s="19" t="str">
        <f>LEFT(IFERROR(INDEX(Fragenkatalog!$BR23,MATCH('Referral Stati'!$E$19,Fragenkatalog!AV23,0)),""),250)</f>
        <v/>
      </c>
      <c r="F36" s="19" t="str">
        <f ca="1">LEFT(IFERROR(INDEX(Fragenkatalog!$BR23,MATCH('Referral Stati'!$F$19,Fragenkatalog!AO23,0)),""),250)</f>
        <v>Policenbeginn</v>
      </c>
      <c r="G36" t="str">
        <f>LEFT(IFERROR(INDEX(Fragenkatalog!$BR23,MATCH('Referral Stati'!$G$19,Fragenkatalog!AP23,0)),""),250)</f>
        <v/>
      </c>
      <c r="J36" t="str">
        <f t="array" aca="1" ref="J36" ca="1">LEFT(IFERROR(INDEX(Fragenkatalog!BR23,MATCH('Referral Stati'!$J$19,Fragenkatalog!W23,0)),""),250)</f>
        <v>Policenbeginn</v>
      </c>
      <c r="K36" t="str">
        <f t="array" ref="K36">LEFT(IFERROR(INDEX(Fragenkatalog!BR23,MATCH('Referral Stati'!$K$19,Fragenkatalog!X23,0)),""),250)</f>
        <v/>
      </c>
      <c r="L36" s="19" t="str">
        <f ca="1">LEFT(IFERROR(INDEX(Fragenkatalog!$BR23,MATCH('Referral Stati'!$L$19,Fragenkatalog!Q23,0)),""),250)</f>
        <v>Policenbeginn</v>
      </c>
      <c r="M36" s="19" t="str">
        <f>LEFT(IFERROR(INDEX(Fragenkatalog!$BR23,MATCH('Referral Stati'!$M$19,Fragenkatalog!R23,0)),""),250)</f>
        <v/>
      </c>
      <c r="N36" s="19" t="str">
        <f ca="1">LEFT(IFERROR(INDEX(Fragenkatalog!$BR23,MATCH('Referral Stati'!$N$19,Fragenkatalog!AI23,0)),""),250)</f>
        <v>Policenbeginn</v>
      </c>
      <c r="O36" t="str">
        <f>LEFT(IFERROR(INDEX(Fragenkatalog!$BR23,MATCH('Referral Stati'!$O$19,Fragenkatalog!AJ23,0)),""),250)</f>
        <v/>
      </c>
      <c r="P36" s="19" t="str">
        <f ca="1">LEFT(IFERROR(INDEX(Fragenkatalog!$BR23,MATCH('Referral Stati'!$P$19,Fragenkatalog!AC23,0)),""),250)</f>
        <v>Policenbeginn</v>
      </c>
      <c r="Q36" s="19" t="str">
        <f>LEFT(IFERROR(INDEX(Fragenkatalog!$BR23,MATCH('Referral Stati'!$Q$19,Fragenkatalog!AD23,0)),""),250)</f>
        <v/>
      </c>
      <c r="R36" t="str">
        <f>LEFT(IFERROR(INDEX(Fragenkatalog!$BR23,MATCH('Referral Stati'!$R$19,Fragenkatalog!BA23,0)),""),250)</f>
        <v/>
      </c>
      <c r="S36" t="str">
        <f ca="1">LEFT(IFERROR(INDEX(Fragenkatalog!$BR23,MATCH('Referral Stati'!$S$19,Fragenkatalog!BB23,0)),""),250)</f>
        <v>Policenbeginn</v>
      </c>
      <c r="T36" t="str">
        <f ca="1">LEFT(IFERROR(INDEX(Fragenkatalog!$BR23,MATCH('Referral Stati'!$T$19,Fragenkatalog!BG23,0)),""),250)</f>
        <v/>
      </c>
      <c r="U36" t="str">
        <f>LEFT(IFERROR(INDEX(Fragenkatalog!$BR23,MATCH('Referral Stati'!$U$19,Fragenkatalog!BH23,0)),""),250)</f>
        <v/>
      </c>
      <c r="V36" t="str">
        <f>LEFT(IFERROR(INDEX(Fragenkatalog!$BR23,MATCH('Referral Stati'!$V$19,Fragenkatalog!BM23,0)),""),250)</f>
        <v/>
      </c>
      <c r="W36" t="str">
        <f>LEFT(IFERROR(INDEX(Fragenkatalog!$BR23,MATCH('Referral Stati'!$U$19,Fragenkatalog!BN23,0)),""),250)</f>
        <v/>
      </c>
    </row>
    <row r="37" spans="1:23" ht="20.25" customHeight="1">
      <c r="A37" s="168" t="str">
        <f>Fragenkatalog!B24</f>
        <v>RisikoFragen0b</v>
      </c>
      <c r="D37" t="str">
        <f>LEFT(IFERROR(INDEX(Fragenkatalog!$BR24,MATCH('Referral Stati'!$D$19,Fragenkatalog!AU24,0)),""),250)</f>
        <v/>
      </c>
      <c r="E37" s="19" t="str">
        <f>LEFT(IFERROR(INDEX(Fragenkatalog!$BR24,MATCH('Referral Stati'!$E$19,Fragenkatalog!AV24,0)),""),250)</f>
        <v/>
      </c>
      <c r="F37" s="19" t="str">
        <f>LEFT(IFERROR(INDEX(Fragenkatalog!$BR24,MATCH('Referral Stati'!$F$19,Fragenkatalog!AO24,0)),""),250)</f>
        <v/>
      </c>
      <c r="G37" t="str">
        <f>LEFT(IFERROR(INDEX(Fragenkatalog!$BR24,MATCH('Referral Stati'!$G$19,Fragenkatalog!AP24,0)),""),250)</f>
        <v>Policenende bzw. Laufzeit</v>
      </c>
      <c r="J37" t="str">
        <f t="array" ref="J37">LEFT(IFERROR(INDEX(Fragenkatalog!BR24,MATCH('Referral Stati'!$J$19,Fragenkatalog!W24,0)),""),250)</f>
        <v/>
      </c>
      <c r="K37" t="str">
        <f t="array" ref="K37">LEFT(IFERROR(INDEX(Fragenkatalog!BR24,MATCH('Referral Stati'!$K$19,Fragenkatalog!X24,0)),""),250)</f>
        <v/>
      </c>
      <c r="L37" s="19" t="str">
        <f>LEFT(IFERROR(INDEX(Fragenkatalog!$BR24,MATCH('Referral Stati'!$L$19,Fragenkatalog!Q24,0)),""),250)</f>
        <v/>
      </c>
      <c r="M37" s="19" t="str">
        <f>LEFT(IFERROR(INDEX(Fragenkatalog!$BR24,MATCH('Referral Stati'!$M$19,Fragenkatalog!R24,0)),""),250)</f>
        <v/>
      </c>
      <c r="N37" s="19" t="str">
        <f>LEFT(IFERROR(INDEX(Fragenkatalog!$BR24,MATCH('Referral Stati'!$N$19,Fragenkatalog!AI24,0)),""),250)</f>
        <v>Policenende bzw. Laufzeit</v>
      </c>
      <c r="O37" t="str">
        <f>LEFT(IFERROR(INDEX(Fragenkatalog!$BR24,MATCH('Referral Stati'!$O$19,Fragenkatalog!AJ24,0)),""),250)</f>
        <v/>
      </c>
      <c r="P37" s="19" t="str">
        <f>LEFT(IFERROR(INDEX(Fragenkatalog!$BR24,MATCH('Referral Stati'!$P$19,Fragenkatalog!AC24,0)),""),250)</f>
        <v>Policenende bzw. Laufzeit</v>
      </c>
      <c r="Q37" s="19" t="str">
        <f>LEFT(IFERROR(INDEX(Fragenkatalog!$BR24,MATCH('Referral Stati'!$Q$19,Fragenkatalog!AD24,0)),""),250)</f>
        <v/>
      </c>
      <c r="R37" t="str">
        <f>LEFT(IFERROR(INDEX(Fragenkatalog!$BR24,MATCH('Referral Stati'!$R$19,Fragenkatalog!BA24,0)),""),250)</f>
        <v/>
      </c>
      <c r="S37" t="str">
        <f>LEFT(IFERROR(INDEX(Fragenkatalog!$BR24,MATCH('Referral Stati'!$S$19,Fragenkatalog!BB24,0)),""),250)</f>
        <v/>
      </c>
      <c r="T37" t="str">
        <f>LEFT(IFERROR(INDEX(Fragenkatalog!$BR24,MATCH('Referral Stati'!$T$19,Fragenkatalog!BG24,0)),""),250)</f>
        <v/>
      </c>
      <c r="U37" t="str">
        <f>LEFT(IFERROR(INDEX(Fragenkatalog!$BR24,MATCH('Referral Stati'!$U$19,Fragenkatalog!BH24,0)),""),250)</f>
        <v/>
      </c>
      <c r="V37" t="str">
        <f>LEFT(IFERROR(INDEX(Fragenkatalog!$BR24,MATCH('Referral Stati'!$V$19,Fragenkatalog!BM24,0)),""),250)</f>
        <v/>
      </c>
      <c r="W37" t="str">
        <f>LEFT(IFERROR(INDEX(Fragenkatalog!$BR24,MATCH('Referral Stati'!$U$19,Fragenkatalog!BN24,0)),""),250)</f>
        <v>Policenende bzw. Laufzeit</v>
      </c>
    </row>
    <row r="38" spans="1:23" ht="20.25" customHeight="1">
      <c r="A38" s="168" t="str">
        <f>Fragenkatalog!B25</f>
        <v>RisikoFragen0c</v>
      </c>
      <c r="D38" t="str">
        <f>LEFT(IFERROR(INDEX(Fragenkatalog!$BR25,MATCH('Referral Stati'!$D$19,Fragenkatalog!AU25,0)),""),250)</f>
        <v/>
      </c>
      <c r="E38" s="19" t="str">
        <f>LEFT(IFERROR(INDEX(Fragenkatalog!$BR25,MATCH('Referral Stati'!$E$19,Fragenkatalog!AV25,0)),""),250)</f>
        <v/>
      </c>
      <c r="F38" s="19" t="str">
        <f>LEFT(IFERROR(INDEX(Fragenkatalog!$BR25,MATCH('Referral Stati'!$F$19,Fragenkatalog!AO25,0)),""),250)</f>
        <v/>
      </c>
      <c r="G38" t="str">
        <f>LEFT(IFERROR(INDEX(Fragenkatalog!$BR25,MATCH('Referral Stati'!$G$19,Fragenkatalog!AP25,0)),""),250)</f>
        <v/>
      </c>
      <c r="J38" t="str">
        <f t="array" ref="J38">LEFT(IFERROR(INDEX(Fragenkatalog!BR25,MATCH('Referral Stati'!$J$19,Fragenkatalog!W25,0)),""),250)</f>
        <v/>
      </c>
      <c r="K38" t="str">
        <f t="array" ref="K38">LEFT(IFERROR(INDEX(Fragenkatalog!BR25,MATCH('Referral Stati'!$K$19,Fragenkatalog!X25,0)),""),250)</f>
        <v/>
      </c>
      <c r="L38" s="19" t="str">
        <f>LEFT(IFERROR(INDEX(Fragenkatalog!$BR25,MATCH('Referral Stati'!$L$19,Fragenkatalog!Q25,0)),""),250)</f>
        <v/>
      </c>
      <c r="M38" s="19" t="str">
        <f>LEFT(IFERROR(INDEX(Fragenkatalog!$BR25,MATCH('Referral Stati'!$M$19,Fragenkatalog!R25,0)),""),250)</f>
        <v/>
      </c>
      <c r="N38" s="19" t="str">
        <f>LEFT(IFERROR(INDEX(Fragenkatalog!$BR25,MATCH('Referral Stati'!$N$19,Fragenkatalog!AI25,0)),""),250)</f>
        <v/>
      </c>
      <c r="O38" t="str">
        <f>LEFT(IFERROR(INDEX(Fragenkatalog!$BR25,MATCH('Referral Stati'!$O$19,Fragenkatalog!AJ25,0)),""),250)</f>
        <v/>
      </c>
      <c r="P38" s="19" t="str">
        <f>LEFT(IFERROR(INDEX(Fragenkatalog!$BR25,MATCH('Referral Stati'!$P$19,Fragenkatalog!AC25,0)),""),250)</f>
        <v/>
      </c>
      <c r="Q38" s="19" t="str">
        <f>LEFT(IFERROR(INDEX(Fragenkatalog!$BR25,MATCH('Referral Stati'!$Q$19,Fragenkatalog!AD25,0)),""),250)</f>
        <v/>
      </c>
      <c r="R38" t="str">
        <f>LEFT(IFERROR(INDEX(Fragenkatalog!$BR25,MATCH('Referral Stati'!$R$19,Fragenkatalog!BA25,0)),""),250)</f>
        <v/>
      </c>
      <c r="S38" t="str">
        <f>LEFT(IFERROR(INDEX(Fragenkatalog!$BR25,MATCH('Referral Stati'!$S$19,Fragenkatalog!BB25,0)),""),250)</f>
        <v/>
      </c>
      <c r="T38" t="str">
        <f>LEFT(IFERROR(INDEX(Fragenkatalog!$BR25,MATCH('Referral Stati'!$T$19,Fragenkatalog!BG25,0)),""),250)</f>
        <v/>
      </c>
      <c r="U38" t="str">
        <f>LEFT(IFERROR(INDEX(Fragenkatalog!$BR25,MATCH('Referral Stati'!$U$19,Fragenkatalog!BH25,0)),""),250)</f>
        <v/>
      </c>
      <c r="V38" t="str">
        <f>LEFT(IFERROR(INDEX(Fragenkatalog!$BR25,MATCH('Referral Stati'!$V$19,Fragenkatalog!BM25,0)),""),250)</f>
        <v/>
      </c>
      <c r="W38" t="str">
        <f>LEFT(IFERROR(INDEX(Fragenkatalog!$BR25,MATCH('Referral Stati'!$U$19,Fragenkatalog!BN25,0)),""),250)</f>
        <v/>
      </c>
    </row>
    <row r="39" spans="1:23" ht="20.25" customHeight="1">
      <c r="A39" s="168" t="str">
        <f>Fragenkatalog!B26</f>
        <v>RisikoFragen0d</v>
      </c>
      <c r="D39" t="str">
        <f>LEFT(IFERROR(INDEX(Fragenkatalog!$BR26,MATCH('Referral Stati'!$D$19,Fragenkatalog!AU26,0)),""),250)</f>
        <v/>
      </c>
      <c r="E39" s="19" t="str">
        <f>LEFT(IFERROR(INDEX(Fragenkatalog!$BR26,MATCH('Referral Stati'!$E$19,Fragenkatalog!AV26,0)),""),250)</f>
        <v/>
      </c>
      <c r="F39" s="19" t="str">
        <f>LEFT(IFERROR(INDEX(Fragenkatalog!$BR26,MATCH('Referral Stati'!$F$19,Fragenkatalog!AO26,0)),""),250)</f>
        <v/>
      </c>
      <c r="G39" t="str">
        <f>LEFT(IFERROR(INDEX(Fragenkatalog!$BR26,MATCH('Referral Stati'!$G$19,Fragenkatalog!AP26,0)),""),250)</f>
        <v/>
      </c>
      <c r="J39" t="str">
        <f t="array" ref="J39">LEFT(IFERROR(INDEX(Fragenkatalog!BR26,MATCH('Referral Stati'!$J$19,Fragenkatalog!W26,0)),""),250)</f>
        <v/>
      </c>
      <c r="K39" t="str">
        <f t="array" ref="K39">LEFT(IFERROR(INDEX(Fragenkatalog!BR26,MATCH('Referral Stati'!$K$19,Fragenkatalog!X26,0)),""),250)</f>
        <v/>
      </c>
      <c r="L39" s="19" t="str">
        <f>LEFT(IFERROR(INDEX(Fragenkatalog!$BR26,MATCH('Referral Stati'!$L$19,Fragenkatalog!Q26,0)),""),250)</f>
        <v/>
      </c>
      <c r="M39" s="19" t="str">
        <f>LEFT(IFERROR(INDEX(Fragenkatalog!$BR26,MATCH('Referral Stati'!$M$19,Fragenkatalog!R26,0)),""),250)</f>
        <v/>
      </c>
      <c r="N39" s="19" t="str">
        <f>LEFT(IFERROR(INDEX(Fragenkatalog!$BR26,MATCH('Referral Stati'!$N$19,Fragenkatalog!AI26,0)),""),250)</f>
        <v/>
      </c>
      <c r="O39" t="str">
        <f>LEFT(IFERROR(INDEX(Fragenkatalog!$BR26,MATCH('Referral Stati'!$O$19,Fragenkatalog!AJ26,0)),""),250)</f>
        <v/>
      </c>
      <c r="P39" s="19" t="str">
        <f>LEFT(IFERROR(INDEX(Fragenkatalog!$BR26,MATCH('Referral Stati'!$P$19,Fragenkatalog!AC26,0)),""),250)</f>
        <v/>
      </c>
      <c r="Q39" s="19" t="str">
        <f>LEFT(IFERROR(INDEX(Fragenkatalog!$BR26,MATCH('Referral Stati'!$Q$19,Fragenkatalog!AD26,0)),""),250)</f>
        <v/>
      </c>
      <c r="R39" t="str">
        <f>LEFT(IFERROR(INDEX(Fragenkatalog!$BR26,MATCH('Referral Stati'!$R$19,Fragenkatalog!BA26,0)),""),250)</f>
        <v/>
      </c>
      <c r="S39" t="str">
        <f>LEFT(IFERROR(INDEX(Fragenkatalog!$BR26,MATCH('Referral Stati'!$S$19,Fragenkatalog!BB26,0)),""),250)</f>
        <v/>
      </c>
      <c r="T39" t="str">
        <f>LEFT(IFERROR(INDEX(Fragenkatalog!$BR26,MATCH('Referral Stati'!$T$19,Fragenkatalog!BG26,0)),""),250)</f>
        <v/>
      </c>
      <c r="U39" t="str">
        <f>LEFT(IFERROR(INDEX(Fragenkatalog!$BR26,MATCH('Referral Stati'!$U$19,Fragenkatalog!BH26,0)),""),250)</f>
        <v/>
      </c>
      <c r="V39" t="str">
        <f>LEFT(IFERROR(INDEX(Fragenkatalog!$BR26,MATCH('Referral Stati'!$V$19,Fragenkatalog!BM26,0)),""),250)</f>
        <v/>
      </c>
      <c r="W39" t="str">
        <f>LEFT(IFERROR(INDEX(Fragenkatalog!$BR26,MATCH('Referral Stati'!$U$19,Fragenkatalog!BN26,0)),""),250)</f>
        <v/>
      </c>
    </row>
    <row r="40" spans="1:23" ht="20.25" customHeight="1">
      <c r="A40" s="168" t="str">
        <f>Fragenkatalog!B27</f>
        <v>RisikoFragen0e</v>
      </c>
      <c r="D40" t="str">
        <f>LEFT(IFERROR(INDEX(Fragenkatalog!$BR27,MATCH('Referral Stati'!$D$19,Fragenkatalog!AU27,0)),""),250)</f>
        <v/>
      </c>
      <c r="E40" s="19" t="str">
        <f>LEFT(IFERROR(INDEX(Fragenkatalog!$BR27,MATCH('Referral Stati'!$E$19,Fragenkatalog!AV27,0)),""),250)</f>
        <v/>
      </c>
      <c r="F40" s="19" t="str">
        <f>LEFT(IFERROR(INDEX(Fragenkatalog!$BR27,MATCH('Referral Stati'!$F$19,Fragenkatalog!AO27,0)),""),250)</f>
        <v/>
      </c>
      <c r="G40" t="str">
        <f>LEFT(IFERROR(INDEX(Fragenkatalog!$BR27,MATCH('Referral Stati'!$G$19,Fragenkatalog!AP27,0)),""),250)</f>
        <v/>
      </c>
      <c r="J40" t="str">
        <f t="array" ref="J40">LEFT(IFERROR(INDEX(Fragenkatalog!BR27,MATCH('Referral Stati'!$J$19,Fragenkatalog!W27,0)),""),250)</f>
        <v/>
      </c>
      <c r="K40" t="str">
        <f t="array" ref="K40">LEFT(IFERROR(INDEX(Fragenkatalog!BR27,MATCH('Referral Stati'!$K$19,Fragenkatalog!X27,0)),""),250)</f>
        <v/>
      </c>
      <c r="L40" s="19" t="str">
        <f>LEFT(IFERROR(INDEX(Fragenkatalog!$BR27,MATCH('Referral Stati'!$L$19,Fragenkatalog!Q27,0)),""),250)</f>
        <v/>
      </c>
      <c r="M40" s="19" t="str">
        <f>LEFT(IFERROR(INDEX(Fragenkatalog!$BR27,MATCH('Referral Stati'!$M$19,Fragenkatalog!R27,0)),""),250)</f>
        <v/>
      </c>
      <c r="N40" s="19" t="str">
        <f>LEFT(IFERROR(INDEX(Fragenkatalog!$BR27,MATCH('Referral Stati'!$N$19,Fragenkatalog!AI27,0)),""),250)</f>
        <v/>
      </c>
      <c r="O40" t="str">
        <f>LEFT(IFERROR(INDEX(Fragenkatalog!$BR27,MATCH('Referral Stati'!$O$19,Fragenkatalog!AJ27,0)),""),250)</f>
        <v/>
      </c>
      <c r="P40" s="19" t="str">
        <f>LEFT(IFERROR(INDEX(Fragenkatalog!$BR27,MATCH('Referral Stati'!$P$19,Fragenkatalog!AC27,0)),""),250)</f>
        <v/>
      </c>
      <c r="Q40" s="19" t="str">
        <f>LEFT(IFERROR(INDEX(Fragenkatalog!$BR27,MATCH('Referral Stati'!$Q$19,Fragenkatalog!AD27,0)),""),250)</f>
        <v/>
      </c>
      <c r="R40" t="str">
        <f>LEFT(IFERROR(INDEX(Fragenkatalog!$BR27,MATCH('Referral Stati'!$R$19,Fragenkatalog!BA27,0)),""),250)</f>
        <v/>
      </c>
      <c r="S40" t="str">
        <f>LEFT(IFERROR(INDEX(Fragenkatalog!$BR27,MATCH('Referral Stati'!$S$19,Fragenkatalog!BB27,0)),""),250)</f>
        <v/>
      </c>
      <c r="T40" t="str">
        <f>LEFT(IFERROR(INDEX(Fragenkatalog!$BR27,MATCH('Referral Stati'!$T$19,Fragenkatalog!BG27,0)),""),250)</f>
        <v/>
      </c>
      <c r="U40" t="str">
        <f>LEFT(IFERROR(INDEX(Fragenkatalog!$BR27,MATCH('Referral Stati'!$U$19,Fragenkatalog!BH27,0)),""),250)</f>
        <v/>
      </c>
      <c r="V40" t="str">
        <f>LEFT(IFERROR(INDEX(Fragenkatalog!$BR27,MATCH('Referral Stati'!$V$19,Fragenkatalog!BM27,0)),""),250)</f>
        <v/>
      </c>
      <c r="W40" t="str">
        <f>LEFT(IFERROR(INDEX(Fragenkatalog!$BR27,MATCH('Referral Stati'!$U$19,Fragenkatalog!BN27,0)),""),250)</f>
        <v/>
      </c>
    </row>
    <row r="41" spans="1:23" ht="20.25" customHeight="1">
      <c r="A41" s="168" t="str">
        <f>Fragenkatalog!B28</f>
        <v>RisikoFragen18</v>
      </c>
      <c r="D41" t="str">
        <f>LEFT(IFERROR(INDEX(Fragenkatalog!$BR28,MATCH('Referral Stati'!$D$19,Fragenkatalog!AU28,0)),""),250)</f>
        <v/>
      </c>
      <c r="E41" s="19" t="str">
        <f>LEFT(IFERROR(INDEX(Fragenkatalog!$BR28,MATCH('Referral Stati'!$E$19,Fragenkatalog!AV28,0)),""),250)</f>
        <v/>
      </c>
      <c r="F41" s="19" t="str">
        <f>LEFT(IFERROR(INDEX(Fragenkatalog!$BR28,MATCH('Referral Stati'!$F$19,Fragenkatalog!AO28,0)),""),250)</f>
        <v/>
      </c>
      <c r="G41" t="str">
        <f>LEFT(IFERROR(INDEX(Fragenkatalog!$BR28,MATCH('Referral Stati'!$G$19,Fragenkatalog!AP28,0)),""),250)</f>
        <v/>
      </c>
      <c r="J41" t="str">
        <f t="array" ref="J41">LEFT(IFERROR(INDEX(Fragenkatalog!BR28,MATCH('Referral Stati'!$J$19,Fragenkatalog!W28,0)),""),250)</f>
        <v/>
      </c>
      <c r="K41" t="str">
        <f t="array" ref="K41">LEFT(IFERROR(INDEX(Fragenkatalog!BR28,MATCH('Referral Stati'!$K$19,Fragenkatalog!X28,0)),""),250)</f>
        <v/>
      </c>
      <c r="L41" s="19" t="str">
        <f>LEFT(IFERROR(INDEX(Fragenkatalog!$BR28,MATCH('Referral Stati'!$L$19,Fragenkatalog!Q28,0)),""),250)</f>
        <v/>
      </c>
      <c r="M41" s="19" t="str">
        <f>LEFT(IFERROR(INDEX(Fragenkatalog!$BR28,MATCH('Referral Stati'!$M$19,Fragenkatalog!R28,0)),""),250)</f>
        <v/>
      </c>
      <c r="N41" s="19" t="str">
        <f>LEFT(IFERROR(INDEX(Fragenkatalog!$BR28,MATCH('Referral Stati'!$N$19,Fragenkatalog!AI28,0)),""),250)</f>
        <v/>
      </c>
      <c r="O41" t="str">
        <f>LEFT(IFERROR(INDEX(Fragenkatalog!$BR28,MATCH('Referral Stati'!$O$19,Fragenkatalog!AJ28,0)),""),250)</f>
        <v/>
      </c>
      <c r="P41" s="19" t="str">
        <f>LEFT(IFERROR(INDEX(Fragenkatalog!$BR28,MATCH('Referral Stati'!$P$19,Fragenkatalog!AC28,0)),""),250)</f>
        <v/>
      </c>
      <c r="Q41" s="19" t="str">
        <f>LEFT(IFERROR(INDEX(Fragenkatalog!$BR28,MATCH('Referral Stati'!$Q$19,Fragenkatalog!AD28,0)),""),250)</f>
        <v/>
      </c>
      <c r="R41" t="str">
        <f>LEFT(IFERROR(INDEX(Fragenkatalog!$BR28,MATCH('Referral Stati'!$R$19,Fragenkatalog!BA28,0)),""),250)</f>
        <v/>
      </c>
      <c r="S41" t="str">
        <f>LEFT(IFERROR(INDEX(Fragenkatalog!$BR28,MATCH('Referral Stati'!$S$19,Fragenkatalog!BB28,0)),""),250)</f>
        <v/>
      </c>
      <c r="T41" t="str">
        <f>LEFT(IFERROR(INDEX(Fragenkatalog!$BR28,MATCH('Referral Stati'!$T$19,Fragenkatalog!BG28,0)),""),250)</f>
        <v/>
      </c>
      <c r="U41" t="str">
        <f>LEFT(IFERROR(INDEX(Fragenkatalog!$BR28,MATCH('Referral Stati'!$U$19,Fragenkatalog!BH28,0)),""),250)</f>
        <v/>
      </c>
      <c r="V41" t="str">
        <f>LEFT(IFERROR(INDEX(Fragenkatalog!$BR28,MATCH('Referral Stati'!$V$19,Fragenkatalog!BM28,0)),""),250)</f>
        <v/>
      </c>
      <c r="W41" t="str">
        <f>LEFT(IFERROR(INDEX(Fragenkatalog!$BR28,MATCH('Referral Stati'!$U$19,Fragenkatalog!BN28,0)),""),250)</f>
        <v/>
      </c>
    </row>
    <row r="42" spans="1:23" ht="20.25" customHeight="1">
      <c r="A42" s="168" t="str">
        <f>Fragenkatalog!B29</f>
        <v>RisikoFragen19</v>
      </c>
      <c r="D42" t="str">
        <f>LEFT(IFERROR(INDEX(Fragenkatalog!$BR29,MATCH('Referral Stati'!$D$19,Fragenkatalog!AU29,0)),""),250)</f>
        <v/>
      </c>
      <c r="E42" s="19" t="str">
        <f>LEFT(IFERROR(INDEX(Fragenkatalog!$BR29,MATCH('Referral Stati'!$E$19,Fragenkatalog!AV29,0)),""),250)</f>
        <v/>
      </c>
      <c r="F42" s="19" t="str">
        <f>LEFT(IFERROR(INDEX(Fragenkatalog!$BR29,MATCH('Referral Stati'!$F$19,Fragenkatalog!AO29,0)),""),250)</f>
        <v/>
      </c>
      <c r="G42" t="str">
        <f>LEFT(IFERROR(INDEX(Fragenkatalog!$BR29,MATCH('Referral Stati'!$G$19,Fragenkatalog!AP29,0)),""),250)</f>
        <v/>
      </c>
      <c r="J42" t="str">
        <f t="array" ref="J42">LEFT(IFERROR(INDEX(Fragenkatalog!BR29,MATCH('Referral Stati'!$J$19,Fragenkatalog!W29,0)),""),250)</f>
        <v/>
      </c>
      <c r="K42" t="str">
        <f t="array" ref="K42">LEFT(IFERROR(INDEX(Fragenkatalog!BR29,MATCH('Referral Stati'!$K$19,Fragenkatalog!X29,0)),""),250)</f>
        <v/>
      </c>
      <c r="L42" s="19" t="str">
        <f>LEFT(IFERROR(INDEX(Fragenkatalog!$BR29,MATCH('Referral Stati'!$L$19,Fragenkatalog!Q29,0)),""),250)</f>
        <v/>
      </c>
      <c r="M42" s="19" t="str">
        <f>LEFT(IFERROR(INDEX(Fragenkatalog!$BR29,MATCH('Referral Stati'!$M$19,Fragenkatalog!R29,0)),""),250)</f>
        <v/>
      </c>
      <c r="N42" s="19" t="str">
        <f>LEFT(IFERROR(INDEX(Fragenkatalog!$BR29,MATCH('Referral Stati'!$N$19,Fragenkatalog!AI29,0)),""),250)</f>
        <v/>
      </c>
      <c r="O42" t="str">
        <f>LEFT(IFERROR(INDEX(Fragenkatalog!$BR29,MATCH('Referral Stati'!$O$19,Fragenkatalog!AJ29,0)),""),250)</f>
        <v/>
      </c>
      <c r="P42" s="19" t="str">
        <f>LEFT(IFERROR(INDEX(Fragenkatalog!$BR29,MATCH('Referral Stati'!$P$19,Fragenkatalog!AC29,0)),""),250)</f>
        <v/>
      </c>
      <c r="Q42" s="19" t="str">
        <f>LEFT(IFERROR(INDEX(Fragenkatalog!$BR29,MATCH('Referral Stati'!$Q$19,Fragenkatalog!AD29,0)),""),250)</f>
        <v/>
      </c>
      <c r="R42" t="str">
        <f>LEFT(IFERROR(INDEX(Fragenkatalog!$BR29,MATCH('Referral Stati'!$R$19,Fragenkatalog!BA29,0)),""),250)</f>
        <v/>
      </c>
      <c r="S42" t="str">
        <f>LEFT(IFERROR(INDEX(Fragenkatalog!$BR29,MATCH('Referral Stati'!$S$19,Fragenkatalog!BB29,0)),""),250)</f>
        <v/>
      </c>
      <c r="T42" t="str">
        <f>LEFT(IFERROR(INDEX(Fragenkatalog!$BR29,MATCH('Referral Stati'!$T$19,Fragenkatalog!BG29,0)),""),250)</f>
        <v/>
      </c>
      <c r="U42" t="str">
        <f>LEFT(IFERROR(INDEX(Fragenkatalog!$BR29,MATCH('Referral Stati'!$U$19,Fragenkatalog!BH29,0)),""),250)</f>
        <v/>
      </c>
      <c r="V42" t="str">
        <f>LEFT(IFERROR(INDEX(Fragenkatalog!$BR29,MATCH('Referral Stati'!$V$19,Fragenkatalog!BM29,0)),""),250)</f>
        <v/>
      </c>
      <c r="W42" t="str">
        <f>LEFT(IFERROR(INDEX(Fragenkatalog!$BR29,MATCH('Referral Stati'!$U$19,Fragenkatalog!BN29,0)),""),250)</f>
        <v/>
      </c>
    </row>
    <row r="43" spans="1:23" ht="20.25" customHeight="1">
      <c r="A43" s="168" t="str">
        <f>Fragenkatalog!B30</f>
        <v>RisikoFragen20</v>
      </c>
      <c r="D43" t="str">
        <f>LEFT(IFERROR(INDEX(Fragenkatalog!$BR30,MATCH('Referral Stati'!$D$19,Fragenkatalog!AU30,0)),""),250)</f>
        <v/>
      </c>
      <c r="E43" s="19" t="str">
        <f>LEFT(IFERROR(INDEX(Fragenkatalog!$BR30,MATCH('Referral Stati'!$E$19,Fragenkatalog!AV30,0)),""),250)</f>
        <v/>
      </c>
      <c r="F43" s="19" t="str">
        <f>LEFT(IFERROR(INDEX(Fragenkatalog!$BR30,MATCH('Referral Stati'!$F$19,Fragenkatalog!AO30,0)),""),250)</f>
        <v/>
      </c>
      <c r="G43" t="str">
        <f>LEFT(IFERROR(INDEX(Fragenkatalog!$BR30,MATCH('Referral Stati'!$G$19,Fragenkatalog!AP30,0)),""),250)</f>
        <v/>
      </c>
      <c r="J43" t="str">
        <f t="array" ref="J43">LEFT(IFERROR(INDEX(Fragenkatalog!BR30,MATCH('Referral Stati'!$J$19,Fragenkatalog!W30,0)),""),250)</f>
        <v/>
      </c>
      <c r="K43" t="str">
        <f t="array" ref="K43">LEFT(IFERROR(INDEX(Fragenkatalog!BR30,MATCH('Referral Stati'!$K$19,Fragenkatalog!X30,0)),""),250)</f>
        <v/>
      </c>
      <c r="L43" s="19" t="str">
        <f>LEFT(IFERROR(INDEX(Fragenkatalog!$BR30,MATCH('Referral Stati'!$L$19,Fragenkatalog!Q30,0)),""),250)</f>
        <v/>
      </c>
      <c r="M43" s="19" t="str">
        <f>LEFT(IFERROR(INDEX(Fragenkatalog!$BR30,MATCH('Referral Stati'!$M$19,Fragenkatalog!R30,0)),""),250)</f>
        <v/>
      </c>
      <c r="N43" s="19" t="str">
        <f>LEFT(IFERROR(INDEX(Fragenkatalog!$BR30,MATCH('Referral Stati'!$N$19,Fragenkatalog!AI30,0)),""),250)</f>
        <v/>
      </c>
      <c r="O43" t="str">
        <f>LEFT(IFERROR(INDEX(Fragenkatalog!$BR30,MATCH('Referral Stati'!$O$19,Fragenkatalog!AJ30,0)),""),250)</f>
        <v/>
      </c>
      <c r="P43" s="19" t="str">
        <f>LEFT(IFERROR(INDEX(Fragenkatalog!$BR30,MATCH('Referral Stati'!$P$19,Fragenkatalog!AC30,0)),""),250)</f>
        <v/>
      </c>
      <c r="Q43" s="19" t="str">
        <f>LEFT(IFERROR(INDEX(Fragenkatalog!$BR30,MATCH('Referral Stati'!$Q$19,Fragenkatalog!AD30,0)),""),250)</f>
        <v/>
      </c>
      <c r="R43" t="str">
        <f>LEFT(IFERROR(INDEX(Fragenkatalog!$BR30,MATCH('Referral Stati'!$R$19,Fragenkatalog!BA30,0)),""),250)</f>
        <v/>
      </c>
      <c r="S43" t="str">
        <f>LEFT(IFERROR(INDEX(Fragenkatalog!$BR30,MATCH('Referral Stati'!$S$19,Fragenkatalog!BB30,0)),""),250)</f>
        <v/>
      </c>
      <c r="T43" t="str">
        <f>LEFT(IFERROR(INDEX(Fragenkatalog!$BR30,MATCH('Referral Stati'!$T$19,Fragenkatalog!BG30,0)),""),250)</f>
        <v/>
      </c>
      <c r="U43" t="str">
        <f>LEFT(IFERROR(INDEX(Fragenkatalog!$BR30,MATCH('Referral Stati'!$U$19,Fragenkatalog!BH30,0)),""),250)</f>
        <v/>
      </c>
      <c r="V43" t="str">
        <f>LEFT(IFERROR(INDEX(Fragenkatalog!$BR30,MATCH('Referral Stati'!$V$19,Fragenkatalog!BM30,0)),""),250)</f>
        <v/>
      </c>
      <c r="W43" t="str">
        <f>LEFT(IFERROR(INDEX(Fragenkatalog!$BR30,MATCH('Referral Stati'!$U$19,Fragenkatalog!BN30,0)),""),250)</f>
        <v/>
      </c>
    </row>
    <row r="44" spans="1:23" ht="20.25" customHeight="1">
      <c r="A44" s="168" t="str">
        <f>Fragenkatalog!B31</f>
        <v>RisikoFragen21a</v>
      </c>
      <c r="D44" t="str">
        <f>LEFT(IFERROR(INDEX(Fragenkatalog!$BR31,MATCH('Referral Stati'!$D$19,Fragenkatalog!AU31,0)),""),250)</f>
        <v/>
      </c>
      <c r="E44" s="19" t="str">
        <f>LEFT(IFERROR(INDEX(Fragenkatalog!$BR31,MATCH('Referral Stati'!$E$19,Fragenkatalog!AV31,0)),""),250)</f>
        <v/>
      </c>
      <c r="F44" s="19" t="str">
        <f>LEFT(IFERROR(INDEX(Fragenkatalog!$BR31,MATCH('Referral Stati'!$F$19,Fragenkatalog!AO31,0)),""),250)</f>
        <v/>
      </c>
      <c r="G44" t="str">
        <f>LEFT(IFERROR(INDEX(Fragenkatalog!$BR31,MATCH('Referral Stati'!$G$19,Fragenkatalog!AP31,0)),""),250)</f>
        <v/>
      </c>
      <c r="J44" t="str">
        <f t="array" ref="J44">LEFT(IFERROR(INDEX(Fragenkatalog!BR31,MATCH('Referral Stati'!$J$19,Fragenkatalog!W31,0)),""),250)</f>
        <v/>
      </c>
      <c r="K44" t="str">
        <f t="array" ref="K44">LEFT(IFERROR(INDEX(Fragenkatalog!BR31,MATCH('Referral Stati'!$K$19,Fragenkatalog!X31,0)),""),250)</f>
        <v/>
      </c>
      <c r="L44" s="19" t="str">
        <f>LEFT(IFERROR(INDEX(Fragenkatalog!$BR31,MATCH('Referral Stati'!$L$19,Fragenkatalog!Q31,0)),""),250)</f>
        <v/>
      </c>
      <c r="M44" s="19" t="str">
        <f>LEFT(IFERROR(INDEX(Fragenkatalog!$BR31,MATCH('Referral Stati'!$M$19,Fragenkatalog!R31,0)),""),250)</f>
        <v/>
      </c>
      <c r="N44" s="19" t="str">
        <f>LEFT(IFERROR(INDEX(Fragenkatalog!$BR31,MATCH('Referral Stati'!$N$19,Fragenkatalog!AI31,0)),""),250)</f>
        <v/>
      </c>
      <c r="O44" t="str">
        <f>LEFT(IFERROR(INDEX(Fragenkatalog!$BR31,MATCH('Referral Stati'!$O$19,Fragenkatalog!AJ31,0)),""),250)</f>
        <v/>
      </c>
      <c r="P44" s="19" t="str">
        <f>LEFT(IFERROR(INDEX(Fragenkatalog!$BR31,MATCH('Referral Stati'!$P$19,Fragenkatalog!AC31,0)),""),250)</f>
        <v/>
      </c>
      <c r="Q44" s="19" t="str">
        <f>LEFT(IFERROR(INDEX(Fragenkatalog!$BR31,MATCH('Referral Stati'!$Q$19,Fragenkatalog!AD31,0)),""),250)</f>
        <v/>
      </c>
      <c r="R44" t="str">
        <f>LEFT(IFERROR(INDEX(Fragenkatalog!$BR31,MATCH('Referral Stati'!$R$19,Fragenkatalog!BA31,0)),""),250)</f>
        <v/>
      </c>
      <c r="S44" t="str">
        <f>LEFT(IFERROR(INDEX(Fragenkatalog!$BR31,MATCH('Referral Stati'!$S$19,Fragenkatalog!BB31,0)),""),250)</f>
        <v/>
      </c>
      <c r="T44" t="str">
        <f>LEFT(IFERROR(INDEX(Fragenkatalog!$BR31,MATCH('Referral Stati'!$T$19,Fragenkatalog!BG31,0)),""),250)</f>
        <v/>
      </c>
      <c r="U44" t="str">
        <f>LEFT(IFERROR(INDEX(Fragenkatalog!$BR31,MATCH('Referral Stati'!$U$19,Fragenkatalog!BH31,0)),""),250)</f>
        <v/>
      </c>
      <c r="V44" t="str">
        <f>LEFT(IFERROR(INDEX(Fragenkatalog!$BR31,MATCH('Referral Stati'!$V$19,Fragenkatalog!BM31,0)),""),250)</f>
        <v/>
      </c>
      <c r="W44" t="str">
        <f>LEFT(IFERROR(INDEX(Fragenkatalog!$BR31,MATCH('Referral Stati'!$U$19,Fragenkatalog!BN31,0)),""),250)</f>
        <v/>
      </c>
    </row>
    <row r="45" spans="1:23" ht="20.25" customHeight="1">
      <c r="A45" s="168" t="str">
        <f>Fragenkatalog!B32</f>
        <v>RisikoFragen21b</v>
      </c>
      <c r="D45" t="str">
        <f>LEFT(IFERROR(INDEX(Fragenkatalog!$BR32,MATCH('Referral Stati'!$D$19,Fragenkatalog!AU32,0)),""),250)</f>
        <v/>
      </c>
      <c r="E45" s="19" t="str">
        <f>LEFT(IFERROR(INDEX(Fragenkatalog!$BR32,MATCH('Referral Stati'!$E$19,Fragenkatalog!AV32,0)),""),250)</f>
        <v/>
      </c>
      <c r="F45" s="19" t="str">
        <f>LEFT(IFERROR(INDEX(Fragenkatalog!$BR32,MATCH('Referral Stati'!$F$19,Fragenkatalog!AO32,0)),""),250)</f>
        <v/>
      </c>
      <c r="G45" t="str">
        <f>LEFT(IFERROR(INDEX(Fragenkatalog!$BR32,MATCH('Referral Stati'!$G$19,Fragenkatalog!AP32,0)),""),250)</f>
        <v/>
      </c>
      <c r="J45" t="str">
        <f t="array" ref="J45">LEFT(IFERROR(INDEX(Fragenkatalog!BR32,MATCH('Referral Stati'!$J$19,Fragenkatalog!W32,0)),""),250)</f>
        <v/>
      </c>
      <c r="K45" t="str">
        <f t="array" ref="K45">LEFT(IFERROR(INDEX(Fragenkatalog!BR32,MATCH('Referral Stati'!$K$19,Fragenkatalog!X32,0)),""),250)</f>
        <v/>
      </c>
      <c r="L45" s="19" t="str">
        <f>LEFT(IFERROR(INDEX(Fragenkatalog!$BR32,MATCH('Referral Stati'!$L$19,Fragenkatalog!Q32,0)),""),250)</f>
        <v/>
      </c>
      <c r="M45" s="19" t="str">
        <f>LEFT(IFERROR(INDEX(Fragenkatalog!$BR32,MATCH('Referral Stati'!$M$19,Fragenkatalog!R32,0)),""),250)</f>
        <v/>
      </c>
      <c r="N45" s="19" t="str">
        <f>LEFT(IFERROR(INDEX(Fragenkatalog!$BR32,MATCH('Referral Stati'!$N$19,Fragenkatalog!AI32,0)),""),250)</f>
        <v/>
      </c>
      <c r="O45" t="str">
        <f>LEFT(IFERROR(INDEX(Fragenkatalog!$BR32,MATCH('Referral Stati'!$O$19,Fragenkatalog!AJ32,0)),""),250)</f>
        <v/>
      </c>
      <c r="P45" s="19" t="str">
        <f>LEFT(IFERROR(INDEX(Fragenkatalog!$BR32,MATCH('Referral Stati'!$P$19,Fragenkatalog!AC32,0)),""),250)</f>
        <v/>
      </c>
      <c r="Q45" s="19" t="str">
        <f>LEFT(IFERROR(INDEX(Fragenkatalog!$BR32,MATCH('Referral Stati'!$Q$19,Fragenkatalog!AD32,0)),""),250)</f>
        <v/>
      </c>
      <c r="R45" t="str">
        <f>LEFT(IFERROR(INDEX(Fragenkatalog!$BR32,MATCH('Referral Stati'!$R$19,Fragenkatalog!BA32,0)),""),250)</f>
        <v/>
      </c>
      <c r="S45" t="str">
        <f>LEFT(IFERROR(INDEX(Fragenkatalog!$BR32,MATCH('Referral Stati'!$S$19,Fragenkatalog!BB32,0)),""),250)</f>
        <v/>
      </c>
      <c r="T45" t="str">
        <f>LEFT(IFERROR(INDEX(Fragenkatalog!$BR32,MATCH('Referral Stati'!$T$19,Fragenkatalog!BG32,0)),""),250)</f>
        <v/>
      </c>
      <c r="U45" t="str">
        <f>LEFT(IFERROR(INDEX(Fragenkatalog!$BR32,MATCH('Referral Stati'!$U$19,Fragenkatalog!BH32,0)),""),250)</f>
        <v/>
      </c>
      <c r="V45" t="str">
        <f>LEFT(IFERROR(INDEX(Fragenkatalog!$BR32,MATCH('Referral Stati'!$V$19,Fragenkatalog!BM32,0)),""),250)</f>
        <v/>
      </c>
      <c r="W45" t="str">
        <f>LEFT(IFERROR(INDEX(Fragenkatalog!$BR32,MATCH('Referral Stati'!$U$19,Fragenkatalog!BN32,0)),""),250)</f>
        <v/>
      </c>
    </row>
    <row r="46" spans="1:23" ht="20.25" customHeight="1">
      <c r="A46" s="168" t="str">
        <f>Fragenkatalog!B33</f>
        <v>RisikoFragen22</v>
      </c>
      <c r="D46" t="str">
        <f>LEFT(IFERROR(INDEX(Fragenkatalog!$BR33,MATCH('Referral Stati'!$D$19,Fragenkatalog!AU33,0)),""),250)</f>
        <v/>
      </c>
      <c r="E46" s="19" t="str">
        <f>LEFT(IFERROR(INDEX(Fragenkatalog!$BR33,MATCH('Referral Stati'!$E$19,Fragenkatalog!AV33,0)),""),250)</f>
        <v/>
      </c>
      <c r="F46" s="19" t="str">
        <f>LEFT(IFERROR(INDEX(Fragenkatalog!$BR33,MATCH('Referral Stati'!$F$19,Fragenkatalog!AO33,0)),""),250)</f>
        <v/>
      </c>
      <c r="G46" t="str">
        <f>LEFT(IFERROR(INDEX(Fragenkatalog!$BR33,MATCH('Referral Stati'!$G$19,Fragenkatalog!AP33,0)),""),250)</f>
        <v/>
      </c>
      <c r="J46" t="str">
        <f t="array" ref="J46">LEFT(IFERROR(INDEX(Fragenkatalog!BR33,MATCH('Referral Stati'!$J$19,Fragenkatalog!W33,0)),""),250)</f>
        <v/>
      </c>
      <c r="K46" t="str">
        <f t="array" ref="K46">LEFT(IFERROR(INDEX(Fragenkatalog!BR33,MATCH('Referral Stati'!$K$19,Fragenkatalog!X33,0)),""),250)</f>
        <v/>
      </c>
      <c r="L46" s="19" t="str">
        <f>LEFT(IFERROR(INDEX(Fragenkatalog!$BR33,MATCH('Referral Stati'!$L$19,Fragenkatalog!Q33,0)),""),250)</f>
        <v/>
      </c>
      <c r="M46" s="19" t="str">
        <f>LEFT(IFERROR(INDEX(Fragenkatalog!$BR33,MATCH('Referral Stati'!$M$19,Fragenkatalog!R33,0)),""),250)</f>
        <v/>
      </c>
      <c r="N46" s="19" t="str">
        <f>LEFT(IFERROR(INDEX(Fragenkatalog!$BR33,MATCH('Referral Stati'!$N$19,Fragenkatalog!AI33,0)),""),250)</f>
        <v/>
      </c>
      <c r="O46" t="str">
        <f>LEFT(IFERROR(INDEX(Fragenkatalog!$BR33,MATCH('Referral Stati'!$O$19,Fragenkatalog!AJ33,0)),""),250)</f>
        <v/>
      </c>
      <c r="P46" s="19" t="str">
        <f>LEFT(IFERROR(INDEX(Fragenkatalog!$BR33,MATCH('Referral Stati'!$P$19,Fragenkatalog!AC33,0)),""),250)</f>
        <v/>
      </c>
      <c r="Q46" s="19" t="str">
        <f>LEFT(IFERROR(INDEX(Fragenkatalog!$BR33,MATCH('Referral Stati'!$Q$19,Fragenkatalog!AD33,0)),""),250)</f>
        <v/>
      </c>
      <c r="R46" t="str">
        <f>LEFT(IFERROR(INDEX(Fragenkatalog!$BR33,MATCH('Referral Stati'!$R$19,Fragenkatalog!BA33,0)),""),250)</f>
        <v/>
      </c>
      <c r="S46" t="str">
        <f>LEFT(IFERROR(INDEX(Fragenkatalog!$BR33,MATCH('Referral Stati'!$S$19,Fragenkatalog!BB33,0)),""),250)</f>
        <v/>
      </c>
      <c r="T46" t="str">
        <f>LEFT(IFERROR(INDEX(Fragenkatalog!$BR33,MATCH('Referral Stati'!$T$19,Fragenkatalog!BG33,0)),""),250)</f>
        <v/>
      </c>
      <c r="U46" t="str">
        <f>LEFT(IFERROR(INDEX(Fragenkatalog!$BR33,MATCH('Referral Stati'!$U$19,Fragenkatalog!BH33,0)),""),250)</f>
        <v/>
      </c>
      <c r="V46" t="str">
        <f>LEFT(IFERROR(INDEX(Fragenkatalog!$BR33,MATCH('Referral Stati'!$V$19,Fragenkatalog!BM33,0)),""),250)</f>
        <v/>
      </c>
      <c r="W46" t="str">
        <f>LEFT(IFERROR(INDEX(Fragenkatalog!$BR33,MATCH('Referral Stati'!$U$19,Fragenkatalog!BN33,0)),""),250)</f>
        <v/>
      </c>
    </row>
    <row r="47" spans="1:23" ht="20.25" customHeight="1">
      <c r="A47" s="168" t="str">
        <f>Fragenkatalog!B34</f>
        <v>RisikoFragen23a</v>
      </c>
      <c r="D47" t="str">
        <f>LEFT(IFERROR(INDEX(Fragenkatalog!$BR34,MATCH('Referral Stati'!$D$19,Fragenkatalog!AU34,0)),""),250)</f>
        <v/>
      </c>
      <c r="E47" s="19" t="str">
        <f>LEFT(IFERROR(INDEX(Fragenkatalog!$BR34,MATCH('Referral Stati'!$E$19,Fragenkatalog!AV34,0)),""),250)</f>
        <v/>
      </c>
      <c r="F47" s="19" t="str">
        <f>LEFT(IFERROR(INDEX(Fragenkatalog!$BR34,MATCH('Referral Stati'!$F$19,Fragenkatalog!AO34,0)),""),250)</f>
        <v/>
      </c>
      <c r="G47" t="str">
        <f>LEFT(IFERROR(INDEX(Fragenkatalog!$BR34,MATCH('Referral Stati'!$G$19,Fragenkatalog!AP34,0)),""),250)</f>
        <v/>
      </c>
      <c r="J47" t="str">
        <f t="array" ref="J47">LEFT(IFERROR(INDEX(Fragenkatalog!BR34,MATCH('Referral Stati'!$J$19,Fragenkatalog!W34,0)),""),250)</f>
        <v/>
      </c>
      <c r="K47" t="str">
        <f t="array" ref="K47">LEFT(IFERROR(INDEX(Fragenkatalog!BR34,MATCH('Referral Stati'!$K$19,Fragenkatalog!X34,0)),""),250)</f>
        <v/>
      </c>
      <c r="L47" s="19" t="str">
        <f>LEFT(IFERROR(INDEX(Fragenkatalog!$BR34,MATCH('Referral Stati'!$L$19,Fragenkatalog!Q34,0)),""),250)</f>
        <v/>
      </c>
      <c r="M47" s="19" t="str">
        <f>LEFT(IFERROR(INDEX(Fragenkatalog!$BR34,MATCH('Referral Stati'!$M$19,Fragenkatalog!R34,0)),""),250)</f>
        <v/>
      </c>
      <c r="N47" s="19" t="str">
        <f>LEFT(IFERROR(INDEX(Fragenkatalog!$BR34,MATCH('Referral Stati'!$N$19,Fragenkatalog!AI34,0)),""),250)</f>
        <v/>
      </c>
      <c r="O47" t="str">
        <f>LEFT(IFERROR(INDEX(Fragenkatalog!$BR34,MATCH('Referral Stati'!$O$19,Fragenkatalog!AJ34,0)),""),250)</f>
        <v/>
      </c>
      <c r="P47" s="19" t="str">
        <f>LEFT(IFERROR(INDEX(Fragenkatalog!$BR34,MATCH('Referral Stati'!$P$19,Fragenkatalog!AC34,0)),""),250)</f>
        <v/>
      </c>
      <c r="Q47" s="19" t="str">
        <f>LEFT(IFERROR(INDEX(Fragenkatalog!$BR34,MATCH('Referral Stati'!$Q$19,Fragenkatalog!AD34,0)),""),250)</f>
        <v/>
      </c>
      <c r="R47" t="str">
        <f>LEFT(IFERROR(INDEX(Fragenkatalog!$BR34,MATCH('Referral Stati'!$R$19,Fragenkatalog!BA34,0)),""),250)</f>
        <v/>
      </c>
      <c r="S47" t="str">
        <f>LEFT(IFERROR(INDEX(Fragenkatalog!$BR34,MATCH('Referral Stati'!$S$19,Fragenkatalog!BB34,0)),""),250)</f>
        <v/>
      </c>
      <c r="T47" t="str">
        <f>LEFT(IFERROR(INDEX(Fragenkatalog!$BR34,MATCH('Referral Stati'!$T$19,Fragenkatalog!BG34,0)),""),250)</f>
        <v/>
      </c>
      <c r="U47" t="str">
        <f>LEFT(IFERROR(INDEX(Fragenkatalog!$BR34,MATCH('Referral Stati'!$U$19,Fragenkatalog!BH34,0)),""),250)</f>
        <v/>
      </c>
      <c r="V47" t="str">
        <f>LEFT(IFERROR(INDEX(Fragenkatalog!$BR34,MATCH('Referral Stati'!$V$19,Fragenkatalog!BM34,0)),""),250)</f>
        <v/>
      </c>
      <c r="W47" t="str">
        <f>LEFT(IFERROR(INDEX(Fragenkatalog!$BR34,MATCH('Referral Stati'!$U$19,Fragenkatalog!BN34,0)),""),250)</f>
        <v/>
      </c>
    </row>
    <row r="48" spans="1:23" ht="20.25" customHeight="1">
      <c r="A48" s="168" t="str">
        <f>Fragenkatalog!B35</f>
        <v>RisikoFragen23b</v>
      </c>
      <c r="D48" t="str">
        <f>LEFT(IFERROR(INDEX(Fragenkatalog!$BR35,MATCH('Referral Stati'!$D$19,Fragenkatalog!AU35,0)),""),250)</f>
        <v/>
      </c>
      <c r="E48" s="19" t="str">
        <f>LEFT(IFERROR(INDEX(Fragenkatalog!$BR35,MATCH('Referral Stati'!$E$19,Fragenkatalog!AV35,0)),""),250)</f>
        <v/>
      </c>
      <c r="F48" s="19" t="str">
        <f>LEFT(IFERROR(INDEX(Fragenkatalog!$BR35,MATCH('Referral Stati'!$F$19,Fragenkatalog!AO35,0)),""),250)</f>
        <v/>
      </c>
      <c r="G48" t="str">
        <f>LEFT(IFERROR(INDEX(Fragenkatalog!$BR35,MATCH('Referral Stati'!$G$19,Fragenkatalog!AP35,0)),""),250)</f>
        <v/>
      </c>
      <c r="J48" t="str">
        <f t="array" ref="J48">LEFT(IFERROR(INDEX(Fragenkatalog!BR35,MATCH('Referral Stati'!$J$19,Fragenkatalog!W35,0)),""),250)</f>
        <v/>
      </c>
      <c r="K48" t="str">
        <f t="array" ref="K48">LEFT(IFERROR(INDEX(Fragenkatalog!BR35,MATCH('Referral Stati'!$K$19,Fragenkatalog!X35,0)),""),250)</f>
        <v/>
      </c>
      <c r="L48" s="19" t="str">
        <f>LEFT(IFERROR(INDEX(Fragenkatalog!$BR35,MATCH('Referral Stati'!$L$19,Fragenkatalog!Q35,0)),""),250)</f>
        <v/>
      </c>
      <c r="M48" s="19" t="str">
        <f>LEFT(IFERROR(INDEX(Fragenkatalog!$BR35,MATCH('Referral Stati'!$M$19,Fragenkatalog!R35,0)),""),250)</f>
        <v/>
      </c>
      <c r="N48" s="19" t="str">
        <f>LEFT(IFERROR(INDEX(Fragenkatalog!$BR35,MATCH('Referral Stati'!$N$19,Fragenkatalog!AI35,0)),""),250)</f>
        <v/>
      </c>
      <c r="O48" t="str">
        <f>LEFT(IFERROR(INDEX(Fragenkatalog!$BR35,MATCH('Referral Stati'!$O$19,Fragenkatalog!AJ35,0)),""),250)</f>
        <v/>
      </c>
      <c r="P48" s="19" t="str">
        <f>LEFT(IFERROR(INDEX(Fragenkatalog!$BR35,MATCH('Referral Stati'!$P$19,Fragenkatalog!AC35,0)),""),250)</f>
        <v/>
      </c>
      <c r="Q48" s="19" t="str">
        <f>LEFT(IFERROR(INDEX(Fragenkatalog!$BR35,MATCH('Referral Stati'!$Q$19,Fragenkatalog!AD35,0)),""),250)</f>
        <v/>
      </c>
      <c r="R48" t="str">
        <f>LEFT(IFERROR(INDEX(Fragenkatalog!$BR35,MATCH('Referral Stati'!$R$19,Fragenkatalog!BA35,0)),""),250)</f>
        <v/>
      </c>
      <c r="S48" t="str">
        <f>LEFT(IFERROR(INDEX(Fragenkatalog!$BR35,MATCH('Referral Stati'!$S$19,Fragenkatalog!BB35,0)),""),250)</f>
        <v/>
      </c>
      <c r="T48" t="str">
        <f>LEFT(IFERROR(INDEX(Fragenkatalog!$BR35,MATCH('Referral Stati'!$T$19,Fragenkatalog!BG35,0)),""),250)</f>
        <v/>
      </c>
      <c r="U48" t="str">
        <f>LEFT(IFERROR(INDEX(Fragenkatalog!$BR35,MATCH('Referral Stati'!$U$19,Fragenkatalog!BH35,0)),""),250)</f>
        <v/>
      </c>
      <c r="V48" t="str">
        <f>LEFT(IFERROR(INDEX(Fragenkatalog!$BR35,MATCH('Referral Stati'!$V$19,Fragenkatalog!BM35,0)),""),250)</f>
        <v/>
      </c>
      <c r="W48" t="str">
        <f>LEFT(IFERROR(INDEX(Fragenkatalog!$BR35,MATCH('Referral Stati'!$U$19,Fragenkatalog!BN35,0)),""),250)</f>
        <v/>
      </c>
    </row>
    <row r="49" spans="1:23" ht="20.25" customHeight="1">
      <c r="A49" s="168" t="str">
        <f>Fragenkatalog!B36</f>
        <v>RisikoFragen23c</v>
      </c>
      <c r="D49" t="str">
        <f>LEFT(IFERROR(INDEX(Fragenkatalog!$BR36,MATCH('Referral Stati'!$D$19,Fragenkatalog!AU36,0)),""),250)</f>
        <v/>
      </c>
      <c r="E49" s="19" t="str">
        <f>LEFT(IFERROR(INDEX(Fragenkatalog!$BR36,MATCH('Referral Stati'!$E$19,Fragenkatalog!AV36,0)),""),250)</f>
        <v/>
      </c>
      <c r="F49" s="19" t="str">
        <f>LEFT(IFERROR(INDEX(Fragenkatalog!$BR36,MATCH('Referral Stati'!$F$19,Fragenkatalog!AO36,0)),""),250)</f>
        <v/>
      </c>
      <c r="G49" t="str">
        <f>LEFT(IFERROR(INDEX(Fragenkatalog!$BR36,MATCH('Referral Stati'!$G$19,Fragenkatalog!AP36,0)),""),250)</f>
        <v/>
      </c>
      <c r="J49" t="str">
        <f t="array" ref="J49">LEFT(IFERROR(INDEX(Fragenkatalog!BR36,MATCH('Referral Stati'!$J$19,Fragenkatalog!W36,0)),""),250)</f>
        <v/>
      </c>
      <c r="K49" t="str">
        <f t="array" ref="K49">LEFT(IFERROR(INDEX(Fragenkatalog!BR36,MATCH('Referral Stati'!$K$19,Fragenkatalog!X36,0)),""),250)</f>
        <v/>
      </c>
      <c r="L49" s="19" t="str">
        <f>LEFT(IFERROR(INDEX(Fragenkatalog!$BR36,MATCH('Referral Stati'!$L$19,Fragenkatalog!Q36,0)),""),250)</f>
        <v/>
      </c>
      <c r="M49" s="19" t="str">
        <f>LEFT(IFERROR(INDEX(Fragenkatalog!$BR36,MATCH('Referral Stati'!$M$19,Fragenkatalog!R36,0)),""),250)</f>
        <v/>
      </c>
      <c r="N49" s="19" t="str">
        <f>LEFT(IFERROR(INDEX(Fragenkatalog!$BR36,MATCH('Referral Stati'!$N$19,Fragenkatalog!AI36,0)),""),250)</f>
        <v/>
      </c>
      <c r="O49" t="str">
        <f>LEFT(IFERROR(INDEX(Fragenkatalog!$BR36,MATCH('Referral Stati'!$O$19,Fragenkatalog!AJ36,0)),""),250)</f>
        <v/>
      </c>
      <c r="P49" s="19" t="str">
        <f>LEFT(IFERROR(INDEX(Fragenkatalog!$BR36,MATCH('Referral Stati'!$P$19,Fragenkatalog!AC36,0)),""),250)</f>
        <v/>
      </c>
      <c r="Q49" s="19" t="str">
        <f>LEFT(IFERROR(INDEX(Fragenkatalog!$BR36,MATCH('Referral Stati'!$Q$19,Fragenkatalog!AD36,0)),""),250)</f>
        <v/>
      </c>
      <c r="R49" t="str">
        <f>LEFT(IFERROR(INDEX(Fragenkatalog!$BR36,MATCH('Referral Stati'!$R$19,Fragenkatalog!BA36,0)),""),250)</f>
        <v/>
      </c>
      <c r="S49" t="str">
        <f>LEFT(IFERROR(INDEX(Fragenkatalog!$BR36,MATCH('Referral Stati'!$S$19,Fragenkatalog!BB36,0)),""),250)</f>
        <v/>
      </c>
      <c r="T49" t="str">
        <f>LEFT(IFERROR(INDEX(Fragenkatalog!$BR36,MATCH('Referral Stati'!$T$19,Fragenkatalog!BG36,0)),""),250)</f>
        <v/>
      </c>
      <c r="U49" t="str">
        <f>LEFT(IFERROR(INDEX(Fragenkatalog!$BR36,MATCH('Referral Stati'!$U$19,Fragenkatalog!BH36,0)),""),250)</f>
        <v/>
      </c>
      <c r="V49" t="str">
        <f>LEFT(IFERROR(INDEX(Fragenkatalog!$BR36,MATCH('Referral Stati'!$V$19,Fragenkatalog!BM36,0)),""),250)</f>
        <v/>
      </c>
      <c r="W49" t="str">
        <f>LEFT(IFERROR(INDEX(Fragenkatalog!$BR36,MATCH('Referral Stati'!$U$19,Fragenkatalog!BN36,0)),""),250)</f>
        <v/>
      </c>
    </row>
    <row r="50" spans="1:23" ht="20.25" customHeight="1">
      <c r="A50" s="168" t="str">
        <f>Fragenkatalog!B37</f>
        <v>RisikoFragen23d</v>
      </c>
      <c r="D50" t="str">
        <f>LEFT(IFERROR(INDEX(Fragenkatalog!$BR37,MATCH('Referral Stati'!$D$19,Fragenkatalog!AU37,0)),""),250)</f>
        <v/>
      </c>
      <c r="E50" s="19" t="str">
        <f>LEFT(IFERROR(INDEX(Fragenkatalog!$BR37,MATCH('Referral Stati'!$E$19,Fragenkatalog!AV37,0)),""),250)</f>
        <v/>
      </c>
      <c r="F50" s="19" t="str">
        <f>LEFT(IFERROR(INDEX(Fragenkatalog!$BR37,MATCH('Referral Stati'!$F$19,Fragenkatalog!AO37,0)),""),250)</f>
        <v/>
      </c>
      <c r="G50" t="str">
        <f>LEFT(IFERROR(INDEX(Fragenkatalog!$BR37,MATCH('Referral Stati'!$G$19,Fragenkatalog!AP37,0)),""),250)</f>
        <v/>
      </c>
      <c r="J50" t="str">
        <f t="array" ref="J50">LEFT(IFERROR(INDEX(Fragenkatalog!BR37,MATCH('Referral Stati'!$J$19,Fragenkatalog!W37,0)),""),250)</f>
        <v/>
      </c>
      <c r="K50" t="str">
        <f t="array" ref="K50">LEFT(IFERROR(INDEX(Fragenkatalog!BR37,MATCH('Referral Stati'!$K$19,Fragenkatalog!X37,0)),""),250)</f>
        <v/>
      </c>
      <c r="L50" s="19" t="str">
        <f>LEFT(IFERROR(INDEX(Fragenkatalog!$BR37,MATCH('Referral Stati'!$L$19,Fragenkatalog!Q37,0)),""),250)</f>
        <v/>
      </c>
      <c r="M50" s="19" t="str">
        <f>LEFT(IFERROR(INDEX(Fragenkatalog!$BR37,MATCH('Referral Stati'!$M$19,Fragenkatalog!R37,0)),""),250)</f>
        <v/>
      </c>
      <c r="N50" s="19" t="str">
        <f>LEFT(IFERROR(INDEX(Fragenkatalog!$BR37,MATCH('Referral Stati'!$N$19,Fragenkatalog!AI37,0)),""),250)</f>
        <v/>
      </c>
      <c r="O50" t="str">
        <f>LEFT(IFERROR(INDEX(Fragenkatalog!$BR37,MATCH('Referral Stati'!$O$19,Fragenkatalog!AJ37,0)),""),250)</f>
        <v/>
      </c>
      <c r="P50" s="19" t="str">
        <f>LEFT(IFERROR(INDEX(Fragenkatalog!$BR37,MATCH('Referral Stati'!$P$19,Fragenkatalog!AC37,0)),""),250)</f>
        <v/>
      </c>
      <c r="Q50" s="19" t="str">
        <f>LEFT(IFERROR(INDEX(Fragenkatalog!$BR37,MATCH('Referral Stati'!$Q$19,Fragenkatalog!AD37,0)),""),250)</f>
        <v/>
      </c>
      <c r="R50" t="str">
        <f>LEFT(IFERROR(INDEX(Fragenkatalog!$BR37,MATCH('Referral Stati'!$R$19,Fragenkatalog!BA37,0)),""),250)</f>
        <v/>
      </c>
      <c r="S50" t="str">
        <f>LEFT(IFERROR(INDEX(Fragenkatalog!$BR37,MATCH('Referral Stati'!$S$19,Fragenkatalog!BB37,0)),""),250)</f>
        <v/>
      </c>
      <c r="T50" t="str">
        <f>LEFT(IFERROR(INDEX(Fragenkatalog!$BR37,MATCH('Referral Stati'!$T$19,Fragenkatalog!BG37,0)),""),250)</f>
        <v/>
      </c>
      <c r="U50" t="str">
        <f>LEFT(IFERROR(INDEX(Fragenkatalog!$BR37,MATCH('Referral Stati'!$U$19,Fragenkatalog!BH37,0)),""),250)</f>
        <v/>
      </c>
      <c r="V50" t="str">
        <f>LEFT(IFERROR(INDEX(Fragenkatalog!$BR37,MATCH('Referral Stati'!$V$19,Fragenkatalog!BM37,0)),""),250)</f>
        <v/>
      </c>
      <c r="W50" t="str">
        <f>LEFT(IFERROR(INDEX(Fragenkatalog!$BR37,MATCH('Referral Stati'!$U$19,Fragenkatalog!BN37,0)),""),250)</f>
        <v/>
      </c>
    </row>
    <row r="51" spans="1:23" ht="20.25" customHeight="1">
      <c r="A51" s="168" t="str">
        <f>Fragenkatalog!B38</f>
        <v>RisikoFragen23e</v>
      </c>
      <c r="D51" t="str">
        <f>LEFT(IFERROR(INDEX(Fragenkatalog!$BR38,MATCH('Referral Stati'!$D$19,Fragenkatalog!AU38,0)),""),250)</f>
        <v/>
      </c>
      <c r="E51" s="19" t="str">
        <f>LEFT(IFERROR(INDEX(Fragenkatalog!$BR38,MATCH('Referral Stati'!$E$19,Fragenkatalog!AV38,0)),""),250)</f>
        <v/>
      </c>
      <c r="F51" s="19" t="str">
        <f>LEFT(IFERROR(INDEX(Fragenkatalog!$BR38,MATCH('Referral Stati'!$F$19,Fragenkatalog!AO38,0)),""),250)</f>
        <v/>
      </c>
      <c r="G51" t="str">
        <f>LEFT(IFERROR(INDEX(Fragenkatalog!$BR38,MATCH('Referral Stati'!$G$19,Fragenkatalog!AP38,0)),""),250)</f>
        <v/>
      </c>
      <c r="J51" t="str">
        <f t="array" ref="J51">LEFT(IFERROR(INDEX(Fragenkatalog!BR38,MATCH('Referral Stati'!$J$19,Fragenkatalog!W38,0)),""),250)</f>
        <v/>
      </c>
      <c r="K51" t="str">
        <f t="array" ref="K51">LEFT(IFERROR(INDEX(Fragenkatalog!BR38,MATCH('Referral Stati'!$K$19,Fragenkatalog!X38,0)),""),250)</f>
        <v/>
      </c>
      <c r="L51" s="19" t="str">
        <f>LEFT(IFERROR(INDEX(Fragenkatalog!$BR38,MATCH('Referral Stati'!$L$19,Fragenkatalog!Q38,0)),""),250)</f>
        <v/>
      </c>
      <c r="M51" s="19" t="str">
        <f>LEFT(IFERROR(INDEX(Fragenkatalog!$BR38,MATCH('Referral Stati'!$M$19,Fragenkatalog!R38,0)),""),250)</f>
        <v/>
      </c>
      <c r="N51" s="19" t="str">
        <f>LEFT(IFERROR(INDEX(Fragenkatalog!$BR38,MATCH('Referral Stati'!$N$19,Fragenkatalog!AI38,0)),""),250)</f>
        <v/>
      </c>
      <c r="O51" t="str">
        <f>LEFT(IFERROR(INDEX(Fragenkatalog!$BR38,MATCH('Referral Stati'!$O$19,Fragenkatalog!AJ38,0)),""),250)</f>
        <v/>
      </c>
      <c r="P51" s="19" t="str">
        <f>LEFT(IFERROR(INDEX(Fragenkatalog!$BR38,MATCH('Referral Stati'!$P$19,Fragenkatalog!AC38,0)),""),250)</f>
        <v/>
      </c>
      <c r="Q51" s="19" t="str">
        <f>LEFT(IFERROR(INDEX(Fragenkatalog!$BR38,MATCH('Referral Stati'!$Q$19,Fragenkatalog!AD38,0)),""),250)</f>
        <v/>
      </c>
      <c r="R51" t="str">
        <f>LEFT(IFERROR(INDEX(Fragenkatalog!$BR38,MATCH('Referral Stati'!$R$19,Fragenkatalog!BA38,0)),""),250)</f>
        <v/>
      </c>
      <c r="S51" t="str">
        <f>LEFT(IFERROR(INDEX(Fragenkatalog!$BR38,MATCH('Referral Stati'!$S$19,Fragenkatalog!BB38,0)),""),250)</f>
        <v/>
      </c>
      <c r="T51" t="str">
        <f>LEFT(IFERROR(INDEX(Fragenkatalog!$BR38,MATCH('Referral Stati'!$T$19,Fragenkatalog!BG38,0)),""),250)</f>
        <v/>
      </c>
      <c r="U51" t="str">
        <f>LEFT(IFERROR(INDEX(Fragenkatalog!$BR38,MATCH('Referral Stati'!$U$19,Fragenkatalog!BH38,0)),""),250)</f>
        <v/>
      </c>
      <c r="V51" t="str">
        <f>LEFT(IFERROR(INDEX(Fragenkatalog!$BR38,MATCH('Referral Stati'!$V$19,Fragenkatalog!BM38,0)),""),250)</f>
        <v/>
      </c>
      <c r="W51" t="str">
        <f>LEFT(IFERROR(INDEX(Fragenkatalog!$BR38,MATCH('Referral Stati'!$U$19,Fragenkatalog!BN38,0)),""),250)</f>
        <v/>
      </c>
    </row>
    <row r="52" spans="1:23" ht="20.25" customHeight="1">
      <c r="A52" s="169" t="s">
        <v>2521</v>
      </c>
      <c r="D52" t="str">
        <f>LEFT(IFERROR(INDEX(Fragenkatalog!$BR39,MATCH('Referral Stati'!$D$19,Fragenkatalog!AU39,0)),""),250)</f>
        <v/>
      </c>
      <c r="E52" s="19" t="str">
        <f>LEFT(IFERROR(INDEX(Fragenkatalog!$BR39,MATCH('Referral Stati'!$E$19,Fragenkatalog!AV39,0)),""),250)</f>
        <v/>
      </c>
      <c r="F52" s="19" t="str">
        <f>LEFT(IFERROR(INDEX(Fragenkatalog!$BR39,MATCH('Referral Stati'!$F$19,Fragenkatalog!AO39,0)),""),250)</f>
        <v/>
      </c>
      <c r="G52" t="str">
        <f>LEFT(IFERROR(INDEX(Fragenkatalog!$BR39,MATCH('Referral Stati'!$G$19,Fragenkatalog!AP39,0)),""),250)</f>
        <v/>
      </c>
      <c r="J52" t="str">
        <f t="array" ref="J52">LEFT(IFERROR(INDEX(Fragenkatalog!BR39,MATCH('Referral Stati'!$J$19,Fragenkatalog!W39,0)),""),250)</f>
        <v/>
      </c>
      <c r="K52" t="str">
        <f t="array" ref="K52">LEFT(IFERROR(INDEX(Fragenkatalog!BR39,MATCH('Referral Stati'!$K$19,Fragenkatalog!X39,0)),""),250)</f>
        <v/>
      </c>
      <c r="L52" s="19" t="str">
        <f>LEFT(IFERROR(INDEX(Fragenkatalog!$BR39,MATCH('Referral Stati'!$L$19,Fragenkatalog!Q39,0)),""),250)</f>
        <v/>
      </c>
      <c r="M52" s="19" t="str">
        <f>LEFT(IFERROR(INDEX(Fragenkatalog!$BR39,MATCH('Referral Stati'!$M$19,Fragenkatalog!R39,0)),""),250)</f>
        <v/>
      </c>
      <c r="N52" s="19" t="str">
        <f>LEFT(IFERROR(INDEX(Fragenkatalog!$BR39,MATCH('Referral Stati'!$N$19,Fragenkatalog!AI39,0)),""),250)</f>
        <v/>
      </c>
      <c r="O52" t="str">
        <f>LEFT(IFERROR(INDEX(Fragenkatalog!$BR39,MATCH('Referral Stati'!$O$19,Fragenkatalog!AJ39,0)),""),250)</f>
        <v/>
      </c>
      <c r="P52" s="19" t="str">
        <f>LEFT(IFERROR(INDEX(Fragenkatalog!$BR39,MATCH('Referral Stati'!$P$19,Fragenkatalog!AC39,0)),""),250)</f>
        <v/>
      </c>
      <c r="Q52" s="19" t="str">
        <f>LEFT(IFERROR(INDEX(Fragenkatalog!$BR39,MATCH('Referral Stati'!$Q$19,Fragenkatalog!AD39,0)),""),250)</f>
        <v/>
      </c>
      <c r="R52" t="str">
        <f>LEFT(IFERROR(INDEX(Fragenkatalog!$BR39,MATCH('Referral Stati'!$R$19,Fragenkatalog!BA39,0)),""),250)</f>
        <v/>
      </c>
      <c r="S52" t="str">
        <f>LEFT(IFERROR(INDEX(Fragenkatalog!$BR39,MATCH('Referral Stati'!$S$19,Fragenkatalog!BB39,0)),""),250)</f>
        <v/>
      </c>
      <c r="T52" t="str">
        <f>LEFT(IFERROR(INDEX(Fragenkatalog!$BR39,MATCH('Referral Stati'!$T$19,Fragenkatalog!BG39,0)),""),250)</f>
        <v/>
      </c>
      <c r="U52" t="str">
        <f>LEFT(IFERROR(INDEX(Fragenkatalog!$BR39,MATCH('Referral Stati'!$U$19,Fragenkatalog!BH39,0)),""),250)</f>
        <v/>
      </c>
      <c r="V52" t="str">
        <f>LEFT(IFERROR(INDEX(Fragenkatalog!$BR39,MATCH('Referral Stati'!$V$19,Fragenkatalog!BM39,0)),""),250)</f>
        <v/>
      </c>
      <c r="W52" t="str">
        <f>LEFT(IFERROR(INDEX(Fragenkatalog!$BR39,MATCH('Referral Stati'!$U$19,Fragenkatalog!BN39,0)),""),250)</f>
        <v/>
      </c>
    </row>
    <row r="53" spans="1:23" ht="20.25" customHeight="1">
      <c r="A53" s="169" t="s">
        <v>2524</v>
      </c>
      <c r="D53" t="str">
        <f>LEFT(IFERROR(INDEX(Fragenkatalog!$BR40,MATCH('Referral Stati'!$D$19,Fragenkatalog!AU40,0)),""),250)</f>
        <v/>
      </c>
      <c r="E53" s="19" t="str">
        <f>LEFT(IFERROR(INDEX(Fragenkatalog!$BR40,MATCH('Referral Stati'!$E$19,Fragenkatalog!AV40,0)),""),250)</f>
        <v/>
      </c>
      <c r="F53" s="19" t="str">
        <f>LEFT(IFERROR(INDEX(Fragenkatalog!$BR40,MATCH('Referral Stati'!$F$19,Fragenkatalog!AO40,0)),""),250)</f>
        <v/>
      </c>
      <c r="G53" t="str">
        <f>LEFT(IFERROR(INDEX(Fragenkatalog!$BR40,MATCH('Referral Stati'!$G$19,Fragenkatalog!AP40,0)),""),250)</f>
        <v/>
      </c>
      <c r="J53" t="str">
        <f t="array" ref="J53">LEFT(IFERROR(INDEX(Fragenkatalog!BR40,MATCH('Referral Stati'!$J$19,Fragenkatalog!W40,0)),""),250)</f>
        <v/>
      </c>
      <c r="K53" t="str">
        <f t="array" ref="K53">LEFT(IFERROR(INDEX(Fragenkatalog!BR40,MATCH('Referral Stati'!$K$19,Fragenkatalog!X40,0)),""),250)</f>
        <v/>
      </c>
      <c r="L53" s="19" t="str">
        <f>LEFT(IFERROR(INDEX(Fragenkatalog!$BR40,MATCH('Referral Stati'!$L$19,Fragenkatalog!Q40,0)),""),250)</f>
        <v/>
      </c>
      <c r="M53" s="19" t="str">
        <f>LEFT(IFERROR(INDEX(Fragenkatalog!$BR40,MATCH('Referral Stati'!$M$19,Fragenkatalog!R40,0)),""),250)</f>
        <v/>
      </c>
      <c r="N53" s="19" t="str">
        <f>LEFT(IFERROR(INDEX(Fragenkatalog!$BR40,MATCH('Referral Stati'!$N$19,Fragenkatalog!AI40,0)),""),250)</f>
        <v/>
      </c>
      <c r="O53" t="str">
        <f>LEFT(IFERROR(INDEX(Fragenkatalog!$BR40,MATCH('Referral Stati'!$O$19,Fragenkatalog!AJ40,0)),""),250)</f>
        <v/>
      </c>
      <c r="P53" s="19" t="str">
        <f>LEFT(IFERROR(INDEX(Fragenkatalog!$BR40,MATCH('Referral Stati'!$P$19,Fragenkatalog!AC40,0)),""),250)</f>
        <v/>
      </c>
      <c r="Q53" s="19" t="str">
        <f>LEFT(IFERROR(INDEX(Fragenkatalog!$BR40,MATCH('Referral Stati'!$Q$19,Fragenkatalog!AD40,0)),""),250)</f>
        <v/>
      </c>
      <c r="R53" t="str">
        <f>LEFT(IFERROR(INDEX(Fragenkatalog!$BR40,MATCH('Referral Stati'!$R$19,Fragenkatalog!BA40,0)),""),250)</f>
        <v/>
      </c>
      <c r="S53" t="str">
        <f>LEFT(IFERROR(INDEX(Fragenkatalog!$BR40,MATCH('Referral Stati'!$S$19,Fragenkatalog!BB40,0)),""),250)</f>
        <v/>
      </c>
      <c r="T53" t="str">
        <f>LEFT(IFERROR(INDEX(Fragenkatalog!$BR40,MATCH('Referral Stati'!$T$19,Fragenkatalog!BG40,0)),""),250)</f>
        <v/>
      </c>
      <c r="U53" t="str">
        <f>LEFT(IFERROR(INDEX(Fragenkatalog!$BR40,MATCH('Referral Stati'!$U$19,Fragenkatalog!BH40,0)),""),250)</f>
        <v/>
      </c>
      <c r="V53" t="str">
        <f>LEFT(IFERROR(INDEX(Fragenkatalog!$BR40,MATCH('Referral Stati'!$V$19,Fragenkatalog!BM40,0)),""),250)</f>
        <v/>
      </c>
      <c r="W53" t="str">
        <f>LEFT(IFERROR(INDEX(Fragenkatalog!$BR40,MATCH('Referral Stati'!$U$19,Fragenkatalog!BN40,0)),""),250)</f>
        <v/>
      </c>
    </row>
    <row r="54" spans="1:23" ht="20.25" customHeight="1">
      <c r="A54" s="169" t="s">
        <v>2527</v>
      </c>
      <c r="D54" t="str">
        <f>LEFT(IFERROR(INDEX(Fragenkatalog!$BR41,MATCH('Referral Stati'!$D$19,Fragenkatalog!AU41,0)),""),250)</f>
        <v/>
      </c>
      <c r="E54" s="19" t="str">
        <f>LEFT(IFERROR(INDEX(Fragenkatalog!$BR41,MATCH('Referral Stati'!$E$19,Fragenkatalog!AV41,0)),""),250)</f>
        <v/>
      </c>
      <c r="F54" s="19" t="str">
        <f>LEFT(IFERROR(INDEX(Fragenkatalog!$BR41,MATCH('Referral Stati'!$F$19,Fragenkatalog!AO41,0)),""),250)</f>
        <v/>
      </c>
      <c r="G54" t="str">
        <f>LEFT(IFERROR(INDEX(Fragenkatalog!$BR41,MATCH('Referral Stati'!$G$19,Fragenkatalog!AP41,0)),""),250)</f>
        <v/>
      </c>
      <c r="J54" t="str">
        <f t="array" ref="J54">LEFT(IFERROR(INDEX(Fragenkatalog!BR41,MATCH('Referral Stati'!$J$19,Fragenkatalog!W41,0)),""),250)</f>
        <v/>
      </c>
      <c r="K54" t="str">
        <f t="array" ref="K54">LEFT(IFERROR(INDEX(Fragenkatalog!BR41,MATCH('Referral Stati'!$K$19,Fragenkatalog!X41,0)),""),250)</f>
        <v/>
      </c>
      <c r="L54" s="19" t="str">
        <f>LEFT(IFERROR(INDEX(Fragenkatalog!$BR41,MATCH('Referral Stati'!$L$19,Fragenkatalog!Q41,0)),""),250)</f>
        <v/>
      </c>
      <c r="M54" s="19" t="str">
        <f>LEFT(IFERROR(INDEX(Fragenkatalog!$BR41,MATCH('Referral Stati'!$M$19,Fragenkatalog!R41,0)),""),250)</f>
        <v/>
      </c>
      <c r="N54" s="19" t="str">
        <f>LEFT(IFERROR(INDEX(Fragenkatalog!$BR41,MATCH('Referral Stati'!$N$19,Fragenkatalog!AI41,0)),""),250)</f>
        <v/>
      </c>
      <c r="O54" t="str">
        <f>LEFT(IFERROR(INDEX(Fragenkatalog!$BR41,MATCH('Referral Stati'!$O$19,Fragenkatalog!AJ41,0)),""),250)</f>
        <v/>
      </c>
      <c r="P54" s="19" t="str">
        <f>LEFT(IFERROR(INDEX(Fragenkatalog!$BR41,MATCH('Referral Stati'!$P$19,Fragenkatalog!AC41,0)),""),250)</f>
        <v/>
      </c>
      <c r="Q54" s="19" t="str">
        <f>LEFT(IFERROR(INDEX(Fragenkatalog!$BR41,MATCH('Referral Stati'!$Q$19,Fragenkatalog!AD41,0)),""),250)</f>
        <v/>
      </c>
      <c r="R54" t="str">
        <f>LEFT(IFERROR(INDEX(Fragenkatalog!$BR41,MATCH('Referral Stati'!$R$19,Fragenkatalog!BA41,0)),""),250)</f>
        <v/>
      </c>
      <c r="S54" t="str">
        <f>LEFT(IFERROR(INDEX(Fragenkatalog!$BR41,MATCH('Referral Stati'!$S$19,Fragenkatalog!BB41,0)),""),250)</f>
        <v/>
      </c>
      <c r="T54" t="str">
        <f>LEFT(IFERROR(INDEX(Fragenkatalog!$BR41,MATCH('Referral Stati'!$T$19,Fragenkatalog!BG41,0)),""),250)</f>
        <v/>
      </c>
      <c r="U54" t="str">
        <f>LEFT(IFERROR(INDEX(Fragenkatalog!$BR41,MATCH('Referral Stati'!$U$19,Fragenkatalog!BH41,0)),""),250)</f>
        <v/>
      </c>
      <c r="V54" t="str">
        <f>LEFT(IFERROR(INDEX(Fragenkatalog!$BR41,MATCH('Referral Stati'!$V$19,Fragenkatalog!BM41,0)),""),250)</f>
        <v/>
      </c>
      <c r="W54" t="str">
        <f>LEFT(IFERROR(INDEX(Fragenkatalog!$BR41,MATCH('Referral Stati'!$U$19,Fragenkatalog!BN41,0)),""),250)</f>
        <v/>
      </c>
    </row>
    <row r="55" spans="1:23" ht="20.25" customHeight="1">
      <c r="A55" s="169" t="s">
        <v>2530</v>
      </c>
      <c r="D55" t="str">
        <f>LEFT(IFERROR(INDEX(Fragenkatalog!$BR42,MATCH('Referral Stati'!$D$19,Fragenkatalog!AU42,0)),""),250)</f>
        <v/>
      </c>
      <c r="E55" s="19" t="str">
        <f>LEFT(IFERROR(INDEX(Fragenkatalog!$BR42,MATCH('Referral Stati'!$E$19,Fragenkatalog!AV42,0)),""),250)</f>
        <v/>
      </c>
      <c r="F55" s="19" t="str">
        <f>LEFT(IFERROR(INDEX(Fragenkatalog!$BR42,MATCH('Referral Stati'!$F$19,Fragenkatalog!AO42,0)),""),250)</f>
        <v/>
      </c>
      <c r="G55" t="str">
        <f>LEFT(IFERROR(INDEX(Fragenkatalog!$BR42,MATCH('Referral Stati'!$G$19,Fragenkatalog!AP42,0)),""),250)</f>
        <v/>
      </c>
      <c r="J55" t="str">
        <f t="array" ref="J55">LEFT(IFERROR(INDEX(Fragenkatalog!BR42,MATCH('Referral Stati'!$J$19,Fragenkatalog!W42,0)),""),250)</f>
        <v/>
      </c>
      <c r="K55" t="str">
        <f t="array" ref="K55">LEFT(IFERROR(INDEX(Fragenkatalog!BR42,MATCH('Referral Stati'!$K$19,Fragenkatalog!X42,0)),""),250)</f>
        <v/>
      </c>
      <c r="L55" s="19" t="str">
        <f>LEFT(IFERROR(INDEX(Fragenkatalog!$BR42,MATCH('Referral Stati'!$L$19,Fragenkatalog!Q42,0)),""),250)</f>
        <v/>
      </c>
      <c r="M55" s="19" t="str">
        <f>LEFT(IFERROR(INDEX(Fragenkatalog!$BR42,MATCH('Referral Stati'!$M$19,Fragenkatalog!R42,0)),""),250)</f>
        <v/>
      </c>
      <c r="N55" s="19" t="str">
        <f>LEFT(IFERROR(INDEX(Fragenkatalog!$BR42,MATCH('Referral Stati'!$N$19,Fragenkatalog!AI42,0)),""),250)</f>
        <v/>
      </c>
      <c r="O55" t="str">
        <f>LEFT(IFERROR(INDEX(Fragenkatalog!$BR42,MATCH('Referral Stati'!$O$19,Fragenkatalog!AJ42,0)),""),250)</f>
        <v/>
      </c>
      <c r="P55" s="19" t="str">
        <f>LEFT(IFERROR(INDEX(Fragenkatalog!$BR42,MATCH('Referral Stati'!$P$19,Fragenkatalog!AC42,0)),""),250)</f>
        <v/>
      </c>
      <c r="Q55" s="19" t="str">
        <f>LEFT(IFERROR(INDEX(Fragenkatalog!$BR42,MATCH('Referral Stati'!$Q$19,Fragenkatalog!AD42,0)),""),250)</f>
        <v/>
      </c>
      <c r="R55" t="str">
        <f>LEFT(IFERROR(INDEX(Fragenkatalog!$BR42,MATCH('Referral Stati'!$R$19,Fragenkatalog!BA42,0)),""),250)</f>
        <v/>
      </c>
      <c r="S55" t="str">
        <f>LEFT(IFERROR(INDEX(Fragenkatalog!$BR42,MATCH('Referral Stati'!$S$19,Fragenkatalog!BB42,0)),""),250)</f>
        <v/>
      </c>
      <c r="T55" t="str">
        <f>LEFT(IFERROR(INDEX(Fragenkatalog!$BR42,MATCH('Referral Stati'!$T$19,Fragenkatalog!BG42,0)),""),250)</f>
        <v/>
      </c>
      <c r="U55" t="str">
        <f>LEFT(IFERROR(INDEX(Fragenkatalog!$BR42,MATCH('Referral Stati'!$U$19,Fragenkatalog!BH42,0)),""),250)</f>
        <v/>
      </c>
      <c r="V55" t="str">
        <f>LEFT(IFERROR(INDEX(Fragenkatalog!$BR42,MATCH('Referral Stati'!$V$19,Fragenkatalog!BM42,0)),""),250)</f>
        <v/>
      </c>
      <c r="W55" t="str">
        <f>LEFT(IFERROR(INDEX(Fragenkatalog!$BR42,MATCH('Referral Stati'!$U$19,Fragenkatalog!BN42,0)),""),250)</f>
        <v/>
      </c>
    </row>
    <row r="56" spans="1:23" ht="20.25" customHeight="1">
      <c r="A56" s="168" t="str">
        <f>Fragenkatalog!B43</f>
        <v>RisikoFragen24</v>
      </c>
      <c r="D56" t="str">
        <f>LEFT(IFERROR(INDEX(Fragenkatalog!$BR43,MATCH('Referral Stati'!$D$19,Fragenkatalog!AU43,0)),""),250)</f>
        <v/>
      </c>
      <c r="E56" s="19" t="str">
        <f>LEFT(IFERROR(INDEX(Fragenkatalog!$BR43,MATCH('Referral Stati'!$E$19,Fragenkatalog!AV43,0)),""),250)</f>
        <v/>
      </c>
      <c r="F56" s="19" t="str">
        <f>LEFT(IFERROR(INDEX(Fragenkatalog!$BR43,MATCH('Referral Stati'!$F$19,Fragenkatalog!AO43,0)),""),250)</f>
        <v/>
      </c>
      <c r="G56" t="str">
        <f>LEFT(IFERROR(INDEX(Fragenkatalog!$BR43,MATCH('Referral Stati'!$G$19,Fragenkatalog!AP43,0)),""),250)</f>
        <v/>
      </c>
      <c r="J56" t="str">
        <f t="array" ref="J56">LEFT(IFERROR(INDEX(Fragenkatalog!BR43,MATCH('Referral Stati'!$J$19,Fragenkatalog!W43,0)),""),250)</f>
        <v/>
      </c>
      <c r="K56" t="str">
        <f t="array" ref="K56">LEFT(IFERROR(INDEX(Fragenkatalog!BR43,MATCH('Referral Stati'!$K$19,Fragenkatalog!X43,0)),""),250)</f>
        <v/>
      </c>
      <c r="L56" s="19" t="str">
        <f>LEFT(IFERROR(INDEX(Fragenkatalog!$BR43,MATCH('Referral Stati'!$L$19,Fragenkatalog!Q43,0)),""),250)</f>
        <v/>
      </c>
      <c r="M56" s="19" t="str">
        <f>LEFT(IFERROR(INDEX(Fragenkatalog!$BR43,MATCH('Referral Stati'!$M$19,Fragenkatalog!R43,0)),""),250)</f>
        <v/>
      </c>
      <c r="N56" s="19" t="str">
        <f>LEFT(IFERROR(INDEX(Fragenkatalog!$BR43,MATCH('Referral Stati'!$N$19,Fragenkatalog!AI43,0)),""),250)</f>
        <v/>
      </c>
      <c r="O56" t="str">
        <f>LEFT(IFERROR(INDEX(Fragenkatalog!$BR43,MATCH('Referral Stati'!$O$19,Fragenkatalog!AJ43,0)),""),250)</f>
        <v/>
      </c>
      <c r="P56" s="19" t="str">
        <f>LEFT(IFERROR(INDEX(Fragenkatalog!$BR43,MATCH('Referral Stati'!$P$19,Fragenkatalog!AC43,0)),""),250)</f>
        <v/>
      </c>
      <c r="Q56" s="19" t="str">
        <f>LEFT(IFERROR(INDEX(Fragenkatalog!$BR43,MATCH('Referral Stati'!$Q$19,Fragenkatalog!AD43,0)),""),250)</f>
        <v/>
      </c>
      <c r="R56" t="str">
        <f>LEFT(IFERROR(INDEX(Fragenkatalog!$BR43,MATCH('Referral Stati'!$R$19,Fragenkatalog!BA43,0)),""),250)</f>
        <v/>
      </c>
      <c r="S56" t="str">
        <f>LEFT(IFERROR(INDEX(Fragenkatalog!$BR43,MATCH('Referral Stati'!$S$19,Fragenkatalog!BB43,0)),""),250)</f>
        <v/>
      </c>
      <c r="T56" t="str">
        <f>LEFT(IFERROR(INDEX(Fragenkatalog!$BR43,MATCH('Referral Stati'!$T$19,Fragenkatalog!BG43,0)),""),250)</f>
        <v/>
      </c>
      <c r="U56" t="str">
        <f>LEFT(IFERROR(INDEX(Fragenkatalog!$BR43,MATCH('Referral Stati'!$U$19,Fragenkatalog!BH43,0)),""),250)</f>
        <v/>
      </c>
      <c r="V56" t="str">
        <f>LEFT(IFERROR(INDEX(Fragenkatalog!$BR43,MATCH('Referral Stati'!$V$19,Fragenkatalog!BM43,0)),""),250)</f>
        <v/>
      </c>
      <c r="W56" t="str">
        <f>LEFT(IFERROR(INDEX(Fragenkatalog!$BR43,MATCH('Referral Stati'!$U$19,Fragenkatalog!BN43,0)),""),250)</f>
        <v/>
      </c>
    </row>
    <row r="57" spans="1:23" ht="20.25" customHeight="1">
      <c r="A57" s="168" t="str">
        <f>Fragenkatalog!B44</f>
        <v>RisikoFragen25</v>
      </c>
      <c r="D57" t="str">
        <f>LEFT(IFERROR(INDEX(Fragenkatalog!$BR44,MATCH('Referral Stati'!$D$19,Fragenkatalog!AU44,0)),""),250)</f>
        <v/>
      </c>
      <c r="E57" s="19" t="str">
        <f>LEFT(IFERROR(INDEX(Fragenkatalog!$BR44,MATCH('Referral Stati'!$E$19,Fragenkatalog!AV44,0)),""),250)</f>
        <v/>
      </c>
      <c r="F57" s="19" t="str">
        <f>LEFT(IFERROR(INDEX(Fragenkatalog!$BR44,MATCH('Referral Stati'!$F$19,Fragenkatalog!AO44,0)),""),250)</f>
        <v/>
      </c>
      <c r="G57" t="str">
        <f>LEFT(IFERROR(INDEX(Fragenkatalog!$BR44,MATCH('Referral Stati'!$G$19,Fragenkatalog!AP44,0)),""),250)</f>
        <v/>
      </c>
      <c r="J57" t="str">
        <f t="array" ref="J57">LEFT(IFERROR(INDEX(Fragenkatalog!BR44,MATCH('Referral Stati'!$J$19,Fragenkatalog!W44,0)),""),250)</f>
        <v/>
      </c>
      <c r="K57" t="str">
        <f t="array" ref="K57">LEFT(IFERROR(INDEX(Fragenkatalog!BR44,MATCH('Referral Stati'!$K$19,Fragenkatalog!X44,0)),""),250)</f>
        <v/>
      </c>
      <c r="L57" s="19" t="str">
        <f>LEFT(IFERROR(INDEX(Fragenkatalog!$BR44,MATCH('Referral Stati'!$L$19,Fragenkatalog!Q44,0)),""),250)</f>
        <v/>
      </c>
      <c r="M57" s="19" t="str">
        <f>LEFT(IFERROR(INDEX(Fragenkatalog!$BR44,MATCH('Referral Stati'!$M$19,Fragenkatalog!R44,0)),""),250)</f>
        <v/>
      </c>
      <c r="N57" s="19" t="str">
        <f>LEFT(IFERROR(INDEX(Fragenkatalog!$BR44,MATCH('Referral Stati'!$N$19,Fragenkatalog!AI44,0)),""),250)</f>
        <v/>
      </c>
      <c r="O57" t="str">
        <f>LEFT(IFERROR(INDEX(Fragenkatalog!$BR44,MATCH('Referral Stati'!$O$19,Fragenkatalog!AJ44,0)),""),250)</f>
        <v/>
      </c>
      <c r="P57" s="19" t="str">
        <f>LEFT(IFERROR(INDEX(Fragenkatalog!$BR44,MATCH('Referral Stati'!$P$19,Fragenkatalog!AC44,0)),""),250)</f>
        <v/>
      </c>
      <c r="Q57" s="19" t="str">
        <f>LEFT(IFERROR(INDEX(Fragenkatalog!$BR44,MATCH('Referral Stati'!$Q$19,Fragenkatalog!AD44,0)),""),250)</f>
        <v/>
      </c>
      <c r="R57" t="str">
        <f>LEFT(IFERROR(INDEX(Fragenkatalog!$BR44,MATCH('Referral Stati'!$R$19,Fragenkatalog!BA44,0)),""),250)</f>
        <v/>
      </c>
      <c r="S57" t="str">
        <f>LEFT(IFERROR(INDEX(Fragenkatalog!$BR44,MATCH('Referral Stati'!$S$19,Fragenkatalog!BB44,0)),""),250)</f>
        <v/>
      </c>
      <c r="T57" t="str">
        <f>LEFT(IFERROR(INDEX(Fragenkatalog!$BR44,MATCH('Referral Stati'!$T$19,Fragenkatalog!BG44,0)),""),250)</f>
        <v/>
      </c>
      <c r="U57" t="str">
        <f>LEFT(IFERROR(INDEX(Fragenkatalog!$BR44,MATCH('Referral Stati'!$U$19,Fragenkatalog!BH44,0)),""),250)</f>
        <v/>
      </c>
      <c r="V57" t="str">
        <f>LEFT(IFERROR(INDEX(Fragenkatalog!$BR44,MATCH('Referral Stati'!$V$19,Fragenkatalog!BM44,0)),""),250)</f>
        <v/>
      </c>
      <c r="W57" t="str">
        <f>LEFT(IFERROR(INDEX(Fragenkatalog!$BR44,MATCH('Referral Stati'!$U$19,Fragenkatalog!BN44,0)),""),250)</f>
        <v/>
      </c>
    </row>
    <row r="58" spans="1:23" ht="20.25" customHeight="1">
      <c r="A58" s="168" t="str">
        <f>Fragenkatalog!B45</f>
        <v>RisikoFragen26a</v>
      </c>
      <c r="D58" t="str">
        <f>LEFT(IFERROR(INDEX(Fragenkatalog!$BR45,MATCH('Referral Stati'!$D$19,Fragenkatalog!AU45,0)),""),250)</f>
        <v/>
      </c>
      <c r="E58" s="19" t="str">
        <f>LEFT(IFERROR(INDEX(Fragenkatalog!$BR45,MATCH('Referral Stati'!$E$19,Fragenkatalog!AV45,0)),""),250)</f>
        <v/>
      </c>
      <c r="F58" s="19" t="str">
        <f>LEFT(IFERROR(INDEX(Fragenkatalog!$BR45,MATCH('Referral Stati'!$F$19,Fragenkatalog!AO45,0)),""),250)</f>
        <v/>
      </c>
      <c r="G58" t="str">
        <f>LEFT(IFERROR(INDEX(Fragenkatalog!$BR45,MATCH('Referral Stati'!$G$19,Fragenkatalog!AP45,0)),""),250)</f>
        <v/>
      </c>
      <c r="J58" t="str">
        <f t="array" ref="J58">LEFT(IFERROR(INDEX(Fragenkatalog!BR45,MATCH('Referral Stati'!$J$19,Fragenkatalog!W45,0)),""),250)</f>
        <v/>
      </c>
      <c r="K58" t="str">
        <f t="array" ref="K58">LEFT(IFERROR(INDEX(Fragenkatalog!BR45,MATCH('Referral Stati'!$K$19,Fragenkatalog!X45,0)),""),250)</f>
        <v/>
      </c>
      <c r="L58" s="19" t="str">
        <f>LEFT(IFERROR(INDEX(Fragenkatalog!$BR45,MATCH('Referral Stati'!$L$19,Fragenkatalog!Q45,0)),""),250)</f>
        <v/>
      </c>
      <c r="M58" s="19" t="str">
        <f>LEFT(IFERROR(INDEX(Fragenkatalog!$BR45,MATCH('Referral Stati'!$M$19,Fragenkatalog!R45,0)),""),250)</f>
        <v/>
      </c>
      <c r="N58" s="19" t="str">
        <f>LEFT(IFERROR(INDEX(Fragenkatalog!$BR45,MATCH('Referral Stati'!$N$19,Fragenkatalog!AI45,0)),""),250)</f>
        <v/>
      </c>
      <c r="O58" t="str">
        <f>LEFT(IFERROR(INDEX(Fragenkatalog!$BR45,MATCH('Referral Stati'!$O$19,Fragenkatalog!AJ45,0)),""),250)</f>
        <v/>
      </c>
      <c r="P58" s="19" t="str">
        <f>LEFT(IFERROR(INDEX(Fragenkatalog!$BR45,MATCH('Referral Stati'!$P$19,Fragenkatalog!AC45,0)),""),250)</f>
        <v/>
      </c>
      <c r="Q58" s="19" t="str">
        <f>LEFT(IFERROR(INDEX(Fragenkatalog!$BR45,MATCH('Referral Stati'!$Q$19,Fragenkatalog!AD45,0)),""),250)</f>
        <v/>
      </c>
      <c r="R58" t="str">
        <f>LEFT(IFERROR(INDEX(Fragenkatalog!$BR45,MATCH('Referral Stati'!$R$19,Fragenkatalog!BA45,0)),""),250)</f>
        <v/>
      </c>
      <c r="S58" t="str">
        <f>LEFT(IFERROR(INDEX(Fragenkatalog!$BR45,MATCH('Referral Stati'!$S$19,Fragenkatalog!BB45,0)),""),250)</f>
        <v/>
      </c>
      <c r="T58" t="str">
        <f>LEFT(IFERROR(INDEX(Fragenkatalog!$BR45,MATCH('Referral Stati'!$T$19,Fragenkatalog!BG45,0)),""),250)</f>
        <v/>
      </c>
      <c r="U58" t="str">
        <f>LEFT(IFERROR(INDEX(Fragenkatalog!$BR45,MATCH('Referral Stati'!$U$19,Fragenkatalog!BH45,0)),""),250)</f>
        <v/>
      </c>
      <c r="V58" t="str">
        <f>LEFT(IFERROR(INDEX(Fragenkatalog!$BR45,MATCH('Referral Stati'!$V$19,Fragenkatalog!BM45,0)),""),250)</f>
        <v/>
      </c>
      <c r="W58" t="str">
        <f>LEFT(IFERROR(INDEX(Fragenkatalog!$BR45,MATCH('Referral Stati'!$U$19,Fragenkatalog!BN45,0)),""),250)</f>
        <v/>
      </c>
    </row>
    <row r="59" spans="1:23" ht="20.25" customHeight="1">
      <c r="A59" s="168" t="str">
        <f>Fragenkatalog!B46</f>
        <v>RisikoFragen26b</v>
      </c>
      <c r="D59" t="str">
        <f>LEFT(IFERROR(INDEX(Fragenkatalog!$BR46,MATCH('Referral Stati'!$D$19,Fragenkatalog!AU46,0)),""),250)</f>
        <v/>
      </c>
      <c r="E59" s="19" t="str">
        <f>LEFT(IFERROR(INDEX(Fragenkatalog!$BR46,MATCH('Referral Stati'!$E$19,Fragenkatalog!AV46,0)),""),250)</f>
        <v/>
      </c>
      <c r="F59" s="19" t="str">
        <f>LEFT(IFERROR(INDEX(Fragenkatalog!$BR46,MATCH('Referral Stati'!$F$19,Fragenkatalog!AO46,0)),""),250)</f>
        <v/>
      </c>
      <c r="G59" t="str">
        <f>LEFT(IFERROR(INDEX(Fragenkatalog!$BR46,MATCH('Referral Stati'!$G$19,Fragenkatalog!AP46,0)),""),250)</f>
        <v/>
      </c>
      <c r="J59" t="str">
        <f t="array" ref="J59">LEFT(IFERROR(INDEX(Fragenkatalog!BR46,MATCH('Referral Stati'!$J$19,Fragenkatalog!W46,0)),""),250)</f>
        <v/>
      </c>
      <c r="K59" t="str">
        <f t="array" ref="K59">LEFT(IFERROR(INDEX(Fragenkatalog!BR46,MATCH('Referral Stati'!$K$19,Fragenkatalog!X46,0)),""),250)</f>
        <v/>
      </c>
      <c r="L59" s="19" t="str">
        <f>LEFT(IFERROR(INDEX(Fragenkatalog!$BR46,MATCH('Referral Stati'!$L$19,Fragenkatalog!Q46,0)),""),250)</f>
        <v/>
      </c>
      <c r="M59" s="19" t="str">
        <f>LEFT(IFERROR(INDEX(Fragenkatalog!$BR46,MATCH('Referral Stati'!$M$19,Fragenkatalog!R46,0)),""),250)</f>
        <v/>
      </c>
      <c r="N59" s="19" t="str">
        <f>LEFT(IFERROR(INDEX(Fragenkatalog!$BR46,MATCH('Referral Stati'!$N$19,Fragenkatalog!AI46,0)),""),250)</f>
        <v/>
      </c>
      <c r="O59" t="str">
        <f>LEFT(IFERROR(INDEX(Fragenkatalog!$BR46,MATCH('Referral Stati'!$O$19,Fragenkatalog!AJ46,0)),""),250)</f>
        <v/>
      </c>
      <c r="P59" s="19" t="str">
        <f>LEFT(IFERROR(INDEX(Fragenkatalog!$BR46,MATCH('Referral Stati'!$P$19,Fragenkatalog!AC46,0)),""),250)</f>
        <v/>
      </c>
      <c r="Q59" s="19" t="str">
        <f>LEFT(IFERROR(INDEX(Fragenkatalog!$BR46,MATCH('Referral Stati'!$Q$19,Fragenkatalog!AD46,0)),""),250)</f>
        <v/>
      </c>
      <c r="R59" t="str">
        <f>LEFT(IFERROR(INDEX(Fragenkatalog!$BR46,MATCH('Referral Stati'!$R$19,Fragenkatalog!BA46,0)),""),250)</f>
        <v/>
      </c>
      <c r="S59" t="str">
        <f>LEFT(IFERROR(INDEX(Fragenkatalog!$BR46,MATCH('Referral Stati'!$S$19,Fragenkatalog!BB46,0)),""),250)</f>
        <v/>
      </c>
      <c r="T59" t="str">
        <f>LEFT(IFERROR(INDEX(Fragenkatalog!$BR46,MATCH('Referral Stati'!$T$19,Fragenkatalog!BG46,0)),""),250)</f>
        <v/>
      </c>
      <c r="U59" t="str">
        <f>LEFT(IFERROR(INDEX(Fragenkatalog!$BR46,MATCH('Referral Stati'!$U$19,Fragenkatalog!BH46,0)),""),250)</f>
        <v/>
      </c>
      <c r="V59" t="str">
        <f>LEFT(IFERROR(INDEX(Fragenkatalog!$BR46,MATCH('Referral Stati'!$V$19,Fragenkatalog!BM46,0)),""),250)</f>
        <v/>
      </c>
      <c r="W59" t="str">
        <f>LEFT(IFERROR(INDEX(Fragenkatalog!$BR46,MATCH('Referral Stati'!$U$19,Fragenkatalog!BN46,0)),""),250)</f>
        <v/>
      </c>
    </row>
    <row r="60" spans="1:23" ht="20.25" customHeight="1">
      <c r="A60" s="168" t="str">
        <f>Fragenkatalog!B47</f>
        <v>RisikoFragen27a</v>
      </c>
      <c r="D60" t="str">
        <f>LEFT(IFERROR(INDEX(Fragenkatalog!$BR47,MATCH('Referral Stati'!$D$19,Fragenkatalog!AU47,0)),""),250)</f>
        <v/>
      </c>
      <c r="E60" s="19" t="str">
        <f>LEFT(IFERROR(INDEX(Fragenkatalog!$BR47,MATCH('Referral Stati'!$E$19,Fragenkatalog!AV47,0)),""),250)</f>
        <v/>
      </c>
      <c r="F60" s="19" t="str">
        <f>LEFT(IFERROR(INDEX(Fragenkatalog!$BR47,MATCH('Referral Stati'!$F$19,Fragenkatalog!AO47,0)),""),250)</f>
        <v/>
      </c>
      <c r="G60" t="str">
        <f>LEFT(IFERROR(INDEX(Fragenkatalog!$BR47,MATCH('Referral Stati'!$G$19,Fragenkatalog!AP47,0)),""),250)</f>
        <v/>
      </c>
      <c r="J60" t="str">
        <f t="array" ref="J60">LEFT(IFERROR(INDEX(Fragenkatalog!BR47,MATCH('Referral Stati'!$J$19,Fragenkatalog!W47,0)),""),250)</f>
        <v/>
      </c>
      <c r="K60" t="str">
        <f t="array" ref="K60">LEFT(IFERROR(INDEX(Fragenkatalog!BR47,MATCH('Referral Stati'!$K$19,Fragenkatalog!X47,0)),""),250)</f>
        <v/>
      </c>
      <c r="L60" s="19" t="str">
        <f>LEFT(IFERROR(INDEX(Fragenkatalog!$BR47,MATCH('Referral Stati'!$L$19,Fragenkatalog!Q47,0)),""),250)</f>
        <v/>
      </c>
      <c r="M60" s="19" t="str">
        <f>LEFT(IFERROR(INDEX(Fragenkatalog!$BR47,MATCH('Referral Stati'!$M$19,Fragenkatalog!R47,0)),""),250)</f>
        <v/>
      </c>
      <c r="N60" s="19" t="str">
        <f>LEFT(IFERROR(INDEX(Fragenkatalog!$BR47,MATCH('Referral Stati'!$N$19,Fragenkatalog!AI47,0)),""),250)</f>
        <v/>
      </c>
      <c r="O60" t="str">
        <f>LEFT(IFERROR(INDEX(Fragenkatalog!$BR47,MATCH('Referral Stati'!$O$19,Fragenkatalog!AJ47,0)),""),250)</f>
        <v/>
      </c>
      <c r="P60" s="19" t="str">
        <f>LEFT(IFERROR(INDEX(Fragenkatalog!$BR47,MATCH('Referral Stati'!$P$19,Fragenkatalog!AC47,0)),""),250)</f>
        <v/>
      </c>
      <c r="Q60" s="19" t="str">
        <f>LEFT(IFERROR(INDEX(Fragenkatalog!$BR47,MATCH('Referral Stati'!$Q$19,Fragenkatalog!AD47,0)),""),250)</f>
        <v/>
      </c>
      <c r="R60" t="str">
        <f>LEFT(IFERROR(INDEX(Fragenkatalog!$BR47,MATCH('Referral Stati'!$R$19,Fragenkatalog!BA47,0)),""),250)</f>
        <v/>
      </c>
      <c r="S60" t="str">
        <f>LEFT(IFERROR(INDEX(Fragenkatalog!$BR47,MATCH('Referral Stati'!$S$19,Fragenkatalog!BB47,0)),""),250)</f>
        <v/>
      </c>
      <c r="T60" t="str">
        <f>LEFT(IFERROR(INDEX(Fragenkatalog!$BR47,MATCH('Referral Stati'!$T$19,Fragenkatalog!BG47,0)),""),250)</f>
        <v/>
      </c>
      <c r="U60" t="str">
        <f>LEFT(IFERROR(INDEX(Fragenkatalog!$BR47,MATCH('Referral Stati'!$U$19,Fragenkatalog!BH47,0)),""),250)</f>
        <v/>
      </c>
      <c r="V60" t="str">
        <f>LEFT(IFERROR(INDEX(Fragenkatalog!$BR47,MATCH('Referral Stati'!$V$19,Fragenkatalog!BM47,0)),""),250)</f>
        <v/>
      </c>
      <c r="W60" t="str">
        <f>LEFT(IFERROR(INDEX(Fragenkatalog!$BR47,MATCH('Referral Stati'!$U$19,Fragenkatalog!BN47,0)),""),250)</f>
        <v/>
      </c>
    </row>
    <row r="61" spans="1:23" ht="20.25" customHeight="1">
      <c r="A61" s="168" t="str">
        <f>Fragenkatalog!B48</f>
        <v>RisikoFragen27b</v>
      </c>
      <c r="D61" t="str">
        <f>LEFT(IFERROR(INDEX(Fragenkatalog!$BR48,MATCH('Referral Stati'!$D$19,Fragenkatalog!AU48,0)),""),250)</f>
        <v/>
      </c>
      <c r="E61" s="19" t="str">
        <f>LEFT(IFERROR(INDEX(Fragenkatalog!$BR48,MATCH('Referral Stati'!$E$19,Fragenkatalog!AV48,0)),""),250)</f>
        <v/>
      </c>
      <c r="F61" s="19" t="str">
        <f>LEFT(IFERROR(INDEX(Fragenkatalog!$BR48,MATCH('Referral Stati'!$F$19,Fragenkatalog!AO48,0)),""),250)</f>
        <v/>
      </c>
      <c r="G61" t="str">
        <f>LEFT(IFERROR(INDEX(Fragenkatalog!$BR48,MATCH('Referral Stati'!$G$19,Fragenkatalog!AP48,0)),""),250)</f>
        <v/>
      </c>
      <c r="J61" t="str">
        <f t="array" ref="J61">LEFT(IFERROR(INDEX(Fragenkatalog!BR48,MATCH('Referral Stati'!$J$19,Fragenkatalog!W48,0)),""),250)</f>
        <v/>
      </c>
      <c r="K61" t="str">
        <f t="array" ref="K61">LEFT(IFERROR(INDEX(Fragenkatalog!BR48,MATCH('Referral Stati'!$K$19,Fragenkatalog!X48,0)),""),250)</f>
        <v/>
      </c>
      <c r="L61" s="19" t="str">
        <f>LEFT(IFERROR(INDEX(Fragenkatalog!$BR48,MATCH('Referral Stati'!$L$19,Fragenkatalog!Q48,0)),""),250)</f>
        <v/>
      </c>
      <c r="M61" s="19" t="str">
        <f>LEFT(IFERROR(INDEX(Fragenkatalog!$BR48,MATCH('Referral Stati'!$M$19,Fragenkatalog!R48,0)),""),250)</f>
        <v/>
      </c>
      <c r="N61" s="19" t="str">
        <f>LEFT(IFERROR(INDEX(Fragenkatalog!$BR48,MATCH('Referral Stati'!$N$19,Fragenkatalog!AI48,0)),""),250)</f>
        <v/>
      </c>
      <c r="O61" t="str">
        <f>LEFT(IFERROR(INDEX(Fragenkatalog!$BR48,MATCH('Referral Stati'!$O$19,Fragenkatalog!AJ48,0)),""),250)</f>
        <v/>
      </c>
      <c r="P61" s="19" t="str">
        <f>LEFT(IFERROR(INDEX(Fragenkatalog!$BR48,MATCH('Referral Stati'!$P$19,Fragenkatalog!AC48,0)),""),250)</f>
        <v/>
      </c>
      <c r="Q61" s="19" t="str">
        <f>LEFT(IFERROR(INDEX(Fragenkatalog!$BR48,MATCH('Referral Stati'!$Q$19,Fragenkatalog!AD48,0)),""),250)</f>
        <v/>
      </c>
      <c r="R61" t="str">
        <f>LEFT(IFERROR(INDEX(Fragenkatalog!$BR48,MATCH('Referral Stati'!$R$19,Fragenkatalog!BA48,0)),""),250)</f>
        <v/>
      </c>
      <c r="S61" t="str">
        <f>LEFT(IFERROR(INDEX(Fragenkatalog!$BR48,MATCH('Referral Stati'!$S$19,Fragenkatalog!BB48,0)),""),250)</f>
        <v/>
      </c>
      <c r="T61" t="str">
        <f>LEFT(IFERROR(INDEX(Fragenkatalog!$BR48,MATCH('Referral Stati'!$T$19,Fragenkatalog!BG48,0)),""),250)</f>
        <v/>
      </c>
      <c r="U61" t="str">
        <f>LEFT(IFERROR(INDEX(Fragenkatalog!$BR48,MATCH('Referral Stati'!$U$19,Fragenkatalog!BH48,0)),""),250)</f>
        <v/>
      </c>
      <c r="V61" t="str">
        <f>LEFT(IFERROR(INDEX(Fragenkatalog!$BR48,MATCH('Referral Stati'!$V$19,Fragenkatalog!BM48,0)),""),250)</f>
        <v/>
      </c>
      <c r="W61" t="str">
        <f>LEFT(IFERROR(INDEX(Fragenkatalog!$BR48,MATCH('Referral Stati'!$U$19,Fragenkatalog!BN48,0)),""),250)</f>
        <v/>
      </c>
    </row>
    <row r="62" spans="1:23" ht="20.25" customHeight="1">
      <c r="A62" s="168" t="str">
        <f>Fragenkatalog!B49</f>
        <v>RisikoFragen27c</v>
      </c>
      <c r="D62" t="str">
        <f>LEFT(IFERROR(INDEX(Fragenkatalog!$BR49,MATCH('Referral Stati'!$D$19,Fragenkatalog!AU49,0)),""),250)</f>
        <v/>
      </c>
      <c r="E62" s="19" t="str">
        <f>LEFT(IFERROR(INDEX(Fragenkatalog!$BR49,MATCH('Referral Stati'!$E$19,Fragenkatalog!AV49,0)),""),250)</f>
        <v/>
      </c>
      <c r="F62" s="19" t="str">
        <f>LEFT(IFERROR(INDEX(Fragenkatalog!$BR49,MATCH('Referral Stati'!$F$19,Fragenkatalog!AO49,0)),""),250)</f>
        <v/>
      </c>
      <c r="G62" t="str">
        <f>LEFT(IFERROR(INDEX(Fragenkatalog!$BR49,MATCH('Referral Stati'!$G$19,Fragenkatalog!AP49,0)),""),250)</f>
        <v/>
      </c>
      <c r="J62" t="str">
        <f t="array" ref="J62">LEFT(IFERROR(INDEX(Fragenkatalog!BR49,MATCH('Referral Stati'!$J$19,Fragenkatalog!W49,0)),""),250)</f>
        <v/>
      </c>
      <c r="K62" t="str">
        <f t="array" ref="K62">LEFT(IFERROR(INDEX(Fragenkatalog!BR49,MATCH('Referral Stati'!$K$19,Fragenkatalog!X49,0)),""),250)</f>
        <v/>
      </c>
      <c r="L62" s="19" t="str">
        <f>LEFT(IFERROR(INDEX(Fragenkatalog!$BR49,MATCH('Referral Stati'!$L$19,Fragenkatalog!Q49,0)),""),250)</f>
        <v/>
      </c>
      <c r="M62" s="19" t="str">
        <f>LEFT(IFERROR(INDEX(Fragenkatalog!$BR49,MATCH('Referral Stati'!$M$19,Fragenkatalog!R49,0)),""),250)</f>
        <v/>
      </c>
      <c r="N62" s="19" t="str">
        <f>LEFT(IFERROR(INDEX(Fragenkatalog!$BR49,MATCH('Referral Stati'!$N$19,Fragenkatalog!AI49,0)),""),250)</f>
        <v/>
      </c>
      <c r="O62" t="str">
        <f>LEFT(IFERROR(INDEX(Fragenkatalog!$BR49,MATCH('Referral Stati'!$O$19,Fragenkatalog!AJ49,0)),""),250)</f>
        <v/>
      </c>
      <c r="P62" s="19" t="str">
        <f>LEFT(IFERROR(INDEX(Fragenkatalog!$BR49,MATCH('Referral Stati'!$P$19,Fragenkatalog!AC49,0)),""),250)</f>
        <v/>
      </c>
      <c r="Q62" s="19" t="str">
        <f>LEFT(IFERROR(INDEX(Fragenkatalog!$BR49,MATCH('Referral Stati'!$Q$19,Fragenkatalog!AD49,0)),""),250)</f>
        <v/>
      </c>
      <c r="R62" t="str">
        <f>LEFT(IFERROR(INDEX(Fragenkatalog!$BR49,MATCH('Referral Stati'!$R$19,Fragenkatalog!BA49,0)),""),250)</f>
        <v/>
      </c>
      <c r="S62" t="str">
        <f>LEFT(IFERROR(INDEX(Fragenkatalog!$BR49,MATCH('Referral Stati'!$S$19,Fragenkatalog!BB49,0)),""),250)</f>
        <v/>
      </c>
      <c r="T62" t="str">
        <f>LEFT(IFERROR(INDEX(Fragenkatalog!$BR49,MATCH('Referral Stati'!$T$19,Fragenkatalog!BG49,0)),""),250)</f>
        <v/>
      </c>
      <c r="U62" t="str">
        <f>LEFT(IFERROR(INDEX(Fragenkatalog!$BR49,MATCH('Referral Stati'!$U$19,Fragenkatalog!BH49,0)),""),250)</f>
        <v/>
      </c>
      <c r="V62" t="str">
        <f>LEFT(IFERROR(INDEX(Fragenkatalog!$BR49,MATCH('Referral Stati'!$V$19,Fragenkatalog!BM49,0)),""),250)</f>
        <v/>
      </c>
      <c r="W62" t="str">
        <f>LEFT(IFERROR(INDEX(Fragenkatalog!$BR49,MATCH('Referral Stati'!$U$19,Fragenkatalog!BN49,0)),""),250)</f>
        <v/>
      </c>
    </row>
    <row r="63" spans="1:23" ht="20.25" customHeight="1">
      <c r="A63" s="168" t="str">
        <f>Fragenkatalog!B50</f>
        <v>RisikoFragen27d</v>
      </c>
      <c r="D63" t="str">
        <f>LEFT(IFERROR(INDEX(Fragenkatalog!$BR50,MATCH('Referral Stati'!$D$19,Fragenkatalog!AU50,0)),""),250)</f>
        <v/>
      </c>
      <c r="E63" s="19" t="str">
        <f>LEFT(IFERROR(INDEX(Fragenkatalog!$BR50,MATCH('Referral Stati'!$E$19,Fragenkatalog!AV50,0)),""),250)</f>
        <v/>
      </c>
      <c r="F63" s="19" t="str">
        <f>LEFT(IFERROR(INDEX(Fragenkatalog!$BR50,MATCH('Referral Stati'!$F$19,Fragenkatalog!AO50,0)),""),250)</f>
        <v/>
      </c>
      <c r="G63" t="str">
        <f>LEFT(IFERROR(INDEX(Fragenkatalog!$BR50,MATCH('Referral Stati'!$G$19,Fragenkatalog!AP50,0)),""),250)</f>
        <v/>
      </c>
      <c r="J63" t="str">
        <f t="array" ref="J63">LEFT(IFERROR(INDEX(Fragenkatalog!BR50,MATCH('Referral Stati'!$J$19,Fragenkatalog!W50,0)),""),250)</f>
        <v/>
      </c>
      <c r="K63" t="str">
        <f t="array" ref="K63">LEFT(IFERROR(INDEX(Fragenkatalog!BR50,MATCH('Referral Stati'!$K$19,Fragenkatalog!X50,0)),""),250)</f>
        <v/>
      </c>
      <c r="L63" s="19" t="str">
        <f>LEFT(IFERROR(INDEX(Fragenkatalog!$BR50,MATCH('Referral Stati'!$L$19,Fragenkatalog!Q50,0)),""),250)</f>
        <v/>
      </c>
      <c r="M63" s="19" t="str">
        <f>LEFT(IFERROR(INDEX(Fragenkatalog!$BR50,MATCH('Referral Stati'!$M$19,Fragenkatalog!R50,0)),""),250)</f>
        <v/>
      </c>
      <c r="N63" s="19" t="str">
        <f>LEFT(IFERROR(INDEX(Fragenkatalog!$BR50,MATCH('Referral Stati'!$N$19,Fragenkatalog!AI50,0)),""),250)</f>
        <v/>
      </c>
      <c r="O63" t="str">
        <f>LEFT(IFERROR(INDEX(Fragenkatalog!$BR50,MATCH('Referral Stati'!$O$19,Fragenkatalog!AJ50,0)),""),250)</f>
        <v/>
      </c>
      <c r="P63" s="19" t="str">
        <f>LEFT(IFERROR(INDEX(Fragenkatalog!$BR50,MATCH('Referral Stati'!$P$19,Fragenkatalog!AC50,0)),""),250)</f>
        <v/>
      </c>
      <c r="Q63" s="19" t="str">
        <f>LEFT(IFERROR(INDEX(Fragenkatalog!$BR50,MATCH('Referral Stati'!$Q$19,Fragenkatalog!AD50,0)),""),250)</f>
        <v/>
      </c>
      <c r="R63" t="str">
        <f>LEFT(IFERROR(INDEX(Fragenkatalog!$BR50,MATCH('Referral Stati'!$R$19,Fragenkatalog!BA50,0)),""),250)</f>
        <v/>
      </c>
      <c r="S63" t="str">
        <f>LEFT(IFERROR(INDEX(Fragenkatalog!$BR50,MATCH('Referral Stati'!$S$19,Fragenkatalog!BB50,0)),""),250)</f>
        <v/>
      </c>
      <c r="T63" t="str">
        <f>LEFT(IFERROR(INDEX(Fragenkatalog!$BR50,MATCH('Referral Stati'!$T$19,Fragenkatalog!BG50,0)),""),250)</f>
        <v/>
      </c>
      <c r="U63" t="str">
        <f>LEFT(IFERROR(INDEX(Fragenkatalog!$BR50,MATCH('Referral Stati'!$U$19,Fragenkatalog!BH50,0)),""),250)</f>
        <v/>
      </c>
      <c r="V63" t="str">
        <f>LEFT(IFERROR(INDEX(Fragenkatalog!$BR50,MATCH('Referral Stati'!$V$19,Fragenkatalog!BM50,0)),""),250)</f>
        <v/>
      </c>
      <c r="W63" t="str">
        <f>LEFT(IFERROR(INDEX(Fragenkatalog!$BR50,MATCH('Referral Stati'!$U$19,Fragenkatalog!BN50,0)),""),250)</f>
        <v/>
      </c>
    </row>
    <row r="64" spans="1:23" ht="20.25" customHeight="1">
      <c r="A64" s="168" t="str">
        <f>Fragenkatalog!B51</f>
        <v>RisikoFragen27e</v>
      </c>
      <c r="D64" t="str">
        <f>LEFT(IFERROR(INDEX(Fragenkatalog!$BR51,MATCH('Referral Stati'!$D$19,Fragenkatalog!AU51,0)),""),250)</f>
        <v/>
      </c>
      <c r="E64" s="19" t="str">
        <f>LEFT(IFERROR(INDEX(Fragenkatalog!$BR51,MATCH('Referral Stati'!$E$19,Fragenkatalog!AV51,0)),""),250)</f>
        <v/>
      </c>
      <c r="F64" s="19" t="str">
        <f>LEFT(IFERROR(INDEX(Fragenkatalog!$BR51,MATCH('Referral Stati'!$F$19,Fragenkatalog!AO51,0)),""),250)</f>
        <v/>
      </c>
      <c r="G64" t="str">
        <f>LEFT(IFERROR(INDEX(Fragenkatalog!$BR51,MATCH('Referral Stati'!$G$19,Fragenkatalog!AP51,0)),""),250)</f>
        <v/>
      </c>
      <c r="J64" t="str">
        <f t="array" ref="J64">LEFT(IFERROR(INDEX(Fragenkatalog!BR51,MATCH('Referral Stati'!$J$19,Fragenkatalog!W51,0)),""),250)</f>
        <v/>
      </c>
      <c r="K64" t="str">
        <f t="array" ref="K64">LEFT(IFERROR(INDEX(Fragenkatalog!BR51,MATCH('Referral Stati'!$K$19,Fragenkatalog!X51,0)),""),250)</f>
        <v/>
      </c>
      <c r="L64" s="19" t="str">
        <f>LEFT(IFERROR(INDEX(Fragenkatalog!$BR51,MATCH('Referral Stati'!$L$19,Fragenkatalog!Q51,0)),""),250)</f>
        <v/>
      </c>
      <c r="M64" s="19" t="str">
        <f>LEFT(IFERROR(INDEX(Fragenkatalog!$BR51,MATCH('Referral Stati'!$M$19,Fragenkatalog!R51,0)),""),250)</f>
        <v/>
      </c>
      <c r="N64" s="19" t="str">
        <f>LEFT(IFERROR(INDEX(Fragenkatalog!$BR51,MATCH('Referral Stati'!$N$19,Fragenkatalog!AI51,0)),""),250)</f>
        <v/>
      </c>
      <c r="O64" t="str">
        <f>LEFT(IFERROR(INDEX(Fragenkatalog!$BR51,MATCH('Referral Stati'!$O$19,Fragenkatalog!AJ51,0)),""),250)</f>
        <v/>
      </c>
      <c r="P64" s="19" t="str">
        <f>LEFT(IFERROR(INDEX(Fragenkatalog!$BR51,MATCH('Referral Stati'!$P$19,Fragenkatalog!AC51,0)),""),250)</f>
        <v/>
      </c>
      <c r="Q64" s="19" t="str">
        <f>LEFT(IFERROR(INDEX(Fragenkatalog!$BR51,MATCH('Referral Stati'!$Q$19,Fragenkatalog!AD51,0)),""),250)</f>
        <v/>
      </c>
      <c r="R64" t="str">
        <f>LEFT(IFERROR(INDEX(Fragenkatalog!$BR51,MATCH('Referral Stati'!$R$19,Fragenkatalog!BA51,0)),""),250)</f>
        <v/>
      </c>
      <c r="S64" t="str">
        <f>LEFT(IFERROR(INDEX(Fragenkatalog!$BR51,MATCH('Referral Stati'!$S$19,Fragenkatalog!BB51,0)),""),250)</f>
        <v/>
      </c>
      <c r="T64" t="str">
        <f>LEFT(IFERROR(INDEX(Fragenkatalog!$BR51,MATCH('Referral Stati'!$T$19,Fragenkatalog!BG51,0)),""),250)</f>
        <v/>
      </c>
      <c r="U64" t="str">
        <f>LEFT(IFERROR(INDEX(Fragenkatalog!$BR51,MATCH('Referral Stati'!$U$19,Fragenkatalog!BH51,0)),""),250)</f>
        <v/>
      </c>
      <c r="V64" t="str">
        <f>LEFT(IFERROR(INDEX(Fragenkatalog!$BR51,MATCH('Referral Stati'!$V$19,Fragenkatalog!BM51,0)),""),250)</f>
        <v/>
      </c>
      <c r="W64" t="str">
        <f>LEFT(IFERROR(INDEX(Fragenkatalog!$BR51,MATCH('Referral Stati'!$U$19,Fragenkatalog!BN51,0)),""),250)</f>
        <v/>
      </c>
    </row>
    <row r="65" spans="1:23" ht="20.25" customHeight="1">
      <c r="A65" s="168" t="str">
        <f>Fragenkatalog!B52</f>
        <v>RisikoFragen30</v>
      </c>
      <c r="D65" t="str">
        <f>LEFT(IFERROR(INDEX(Fragenkatalog!$BR52,MATCH('Referral Stati'!$D$19,Fragenkatalog!AU52,0)),""),250)</f>
        <v/>
      </c>
      <c r="E65" s="19" t="str">
        <f>LEFT(IFERROR(INDEX(Fragenkatalog!$BR52,MATCH('Referral Stati'!$E$19,Fragenkatalog!AV52,0)),""),250)</f>
        <v/>
      </c>
      <c r="F65" s="19" t="str">
        <f>LEFT(IFERROR(INDEX(Fragenkatalog!$BR52,MATCH('Referral Stati'!$F$19,Fragenkatalog!AO52,0)),""),250)</f>
        <v/>
      </c>
      <c r="G65" t="str">
        <f>LEFT(IFERROR(INDEX(Fragenkatalog!$BR52,MATCH('Referral Stati'!$G$19,Fragenkatalog!AP52,0)),""),250)</f>
        <v/>
      </c>
      <c r="J65" t="str">
        <f t="array" ref="J65">LEFT(IFERROR(INDEX(Fragenkatalog!BR52,MATCH('Referral Stati'!$J$19,Fragenkatalog!W52,0)),""),250)</f>
        <v/>
      </c>
      <c r="K65" t="str">
        <f t="array" ref="K65">LEFT(IFERROR(INDEX(Fragenkatalog!BR52,MATCH('Referral Stati'!$K$19,Fragenkatalog!X52,0)),""),250)</f>
        <v/>
      </c>
      <c r="L65" s="19" t="str">
        <f>LEFT(IFERROR(INDEX(Fragenkatalog!$BR52,MATCH('Referral Stati'!$L$19,Fragenkatalog!Q52,0)),""),250)</f>
        <v/>
      </c>
      <c r="M65" s="19" t="str">
        <f>LEFT(IFERROR(INDEX(Fragenkatalog!$BR52,MATCH('Referral Stati'!$M$19,Fragenkatalog!R52,0)),""),250)</f>
        <v/>
      </c>
      <c r="N65" s="19" t="str">
        <f>LEFT(IFERROR(INDEX(Fragenkatalog!$BR52,MATCH('Referral Stati'!$N$19,Fragenkatalog!AI52,0)),""),250)</f>
        <v/>
      </c>
      <c r="O65" t="str">
        <f>LEFT(IFERROR(INDEX(Fragenkatalog!$BR52,MATCH('Referral Stati'!$O$19,Fragenkatalog!AJ52,0)),""),250)</f>
        <v/>
      </c>
      <c r="P65" s="19" t="str">
        <f>LEFT(IFERROR(INDEX(Fragenkatalog!$BR52,MATCH('Referral Stati'!$P$19,Fragenkatalog!AC52,0)),""),250)</f>
        <v/>
      </c>
      <c r="Q65" s="19" t="str">
        <f>LEFT(IFERROR(INDEX(Fragenkatalog!$BR52,MATCH('Referral Stati'!$Q$19,Fragenkatalog!AD52,0)),""),250)</f>
        <v/>
      </c>
      <c r="R65" t="str">
        <f>LEFT(IFERROR(INDEX(Fragenkatalog!$BR52,MATCH('Referral Stati'!$R$19,Fragenkatalog!BA52,0)),""),250)</f>
        <v/>
      </c>
      <c r="S65" t="str">
        <f>LEFT(IFERROR(INDEX(Fragenkatalog!$BR52,MATCH('Referral Stati'!$S$19,Fragenkatalog!BB52,0)),""),250)</f>
        <v/>
      </c>
      <c r="T65" t="str">
        <f>LEFT(IFERROR(INDEX(Fragenkatalog!$BR52,MATCH('Referral Stati'!$T$19,Fragenkatalog!BG52,0)),""),250)</f>
        <v/>
      </c>
      <c r="U65" t="str">
        <f>LEFT(IFERROR(INDEX(Fragenkatalog!$BR52,MATCH('Referral Stati'!$U$19,Fragenkatalog!BH52,0)),""),250)</f>
        <v/>
      </c>
      <c r="V65" t="str">
        <f>LEFT(IFERROR(INDEX(Fragenkatalog!$BR52,MATCH('Referral Stati'!$V$19,Fragenkatalog!BM52,0)),""),250)</f>
        <v/>
      </c>
      <c r="W65" t="str">
        <f>LEFT(IFERROR(INDEX(Fragenkatalog!$BR52,MATCH('Referral Stati'!$U$19,Fragenkatalog!BN52,0)),""),250)</f>
        <v/>
      </c>
    </row>
    <row r="66" spans="1:23" ht="20.25" customHeight="1">
      <c r="A66" s="168" t="str">
        <f>Fragenkatalog!B53</f>
        <v>RisikoFragen32</v>
      </c>
      <c r="D66" t="str">
        <f>LEFT(IFERROR(INDEX(Fragenkatalog!$BR53,MATCH('Referral Stati'!$D$19,Fragenkatalog!AU53,0)),""),250)</f>
        <v>Eigenkapital</v>
      </c>
      <c r="E66" s="19" t="str">
        <f>LEFT(IFERROR(INDEX(Fragenkatalog!$BR53,MATCH('Referral Stati'!$E$19,Fragenkatalog!AV53,0)),""),250)</f>
        <v/>
      </c>
      <c r="F66" s="19" t="str">
        <f>LEFT(IFERROR(INDEX(Fragenkatalog!$BR53,MATCH('Referral Stati'!$F$19,Fragenkatalog!AO53,0)),""),250)</f>
        <v/>
      </c>
      <c r="G66" t="str">
        <f>LEFT(IFERROR(INDEX(Fragenkatalog!$BR53,MATCH('Referral Stati'!$G$19,Fragenkatalog!AP53,0)),""),250)</f>
        <v/>
      </c>
      <c r="J66" t="str">
        <f t="array" ref="J66">LEFT(IFERROR(INDEX(Fragenkatalog!BR53,MATCH('Referral Stati'!$J$19,Fragenkatalog!W53,0)),""),250)</f>
        <v/>
      </c>
      <c r="K66" t="str">
        <f t="array" ref="K66">LEFT(IFERROR(INDEX(Fragenkatalog!BR53,MATCH('Referral Stati'!$K$19,Fragenkatalog!X53,0)),""),250)</f>
        <v/>
      </c>
      <c r="L66" s="19" t="str">
        <f>LEFT(IFERROR(INDEX(Fragenkatalog!$BR53,MATCH('Referral Stati'!$L$19,Fragenkatalog!Q53,0)),""),250)</f>
        <v/>
      </c>
      <c r="M66" s="19" t="str">
        <f>LEFT(IFERROR(INDEX(Fragenkatalog!$BR53,MATCH('Referral Stati'!$M$19,Fragenkatalog!R53,0)),""),250)</f>
        <v/>
      </c>
      <c r="N66" s="19" t="str">
        <f>LEFT(IFERROR(INDEX(Fragenkatalog!$BR53,MATCH('Referral Stati'!$N$19,Fragenkatalog!AI53,0)),""),250)</f>
        <v/>
      </c>
      <c r="O66" t="str">
        <f>LEFT(IFERROR(INDEX(Fragenkatalog!$BR53,MATCH('Referral Stati'!$O$19,Fragenkatalog!AJ53,0)),""),250)</f>
        <v/>
      </c>
      <c r="P66" s="19" t="str">
        <f>LEFT(IFERROR(INDEX(Fragenkatalog!$BR53,MATCH('Referral Stati'!$P$19,Fragenkatalog!AC53,0)),""),250)</f>
        <v/>
      </c>
      <c r="Q66" s="19" t="str">
        <f>LEFT(IFERROR(INDEX(Fragenkatalog!$BR53,MATCH('Referral Stati'!$Q$19,Fragenkatalog!AD53,0)),""),250)</f>
        <v/>
      </c>
      <c r="R66" t="str">
        <f>LEFT(IFERROR(INDEX(Fragenkatalog!$BR53,MATCH('Referral Stati'!$R$19,Fragenkatalog!BA53,0)),""),250)</f>
        <v/>
      </c>
      <c r="S66" t="str">
        <f>LEFT(IFERROR(INDEX(Fragenkatalog!$BR53,MATCH('Referral Stati'!$S$19,Fragenkatalog!BB53,0)),""),250)</f>
        <v/>
      </c>
      <c r="T66" t="str">
        <f>LEFT(IFERROR(INDEX(Fragenkatalog!$BR53,MATCH('Referral Stati'!$T$19,Fragenkatalog!BG53,0)),""),250)</f>
        <v/>
      </c>
      <c r="U66" t="str">
        <f>LEFT(IFERROR(INDEX(Fragenkatalog!$BR53,MATCH('Referral Stati'!$U$19,Fragenkatalog!BH53,0)),""),250)</f>
        <v/>
      </c>
      <c r="V66" t="str">
        <f>LEFT(IFERROR(INDEX(Fragenkatalog!$BR53,MATCH('Referral Stati'!$V$19,Fragenkatalog!BM53,0)),""),250)</f>
        <v/>
      </c>
      <c r="W66" t="str">
        <f>LEFT(IFERROR(INDEX(Fragenkatalog!$BR53,MATCH('Referral Stati'!$U$19,Fragenkatalog!BN53,0)),""),250)</f>
        <v/>
      </c>
    </row>
    <row r="67" spans="1:23" ht="20.25" customHeight="1">
      <c r="A67" s="168" t="str">
        <f>Fragenkatalog!B54</f>
        <v>RisikoFragen33</v>
      </c>
      <c r="D67" t="str">
        <f>LEFT(IFERROR(INDEX(Fragenkatalog!$BR54,MATCH('Referral Stati'!$D$19,Fragenkatalog!AU54,0)),""),250)</f>
        <v/>
      </c>
      <c r="E67" s="19" t="str">
        <f>LEFT(IFERROR(INDEX(Fragenkatalog!$BR54,MATCH('Referral Stati'!$E$19,Fragenkatalog!AV54,0)),""),250)</f>
        <v/>
      </c>
      <c r="F67" s="19" t="str">
        <f>LEFT(IFERROR(INDEX(Fragenkatalog!$BR54,MATCH('Referral Stati'!$F$19,Fragenkatalog!AO54,0)),""),250)</f>
        <v/>
      </c>
      <c r="G67" t="str">
        <f>LEFT(IFERROR(INDEX(Fragenkatalog!$BR54,MATCH('Referral Stati'!$G$19,Fragenkatalog!AP54,0)),""),250)</f>
        <v/>
      </c>
      <c r="J67" t="str">
        <f t="array" ref="J67">LEFT(IFERROR(INDEX(Fragenkatalog!BR54,MATCH('Referral Stati'!$J$19,Fragenkatalog!W54,0)),""),250)</f>
        <v/>
      </c>
      <c r="K67" t="str">
        <f t="array" ref="K67">LEFT(IFERROR(INDEX(Fragenkatalog!BR54,MATCH('Referral Stati'!$K$19,Fragenkatalog!X54,0)),""),250)</f>
        <v/>
      </c>
      <c r="L67" s="19" t="str">
        <f>LEFT(IFERROR(INDEX(Fragenkatalog!$BR54,MATCH('Referral Stati'!$L$19,Fragenkatalog!Q54,0)),""),250)</f>
        <v/>
      </c>
      <c r="M67" s="19" t="str">
        <f>LEFT(IFERROR(INDEX(Fragenkatalog!$BR54,MATCH('Referral Stati'!$M$19,Fragenkatalog!R54,0)),""),250)</f>
        <v/>
      </c>
      <c r="N67" s="19" t="str">
        <f>LEFT(IFERROR(INDEX(Fragenkatalog!$BR54,MATCH('Referral Stati'!$N$19,Fragenkatalog!AI54,0)),""),250)</f>
        <v/>
      </c>
      <c r="O67" t="str">
        <f>LEFT(IFERROR(INDEX(Fragenkatalog!$BR54,MATCH('Referral Stati'!$O$19,Fragenkatalog!AJ54,0)),""),250)</f>
        <v/>
      </c>
      <c r="P67" s="19" t="str">
        <f>LEFT(IFERROR(INDEX(Fragenkatalog!$BR54,MATCH('Referral Stati'!$P$19,Fragenkatalog!AC54,0)),""),250)</f>
        <v/>
      </c>
      <c r="Q67" s="19" t="str">
        <f>LEFT(IFERROR(INDEX(Fragenkatalog!$BR54,MATCH('Referral Stati'!$Q$19,Fragenkatalog!AD54,0)),""),250)</f>
        <v/>
      </c>
      <c r="R67" t="str">
        <f>LEFT(IFERROR(INDEX(Fragenkatalog!$BR54,MATCH('Referral Stati'!$R$19,Fragenkatalog!BA54,0)),""),250)</f>
        <v/>
      </c>
      <c r="S67" t="str">
        <f>LEFT(IFERROR(INDEX(Fragenkatalog!$BR54,MATCH('Referral Stati'!$S$19,Fragenkatalog!BB54,0)),""),250)</f>
        <v/>
      </c>
      <c r="T67" t="str">
        <f>LEFT(IFERROR(INDEX(Fragenkatalog!$BR54,MATCH('Referral Stati'!$T$19,Fragenkatalog!BG54,0)),""),250)</f>
        <v/>
      </c>
      <c r="U67" t="str">
        <f>LEFT(IFERROR(INDEX(Fragenkatalog!$BR54,MATCH('Referral Stati'!$U$19,Fragenkatalog!BH54,0)),""),250)</f>
        <v/>
      </c>
      <c r="V67" t="str">
        <f>LEFT(IFERROR(INDEX(Fragenkatalog!$BR54,MATCH('Referral Stati'!$V$19,Fragenkatalog!BM54,0)),""),250)</f>
        <v/>
      </c>
      <c r="W67" t="str">
        <f>LEFT(IFERROR(INDEX(Fragenkatalog!$BR54,MATCH('Referral Stati'!$U$19,Fragenkatalog!BN54,0)),""),250)</f>
        <v/>
      </c>
    </row>
    <row r="68" spans="1:23" ht="20.25" customHeight="1">
      <c r="A68" s="168" t="str">
        <f>Fragenkatalog!B55</f>
        <v>RisikoFragen34</v>
      </c>
      <c r="D68" t="str">
        <f>LEFT(IFERROR(INDEX(Fragenkatalog!$BR55,MATCH('Referral Stati'!$D$19,Fragenkatalog!AU55,0)),""),250)</f>
        <v/>
      </c>
      <c r="E68" s="19" t="str">
        <f>LEFT(IFERROR(INDEX(Fragenkatalog!$BR55,MATCH('Referral Stati'!$E$19,Fragenkatalog!AV55,0)),""),250)</f>
        <v/>
      </c>
      <c r="F68" s="19" t="str">
        <f>LEFT(IFERROR(INDEX(Fragenkatalog!$BR55,MATCH('Referral Stati'!$F$19,Fragenkatalog!AO55,0)),""),250)</f>
        <v/>
      </c>
      <c r="G68" t="str">
        <f>LEFT(IFERROR(INDEX(Fragenkatalog!$BR55,MATCH('Referral Stati'!$G$19,Fragenkatalog!AP55,0)),""),250)</f>
        <v/>
      </c>
      <c r="J68" t="str">
        <f t="array" ref="J68">LEFT(IFERROR(INDEX(Fragenkatalog!BR55,MATCH('Referral Stati'!$J$19,Fragenkatalog!W55,0)),""),250)</f>
        <v/>
      </c>
      <c r="K68" t="str">
        <f t="array" ref="K68">LEFT(IFERROR(INDEX(Fragenkatalog!BR55,MATCH('Referral Stati'!$K$19,Fragenkatalog!X55,0)),""),250)</f>
        <v/>
      </c>
      <c r="L68" s="19" t="str">
        <f>LEFT(IFERROR(INDEX(Fragenkatalog!$BR55,MATCH('Referral Stati'!$L$19,Fragenkatalog!Q55,0)),""),250)</f>
        <v/>
      </c>
      <c r="M68" s="19" t="str">
        <f>LEFT(IFERROR(INDEX(Fragenkatalog!$BR55,MATCH('Referral Stati'!$M$19,Fragenkatalog!R55,0)),""),250)</f>
        <v/>
      </c>
      <c r="N68" s="19" t="str">
        <f>LEFT(IFERROR(INDEX(Fragenkatalog!$BR55,MATCH('Referral Stati'!$N$19,Fragenkatalog!AI55,0)),""),250)</f>
        <v/>
      </c>
      <c r="O68" t="str">
        <f>LEFT(IFERROR(INDEX(Fragenkatalog!$BR55,MATCH('Referral Stati'!$O$19,Fragenkatalog!AJ55,0)),""),250)</f>
        <v/>
      </c>
      <c r="P68" s="19" t="str">
        <f>LEFT(IFERROR(INDEX(Fragenkatalog!$BR55,MATCH('Referral Stati'!$P$19,Fragenkatalog!AC55,0)),""),250)</f>
        <v/>
      </c>
      <c r="Q68" s="19" t="str">
        <f>LEFT(IFERROR(INDEX(Fragenkatalog!$BR55,MATCH('Referral Stati'!$Q$19,Fragenkatalog!AD55,0)),""),250)</f>
        <v/>
      </c>
      <c r="R68" t="str">
        <f>LEFT(IFERROR(INDEX(Fragenkatalog!$BR55,MATCH('Referral Stati'!$R$19,Fragenkatalog!BA55,0)),""),250)</f>
        <v/>
      </c>
      <c r="S68" t="str">
        <f>LEFT(IFERROR(INDEX(Fragenkatalog!$BR55,MATCH('Referral Stati'!$S$19,Fragenkatalog!BB55,0)),""),250)</f>
        <v/>
      </c>
      <c r="T68" t="str">
        <f>LEFT(IFERROR(INDEX(Fragenkatalog!$BR55,MATCH('Referral Stati'!$T$19,Fragenkatalog!BG55,0)),""),250)</f>
        <v/>
      </c>
      <c r="U68" t="str">
        <f>LEFT(IFERROR(INDEX(Fragenkatalog!$BR55,MATCH('Referral Stati'!$U$19,Fragenkatalog!BH55,0)),""),250)</f>
        <v/>
      </c>
      <c r="V68" t="str">
        <f>LEFT(IFERROR(INDEX(Fragenkatalog!$BR55,MATCH('Referral Stati'!$V$19,Fragenkatalog!BM55,0)),""),250)</f>
        <v/>
      </c>
      <c r="W68" t="str">
        <f>LEFT(IFERROR(INDEX(Fragenkatalog!$BR55,MATCH('Referral Stati'!$U$19,Fragenkatalog!BN55,0)),""),250)</f>
        <v/>
      </c>
    </row>
    <row r="69" spans="1:23" ht="20.25" customHeight="1">
      <c r="A69" s="168" t="str">
        <f>Fragenkatalog!B56</f>
        <v>RisikoFragen35</v>
      </c>
      <c r="D69" t="str">
        <f>LEFT(IFERROR(INDEX(Fragenkatalog!$BR56,MATCH('Referral Stati'!$D$19,Fragenkatalog!AU56,0)),""),250)</f>
        <v/>
      </c>
      <c r="E69" s="19" t="str">
        <f>LEFT(IFERROR(INDEX(Fragenkatalog!$BR56,MATCH('Referral Stati'!$E$19,Fragenkatalog!AV56,0)),""),250)</f>
        <v/>
      </c>
      <c r="F69" s="19" t="str">
        <f>LEFT(IFERROR(INDEX(Fragenkatalog!$BR56,MATCH('Referral Stati'!$F$19,Fragenkatalog!AO56,0)),""),250)</f>
        <v/>
      </c>
      <c r="G69" t="str">
        <f>LEFT(IFERROR(INDEX(Fragenkatalog!$BR56,MATCH('Referral Stati'!$G$19,Fragenkatalog!AP56,0)),""),250)</f>
        <v/>
      </c>
      <c r="J69" t="str">
        <f t="array" ref="J69">LEFT(IFERROR(INDEX(Fragenkatalog!BR56,MATCH('Referral Stati'!$J$19,Fragenkatalog!W56,0)),""),250)</f>
        <v/>
      </c>
      <c r="K69" t="str">
        <f t="array" ref="K69">LEFT(IFERROR(INDEX(Fragenkatalog!BR56,MATCH('Referral Stati'!$K$19,Fragenkatalog!X56,0)),""),250)</f>
        <v/>
      </c>
      <c r="L69" s="19" t="str">
        <f>LEFT(IFERROR(INDEX(Fragenkatalog!$BR56,MATCH('Referral Stati'!$L$19,Fragenkatalog!Q56,0)),""),250)</f>
        <v/>
      </c>
      <c r="M69" s="19" t="str">
        <f>LEFT(IFERROR(INDEX(Fragenkatalog!$BR56,MATCH('Referral Stati'!$M$19,Fragenkatalog!R56,0)),""),250)</f>
        <v/>
      </c>
      <c r="N69" s="19" t="str">
        <f>LEFT(IFERROR(INDEX(Fragenkatalog!$BR56,MATCH('Referral Stati'!$N$19,Fragenkatalog!AI56,0)),""),250)</f>
        <v/>
      </c>
      <c r="O69" t="str">
        <f>LEFT(IFERROR(INDEX(Fragenkatalog!$BR56,MATCH('Referral Stati'!$O$19,Fragenkatalog!AJ56,0)),""),250)</f>
        <v/>
      </c>
      <c r="P69" s="19" t="str">
        <f>LEFT(IFERROR(INDEX(Fragenkatalog!$BR56,MATCH('Referral Stati'!$P$19,Fragenkatalog!AC56,0)),""),250)</f>
        <v/>
      </c>
      <c r="Q69" s="19" t="str">
        <f>LEFT(IFERROR(INDEX(Fragenkatalog!$BR56,MATCH('Referral Stati'!$Q$19,Fragenkatalog!AD56,0)),""),250)</f>
        <v/>
      </c>
      <c r="R69" t="str">
        <f>LEFT(IFERROR(INDEX(Fragenkatalog!$BR56,MATCH('Referral Stati'!$R$19,Fragenkatalog!BA56,0)),""),250)</f>
        <v/>
      </c>
      <c r="S69" t="str">
        <f>LEFT(IFERROR(INDEX(Fragenkatalog!$BR56,MATCH('Referral Stati'!$S$19,Fragenkatalog!BB56,0)),""),250)</f>
        <v/>
      </c>
      <c r="T69" t="str">
        <f>LEFT(IFERROR(INDEX(Fragenkatalog!$BR56,MATCH('Referral Stati'!$T$19,Fragenkatalog!BG56,0)),""),250)</f>
        <v/>
      </c>
      <c r="U69" t="str">
        <f>LEFT(IFERROR(INDEX(Fragenkatalog!$BR56,MATCH('Referral Stati'!$U$19,Fragenkatalog!BH56,0)),""),250)</f>
        <v/>
      </c>
      <c r="V69" t="str">
        <f>LEFT(IFERROR(INDEX(Fragenkatalog!$BR56,MATCH('Referral Stati'!$V$19,Fragenkatalog!BM56,0)),""),250)</f>
        <v/>
      </c>
      <c r="W69" t="str">
        <f>LEFT(IFERROR(INDEX(Fragenkatalog!$BR56,MATCH('Referral Stati'!$U$19,Fragenkatalog!BN56,0)),""),250)</f>
        <v/>
      </c>
    </row>
    <row r="70" spans="1:23" ht="20.25" customHeight="1">
      <c r="A70" s="168" t="str">
        <f>Fragenkatalog!B57</f>
        <v>RisikoFragen36a</v>
      </c>
      <c r="D70" t="str">
        <f>LEFT(IFERROR(INDEX(Fragenkatalog!$BR57,MATCH('Referral Stati'!$D$19,Fragenkatalog!AU57,0)),""),250)</f>
        <v/>
      </c>
      <c r="E70" s="19" t="str">
        <f>LEFT(IFERROR(INDEX(Fragenkatalog!$BR57,MATCH('Referral Stati'!$E$19,Fragenkatalog!AV57,0)),""),250)</f>
        <v/>
      </c>
      <c r="F70" s="19" t="str">
        <f>LEFT(IFERROR(INDEX(Fragenkatalog!$BR57,MATCH('Referral Stati'!$F$19,Fragenkatalog!AO57,0)),""),250)</f>
        <v/>
      </c>
      <c r="G70" t="str">
        <f>LEFT(IFERROR(INDEX(Fragenkatalog!$BR57,MATCH('Referral Stati'!$G$19,Fragenkatalog!AP57,0)),""),250)</f>
        <v/>
      </c>
      <c r="J70" t="str">
        <f t="array" ref="J70">LEFT(IFERROR(INDEX(Fragenkatalog!BR57,MATCH('Referral Stati'!$J$19,Fragenkatalog!X57,0)),""),250)</f>
        <v/>
      </c>
      <c r="K70" t="str">
        <f t="array" ref="K70">LEFT(IFERROR(INDEX(Fragenkatalog!BR57,MATCH('Referral Stati'!$K$19,Fragenkatalog!#REF!,0)),""),250)</f>
        <v/>
      </c>
      <c r="L70" s="19" t="str">
        <f>LEFT(IFERROR(INDEX(Fragenkatalog!$BR57,MATCH('Referral Stati'!$L$19,Fragenkatalog!Q57,0)),""),250)</f>
        <v/>
      </c>
      <c r="M70" s="19" t="str">
        <f>LEFT(IFERROR(INDEX(Fragenkatalog!$BR57,MATCH('Referral Stati'!$M$19,Fragenkatalog!R57,0)),""),250)</f>
        <v/>
      </c>
      <c r="N70" s="19" t="str">
        <f>LEFT(IFERROR(INDEX(Fragenkatalog!$BR57,MATCH('Referral Stati'!$N$19,Fragenkatalog!AI57,0)),""),250)</f>
        <v/>
      </c>
      <c r="O70" t="str">
        <f>LEFT(IFERROR(INDEX(Fragenkatalog!$BR57,MATCH('Referral Stati'!$O$19,Fragenkatalog!AJ57,0)),""),250)</f>
        <v/>
      </c>
      <c r="P70" s="19" t="str">
        <f>LEFT(IFERROR(INDEX(Fragenkatalog!$BR57,MATCH('Referral Stati'!$P$19,Fragenkatalog!AC57,0)),""),250)</f>
        <v/>
      </c>
      <c r="Q70" s="19" t="str">
        <f>LEFT(IFERROR(INDEX(Fragenkatalog!$BR57,MATCH('Referral Stati'!$Q$19,Fragenkatalog!AD57,0)),""),250)</f>
        <v/>
      </c>
      <c r="R70" t="str">
        <f>LEFT(IFERROR(INDEX(Fragenkatalog!$BR57,MATCH('Referral Stati'!$R$19,Fragenkatalog!BA57,0)),""),250)</f>
        <v/>
      </c>
      <c r="S70" t="str">
        <f>LEFT(IFERROR(INDEX(Fragenkatalog!$BR57,MATCH('Referral Stati'!$S$19,Fragenkatalog!BB57,0)),""),250)</f>
        <v/>
      </c>
      <c r="T70" t="str">
        <f>LEFT(IFERROR(INDEX(Fragenkatalog!$BR57,MATCH('Referral Stati'!$T$19,Fragenkatalog!BG57,0)),""),250)</f>
        <v/>
      </c>
      <c r="U70" t="str">
        <f>LEFT(IFERROR(INDEX(Fragenkatalog!$BR57,MATCH('Referral Stati'!$U$19,Fragenkatalog!BH57,0)),""),250)</f>
        <v/>
      </c>
      <c r="V70" t="str">
        <f>LEFT(IFERROR(INDEX(Fragenkatalog!$BR57,MATCH('Referral Stati'!$V$19,Fragenkatalog!BM57,0)),""),250)</f>
        <v/>
      </c>
      <c r="W70" t="str">
        <f>LEFT(IFERROR(INDEX(Fragenkatalog!$BR57,MATCH('Referral Stati'!$U$19,Fragenkatalog!BN57,0)),""),250)</f>
        <v/>
      </c>
    </row>
    <row r="71" spans="1:23" ht="20.25" customHeight="1">
      <c r="A71" s="168" t="str">
        <f>Fragenkatalog!B58</f>
        <v>RisikoFragen36b</v>
      </c>
      <c r="D71" t="str">
        <f>LEFT(IFERROR(INDEX(Fragenkatalog!$BR58,MATCH('Referral Stati'!$D$19,Fragenkatalog!AU58,0)),""),250)</f>
        <v/>
      </c>
      <c r="E71" s="19" t="str">
        <f>LEFT(IFERROR(INDEX(Fragenkatalog!$BR58,MATCH('Referral Stati'!$E$19,Fragenkatalog!AV58,0)),""),250)</f>
        <v/>
      </c>
      <c r="F71" s="19" t="str">
        <f>LEFT(IFERROR(INDEX(Fragenkatalog!$BR58,MATCH('Referral Stati'!$F$19,Fragenkatalog!AO58,0)),""),250)</f>
        <v/>
      </c>
      <c r="G71" t="str">
        <f>LEFT(IFERROR(INDEX(Fragenkatalog!$BR58,MATCH('Referral Stati'!$G$19,Fragenkatalog!AP58,0)),""),250)</f>
        <v/>
      </c>
      <c r="J71" t="str">
        <f t="array" ref="J71">LEFT(IFERROR(INDEX(Fragenkatalog!BR58,MATCH('Referral Stati'!$J$19,Fragenkatalog!W58,0)),""),250)</f>
        <v/>
      </c>
      <c r="K71" t="str">
        <f t="array" ref="K71">LEFT(IFERROR(INDEX(Fragenkatalog!BR58,MATCH('Referral Stati'!$K$19,Fragenkatalog!X58,0)),""),250)</f>
        <v/>
      </c>
      <c r="L71" s="19" t="str">
        <f>LEFT(IFERROR(INDEX(Fragenkatalog!$BR58,MATCH('Referral Stati'!$L$19,Fragenkatalog!Q58,0)),""),250)</f>
        <v/>
      </c>
      <c r="M71" s="19" t="str">
        <f>LEFT(IFERROR(INDEX(Fragenkatalog!$BR58,MATCH('Referral Stati'!$M$19,Fragenkatalog!R58,0)),""),250)</f>
        <v/>
      </c>
      <c r="N71" s="19" t="str">
        <f>LEFT(IFERROR(INDEX(Fragenkatalog!$BR58,MATCH('Referral Stati'!$N$19,Fragenkatalog!AI58,0)),""),250)</f>
        <v/>
      </c>
      <c r="O71" t="str">
        <f>LEFT(IFERROR(INDEX(Fragenkatalog!$BR58,MATCH('Referral Stati'!$O$19,Fragenkatalog!AJ58,0)),""),250)</f>
        <v/>
      </c>
      <c r="P71" s="19" t="str">
        <f>LEFT(IFERROR(INDEX(Fragenkatalog!$BR58,MATCH('Referral Stati'!$P$19,Fragenkatalog!AC58,0)),""),250)</f>
        <v/>
      </c>
      <c r="Q71" s="19" t="str">
        <f>LEFT(IFERROR(INDEX(Fragenkatalog!$BR58,MATCH('Referral Stati'!$Q$19,Fragenkatalog!AD58,0)),""),250)</f>
        <v/>
      </c>
      <c r="R71" t="str">
        <f>LEFT(IFERROR(INDEX(Fragenkatalog!$BR58,MATCH('Referral Stati'!$R$19,Fragenkatalog!BA58,0)),""),250)</f>
        <v/>
      </c>
      <c r="S71" t="str">
        <f>LEFT(IFERROR(INDEX(Fragenkatalog!$BR58,MATCH('Referral Stati'!$S$19,Fragenkatalog!BB58,0)),""),250)</f>
        <v/>
      </c>
      <c r="T71" t="str">
        <f>LEFT(IFERROR(INDEX(Fragenkatalog!$BR58,MATCH('Referral Stati'!$T$19,Fragenkatalog!BG58,0)),""),250)</f>
        <v/>
      </c>
      <c r="U71" t="str">
        <f>LEFT(IFERROR(INDEX(Fragenkatalog!$BR58,MATCH('Referral Stati'!$U$19,Fragenkatalog!BH58,0)),""),250)</f>
        <v/>
      </c>
      <c r="V71" t="str">
        <f>LEFT(IFERROR(INDEX(Fragenkatalog!$BR58,MATCH('Referral Stati'!$V$19,Fragenkatalog!BM58,0)),""),250)</f>
        <v/>
      </c>
      <c r="W71" t="str">
        <f>LEFT(IFERROR(INDEX(Fragenkatalog!$BR58,MATCH('Referral Stati'!$U$19,Fragenkatalog!BN58,0)),""),250)</f>
        <v/>
      </c>
    </row>
    <row r="72" spans="1:23" ht="20.25" customHeight="1">
      <c r="A72" s="168" t="str">
        <f>Fragenkatalog!B59</f>
        <v>RisikoFragen37</v>
      </c>
      <c r="D72" t="str">
        <f>LEFT(IFERROR(INDEX(Fragenkatalog!$BR59,MATCH('Referral Stati'!$D$19,Fragenkatalog!AU59,0)),""),250)</f>
        <v/>
      </c>
      <c r="E72" s="19" t="str">
        <f>LEFT(IFERROR(INDEX(Fragenkatalog!$BR59,MATCH('Referral Stati'!$E$19,Fragenkatalog!AV59,0)),""),250)</f>
        <v/>
      </c>
      <c r="F72" s="19" t="str">
        <f>LEFT(IFERROR(INDEX(Fragenkatalog!$BR59,MATCH('Referral Stati'!$F$19,Fragenkatalog!AO59,0)),""),250)</f>
        <v/>
      </c>
      <c r="G72" t="str">
        <f>LEFT(IFERROR(INDEX(Fragenkatalog!$BR59,MATCH('Referral Stati'!$G$19,Fragenkatalog!AP59,0)),""),250)</f>
        <v/>
      </c>
      <c r="J72" t="str">
        <f t="array" ref="J72">LEFT(IFERROR(INDEX(Fragenkatalog!BR59,MATCH('Referral Stati'!$J$19,Fragenkatalog!W59,0)),""),250)</f>
        <v/>
      </c>
      <c r="K72" t="str">
        <f t="array" ref="K72">LEFT(IFERROR(INDEX(Fragenkatalog!BR59,MATCH('Referral Stati'!$K$19,Fragenkatalog!X59,0)),""),250)</f>
        <v/>
      </c>
      <c r="L72" s="19" t="str">
        <f>LEFT(IFERROR(INDEX(Fragenkatalog!$BR59,MATCH('Referral Stati'!$L$19,Fragenkatalog!Q59,0)),""),250)</f>
        <v/>
      </c>
      <c r="M72" s="19" t="str">
        <f>LEFT(IFERROR(INDEX(Fragenkatalog!$BR59,MATCH('Referral Stati'!$M$19,Fragenkatalog!R59,0)),""),250)</f>
        <v/>
      </c>
      <c r="N72" s="19" t="str">
        <f>LEFT(IFERROR(INDEX(Fragenkatalog!$BR59,MATCH('Referral Stati'!$N$19,Fragenkatalog!AI59,0)),""),250)</f>
        <v/>
      </c>
      <c r="O72" t="str">
        <f>LEFT(IFERROR(INDEX(Fragenkatalog!$BR59,MATCH('Referral Stati'!$O$19,Fragenkatalog!AJ59,0)),""),250)</f>
        <v/>
      </c>
      <c r="P72" s="19" t="str">
        <f>LEFT(IFERROR(INDEX(Fragenkatalog!$BR59,MATCH('Referral Stati'!$P$19,Fragenkatalog!AC59,0)),""),250)</f>
        <v/>
      </c>
      <c r="Q72" s="19" t="str">
        <f>LEFT(IFERROR(INDEX(Fragenkatalog!$BR59,MATCH('Referral Stati'!$Q$19,Fragenkatalog!AD59,0)),""),250)</f>
        <v/>
      </c>
      <c r="R72" t="str">
        <f>LEFT(IFERROR(INDEX(Fragenkatalog!$BR59,MATCH('Referral Stati'!$R$19,Fragenkatalog!BA59,0)),""),250)</f>
        <v/>
      </c>
      <c r="S72" t="str">
        <f>LEFT(IFERROR(INDEX(Fragenkatalog!$BR59,MATCH('Referral Stati'!$S$19,Fragenkatalog!BB59,0)),""),250)</f>
        <v/>
      </c>
      <c r="T72" t="str">
        <f>LEFT(IFERROR(INDEX(Fragenkatalog!$BR59,MATCH('Referral Stati'!$T$19,Fragenkatalog!BG59,0)),""),250)</f>
        <v/>
      </c>
      <c r="U72" t="str">
        <f>LEFT(IFERROR(INDEX(Fragenkatalog!$BR59,MATCH('Referral Stati'!$U$19,Fragenkatalog!BH59,0)),""),250)</f>
        <v/>
      </c>
      <c r="V72" t="str">
        <f>LEFT(IFERROR(INDEX(Fragenkatalog!$BR59,MATCH('Referral Stati'!$V$19,Fragenkatalog!BM59,0)),""),250)</f>
        <v/>
      </c>
      <c r="W72" t="str">
        <f>LEFT(IFERROR(INDEX(Fragenkatalog!$BR59,MATCH('Referral Stati'!$U$19,Fragenkatalog!BN59,0)),""),250)</f>
        <v/>
      </c>
    </row>
    <row r="73" spans="1:23" ht="20.25" customHeight="1">
      <c r="A73" s="168" t="str">
        <f>Fragenkatalog!B60</f>
        <v>RisikoFragen39</v>
      </c>
      <c r="D73" t="str">
        <f>LEFT(IFERROR(INDEX(Fragenkatalog!$BR60,MATCH('Referral Stati'!$D$19,Fragenkatalog!AU60,0)),""),250)</f>
        <v/>
      </c>
      <c r="E73" s="19" t="str">
        <f>LEFT(IFERROR(INDEX(Fragenkatalog!$BR60,MATCH('Referral Stati'!$E$19,Fragenkatalog!AV60,0)),""),250)</f>
        <v/>
      </c>
      <c r="F73" s="19" t="str">
        <f>LEFT(IFERROR(INDEX(Fragenkatalog!$BR60,MATCH('Referral Stati'!$F$19,Fragenkatalog!AO60,0)),""),250)</f>
        <v/>
      </c>
      <c r="G73" t="str">
        <f>LEFT(IFERROR(INDEX(Fragenkatalog!$BR60,MATCH('Referral Stati'!$G$19,Fragenkatalog!AP60,0)),""),250)</f>
        <v/>
      </c>
      <c r="J73" t="str">
        <f t="array" ref="J73">LEFT(IFERROR(INDEX(Fragenkatalog!BR60,MATCH('Referral Stati'!$J$19,Fragenkatalog!W60,0)),""),250)</f>
        <v/>
      </c>
      <c r="K73" t="str">
        <f t="array" ref="K73">LEFT(IFERROR(INDEX(Fragenkatalog!BR60,MATCH('Referral Stati'!$K$19,Fragenkatalog!X60,0)),""),250)</f>
        <v/>
      </c>
      <c r="L73" s="19" t="str">
        <f>LEFT(IFERROR(INDEX(Fragenkatalog!$BR60,MATCH('Referral Stati'!$L$19,Fragenkatalog!Q60,0)),""),250)</f>
        <v/>
      </c>
      <c r="M73" s="19" t="str">
        <f>LEFT(IFERROR(INDEX(Fragenkatalog!$BR60,MATCH('Referral Stati'!$M$19,Fragenkatalog!R60,0)),""),250)</f>
        <v/>
      </c>
      <c r="N73" s="19" t="str">
        <f>LEFT(IFERROR(INDEX(Fragenkatalog!$BR60,MATCH('Referral Stati'!$N$19,Fragenkatalog!AI60,0)),""),250)</f>
        <v/>
      </c>
      <c r="O73" t="str">
        <f>LEFT(IFERROR(INDEX(Fragenkatalog!$BR60,MATCH('Referral Stati'!$O$19,Fragenkatalog!AJ60,0)),""),250)</f>
        <v/>
      </c>
      <c r="P73" s="19" t="str">
        <f>LEFT(IFERROR(INDEX(Fragenkatalog!$BR60,MATCH('Referral Stati'!$P$19,Fragenkatalog!AC60,0)),""),250)</f>
        <v/>
      </c>
      <c r="Q73" s="19" t="str">
        <f>LEFT(IFERROR(INDEX(Fragenkatalog!$BR60,MATCH('Referral Stati'!$Q$19,Fragenkatalog!AD60,0)),""),250)</f>
        <v/>
      </c>
      <c r="R73" t="str">
        <f>LEFT(IFERROR(INDEX(Fragenkatalog!$BR60,MATCH('Referral Stati'!$R$19,Fragenkatalog!BA60,0)),""),250)</f>
        <v/>
      </c>
      <c r="S73" t="str">
        <f>LEFT(IFERROR(INDEX(Fragenkatalog!$BR60,MATCH('Referral Stati'!$S$19,Fragenkatalog!BB60,0)),""),250)</f>
        <v/>
      </c>
      <c r="T73" t="str">
        <f>LEFT(IFERROR(INDEX(Fragenkatalog!$BR60,MATCH('Referral Stati'!$T$19,Fragenkatalog!BG60,0)),""),250)</f>
        <v/>
      </c>
      <c r="U73" t="str">
        <f>LEFT(IFERROR(INDEX(Fragenkatalog!$BR60,MATCH('Referral Stati'!$U$19,Fragenkatalog!BH60,0)),""),250)</f>
        <v/>
      </c>
      <c r="V73" t="str">
        <f>LEFT(IFERROR(INDEX(Fragenkatalog!$BR60,MATCH('Referral Stati'!$V$19,Fragenkatalog!BM60,0)),""),250)</f>
        <v/>
      </c>
      <c r="W73" t="str">
        <f>LEFT(IFERROR(INDEX(Fragenkatalog!$BR60,MATCH('Referral Stati'!$U$19,Fragenkatalog!BN60,0)),""),250)</f>
        <v/>
      </c>
    </row>
    <row r="74" spans="1:23" ht="20.25" customHeight="1">
      <c r="A74" s="168" t="str">
        <f>Fragenkatalog!B61</f>
        <v>RisikoFragenAIGFacility40</v>
      </c>
      <c r="D74" t="str">
        <f>LEFT(IFERROR(INDEX(Fragenkatalog!$BR61,MATCH('Referral Stati'!$D$19,Fragenkatalog!AU61,0)),""),250)</f>
        <v/>
      </c>
      <c r="E74" s="19" t="str">
        <f>LEFT(IFERROR(INDEX(Fragenkatalog!$BR61,MATCH('Referral Stati'!$E$19,Fragenkatalog!AV61,0)),""),250)</f>
        <v/>
      </c>
      <c r="F74" s="19" t="str">
        <f>LEFT(IFERROR(INDEX(Fragenkatalog!$BR61,MATCH('Referral Stati'!$F$19,Fragenkatalog!AO61,0)),""),250)</f>
        <v/>
      </c>
      <c r="G74" t="str">
        <f>LEFT(IFERROR(INDEX(Fragenkatalog!$BR61,MATCH('Referral Stati'!$G$19,Fragenkatalog!AP61,0)),""),250)</f>
        <v/>
      </c>
      <c r="J74" t="str">
        <f t="array" ref="J74">LEFT(IFERROR(INDEX(Fragenkatalog!BR61,MATCH('Referral Stati'!$J$19,Fragenkatalog!W61,0)),""),250)</f>
        <v/>
      </c>
      <c r="K74" t="str">
        <f t="array" ref="K74">LEFT(IFERROR(INDEX(Fragenkatalog!BR61,MATCH('Referral Stati'!$K$19,Fragenkatalog!X61,0)),""),250)</f>
        <v/>
      </c>
      <c r="L74" s="19" t="str">
        <f>LEFT(IFERROR(INDEX(Fragenkatalog!$BR61,MATCH('Referral Stati'!$L$19,Fragenkatalog!Q61,0)),""),250)</f>
        <v/>
      </c>
      <c r="M74" s="19" t="str">
        <f>LEFT(IFERROR(INDEX(Fragenkatalog!$BR61,MATCH('Referral Stati'!$M$19,Fragenkatalog!R61,0)),""),250)</f>
        <v/>
      </c>
      <c r="N74" s="19" t="str">
        <f>LEFT(IFERROR(INDEX(Fragenkatalog!$BR61,MATCH('Referral Stati'!$N$19,Fragenkatalog!AI61,0)),""),250)</f>
        <v/>
      </c>
      <c r="O74" t="str">
        <f>LEFT(IFERROR(INDEX(Fragenkatalog!$BR61,MATCH('Referral Stati'!$O$19,Fragenkatalog!AJ61,0)),""),250)</f>
        <v/>
      </c>
      <c r="P74" s="19" t="str">
        <f>LEFT(IFERROR(INDEX(Fragenkatalog!$BR61,MATCH('Referral Stati'!$P$19,Fragenkatalog!AC61,0)),""),250)</f>
        <v/>
      </c>
      <c r="Q74" s="19" t="str">
        <f>LEFT(IFERROR(INDEX(Fragenkatalog!$BR61,MATCH('Referral Stati'!$Q$19,Fragenkatalog!AD61,0)),""),250)</f>
        <v/>
      </c>
      <c r="R74" t="str">
        <f>LEFT(IFERROR(INDEX(Fragenkatalog!$BR61,MATCH('Referral Stati'!$R$19,Fragenkatalog!BA61,0)),""),250)</f>
        <v/>
      </c>
      <c r="S74" t="str">
        <f>LEFT(IFERROR(INDEX(Fragenkatalog!$BR61,MATCH('Referral Stati'!$S$19,Fragenkatalog!BB61,0)),""),250)</f>
        <v/>
      </c>
      <c r="T74" t="str">
        <f>LEFT(IFERROR(INDEX(Fragenkatalog!$BR61,MATCH('Referral Stati'!$T$19,Fragenkatalog!BG61,0)),""),250)</f>
        <v/>
      </c>
      <c r="U74" t="str">
        <f>LEFT(IFERROR(INDEX(Fragenkatalog!$BR61,MATCH('Referral Stati'!$U$19,Fragenkatalog!BH61,0)),""),250)</f>
        <v/>
      </c>
      <c r="V74" t="str">
        <f>LEFT(IFERROR(INDEX(Fragenkatalog!$BR61,MATCH('Referral Stati'!$V$19,Fragenkatalog!BM61,0)),""),250)</f>
        <v/>
      </c>
      <c r="W74" t="str">
        <f>LEFT(IFERROR(INDEX(Fragenkatalog!$BR61,MATCH('Referral Stati'!$U$19,Fragenkatalog!BN61,0)),""),250)</f>
        <v/>
      </c>
    </row>
    <row r="75" spans="1:23" ht="20.25" customHeight="1">
      <c r="A75" s="168" t="str">
        <f>Fragenkatalog!B62</f>
        <v>RisikoFragenAIGFacility41</v>
      </c>
      <c r="D75" t="str">
        <f>LEFT(IFERROR(INDEX(Fragenkatalog!$BR62,MATCH('Referral Stati'!$D$19,Fragenkatalog!AU62,0)),""),250)</f>
        <v/>
      </c>
      <c r="E75" s="19" t="str">
        <f>LEFT(IFERROR(INDEX(Fragenkatalog!$BR62,MATCH('Referral Stati'!$E$19,Fragenkatalog!AV62,0)),""),250)</f>
        <v/>
      </c>
      <c r="F75" s="19" t="str">
        <f>LEFT(IFERROR(INDEX(Fragenkatalog!$BR62,MATCH('Referral Stati'!$F$19,Fragenkatalog!AO62,0)),""),250)</f>
        <v/>
      </c>
      <c r="G75" t="str">
        <f>LEFT(IFERROR(INDEX(Fragenkatalog!$BR62,MATCH('Referral Stati'!$G$19,Fragenkatalog!AP62,0)),""),250)</f>
        <v/>
      </c>
      <c r="J75" t="str">
        <f t="array" ref="J75">LEFT(IFERROR(INDEX(Fragenkatalog!BR62,MATCH('Referral Stati'!$J$19,Fragenkatalog!W62,0)),""),250)</f>
        <v/>
      </c>
      <c r="K75" t="str">
        <f t="array" ref="K75">LEFT(IFERROR(INDEX(Fragenkatalog!BR62,MATCH('Referral Stati'!$K$19,Fragenkatalog!X62,0)),""),250)</f>
        <v/>
      </c>
      <c r="L75" s="19" t="str">
        <f>LEFT(IFERROR(INDEX(Fragenkatalog!$BR62,MATCH('Referral Stati'!$L$19,Fragenkatalog!Q62,0)),""),250)</f>
        <v/>
      </c>
      <c r="M75" s="19" t="str">
        <f>LEFT(IFERROR(INDEX(Fragenkatalog!$BR62,MATCH('Referral Stati'!$M$19,Fragenkatalog!R62,0)),""),250)</f>
        <v/>
      </c>
      <c r="N75" s="19" t="str">
        <f>LEFT(IFERROR(INDEX(Fragenkatalog!$BR62,MATCH('Referral Stati'!$N$19,Fragenkatalog!AI62,0)),""),250)</f>
        <v/>
      </c>
      <c r="O75" t="str">
        <f>LEFT(IFERROR(INDEX(Fragenkatalog!$BR62,MATCH('Referral Stati'!$O$19,Fragenkatalog!AJ62,0)),""),250)</f>
        <v/>
      </c>
      <c r="P75" s="19" t="str">
        <f>LEFT(IFERROR(INDEX(Fragenkatalog!$BR62,MATCH('Referral Stati'!$P$19,Fragenkatalog!AC62,0)),""),250)</f>
        <v/>
      </c>
      <c r="Q75" s="19" t="str">
        <f>LEFT(IFERROR(INDEX(Fragenkatalog!$BR62,MATCH('Referral Stati'!$Q$19,Fragenkatalog!AD62,0)),""),250)</f>
        <v/>
      </c>
      <c r="R75" t="str">
        <f>LEFT(IFERROR(INDEX(Fragenkatalog!$BR62,MATCH('Referral Stati'!$R$19,Fragenkatalog!BA62,0)),""),250)</f>
        <v/>
      </c>
      <c r="S75" t="str">
        <f>LEFT(IFERROR(INDEX(Fragenkatalog!$BR62,MATCH('Referral Stati'!$S$19,Fragenkatalog!BB62,0)),""),250)</f>
        <v/>
      </c>
      <c r="T75" t="str">
        <f>LEFT(IFERROR(INDEX(Fragenkatalog!$BR62,MATCH('Referral Stati'!$T$19,Fragenkatalog!BG62,0)),""),250)</f>
        <v/>
      </c>
      <c r="U75" t="str">
        <f>LEFT(IFERROR(INDEX(Fragenkatalog!$BR62,MATCH('Referral Stati'!$U$19,Fragenkatalog!BH62,0)),""),250)</f>
        <v/>
      </c>
      <c r="V75" t="str">
        <f>LEFT(IFERROR(INDEX(Fragenkatalog!$BR62,MATCH('Referral Stati'!$V$19,Fragenkatalog!BM62,0)),""),250)</f>
        <v/>
      </c>
      <c r="W75" t="str">
        <f>LEFT(IFERROR(INDEX(Fragenkatalog!$BR62,MATCH('Referral Stati'!$U$19,Fragenkatalog!BN62,0)),""),250)</f>
        <v/>
      </c>
    </row>
    <row r="76" spans="1:23" ht="20.25" customHeight="1">
      <c r="A76" s="168" t="str">
        <f>Fragenkatalog!B63</f>
        <v>RisikoFragenAIGFacility42</v>
      </c>
      <c r="D76" t="str">
        <f>LEFT(IFERROR(INDEX(Fragenkatalog!$BR63,MATCH('Referral Stati'!$D$19,Fragenkatalog!AU63,0)),""),250)</f>
        <v/>
      </c>
      <c r="E76" s="19" t="str">
        <f>LEFT(IFERROR(INDEX(Fragenkatalog!$BR63,MATCH('Referral Stati'!$E$19,Fragenkatalog!AV63,0)),""),250)</f>
        <v/>
      </c>
      <c r="F76" s="19" t="str">
        <f>LEFT(IFERROR(INDEX(Fragenkatalog!$BR63,MATCH('Referral Stati'!$F$19,Fragenkatalog!AO63,0)),""),250)</f>
        <v/>
      </c>
      <c r="G76" t="str">
        <f>LEFT(IFERROR(INDEX(Fragenkatalog!$BR63,MATCH('Referral Stati'!$G$19,Fragenkatalog!AP63,0)),""),250)</f>
        <v/>
      </c>
      <c r="J76" t="str">
        <f t="array" ref="J76">LEFT(IFERROR(INDEX(Fragenkatalog!BR63,MATCH('Referral Stati'!$J$19,Fragenkatalog!W63,0)),""),250)</f>
        <v/>
      </c>
      <c r="K76" t="str">
        <f t="array" ref="K76">LEFT(IFERROR(INDEX(Fragenkatalog!BR63,MATCH('Referral Stati'!$K$19,Fragenkatalog!X63,0)),""),250)</f>
        <v/>
      </c>
      <c r="L76" s="19" t="str">
        <f>LEFT(IFERROR(INDEX(Fragenkatalog!$BR63,MATCH('Referral Stati'!$L$19,Fragenkatalog!Q63,0)),""),250)</f>
        <v/>
      </c>
      <c r="M76" s="19" t="str">
        <f>LEFT(IFERROR(INDEX(Fragenkatalog!$BR63,MATCH('Referral Stati'!$M$19,Fragenkatalog!R63,0)),""),250)</f>
        <v/>
      </c>
      <c r="N76" s="19" t="str">
        <f>LEFT(IFERROR(INDEX(Fragenkatalog!$BR63,MATCH('Referral Stati'!$N$19,Fragenkatalog!AI63,0)),""),250)</f>
        <v/>
      </c>
      <c r="O76" t="str">
        <f>LEFT(IFERROR(INDEX(Fragenkatalog!$BR63,MATCH('Referral Stati'!$O$19,Fragenkatalog!AJ63,0)),""),250)</f>
        <v/>
      </c>
      <c r="P76" s="19" t="str">
        <f>LEFT(IFERROR(INDEX(Fragenkatalog!$BR63,MATCH('Referral Stati'!$P$19,Fragenkatalog!AC63,0)),""),250)</f>
        <v/>
      </c>
      <c r="Q76" s="19" t="str">
        <f>LEFT(IFERROR(INDEX(Fragenkatalog!$BR63,MATCH('Referral Stati'!$Q$19,Fragenkatalog!AD63,0)),""),250)</f>
        <v/>
      </c>
      <c r="R76" t="str">
        <f>LEFT(IFERROR(INDEX(Fragenkatalog!$BR63,MATCH('Referral Stati'!$R$19,Fragenkatalog!BA63,0)),""),250)</f>
        <v/>
      </c>
      <c r="S76" t="str">
        <f>LEFT(IFERROR(INDEX(Fragenkatalog!$BR63,MATCH('Referral Stati'!$S$19,Fragenkatalog!BB63,0)),""),250)</f>
        <v/>
      </c>
      <c r="T76" t="str">
        <f>LEFT(IFERROR(INDEX(Fragenkatalog!$BR63,MATCH('Referral Stati'!$T$19,Fragenkatalog!BG63,0)),""),250)</f>
        <v/>
      </c>
      <c r="U76" t="str">
        <f>LEFT(IFERROR(INDEX(Fragenkatalog!$BR63,MATCH('Referral Stati'!$U$19,Fragenkatalog!BH63,0)),""),250)</f>
        <v/>
      </c>
      <c r="V76" t="str">
        <f>LEFT(IFERROR(INDEX(Fragenkatalog!$BR63,MATCH('Referral Stati'!$V$19,Fragenkatalog!BM63,0)),""),250)</f>
        <v/>
      </c>
      <c r="W76" t="str">
        <f>LEFT(IFERROR(INDEX(Fragenkatalog!$BR63,MATCH('Referral Stati'!$U$19,Fragenkatalog!BN63,0)),""),250)</f>
        <v/>
      </c>
    </row>
    <row r="77" spans="1:23" ht="20.25" customHeight="1">
      <c r="A77" s="168" t="str">
        <f>Fragenkatalog!B64</f>
        <v>RisikoFragenAIGFacility43</v>
      </c>
      <c r="D77" t="str">
        <f>LEFT(IFERROR(INDEX(Fragenkatalog!$BR64,MATCH('Referral Stati'!$D$19,Fragenkatalog!AU64,0)),""),250)</f>
        <v/>
      </c>
      <c r="E77" s="19" t="str">
        <f>LEFT(IFERROR(INDEX(Fragenkatalog!$BR64,MATCH('Referral Stati'!$E$19,Fragenkatalog!AV64,0)),""),250)</f>
        <v/>
      </c>
      <c r="F77" s="19" t="str">
        <f>LEFT(IFERROR(INDEX(Fragenkatalog!$BR64,MATCH('Referral Stati'!$F$19,Fragenkatalog!AO64,0)),""),250)</f>
        <v/>
      </c>
      <c r="G77" t="str">
        <f>LEFT(IFERROR(INDEX(Fragenkatalog!$BR64,MATCH('Referral Stati'!$G$19,Fragenkatalog!AP64,0)),""),250)</f>
        <v/>
      </c>
      <c r="J77" t="str">
        <f t="array" ref="J77">LEFT(IFERROR(INDEX(Fragenkatalog!BR64,MATCH('Referral Stati'!$J$19,Fragenkatalog!W64,0)),""),250)</f>
        <v/>
      </c>
      <c r="K77" t="str">
        <f t="array" ref="K77">LEFT(IFERROR(INDEX(Fragenkatalog!BR64,MATCH('Referral Stati'!$K$19,Fragenkatalog!X64,0)),""),250)</f>
        <v/>
      </c>
      <c r="L77" s="19" t="str">
        <f>LEFT(IFERROR(INDEX(Fragenkatalog!$BR64,MATCH('Referral Stati'!$L$19,Fragenkatalog!Q64,0)),""),250)</f>
        <v/>
      </c>
      <c r="M77" s="19" t="str">
        <f>LEFT(IFERROR(INDEX(Fragenkatalog!$BR64,MATCH('Referral Stati'!$M$19,Fragenkatalog!R64,0)),""),250)</f>
        <v/>
      </c>
      <c r="N77" s="19" t="str">
        <f>LEFT(IFERROR(INDEX(Fragenkatalog!$BR64,MATCH('Referral Stati'!$N$19,Fragenkatalog!AI64,0)),""),250)</f>
        <v/>
      </c>
      <c r="O77" t="str">
        <f>LEFT(IFERROR(INDEX(Fragenkatalog!$BR64,MATCH('Referral Stati'!$O$19,Fragenkatalog!AJ64,0)),""),250)</f>
        <v/>
      </c>
      <c r="P77" s="19" t="str">
        <f>LEFT(IFERROR(INDEX(Fragenkatalog!$BR64,MATCH('Referral Stati'!$P$19,Fragenkatalog!AC64,0)),""),250)</f>
        <v/>
      </c>
      <c r="Q77" s="19" t="str">
        <f>LEFT(IFERROR(INDEX(Fragenkatalog!$BR64,MATCH('Referral Stati'!$Q$19,Fragenkatalog!AD64,0)),""),250)</f>
        <v/>
      </c>
      <c r="R77" t="str">
        <f>LEFT(IFERROR(INDEX(Fragenkatalog!$BR64,MATCH('Referral Stati'!$R$19,Fragenkatalog!BA64,0)),""),250)</f>
        <v/>
      </c>
      <c r="S77" t="str">
        <f>LEFT(IFERROR(INDEX(Fragenkatalog!$BR64,MATCH('Referral Stati'!$S$19,Fragenkatalog!BB64,0)),""),250)</f>
        <v/>
      </c>
      <c r="T77" t="str">
        <f>LEFT(IFERROR(INDEX(Fragenkatalog!$BR64,MATCH('Referral Stati'!$T$19,Fragenkatalog!BG64,0)),""),250)</f>
        <v/>
      </c>
      <c r="U77" t="str">
        <f>LEFT(IFERROR(INDEX(Fragenkatalog!$BR64,MATCH('Referral Stati'!$U$19,Fragenkatalog!BH64,0)),""),250)</f>
        <v/>
      </c>
      <c r="V77" t="str">
        <f>LEFT(IFERROR(INDEX(Fragenkatalog!$BR64,MATCH('Referral Stati'!$V$19,Fragenkatalog!BM64,0)),""),250)</f>
        <v/>
      </c>
      <c r="W77" t="str">
        <f>LEFT(IFERROR(INDEX(Fragenkatalog!$BR64,MATCH('Referral Stati'!$U$19,Fragenkatalog!BN64,0)),""),250)</f>
        <v/>
      </c>
    </row>
    <row r="78" spans="1:23" ht="20.25" customHeight="1">
      <c r="A78" s="168" t="str">
        <f>Fragenkatalog!B65</f>
        <v>RisikoFragenAIGFacility44</v>
      </c>
      <c r="D78" t="str">
        <f>LEFT(IFERROR(INDEX(Fragenkatalog!$BR65,MATCH('Referral Stati'!$D$19,Fragenkatalog!AU65,0)),""),250)</f>
        <v/>
      </c>
      <c r="E78" s="19" t="str">
        <f>LEFT(IFERROR(INDEX(Fragenkatalog!$BR65,MATCH('Referral Stati'!$E$19,Fragenkatalog!AV65,0)),""),250)</f>
        <v/>
      </c>
      <c r="F78" s="19" t="str">
        <f>LEFT(IFERROR(INDEX(Fragenkatalog!$BR65,MATCH('Referral Stati'!$F$19,Fragenkatalog!AO65,0)),""),250)</f>
        <v/>
      </c>
      <c r="G78" t="str">
        <f>LEFT(IFERROR(INDEX(Fragenkatalog!$BR65,MATCH('Referral Stati'!$G$19,Fragenkatalog!AP65,0)),""),250)</f>
        <v/>
      </c>
      <c r="J78" t="str">
        <f t="array" ref="J78">LEFT(IFERROR(INDEX(Fragenkatalog!BR65,MATCH('Referral Stati'!$J$19,Fragenkatalog!W65,0)),""),250)</f>
        <v/>
      </c>
      <c r="K78" t="str">
        <f t="array" ref="K78">LEFT(IFERROR(INDEX(Fragenkatalog!BR65,MATCH('Referral Stati'!$K$19,Fragenkatalog!X65,0)),""),250)</f>
        <v/>
      </c>
      <c r="L78" s="19" t="str">
        <f>LEFT(IFERROR(INDEX(Fragenkatalog!$BR65,MATCH('Referral Stati'!$L$19,Fragenkatalog!Q65,0)),""),250)</f>
        <v/>
      </c>
      <c r="M78" s="19" t="str">
        <f>LEFT(IFERROR(INDEX(Fragenkatalog!$BR65,MATCH('Referral Stati'!$M$19,Fragenkatalog!R65,0)),""),250)</f>
        <v/>
      </c>
      <c r="N78" s="19" t="str">
        <f>LEFT(IFERROR(INDEX(Fragenkatalog!$BR65,MATCH('Referral Stati'!$N$19,Fragenkatalog!AI65,0)),""),250)</f>
        <v/>
      </c>
      <c r="O78" t="str">
        <f>LEFT(IFERROR(INDEX(Fragenkatalog!$BR65,MATCH('Referral Stati'!$O$19,Fragenkatalog!AJ65,0)),""),250)</f>
        <v/>
      </c>
      <c r="P78" s="19" t="str">
        <f>LEFT(IFERROR(INDEX(Fragenkatalog!$BR65,MATCH('Referral Stati'!$P$19,Fragenkatalog!AC65,0)),""),250)</f>
        <v/>
      </c>
      <c r="Q78" s="19" t="str">
        <f>LEFT(IFERROR(INDEX(Fragenkatalog!$BR65,MATCH('Referral Stati'!$Q$19,Fragenkatalog!AD65,0)),""),250)</f>
        <v/>
      </c>
      <c r="R78" t="str">
        <f>LEFT(IFERROR(INDEX(Fragenkatalog!$BR65,MATCH('Referral Stati'!$R$19,Fragenkatalog!BA65,0)),""),250)</f>
        <v/>
      </c>
      <c r="S78" t="str">
        <f>LEFT(IFERROR(INDEX(Fragenkatalog!$BR65,MATCH('Referral Stati'!$S$19,Fragenkatalog!BB65,0)),""),250)</f>
        <v/>
      </c>
      <c r="T78" t="str">
        <f>LEFT(IFERROR(INDEX(Fragenkatalog!$BR65,MATCH('Referral Stati'!$T$19,Fragenkatalog!BG65,0)),""),250)</f>
        <v/>
      </c>
      <c r="U78" t="str">
        <f>LEFT(IFERROR(INDEX(Fragenkatalog!$BR65,MATCH('Referral Stati'!$U$19,Fragenkatalog!BH65,0)),""),250)</f>
        <v/>
      </c>
      <c r="V78" t="str">
        <f>LEFT(IFERROR(INDEX(Fragenkatalog!$BR65,MATCH('Referral Stati'!$V$19,Fragenkatalog!BM65,0)),""),250)</f>
        <v/>
      </c>
      <c r="W78" t="str">
        <f>LEFT(IFERROR(INDEX(Fragenkatalog!$BR65,MATCH('Referral Stati'!$U$19,Fragenkatalog!BN65,0)),""),250)</f>
        <v/>
      </c>
    </row>
    <row r="79" spans="1:23" ht="20.25" customHeight="1">
      <c r="A79" s="168" t="str">
        <f>Fragenkatalog!B66</f>
        <v>RisikoFragenAIGFacility45</v>
      </c>
      <c r="D79" t="str">
        <f>LEFT(IFERROR(INDEX(Fragenkatalog!$BR66,MATCH('Referral Stati'!$D$19,Fragenkatalog!AU66,0)),""),250)</f>
        <v/>
      </c>
      <c r="E79" s="19" t="str">
        <f>LEFT(IFERROR(INDEX(Fragenkatalog!$BR66,MATCH('Referral Stati'!$E$19,Fragenkatalog!AV66,0)),""),250)</f>
        <v/>
      </c>
      <c r="F79" s="19" t="str">
        <f>LEFT(IFERROR(INDEX(Fragenkatalog!$BR66,MATCH('Referral Stati'!$F$19,Fragenkatalog!AO66,0)),""),250)</f>
        <v/>
      </c>
      <c r="G79" t="str">
        <f>LEFT(IFERROR(INDEX(Fragenkatalog!$BR66,MATCH('Referral Stati'!$G$19,Fragenkatalog!AP66,0)),""),250)</f>
        <v/>
      </c>
      <c r="J79" t="str">
        <f t="array" ref="J79">LEFT(IFERROR(INDEX(Fragenkatalog!BR66,MATCH('Referral Stati'!$J$19,Fragenkatalog!W66,0)),""),250)</f>
        <v/>
      </c>
      <c r="K79" t="str">
        <f t="array" ref="K79">LEFT(IFERROR(INDEX(Fragenkatalog!BR66,MATCH('Referral Stati'!$K$19,Fragenkatalog!X66,0)),""),250)</f>
        <v/>
      </c>
      <c r="L79" s="19" t="str">
        <f>LEFT(IFERROR(INDEX(Fragenkatalog!$BR66,MATCH('Referral Stati'!$L$19,Fragenkatalog!Q66,0)),""),250)</f>
        <v/>
      </c>
      <c r="M79" s="19" t="str">
        <f>LEFT(IFERROR(INDEX(Fragenkatalog!$BR66,MATCH('Referral Stati'!$M$19,Fragenkatalog!R66,0)),""),250)</f>
        <v/>
      </c>
      <c r="N79" s="19" t="str">
        <f>LEFT(IFERROR(INDEX(Fragenkatalog!$BR66,MATCH('Referral Stati'!$N$19,Fragenkatalog!AI66,0)),""),250)</f>
        <v/>
      </c>
      <c r="O79" t="str">
        <f>LEFT(IFERROR(INDEX(Fragenkatalog!$BR66,MATCH('Referral Stati'!$O$19,Fragenkatalog!AJ66,0)),""),250)</f>
        <v/>
      </c>
      <c r="P79" s="19" t="str">
        <f>LEFT(IFERROR(INDEX(Fragenkatalog!$BR66,MATCH('Referral Stati'!$P$19,Fragenkatalog!AC66,0)),""),250)</f>
        <v/>
      </c>
      <c r="Q79" s="19" t="str">
        <f>LEFT(IFERROR(INDEX(Fragenkatalog!$BR66,MATCH('Referral Stati'!$Q$19,Fragenkatalog!AD66,0)),""),250)</f>
        <v/>
      </c>
      <c r="R79" t="str">
        <f>LEFT(IFERROR(INDEX(Fragenkatalog!$BR66,MATCH('Referral Stati'!$R$19,Fragenkatalog!BA66,0)),""),250)</f>
        <v/>
      </c>
      <c r="S79" t="str">
        <f>LEFT(IFERROR(INDEX(Fragenkatalog!$BR66,MATCH('Referral Stati'!$S$19,Fragenkatalog!BB66,0)),""),250)</f>
        <v/>
      </c>
      <c r="T79" t="str">
        <f>LEFT(IFERROR(INDEX(Fragenkatalog!$BR66,MATCH('Referral Stati'!$T$19,Fragenkatalog!BG66,0)),""),250)</f>
        <v/>
      </c>
      <c r="U79" t="str">
        <f>LEFT(IFERROR(INDEX(Fragenkatalog!$BR66,MATCH('Referral Stati'!$U$19,Fragenkatalog!BH66,0)),""),250)</f>
        <v/>
      </c>
      <c r="V79" t="str">
        <f>LEFT(IFERROR(INDEX(Fragenkatalog!$BR66,MATCH('Referral Stati'!$V$19,Fragenkatalog!BM66,0)),""),250)</f>
        <v/>
      </c>
      <c r="W79" t="str">
        <f>LEFT(IFERROR(INDEX(Fragenkatalog!$BR66,MATCH('Referral Stati'!$U$19,Fragenkatalog!BN66,0)),""),250)</f>
        <v/>
      </c>
    </row>
    <row r="80" spans="1:23" ht="20.25" customHeight="1">
      <c r="A80" s="168" t="str">
        <f>Fragenkatalog!B67</f>
        <v>RisikoFragenAIGFacility46</v>
      </c>
      <c r="D80" t="str">
        <f>LEFT(IFERROR(INDEX(Fragenkatalog!$BR67,MATCH('Referral Stati'!$D$19,Fragenkatalog!AU67,0)),""),250)</f>
        <v/>
      </c>
      <c r="E80" s="19" t="str">
        <f>LEFT(IFERROR(INDEX(Fragenkatalog!$BR67,MATCH('Referral Stati'!$E$19,Fragenkatalog!AV67,0)),""),250)</f>
        <v/>
      </c>
      <c r="F80" s="19" t="str">
        <f>LEFT(IFERROR(INDEX(Fragenkatalog!$BR67,MATCH('Referral Stati'!$F$19,Fragenkatalog!AO67,0)),""),250)</f>
        <v/>
      </c>
      <c r="G80" t="str">
        <f>LEFT(IFERROR(INDEX(Fragenkatalog!$BR67,MATCH('Referral Stati'!$G$19,Fragenkatalog!AP67,0)),""),250)</f>
        <v/>
      </c>
      <c r="J80" t="str">
        <f t="array" ref="J80">LEFT(IFERROR(INDEX(Fragenkatalog!BR67,MATCH('Referral Stati'!$J$19,Fragenkatalog!W67,0)),""),250)</f>
        <v/>
      </c>
      <c r="K80" t="str">
        <f t="array" ref="K80">LEFT(IFERROR(INDEX(Fragenkatalog!BR67,MATCH('Referral Stati'!$K$19,Fragenkatalog!X67,0)),""),250)</f>
        <v/>
      </c>
      <c r="L80" s="19" t="str">
        <f>LEFT(IFERROR(INDEX(Fragenkatalog!$BR67,MATCH('Referral Stati'!$L$19,Fragenkatalog!Q67,0)),""),250)</f>
        <v/>
      </c>
      <c r="M80" s="19" t="str">
        <f>LEFT(IFERROR(INDEX(Fragenkatalog!$BR67,MATCH('Referral Stati'!$M$19,Fragenkatalog!R67,0)),""),250)</f>
        <v/>
      </c>
      <c r="N80" s="19" t="str">
        <f>LEFT(IFERROR(INDEX(Fragenkatalog!$BR67,MATCH('Referral Stati'!$N$19,Fragenkatalog!AI67,0)),""),250)</f>
        <v/>
      </c>
      <c r="O80" t="str">
        <f>LEFT(IFERROR(INDEX(Fragenkatalog!$BR67,MATCH('Referral Stati'!$O$19,Fragenkatalog!AJ67,0)),""),250)</f>
        <v/>
      </c>
      <c r="P80" s="19" t="str">
        <f>LEFT(IFERROR(INDEX(Fragenkatalog!$BR67,MATCH('Referral Stati'!$P$19,Fragenkatalog!AC67,0)),""),250)</f>
        <v/>
      </c>
      <c r="Q80" s="19" t="str">
        <f>LEFT(IFERROR(INDEX(Fragenkatalog!$BR67,MATCH('Referral Stati'!$Q$19,Fragenkatalog!AD67,0)),""),250)</f>
        <v/>
      </c>
      <c r="R80" t="str">
        <f>LEFT(IFERROR(INDEX(Fragenkatalog!$BR67,MATCH('Referral Stati'!$R$19,Fragenkatalog!BA67,0)),""),250)</f>
        <v/>
      </c>
      <c r="S80" t="str">
        <f>LEFT(IFERROR(INDEX(Fragenkatalog!$BR67,MATCH('Referral Stati'!$S$19,Fragenkatalog!BB67,0)),""),250)</f>
        <v/>
      </c>
      <c r="T80" t="str">
        <f>LEFT(IFERROR(INDEX(Fragenkatalog!$BR67,MATCH('Referral Stati'!$T$19,Fragenkatalog!BG67,0)),""),250)</f>
        <v/>
      </c>
      <c r="U80" t="str">
        <f>LEFT(IFERROR(INDEX(Fragenkatalog!$BR67,MATCH('Referral Stati'!$U$19,Fragenkatalog!BH67,0)),""),250)</f>
        <v/>
      </c>
      <c r="V80" t="str">
        <f>LEFT(IFERROR(INDEX(Fragenkatalog!$BR67,MATCH('Referral Stati'!$V$19,Fragenkatalog!BM67,0)),""),250)</f>
        <v/>
      </c>
      <c r="W80" t="str">
        <f>LEFT(IFERROR(INDEX(Fragenkatalog!$BR67,MATCH('Referral Stati'!$U$19,Fragenkatalog!BN67,0)),""),250)</f>
        <v/>
      </c>
    </row>
    <row r="81" spans="1:23" ht="20.25" customHeight="1">
      <c r="A81" s="168" t="str">
        <f>Fragenkatalog!B68</f>
        <v>RisikoFragenAIGFacility47</v>
      </c>
      <c r="D81" t="str">
        <f>LEFT(IFERROR(INDEX(Fragenkatalog!$BR68,MATCH('Referral Stati'!$D$19,Fragenkatalog!AU68,0)),""),250)</f>
        <v/>
      </c>
      <c r="E81" s="19" t="str">
        <f>LEFT(IFERROR(INDEX(Fragenkatalog!$BR68,MATCH('Referral Stati'!$E$19,Fragenkatalog!AV68,0)),""),250)</f>
        <v/>
      </c>
      <c r="F81" s="19" t="str">
        <f>LEFT(IFERROR(INDEX(Fragenkatalog!$BR68,MATCH('Referral Stati'!$F$19,Fragenkatalog!AO68,0)),""),250)</f>
        <v/>
      </c>
      <c r="G81" t="str">
        <f>LEFT(IFERROR(INDEX(Fragenkatalog!$BR68,MATCH('Referral Stati'!$G$19,Fragenkatalog!AP68,0)),""),250)</f>
        <v/>
      </c>
      <c r="J81" t="str">
        <f t="array" ref="J81">LEFT(IFERROR(INDEX(Fragenkatalog!BR68,MATCH('Referral Stati'!$J$19,Fragenkatalog!W68,0)),""),250)</f>
        <v/>
      </c>
      <c r="K81" t="str">
        <f t="array" ref="K81">LEFT(IFERROR(INDEX(Fragenkatalog!BR68,MATCH('Referral Stati'!$K$19,Fragenkatalog!X68,0)),""),250)</f>
        <v/>
      </c>
      <c r="L81" s="19" t="str">
        <f>LEFT(IFERROR(INDEX(Fragenkatalog!$BR68,MATCH('Referral Stati'!$L$19,Fragenkatalog!Q68,0)),""),250)</f>
        <v/>
      </c>
      <c r="M81" s="19" t="str">
        <f>LEFT(IFERROR(INDEX(Fragenkatalog!$BR68,MATCH('Referral Stati'!$M$19,Fragenkatalog!R68,0)),""),250)</f>
        <v/>
      </c>
      <c r="N81" s="19" t="str">
        <f>LEFT(IFERROR(INDEX(Fragenkatalog!$BR68,MATCH('Referral Stati'!$N$19,Fragenkatalog!AI68,0)),""),250)</f>
        <v/>
      </c>
      <c r="O81" t="str">
        <f>LEFT(IFERROR(INDEX(Fragenkatalog!$BR68,MATCH('Referral Stati'!$O$19,Fragenkatalog!AJ68,0)),""),250)</f>
        <v/>
      </c>
      <c r="P81" s="19" t="str">
        <f>LEFT(IFERROR(INDEX(Fragenkatalog!$BR68,MATCH('Referral Stati'!$P$19,Fragenkatalog!AC68,0)),""),250)</f>
        <v/>
      </c>
      <c r="Q81" s="19" t="str">
        <f>LEFT(IFERROR(INDEX(Fragenkatalog!$BR68,MATCH('Referral Stati'!$Q$19,Fragenkatalog!AD68,0)),""),250)</f>
        <v/>
      </c>
      <c r="R81" t="str">
        <f>LEFT(IFERROR(INDEX(Fragenkatalog!$BR68,MATCH('Referral Stati'!$R$19,Fragenkatalog!BA68,0)),""),250)</f>
        <v/>
      </c>
      <c r="S81" t="str">
        <f>LEFT(IFERROR(INDEX(Fragenkatalog!$BR68,MATCH('Referral Stati'!$S$19,Fragenkatalog!BB68,0)),""),250)</f>
        <v/>
      </c>
      <c r="T81" t="str">
        <f>LEFT(IFERROR(INDEX(Fragenkatalog!$BR68,MATCH('Referral Stati'!$T$19,Fragenkatalog!BG68,0)),""),250)</f>
        <v/>
      </c>
      <c r="U81" t="str">
        <f>LEFT(IFERROR(INDEX(Fragenkatalog!$BR68,MATCH('Referral Stati'!$U$19,Fragenkatalog!BH68,0)),""),250)</f>
        <v/>
      </c>
      <c r="V81" t="str">
        <f>LEFT(IFERROR(INDEX(Fragenkatalog!$BR68,MATCH('Referral Stati'!$V$19,Fragenkatalog!BM68,0)),""),250)</f>
        <v/>
      </c>
      <c r="W81" t="str">
        <f>LEFT(IFERROR(INDEX(Fragenkatalog!$BR68,MATCH('Referral Stati'!$U$19,Fragenkatalog!BN68,0)),""),250)</f>
        <v/>
      </c>
    </row>
    <row r="82" spans="1:23" ht="20.25" customHeight="1">
      <c r="A82" s="168" t="str">
        <f>Fragenkatalog!B69</f>
        <v>RisikoFragenAIGFacility48</v>
      </c>
      <c r="D82" t="str">
        <f>LEFT(IFERROR(INDEX(Fragenkatalog!$BR69,MATCH('Referral Stati'!$D$19,Fragenkatalog!AU69,0)),""),250)</f>
        <v/>
      </c>
      <c r="E82" s="19" t="str">
        <f>LEFT(IFERROR(INDEX(Fragenkatalog!$BR69,MATCH('Referral Stati'!$E$19,Fragenkatalog!AV69,0)),""),250)</f>
        <v/>
      </c>
      <c r="F82" s="19" t="str">
        <f>LEFT(IFERROR(INDEX(Fragenkatalog!$BR69,MATCH('Referral Stati'!$F$19,Fragenkatalog!AO69,0)),""),250)</f>
        <v/>
      </c>
      <c r="G82" t="str">
        <f>LEFT(IFERROR(INDEX(Fragenkatalog!$BR69,MATCH('Referral Stati'!$G$19,Fragenkatalog!AP69,0)),""),250)</f>
        <v/>
      </c>
      <c r="J82" t="str">
        <f t="array" ref="J82">LEFT(IFERROR(INDEX(Fragenkatalog!BR69,MATCH('Referral Stati'!$J$19,Fragenkatalog!W69,0)),""),250)</f>
        <v/>
      </c>
      <c r="K82" t="str">
        <f t="array" ref="K82">LEFT(IFERROR(INDEX(Fragenkatalog!BR69,MATCH('Referral Stati'!$K$19,Fragenkatalog!X69,0)),""),250)</f>
        <v/>
      </c>
      <c r="L82" s="19" t="str">
        <f>LEFT(IFERROR(INDEX(Fragenkatalog!$BR69,MATCH('Referral Stati'!$L$19,Fragenkatalog!Q69,0)),""),250)</f>
        <v/>
      </c>
      <c r="M82" s="19" t="str">
        <f>LEFT(IFERROR(INDEX(Fragenkatalog!$BR69,MATCH('Referral Stati'!$M$19,Fragenkatalog!R69,0)),""),250)</f>
        <v/>
      </c>
      <c r="N82" s="19" t="str">
        <f>LEFT(IFERROR(INDEX(Fragenkatalog!$BR69,MATCH('Referral Stati'!$N$19,Fragenkatalog!AI69,0)),""),250)</f>
        <v/>
      </c>
      <c r="O82" t="str">
        <f>LEFT(IFERROR(INDEX(Fragenkatalog!$BR69,MATCH('Referral Stati'!$O$19,Fragenkatalog!AJ69,0)),""),250)</f>
        <v/>
      </c>
      <c r="P82" s="19" t="str">
        <f>LEFT(IFERROR(INDEX(Fragenkatalog!$BR69,MATCH('Referral Stati'!$P$19,Fragenkatalog!AC69,0)),""),250)</f>
        <v/>
      </c>
      <c r="Q82" s="19" t="str">
        <f>LEFT(IFERROR(INDEX(Fragenkatalog!$BR69,MATCH('Referral Stati'!$Q$19,Fragenkatalog!AD69,0)),""),250)</f>
        <v/>
      </c>
      <c r="R82" t="str">
        <f>LEFT(IFERROR(INDEX(Fragenkatalog!$BR69,MATCH('Referral Stati'!$R$19,Fragenkatalog!BA69,0)),""),250)</f>
        <v/>
      </c>
      <c r="S82" t="str">
        <f>LEFT(IFERROR(INDEX(Fragenkatalog!$BR69,MATCH('Referral Stati'!$S$19,Fragenkatalog!BB69,0)),""),250)</f>
        <v/>
      </c>
      <c r="T82" t="str">
        <f>LEFT(IFERROR(INDEX(Fragenkatalog!$BR69,MATCH('Referral Stati'!$T$19,Fragenkatalog!BG69,0)),""),250)</f>
        <v/>
      </c>
      <c r="U82" t="str">
        <f>LEFT(IFERROR(INDEX(Fragenkatalog!$BR69,MATCH('Referral Stati'!$U$19,Fragenkatalog!BH69,0)),""),250)</f>
        <v/>
      </c>
      <c r="V82" t="str">
        <f>LEFT(IFERROR(INDEX(Fragenkatalog!$BR69,MATCH('Referral Stati'!$V$19,Fragenkatalog!BM69,0)),""),250)</f>
        <v/>
      </c>
      <c r="W82" t="str">
        <f>LEFT(IFERROR(INDEX(Fragenkatalog!$BR69,MATCH('Referral Stati'!$U$19,Fragenkatalog!BN69,0)),""),250)</f>
        <v/>
      </c>
    </row>
    <row r="83" spans="1:23" ht="20.25" customHeight="1">
      <c r="A83" s="168" t="str">
        <f>Fragenkatalog!B70</f>
        <v>RisikoFragenAIGFacility49</v>
      </c>
      <c r="D83" t="str">
        <f>LEFT(IFERROR(INDEX(Fragenkatalog!$BR70,MATCH('Referral Stati'!$D$19,Fragenkatalog!AU70,0)),""),250)</f>
        <v/>
      </c>
      <c r="E83" s="19" t="str">
        <f>LEFT(IFERROR(INDEX(Fragenkatalog!$BR70,MATCH('Referral Stati'!$E$19,Fragenkatalog!AV70,0)),""),250)</f>
        <v/>
      </c>
      <c r="F83" s="19" t="str">
        <f>LEFT(IFERROR(INDEX(Fragenkatalog!$BR70,MATCH('Referral Stati'!$F$19,Fragenkatalog!AO70,0)),""),250)</f>
        <v/>
      </c>
      <c r="G83" t="str">
        <f>LEFT(IFERROR(INDEX(Fragenkatalog!$BR70,MATCH('Referral Stati'!$G$19,Fragenkatalog!AP70,0)),""),250)</f>
        <v/>
      </c>
      <c r="J83" t="str">
        <f t="array" ref="J83">LEFT(IFERROR(INDEX(Fragenkatalog!BR70,MATCH('Referral Stati'!$J$19,Fragenkatalog!W70,0)),""),250)</f>
        <v/>
      </c>
      <c r="K83" t="str">
        <f t="array" ref="K83">LEFT(IFERROR(INDEX(Fragenkatalog!BR70,MATCH('Referral Stati'!$K$19,Fragenkatalog!X70,0)),""),250)</f>
        <v/>
      </c>
      <c r="L83" s="19" t="str">
        <f>LEFT(IFERROR(INDEX(Fragenkatalog!$BR70,MATCH('Referral Stati'!$L$19,Fragenkatalog!Q70,0)),""),250)</f>
        <v/>
      </c>
      <c r="M83" s="19" t="str">
        <f>LEFT(IFERROR(INDEX(Fragenkatalog!$BR70,MATCH('Referral Stati'!$M$19,Fragenkatalog!R70,0)),""),250)</f>
        <v/>
      </c>
      <c r="N83" s="19" t="str">
        <f>LEFT(IFERROR(INDEX(Fragenkatalog!$BR70,MATCH('Referral Stati'!$N$19,Fragenkatalog!AI70,0)),""),250)</f>
        <v/>
      </c>
      <c r="O83" t="str">
        <f>LEFT(IFERROR(INDEX(Fragenkatalog!$BR70,MATCH('Referral Stati'!$O$19,Fragenkatalog!AJ70,0)),""),250)</f>
        <v/>
      </c>
      <c r="P83" s="19" t="str">
        <f>LEFT(IFERROR(INDEX(Fragenkatalog!$BR70,MATCH('Referral Stati'!$P$19,Fragenkatalog!AC70,0)),""),250)</f>
        <v/>
      </c>
      <c r="Q83" s="19" t="str">
        <f>LEFT(IFERROR(INDEX(Fragenkatalog!$BR70,MATCH('Referral Stati'!$Q$19,Fragenkatalog!AD70,0)),""),250)</f>
        <v/>
      </c>
      <c r="R83" t="str">
        <f>LEFT(IFERROR(INDEX(Fragenkatalog!$BR70,MATCH('Referral Stati'!$R$19,Fragenkatalog!BA70,0)),""),250)</f>
        <v/>
      </c>
      <c r="S83" t="str">
        <f>LEFT(IFERROR(INDEX(Fragenkatalog!$BR70,MATCH('Referral Stati'!$S$19,Fragenkatalog!BB70,0)),""),250)</f>
        <v/>
      </c>
      <c r="T83" t="str">
        <f>LEFT(IFERROR(INDEX(Fragenkatalog!$BR70,MATCH('Referral Stati'!$T$19,Fragenkatalog!BG70,0)),""),250)</f>
        <v/>
      </c>
      <c r="U83" t="str">
        <f>LEFT(IFERROR(INDEX(Fragenkatalog!$BR70,MATCH('Referral Stati'!$U$19,Fragenkatalog!BH70,0)),""),250)</f>
        <v/>
      </c>
      <c r="V83" t="str">
        <f>LEFT(IFERROR(INDEX(Fragenkatalog!$BR70,MATCH('Referral Stati'!$V$19,Fragenkatalog!BM70,0)),""),250)</f>
        <v/>
      </c>
      <c r="W83" t="str">
        <f>LEFT(IFERROR(INDEX(Fragenkatalog!$BR70,MATCH('Referral Stati'!$U$19,Fragenkatalog!BN70,0)),""),250)</f>
        <v/>
      </c>
    </row>
    <row r="84" spans="1:23" ht="20.25" customHeight="1">
      <c r="A84" s="168" t="str">
        <f>Fragenkatalog!B71</f>
        <v>RisikoFragenStartUp92</v>
      </c>
      <c r="D84" t="str">
        <f>LEFT(IFERROR(INDEX(Fragenkatalog!$BR71,MATCH('Referral Stati'!$D$19,Fragenkatalog!AU71,0)),""),250)</f>
        <v/>
      </c>
      <c r="E84" s="19" t="str">
        <f>LEFT(IFERROR(INDEX(Fragenkatalog!$BR71,MATCH('Referral Stati'!$E$19,Fragenkatalog!AV71,0)),""),250)</f>
        <v/>
      </c>
      <c r="F84" s="19" t="str">
        <f>LEFT(IFERROR(INDEX(Fragenkatalog!$BR71,MATCH('Referral Stati'!$F$19,Fragenkatalog!AO71,0)),""),250)</f>
        <v/>
      </c>
      <c r="G84" t="str">
        <f>LEFT(IFERROR(INDEX(Fragenkatalog!$BR71,MATCH('Referral Stati'!$G$19,Fragenkatalog!AP71,0)),""),250)</f>
        <v/>
      </c>
      <c r="J84" t="str">
        <f t="array" ref="J84">LEFT(IFERROR(INDEX(Fragenkatalog!BR71,MATCH('Referral Stati'!$J$19,Fragenkatalog!W71,0)),""),250)</f>
        <v/>
      </c>
      <c r="K84" t="str">
        <f t="array" ref="K84">LEFT(IFERROR(INDEX(Fragenkatalog!BR71,MATCH('Referral Stati'!$K$19,Fragenkatalog!X71,0)),""),250)</f>
        <v/>
      </c>
      <c r="L84" s="19" t="str">
        <f>LEFT(IFERROR(INDEX(Fragenkatalog!$BR71,MATCH('Referral Stati'!$L$19,Fragenkatalog!Q71,0)),""),250)</f>
        <v/>
      </c>
      <c r="M84" s="19" t="str">
        <f>LEFT(IFERROR(INDEX(Fragenkatalog!$BR71,MATCH('Referral Stati'!$M$19,Fragenkatalog!R71,0)),""),250)</f>
        <v/>
      </c>
      <c r="N84" s="19" t="str">
        <f>LEFT(IFERROR(INDEX(Fragenkatalog!$BR71,MATCH('Referral Stati'!$N$19,Fragenkatalog!AI71,0)),""),250)</f>
        <v/>
      </c>
      <c r="O84" t="str">
        <f>LEFT(IFERROR(INDEX(Fragenkatalog!$BR71,MATCH('Referral Stati'!$O$19,Fragenkatalog!AJ71,0)),""),250)</f>
        <v/>
      </c>
      <c r="P84" s="19" t="str">
        <f>LEFT(IFERROR(INDEX(Fragenkatalog!$BR71,MATCH('Referral Stati'!$P$19,Fragenkatalog!AC71,0)),""),250)</f>
        <v/>
      </c>
      <c r="Q84" s="19" t="str">
        <f>LEFT(IFERROR(INDEX(Fragenkatalog!$BR71,MATCH('Referral Stati'!$Q$19,Fragenkatalog!AD71,0)),""),250)</f>
        <v/>
      </c>
      <c r="R84" t="str">
        <f>LEFT(IFERROR(INDEX(Fragenkatalog!$BR71,MATCH('Referral Stati'!$R$19,Fragenkatalog!BA71,0)),""),250)</f>
        <v/>
      </c>
      <c r="S84" t="str">
        <f>LEFT(IFERROR(INDEX(Fragenkatalog!$BR71,MATCH('Referral Stati'!$S$19,Fragenkatalog!BB71,0)),""),250)</f>
        <v/>
      </c>
      <c r="T84" t="str">
        <f>LEFT(IFERROR(INDEX(Fragenkatalog!$BR71,MATCH('Referral Stati'!$T$19,Fragenkatalog!BG71,0)),""),250)</f>
        <v/>
      </c>
      <c r="U84" t="str">
        <f>LEFT(IFERROR(INDEX(Fragenkatalog!$BR71,MATCH('Referral Stati'!$U$19,Fragenkatalog!BH71,0)),""),250)</f>
        <v/>
      </c>
      <c r="V84" t="str">
        <f>LEFT(IFERROR(INDEX(Fragenkatalog!$BR71,MATCH('Referral Stati'!$V$19,Fragenkatalog!BM71,0)),""),250)</f>
        <v/>
      </c>
      <c r="W84" t="str">
        <f>LEFT(IFERROR(INDEX(Fragenkatalog!$BR71,MATCH('Referral Stati'!$U$19,Fragenkatalog!BN71,0)),""),250)</f>
        <v/>
      </c>
    </row>
    <row r="85" spans="1:23" ht="20.25" customHeight="1">
      <c r="A85" s="168" t="str">
        <f>Fragenkatalog!B72</f>
        <v>RisikoFragenStartUp93</v>
      </c>
      <c r="D85" t="str">
        <f>LEFT(IFERROR(INDEX(Fragenkatalog!$BR72,MATCH('Referral Stati'!$D$19,Fragenkatalog!AU72,0)),""),250)</f>
        <v/>
      </c>
      <c r="E85" s="19" t="str">
        <f>LEFT(IFERROR(INDEX(Fragenkatalog!$BR72,MATCH('Referral Stati'!$E$19,Fragenkatalog!AV72,0)),""),250)</f>
        <v/>
      </c>
      <c r="F85" s="19" t="str">
        <f>LEFT(IFERROR(INDEX(Fragenkatalog!$BR72,MATCH('Referral Stati'!$F$19,Fragenkatalog!AO72,0)),""),250)</f>
        <v/>
      </c>
      <c r="G85" t="str">
        <f>LEFT(IFERROR(INDEX(Fragenkatalog!$BR72,MATCH('Referral Stati'!$G$19,Fragenkatalog!AP72,0)),""),250)</f>
        <v/>
      </c>
      <c r="J85" t="str">
        <f t="array" ref="J85">LEFT(IFERROR(INDEX(Fragenkatalog!BR72,MATCH('Referral Stati'!$J$19,Fragenkatalog!W72,0)),""),250)</f>
        <v/>
      </c>
      <c r="K85" t="str">
        <f t="array" ref="K85">LEFT(IFERROR(INDEX(Fragenkatalog!BR72,MATCH('Referral Stati'!$K$19,Fragenkatalog!X72,0)),""),250)</f>
        <v/>
      </c>
      <c r="L85" s="19" t="str">
        <f>LEFT(IFERROR(INDEX(Fragenkatalog!$BR72,MATCH('Referral Stati'!$L$19,Fragenkatalog!Q72,0)),""),250)</f>
        <v/>
      </c>
      <c r="M85" s="19" t="str">
        <f>LEFT(IFERROR(INDEX(Fragenkatalog!$BR72,MATCH('Referral Stati'!$M$19,Fragenkatalog!R72,0)),""),250)</f>
        <v/>
      </c>
      <c r="N85" s="19" t="str">
        <f>LEFT(IFERROR(INDEX(Fragenkatalog!$BR72,MATCH('Referral Stati'!$N$19,Fragenkatalog!AI72,0)),""),250)</f>
        <v/>
      </c>
      <c r="O85" t="str">
        <f>LEFT(IFERROR(INDEX(Fragenkatalog!$BR72,MATCH('Referral Stati'!$O$19,Fragenkatalog!AJ72,0)),""),250)</f>
        <v/>
      </c>
      <c r="P85" s="19" t="str">
        <f>LEFT(IFERROR(INDEX(Fragenkatalog!$BR72,MATCH('Referral Stati'!$P$19,Fragenkatalog!AC72,0)),""),250)</f>
        <v/>
      </c>
      <c r="Q85" s="19" t="str">
        <f>LEFT(IFERROR(INDEX(Fragenkatalog!$BR72,MATCH('Referral Stati'!$Q$19,Fragenkatalog!AD72,0)),""),250)</f>
        <v/>
      </c>
      <c r="R85" t="str">
        <f>LEFT(IFERROR(INDEX(Fragenkatalog!$BR72,MATCH('Referral Stati'!$R$19,Fragenkatalog!BA72,0)),""),250)</f>
        <v/>
      </c>
      <c r="S85" t="str">
        <f>LEFT(IFERROR(INDEX(Fragenkatalog!$BR72,MATCH('Referral Stati'!$S$19,Fragenkatalog!BB72,0)),""),250)</f>
        <v/>
      </c>
      <c r="T85" t="str">
        <f>LEFT(IFERROR(INDEX(Fragenkatalog!$BR72,MATCH('Referral Stati'!$T$19,Fragenkatalog!BG72,0)),""),250)</f>
        <v/>
      </c>
      <c r="U85" t="str">
        <f>LEFT(IFERROR(INDEX(Fragenkatalog!$BR72,MATCH('Referral Stati'!$U$19,Fragenkatalog!BH72,0)),""),250)</f>
        <v/>
      </c>
      <c r="V85" t="str">
        <f>LEFT(IFERROR(INDEX(Fragenkatalog!$BR72,MATCH('Referral Stati'!$V$19,Fragenkatalog!BM72,0)),""),250)</f>
        <v/>
      </c>
      <c r="W85" t="str">
        <f>LEFT(IFERROR(INDEX(Fragenkatalog!$BR72,MATCH('Referral Stati'!$U$19,Fragenkatalog!BN72,0)),""),250)</f>
        <v/>
      </c>
    </row>
    <row r="86" spans="1:23" ht="20.25" customHeight="1">
      <c r="A86" s="168" t="str">
        <f>Fragenkatalog!B73</f>
        <v>RisikoFragenStartUp94</v>
      </c>
      <c r="D86" t="str">
        <f>LEFT(IFERROR(INDEX(Fragenkatalog!$BR73,MATCH('Referral Stati'!$D$19,Fragenkatalog!AU73,0)),""),250)</f>
        <v/>
      </c>
      <c r="E86" s="19" t="str">
        <f>LEFT(IFERROR(INDEX(Fragenkatalog!$BR73,MATCH('Referral Stati'!$E$19,Fragenkatalog!AV73,0)),""),250)</f>
        <v/>
      </c>
      <c r="F86" s="19" t="str">
        <f>LEFT(IFERROR(INDEX(Fragenkatalog!$BR73,MATCH('Referral Stati'!$F$19,Fragenkatalog!AO73,0)),""),250)</f>
        <v/>
      </c>
      <c r="G86" t="str">
        <f>LEFT(IFERROR(INDEX(Fragenkatalog!$BR73,MATCH('Referral Stati'!$G$19,Fragenkatalog!AP73,0)),""),250)</f>
        <v/>
      </c>
      <c r="J86" t="str">
        <f t="array" ref="J86">LEFT(IFERROR(INDEX(Fragenkatalog!BR73,MATCH('Referral Stati'!$J$19,Fragenkatalog!W73,0)),""),250)</f>
        <v/>
      </c>
      <c r="K86" t="str">
        <f t="array" ref="K86">LEFT(IFERROR(INDEX(Fragenkatalog!BR73,MATCH('Referral Stati'!$K$19,Fragenkatalog!X73,0)),""),250)</f>
        <v/>
      </c>
      <c r="L86" s="19" t="str">
        <f>LEFT(IFERROR(INDEX(Fragenkatalog!$BR73,MATCH('Referral Stati'!$L$19,Fragenkatalog!Q73,0)),""),250)</f>
        <v/>
      </c>
      <c r="M86" s="19" t="str">
        <f>LEFT(IFERROR(INDEX(Fragenkatalog!$BR73,MATCH('Referral Stati'!$M$19,Fragenkatalog!R73,0)),""),250)</f>
        <v/>
      </c>
      <c r="N86" s="19" t="str">
        <f>LEFT(IFERROR(INDEX(Fragenkatalog!$BR73,MATCH('Referral Stati'!$N$19,Fragenkatalog!AI73,0)),""),250)</f>
        <v/>
      </c>
      <c r="O86" t="str">
        <f>LEFT(IFERROR(INDEX(Fragenkatalog!$BR73,MATCH('Referral Stati'!$O$19,Fragenkatalog!AJ73,0)),""),250)</f>
        <v/>
      </c>
      <c r="P86" s="19" t="str">
        <f>LEFT(IFERROR(INDEX(Fragenkatalog!$BR73,MATCH('Referral Stati'!$P$19,Fragenkatalog!AC73,0)),""),250)</f>
        <v/>
      </c>
      <c r="Q86" s="19" t="str">
        <f>LEFT(IFERROR(INDEX(Fragenkatalog!$BR73,MATCH('Referral Stati'!$Q$19,Fragenkatalog!AD73,0)),""),250)</f>
        <v/>
      </c>
      <c r="R86" t="str">
        <f>LEFT(IFERROR(INDEX(Fragenkatalog!$BR73,MATCH('Referral Stati'!$R$19,Fragenkatalog!BA73,0)),""),250)</f>
        <v/>
      </c>
      <c r="S86" t="str">
        <f>LEFT(IFERROR(INDEX(Fragenkatalog!$BR73,MATCH('Referral Stati'!$S$19,Fragenkatalog!BB73,0)),""),250)</f>
        <v/>
      </c>
      <c r="T86" t="str">
        <f>LEFT(IFERROR(INDEX(Fragenkatalog!$BR73,MATCH('Referral Stati'!$T$19,Fragenkatalog!BG73,0)),""),250)</f>
        <v/>
      </c>
      <c r="U86" t="str">
        <f>LEFT(IFERROR(INDEX(Fragenkatalog!$BR73,MATCH('Referral Stati'!$U$19,Fragenkatalog!BH73,0)),""),250)</f>
        <v/>
      </c>
      <c r="V86" t="str">
        <f>LEFT(IFERROR(INDEX(Fragenkatalog!$BR73,MATCH('Referral Stati'!$V$19,Fragenkatalog!BM73,0)),""),250)</f>
        <v/>
      </c>
      <c r="W86" t="str">
        <f>LEFT(IFERROR(INDEX(Fragenkatalog!$BR73,MATCH('Referral Stati'!$U$19,Fragenkatalog!BN73,0)),""),250)</f>
        <v/>
      </c>
    </row>
    <row r="87" spans="1:23" ht="20.25" customHeight="1">
      <c r="A87" s="168" t="str">
        <f>Fragenkatalog!B74</f>
        <v>RisikoFragen95a</v>
      </c>
      <c r="D87" t="str">
        <f>LEFT(IFERROR(INDEX(Fragenkatalog!$BR74,MATCH('Referral Stati'!$D$19,Fragenkatalog!AU74,0)),""),250)</f>
        <v/>
      </c>
      <c r="E87" s="19" t="str">
        <f>LEFT(IFERROR(INDEX(Fragenkatalog!$BR74,MATCH('Referral Stati'!$E$19,Fragenkatalog!AV74,0)),""),250)</f>
        <v/>
      </c>
      <c r="F87" s="19" t="str">
        <f>LEFT(IFERROR(INDEX(Fragenkatalog!$BR74,MATCH('Referral Stati'!$F$19,Fragenkatalog!AO74,0)),""),250)</f>
        <v/>
      </c>
      <c r="G87" t="str">
        <f>LEFT(IFERROR(INDEX(Fragenkatalog!$BR74,MATCH('Referral Stati'!$G$19,Fragenkatalog!AP74,0)),""),250)</f>
        <v/>
      </c>
      <c r="J87" t="str">
        <f t="array" ref="J87">LEFT(IFERROR(INDEX(Fragenkatalog!BR74,MATCH('Referral Stati'!$J$19,Fragenkatalog!W74,0)),""),250)</f>
        <v/>
      </c>
      <c r="K87" t="str">
        <f t="array" ref="K87">LEFT(IFERROR(INDEX(Fragenkatalog!BR74,MATCH('Referral Stati'!$K$19,Fragenkatalog!X74,0)),""),250)</f>
        <v/>
      </c>
      <c r="L87" s="19" t="str">
        <f>LEFT(IFERROR(INDEX(Fragenkatalog!$BR74,MATCH('Referral Stati'!$L$19,Fragenkatalog!Q74,0)),""),250)</f>
        <v/>
      </c>
      <c r="M87" s="19" t="str">
        <f>LEFT(IFERROR(INDEX(Fragenkatalog!$BR74,MATCH('Referral Stati'!$M$19,Fragenkatalog!R74,0)),""),250)</f>
        <v/>
      </c>
      <c r="N87" s="19" t="str">
        <f>LEFT(IFERROR(INDEX(Fragenkatalog!$BR74,MATCH('Referral Stati'!$N$19,Fragenkatalog!AI74,0)),""),250)</f>
        <v/>
      </c>
      <c r="O87" t="str">
        <f>LEFT(IFERROR(INDEX(Fragenkatalog!$BR74,MATCH('Referral Stati'!$O$19,Fragenkatalog!AJ74,0)),""),250)</f>
        <v/>
      </c>
      <c r="P87" s="19" t="str">
        <f>LEFT(IFERROR(INDEX(Fragenkatalog!$BR74,MATCH('Referral Stati'!$P$19,Fragenkatalog!AC74,0)),""),250)</f>
        <v/>
      </c>
      <c r="Q87" s="19" t="str">
        <f>LEFT(IFERROR(INDEX(Fragenkatalog!$BR74,MATCH('Referral Stati'!$Q$19,Fragenkatalog!AD74,0)),""),250)</f>
        <v/>
      </c>
      <c r="R87" t="str">
        <f>LEFT(IFERROR(INDEX(Fragenkatalog!$BR74,MATCH('Referral Stati'!$R$19,Fragenkatalog!BA74,0)),""),250)</f>
        <v/>
      </c>
      <c r="S87" t="str">
        <f>LEFT(IFERROR(INDEX(Fragenkatalog!$BR74,MATCH('Referral Stati'!$S$19,Fragenkatalog!BB74,0)),""),250)</f>
        <v/>
      </c>
      <c r="T87" t="str">
        <f>LEFT(IFERROR(INDEX(Fragenkatalog!$BR74,MATCH('Referral Stati'!$T$19,Fragenkatalog!BG74,0)),""),250)</f>
        <v/>
      </c>
      <c r="U87" t="str">
        <f>LEFT(IFERROR(INDEX(Fragenkatalog!$BR74,MATCH('Referral Stati'!$U$19,Fragenkatalog!BH74,0)),""),250)</f>
        <v/>
      </c>
      <c r="V87" t="str">
        <f>LEFT(IFERROR(INDEX(Fragenkatalog!$BR74,MATCH('Referral Stati'!$V$19,Fragenkatalog!BM74,0)),""),250)</f>
        <v/>
      </c>
      <c r="W87" t="str">
        <f>LEFT(IFERROR(INDEX(Fragenkatalog!$BR74,MATCH('Referral Stati'!$U$19,Fragenkatalog!BN74,0)),""),250)</f>
        <v/>
      </c>
    </row>
    <row r="88" spans="1:23" ht="20.25" customHeight="1">
      <c r="A88" s="168" t="str">
        <f>Fragenkatalog!B75</f>
        <v>RisikoFragen95b</v>
      </c>
      <c r="D88" t="str">
        <f>LEFT(IFERROR(INDEX(Fragenkatalog!$BR75,MATCH('Referral Stati'!$D$19,Fragenkatalog!AU75,0)),""),250)</f>
        <v/>
      </c>
      <c r="E88" s="19" t="str">
        <f>LEFT(IFERROR(INDEX(Fragenkatalog!$BR75,MATCH('Referral Stati'!$E$19,Fragenkatalog!AV75,0)),""),250)</f>
        <v/>
      </c>
      <c r="F88" s="19" t="str">
        <f>LEFT(IFERROR(INDEX(Fragenkatalog!$BR75,MATCH('Referral Stati'!$F$19,Fragenkatalog!AO75,0)),""),250)</f>
        <v/>
      </c>
      <c r="G88" t="str">
        <f>LEFT(IFERROR(INDEX(Fragenkatalog!$BR75,MATCH('Referral Stati'!$G$19,Fragenkatalog!AP75,0)),""),250)</f>
        <v/>
      </c>
      <c r="J88" t="str">
        <f t="array" ref="J88">LEFT(IFERROR(INDEX(Fragenkatalog!BR75,MATCH('Referral Stati'!$J$19,Fragenkatalog!W75,0)),""),250)</f>
        <v/>
      </c>
      <c r="K88" t="str">
        <f t="array" ref="K88">LEFT(IFERROR(INDEX(Fragenkatalog!BR75,MATCH('Referral Stati'!$K$19,Fragenkatalog!X75,0)),""),250)</f>
        <v/>
      </c>
      <c r="L88" s="19" t="str">
        <f>LEFT(IFERROR(INDEX(Fragenkatalog!$BR75,MATCH('Referral Stati'!$L$19,Fragenkatalog!Q75,0)),""),250)</f>
        <v/>
      </c>
      <c r="M88" s="19" t="str">
        <f>LEFT(IFERROR(INDEX(Fragenkatalog!$BR75,MATCH('Referral Stati'!$M$19,Fragenkatalog!R75,0)),""),250)</f>
        <v/>
      </c>
      <c r="N88" s="19" t="str">
        <f>LEFT(IFERROR(INDEX(Fragenkatalog!$BR75,MATCH('Referral Stati'!$N$19,Fragenkatalog!AI75,0)),""),250)</f>
        <v/>
      </c>
      <c r="O88" t="str">
        <f>LEFT(IFERROR(INDEX(Fragenkatalog!$BR75,MATCH('Referral Stati'!$O$19,Fragenkatalog!AJ75,0)),""),250)</f>
        <v/>
      </c>
      <c r="P88" s="19" t="str">
        <f>LEFT(IFERROR(INDEX(Fragenkatalog!$BR75,MATCH('Referral Stati'!$P$19,Fragenkatalog!AC75,0)),""),250)</f>
        <v/>
      </c>
      <c r="Q88" s="19" t="str">
        <f>LEFT(IFERROR(INDEX(Fragenkatalog!$BR75,MATCH('Referral Stati'!$Q$19,Fragenkatalog!AD75,0)),""),250)</f>
        <v/>
      </c>
      <c r="R88" t="str">
        <f>LEFT(IFERROR(INDEX(Fragenkatalog!$BR75,MATCH('Referral Stati'!$R$19,Fragenkatalog!BA75,0)),""),250)</f>
        <v/>
      </c>
      <c r="S88" t="str">
        <f>LEFT(IFERROR(INDEX(Fragenkatalog!$BR75,MATCH('Referral Stati'!$S$19,Fragenkatalog!BB75,0)),""),250)</f>
        <v/>
      </c>
      <c r="T88" t="str">
        <f>LEFT(IFERROR(INDEX(Fragenkatalog!$BR75,MATCH('Referral Stati'!$T$19,Fragenkatalog!BG75,0)),""),250)</f>
        <v/>
      </c>
      <c r="U88" t="str">
        <f>LEFT(IFERROR(INDEX(Fragenkatalog!$BR75,MATCH('Referral Stati'!$U$19,Fragenkatalog!BH75,0)),""),250)</f>
        <v/>
      </c>
      <c r="V88" t="str">
        <f>LEFT(IFERROR(INDEX(Fragenkatalog!$BR75,MATCH('Referral Stati'!$V$19,Fragenkatalog!BM75,0)),""),250)</f>
        <v/>
      </c>
      <c r="W88" t="str">
        <f>LEFT(IFERROR(INDEX(Fragenkatalog!$BR75,MATCH('Referral Stati'!$U$19,Fragenkatalog!BN75,0)),""),250)</f>
        <v/>
      </c>
    </row>
    <row r="89" spans="1:23" ht="20.25" customHeight="1">
      <c r="A89" s="168" t="str">
        <f>Fragenkatalog!B76</f>
        <v>RisikoFragen95c</v>
      </c>
      <c r="D89" t="str">
        <f>LEFT(IFERROR(INDEX(Fragenkatalog!$BR76,MATCH('Referral Stati'!$D$19,Fragenkatalog!AU76,0)),""),250)</f>
        <v/>
      </c>
      <c r="E89" s="19" t="str">
        <f>LEFT(IFERROR(INDEX(Fragenkatalog!$BR76,MATCH('Referral Stati'!$E$19,Fragenkatalog!AV76,0)),""),250)</f>
        <v/>
      </c>
      <c r="F89" s="19" t="str">
        <f>LEFT(IFERROR(INDEX(Fragenkatalog!$BR76,MATCH('Referral Stati'!$F$19,Fragenkatalog!AO76,0)),""),250)</f>
        <v/>
      </c>
      <c r="G89" t="str">
        <f>LEFT(IFERROR(INDEX(Fragenkatalog!$BR76,MATCH('Referral Stati'!$G$19,Fragenkatalog!AP76,0)),""),250)</f>
        <v/>
      </c>
      <c r="J89" t="str">
        <f t="array" ref="J89">LEFT(IFERROR(INDEX(Fragenkatalog!BR76,MATCH('Referral Stati'!$J$19,Fragenkatalog!W76,0)),""),250)</f>
        <v/>
      </c>
      <c r="K89" t="str">
        <f t="array" ref="K89">LEFT(IFERROR(INDEX(Fragenkatalog!BR76,MATCH('Referral Stati'!$K$19,Fragenkatalog!X76,0)),""),250)</f>
        <v/>
      </c>
      <c r="L89" s="19" t="str">
        <f>LEFT(IFERROR(INDEX(Fragenkatalog!$BR76,MATCH('Referral Stati'!$L$19,Fragenkatalog!Q76,0)),""),250)</f>
        <v/>
      </c>
      <c r="M89" s="19" t="str">
        <f>LEFT(IFERROR(INDEX(Fragenkatalog!$BR76,MATCH('Referral Stati'!$M$19,Fragenkatalog!R76,0)),""),250)</f>
        <v/>
      </c>
      <c r="N89" s="19" t="str">
        <f>LEFT(IFERROR(INDEX(Fragenkatalog!$BR76,MATCH('Referral Stati'!$N$19,Fragenkatalog!AI76,0)),""),250)</f>
        <v/>
      </c>
      <c r="O89" t="str">
        <f>LEFT(IFERROR(INDEX(Fragenkatalog!$BR76,MATCH('Referral Stati'!$O$19,Fragenkatalog!AJ76,0)),""),250)</f>
        <v/>
      </c>
      <c r="P89" s="19" t="str">
        <f>LEFT(IFERROR(INDEX(Fragenkatalog!$BR76,MATCH('Referral Stati'!$P$19,Fragenkatalog!AC76,0)),""),250)</f>
        <v/>
      </c>
      <c r="Q89" s="19" t="str">
        <f>LEFT(IFERROR(INDEX(Fragenkatalog!$BR76,MATCH('Referral Stati'!$Q$19,Fragenkatalog!AD76,0)),""),250)</f>
        <v/>
      </c>
      <c r="R89" t="str">
        <f>LEFT(IFERROR(INDEX(Fragenkatalog!$BR76,MATCH('Referral Stati'!$R$19,Fragenkatalog!BA76,0)),""),250)</f>
        <v/>
      </c>
      <c r="S89" t="str">
        <f>LEFT(IFERROR(INDEX(Fragenkatalog!$BR76,MATCH('Referral Stati'!$S$19,Fragenkatalog!BB76,0)),""),250)</f>
        <v/>
      </c>
      <c r="T89" t="str">
        <f>LEFT(IFERROR(INDEX(Fragenkatalog!$BR76,MATCH('Referral Stati'!$T$19,Fragenkatalog!BG76,0)),""),250)</f>
        <v/>
      </c>
      <c r="U89" t="str">
        <f>LEFT(IFERROR(INDEX(Fragenkatalog!$BR76,MATCH('Referral Stati'!$U$19,Fragenkatalog!BH76,0)),""),250)</f>
        <v/>
      </c>
      <c r="V89" t="str">
        <f>LEFT(IFERROR(INDEX(Fragenkatalog!$BR76,MATCH('Referral Stati'!$V$19,Fragenkatalog!BM76,0)),""),250)</f>
        <v/>
      </c>
      <c r="W89" t="str">
        <f>LEFT(IFERROR(INDEX(Fragenkatalog!$BR76,MATCH('Referral Stati'!$U$19,Fragenkatalog!BN76,0)),""),250)</f>
        <v/>
      </c>
    </row>
    <row r="90" spans="1:23" ht="20.25" customHeight="1">
      <c r="A90" s="168" t="str">
        <f>Fragenkatalog!B77</f>
        <v>RisikoFragen95d</v>
      </c>
      <c r="D90" t="str">
        <f>LEFT(IFERROR(INDEX(Fragenkatalog!$BR77,MATCH('Referral Stati'!$D$19,Fragenkatalog!AU77,0)),""),250)</f>
        <v/>
      </c>
      <c r="E90" s="19" t="str">
        <f>LEFT(IFERROR(INDEX(Fragenkatalog!$BR77,MATCH('Referral Stati'!$E$19,Fragenkatalog!AV77,0)),""),250)</f>
        <v/>
      </c>
      <c r="F90" s="19" t="str">
        <f>LEFT(IFERROR(INDEX(Fragenkatalog!$BR77,MATCH('Referral Stati'!$F$19,Fragenkatalog!AO77,0)),""),250)</f>
        <v/>
      </c>
      <c r="G90" t="str">
        <f>LEFT(IFERROR(INDEX(Fragenkatalog!$BR77,MATCH('Referral Stati'!$G$19,Fragenkatalog!AP77,0)),""),250)</f>
        <v/>
      </c>
      <c r="J90" t="str">
        <f t="array" ref="J90">LEFT(IFERROR(INDEX(Fragenkatalog!BR77,MATCH('Referral Stati'!$J$19,Fragenkatalog!W77,0)),""),250)</f>
        <v/>
      </c>
      <c r="K90" t="str">
        <f t="array" ref="K90">LEFT(IFERROR(INDEX(Fragenkatalog!BR77,MATCH('Referral Stati'!$K$19,Fragenkatalog!X77,0)),""),250)</f>
        <v/>
      </c>
      <c r="L90" s="19" t="str">
        <f>LEFT(IFERROR(INDEX(Fragenkatalog!$BR77,MATCH('Referral Stati'!$L$19,Fragenkatalog!Q77,0)),""),250)</f>
        <v/>
      </c>
      <c r="M90" s="19" t="str">
        <f>LEFT(IFERROR(INDEX(Fragenkatalog!$BR77,MATCH('Referral Stati'!$M$19,Fragenkatalog!R77,0)),""),250)</f>
        <v/>
      </c>
      <c r="N90" s="19" t="str">
        <f>LEFT(IFERROR(INDEX(Fragenkatalog!$BR77,MATCH('Referral Stati'!$N$19,Fragenkatalog!AI77,0)),""),250)</f>
        <v/>
      </c>
      <c r="O90" t="str">
        <f>LEFT(IFERROR(INDEX(Fragenkatalog!$BR77,MATCH('Referral Stati'!$O$19,Fragenkatalog!AJ77,0)),""),250)</f>
        <v/>
      </c>
      <c r="P90" s="19" t="str">
        <f>LEFT(IFERROR(INDEX(Fragenkatalog!$BR77,MATCH('Referral Stati'!$P$19,Fragenkatalog!AC77,0)),""),250)</f>
        <v/>
      </c>
      <c r="Q90" s="19" t="str">
        <f>LEFT(IFERROR(INDEX(Fragenkatalog!$BR77,MATCH('Referral Stati'!$Q$19,Fragenkatalog!AD77,0)),""),250)</f>
        <v/>
      </c>
      <c r="R90" t="str">
        <f>LEFT(IFERROR(INDEX(Fragenkatalog!$BR77,MATCH('Referral Stati'!$R$19,Fragenkatalog!BA77,0)),""),250)</f>
        <v/>
      </c>
      <c r="S90" t="str">
        <f>LEFT(IFERROR(INDEX(Fragenkatalog!$BR77,MATCH('Referral Stati'!$S$19,Fragenkatalog!BB77,0)),""),250)</f>
        <v/>
      </c>
      <c r="T90" t="str">
        <f>LEFT(IFERROR(INDEX(Fragenkatalog!$BR77,MATCH('Referral Stati'!$T$19,Fragenkatalog!BG77,0)),""),250)</f>
        <v/>
      </c>
      <c r="U90" t="str">
        <f>LEFT(IFERROR(INDEX(Fragenkatalog!$BR77,MATCH('Referral Stati'!$U$19,Fragenkatalog!BH77,0)),""),250)</f>
        <v/>
      </c>
      <c r="V90" t="str">
        <f>LEFT(IFERROR(INDEX(Fragenkatalog!$BR77,MATCH('Referral Stati'!$V$19,Fragenkatalog!BM77,0)),""),250)</f>
        <v/>
      </c>
      <c r="W90" t="str">
        <f>LEFT(IFERROR(INDEX(Fragenkatalog!$BR77,MATCH('Referral Stati'!$U$19,Fragenkatalog!BN77,0)),""),250)</f>
        <v/>
      </c>
    </row>
    <row r="91" spans="1:23" ht="20.25" customHeight="1">
      <c r="A91" s="168" t="str">
        <f>Fragenkatalog!B78</f>
        <v>RisikoFragen95e</v>
      </c>
      <c r="D91" t="str">
        <f>LEFT(IFERROR(INDEX(Fragenkatalog!$BR78,MATCH('Referral Stati'!$D$19,Fragenkatalog!AU78,0)),""),250)</f>
        <v/>
      </c>
      <c r="E91" s="19" t="str">
        <f>LEFT(IFERROR(INDEX(Fragenkatalog!$BR78,MATCH('Referral Stati'!$E$19,Fragenkatalog!AV78,0)),""),250)</f>
        <v/>
      </c>
      <c r="F91" s="19" t="str">
        <f>LEFT(IFERROR(INDEX(Fragenkatalog!$BR78,MATCH('Referral Stati'!$F$19,Fragenkatalog!AO78,0)),""),250)</f>
        <v/>
      </c>
      <c r="G91" t="str">
        <f>LEFT(IFERROR(INDEX(Fragenkatalog!$BR78,MATCH('Referral Stati'!$G$19,Fragenkatalog!AP78,0)),""),250)</f>
        <v/>
      </c>
      <c r="J91" t="str">
        <f t="array" ref="J91">LEFT(IFERROR(INDEX(Fragenkatalog!BR78,MATCH('Referral Stati'!$J$19,Fragenkatalog!W78,0)),""),250)</f>
        <v/>
      </c>
      <c r="K91" t="str">
        <f t="array" ref="K91">LEFT(IFERROR(INDEX(Fragenkatalog!BR78,MATCH('Referral Stati'!$K$19,Fragenkatalog!X78,0)),""),250)</f>
        <v/>
      </c>
      <c r="L91" s="19" t="str">
        <f>LEFT(IFERROR(INDEX(Fragenkatalog!$BR78,MATCH('Referral Stati'!$L$19,Fragenkatalog!Q78,0)),""),250)</f>
        <v/>
      </c>
      <c r="M91" s="19" t="str">
        <f>LEFT(IFERROR(INDEX(Fragenkatalog!$BR78,MATCH('Referral Stati'!$M$19,Fragenkatalog!R78,0)),""),250)</f>
        <v/>
      </c>
      <c r="N91" s="19" t="str">
        <f>LEFT(IFERROR(INDEX(Fragenkatalog!$BR78,MATCH('Referral Stati'!$N$19,Fragenkatalog!AI78,0)),""),250)</f>
        <v/>
      </c>
      <c r="O91" t="str">
        <f>LEFT(IFERROR(INDEX(Fragenkatalog!$BR78,MATCH('Referral Stati'!$O$19,Fragenkatalog!AJ78,0)),""),250)</f>
        <v/>
      </c>
      <c r="P91" s="19" t="str">
        <f>LEFT(IFERROR(INDEX(Fragenkatalog!$BR78,MATCH('Referral Stati'!$P$19,Fragenkatalog!AC78,0)),""),250)</f>
        <v/>
      </c>
      <c r="Q91" s="19" t="str">
        <f>LEFT(IFERROR(INDEX(Fragenkatalog!$BR78,MATCH('Referral Stati'!$Q$19,Fragenkatalog!AD78,0)),""),250)</f>
        <v/>
      </c>
      <c r="R91" t="str">
        <f>LEFT(IFERROR(INDEX(Fragenkatalog!$BR78,MATCH('Referral Stati'!$R$19,Fragenkatalog!BA78,0)),""),250)</f>
        <v/>
      </c>
      <c r="S91" t="str">
        <f>LEFT(IFERROR(INDEX(Fragenkatalog!$BR78,MATCH('Referral Stati'!$S$19,Fragenkatalog!BB78,0)),""),250)</f>
        <v/>
      </c>
      <c r="T91" t="str">
        <f>LEFT(IFERROR(INDEX(Fragenkatalog!$BR78,MATCH('Referral Stati'!$T$19,Fragenkatalog!BG78,0)),""),250)</f>
        <v/>
      </c>
      <c r="U91" t="str">
        <f>LEFT(IFERROR(INDEX(Fragenkatalog!$BR78,MATCH('Referral Stati'!$U$19,Fragenkatalog!BH78,0)),""),250)</f>
        <v/>
      </c>
      <c r="V91" t="str">
        <f>LEFT(IFERROR(INDEX(Fragenkatalog!$BR78,MATCH('Referral Stati'!$V$19,Fragenkatalog!BM78,0)),""),250)</f>
        <v/>
      </c>
      <c r="W91" t="str">
        <f>LEFT(IFERROR(INDEX(Fragenkatalog!$BR78,MATCH('Referral Stati'!$U$19,Fragenkatalog!BN78,0)),""),250)</f>
        <v/>
      </c>
    </row>
    <row r="92" spans="1:23" ht="20.25" customHeight="1">
      <c r="A92" s="168" t="str">
        <f>Fragenkatalog!B79</f>
        <v>RisikoFragen96</v>
      </c>
      <c r="D92" t="str">
        <f>LEFT(IFERROR(INDEX(Fragenkatalog!$BR79,MATCH('Referral Stati'!$D$19,Fragenkatalog!AU79,0)),""),250)</f>
        <v/>
      </c>
      <c r="E92" s="19" t="str">
        <f>LEFT(IFERROR(INDEX(Fragenkatalog!$BR79,MATCH('Referral Stati'!$E$19,Fragenkatalog!AV79,0)),""),250)</f>
        <v/>
      </c>
      <c r="F92" s="19" t="str">
        <f>LEFT(IFERROR(INDEX(Fragenkatalog!$BR79,MATCH('Referral Stati'!$F$19,Fragenkatalog!AO79,0)),""),250)</f>
        <v/>
      </c>
      <c r="G92" t="str">
        <f>LEFT(IFERROR(INDEX(Fragenkatalog!$BR79,MATCH('Referral Stati'!$G$19,Fragenkatalog!AP79,0)),""),250)</f>
        <v/>
      </c>
      <c r="J92" t="str">
        <f t="array" ref="J92">LEFT(IFERROR(INDEX(Fragenkatalog!BR79,MATCH('Referral Stati'!$J$19,Fragenkatalog!W79,0)),""),250)</f>
        <v/>
      </c>
      <c r="K92" t="str">
        <f t="array" ref="K92">LEFT(IFERROR(INDEX(Fragenkatalog!BR79,MATCH('Referral Stati'!$K$19,Fragenkatalog!X79,0)),""),250)</f>
        <v/>
      </c>
      <c r="L92" s="19" t="str">
        <f>LEFT(IFERROR(INDEX(Fragenkatalog!$BR79,MATCH('Referral Stati'!$L$19,Fragenkatalog!Q79,0)),""),250)</f>
        <v/>
      </c>
      <c r="M92" s="19" t="str">
        <f>LEFT(IFERROR(INDEX(Fragenkatalog!$BR79,MATCH('Referral Stati'!$M$19,Fragenkatalog!R79,0)),""),250)</f>
        <v/>
      </c>
      <c r="N92" s="19" t="str">
        <f>LEFT(IFERROR(INDEX(Fragenkatalog!$BR79,MATCH('Referral Stati'!$N$19,Fragenkatalog!AI79,0)),""),250)</f>
        <v/>
      </c>
      <c r="O92" t="str">
        <f>LEFT(IFERROR(INDEX(Fragenkatalog!$BR79,MATCH('Referral Stati'!$O$19,Fragenkatalog!AJ79,0)),""),250)</f>
        <v/>
      </c>
      <c r="P92" s="19" t="str">
        <f>LEFT(IFERROR(INDEX(Fragenkatalog!$BR79,MATCH('Referral Stati'!$P$19,Fragenkatalog!AC79,0)),""),250)</f>
        <v/>
      </c>
      <c r="Q92" s="19" t="str">
        <f>LEFT(IFERROR(INDEX(Fragenkatalog!$BR79,MATCH('Referral Stati'!$Q$19,Fragenkatalog!AD79,0)),""),250)</f>
        <v/>
      </c>
      <c r="R92" t="str">
        <f>LEFT(IFERROR(INDEX(Fragenkatalog!$BR79,MATCH('Referral Stati'!$R$19,Fragenkatalog!BA79,0)),""),250)</f>
        <v/>
      </c>
      <c r="S92" t="str">
        <f>LEFT(IFERROR(INDEX(Fragenkatalog!$BR79,MATCH('Referral Stati'!$S$19,Fragenkatalog!BB79,0)),""),250)</f>
        <v/>
      </c>
      <c r="T92" t="str">
        <f>LEFT(IFERROR(INDEX(Fragenkatalog!$BR79,MATCH('Referral Stati'!$T$19,Fragenkatalog!BG79,0)),""),250)</f>
        <v/>
      </c>
      <c r="U92" t="str">
        <f>LEFT(IFERROR(INDEX(Fragenkatalog!$BR79,MATCH('Referral Stati'!$U$19,Fragenkatalog!BH79,0)),""),250)</f>
        <v/>
      </c>
      <c r="V92" t="str">
        <f>LEFT(IFERROR(INDEX(Fragenkatalog!$BR79,MATCH('Referral Stati'!$V$19,Fragenkatalog!BM79,0)),""),250)</f>
        <v/>
      </c>
      <c r="W92" t="str">
        <f>LEFT(IFERROR(INDEX(Fragenkatalog!$BR79,MATCH('Referral Stati'!$U$19,Fragenkatalog!BN79,0)),""),250)</f>
        <v/>
      </c>
    </row>
    <row r="93" spans="1:23" ht="20.25" customHeight="1">
      <c r="A93" s="168" t="str">
        <f>Fragenkatalog!B80</f>
        <v>RisikoFragen97a</v>
      </c>
      <c r="D93" t="str">
        <f>LEFT(IFERROR(INDEX(Fragenkatalog!$BR80,MATCH('Referral Stati'!$D$19,Fragenkatalog!AU80,0)),""),250)</f>
        <v/>
      </c>
      <c r="E93" s="19" t="str">
        <f>LEFT(IFERROR(INDEX(Fragenkatalog!$BR80,MATCH('Referral Stati'!$E$19,Fragenkatalog!AV80,0)),""),250)</f>
        <v/>
      </c>
      <c r="F93" s="19" t="str">
        <f>LEFT(IFERROR(INDEX(Fragenkatalog!$BR80,MATCH('Referral Stati'!$F$19,Fragenkatalog!AO80,0)),""),250)</f>
        <v/>
      </c>
      <c r="G93" t="str">
        <f>LEFT(IFERROR(INDEX(Fragenkatalog!$BR80,MATCH('Referral Stati'!$G$19,Fragenkatalog!AP80,0)),""),250)</f>
        <v/>
      </c>
      <c r="J93" t="str">
        <f t="array" ref="J93">LEFT(IFERROR(INDEX(Fragenkatalog!BR80,MATCH('Referral Stati'!$J$19,Fragenkatalog!W80,0)),""),250)</f>
        <v/>
      </c>
      <c r="K93" t="str">
        <f t="array" ref="K93">LEFT(IFERROR(INDEX(Fragenkatalog!BR80,MATCH('Referral Stati'!$K$19,Fragenkatalog!X80,0)),""),250)</f>
        <v/>
      </c>
      <c r="L93" s="19" t="str">
        <f>LEFT(IFERROR(INDEX(Fragenkatalog!$BR80,MATCH('Referral Stati'!$L$19,Fragenkatalog!Q80,0)),""),250)</f>
        <v/>
      </c>
      <c r="M93" s="19" t="str">
        <f>LEFT(IFERROR(INDEX(Fragenkatalog!$BR80,MATCH('Referral Stati'!$M$19,Fragenkatalog!R80,0)),""),250)</f>
        <v/>
      </c>
      <c r="N93" s="19" t="str">
        <f>LEFT(IFERROR(INDEX(Fragenkatalog!$BR80,MATCH('Referral Stati'!$N$19,Fragenkatalog!AI80,0)),""),250)</f>
        <v/>
      </c>
      <c r="O93" t="str">
        <f>LEFT(IFERROR(INDEX(Fragenkatalog!$BR80,MATCH('Referral Stati'!$O$19,Fragenkatalog!AJ80,0)),""),250)</f>
        <v/>
      </c>
      <c r="P93" s="19" t="str">
        <f>LEFT(IFERROR(INDEX(Fragenkatalog!$BR80,MATCH('Referral Stati'!$P$19,Fragenkatalog!AC80,0)),""),250)</f>
        <v/>
      </c>
      <c r="Q93" s="19" t="str">
        <f>LEFT(IFERROR(INDEX(Fragenkatalog!$BR80,MATCH('Referral Stati'!$Q$19,Fragenkatalog!AD80,0)),""),250)</f>
        <v/>
      </c>
      <c r="R93" t="str">
        <f>LEFT(IFERROR(INDEX(Fragenkatalog!$BR80,MATCH('Referral Stati'!$R$19,Fragenkatalog!BA80,0)),""),250)</f>
        <v/>
      </c>
      <c r="S93" t="str">
        <f>LEFT(IFERROR(INDEX(Fragenkatalog!$BR80,MATCH('Referral Stati'!$S$19,Fragenkatalog!BB80,0)),""),250)</f>
        <v/>
      </c>
      <c r="T93" t="str">
        <f>LEFT(IFERROR(INDEX(Fragenkatalog!$BR80,MATCH('Referral Stati'!$T$19,Fragenkatalog!BG80,0)),""),250)</f>
        <v/>
      </c>
      <c r="U93" t="str">
        <f>LEFT(IFERROR(INDEX(Fragenkatalog!$BR80,MATCH('Referral Stati'!$U$19,Fragenkatalog!BH80,0)),""),250)</f>
        <v/>
      </c>
      <c r="V93" t="str">
        <f>LEFT(IFERROR(INDEX(Fragenkatalog!$BR80,MATCH('Referral Stati'!$V$19,Fragenkatalog!BM80,0)),""),250)</f>
        <v/>
      </c>
      <c r="W93" t="str">
        <f>LEFT(IFERROR(INDEX(Fragenkatalog!$BR80,MATCH('Referral Stati'!$U$19,Fragenkatalog!BN80,0)),""),250)</f>
        <v/>
      </c>
    </row>
    <row r="94" spans="1:23" ht="20.25" customHeight="1">
      <c r="A94" s="168" t="str">
        <f>Fragenkatalog!B81</f>
        <v>RisikoFragen97b</v>
      </c>
      <c r="D94" t="str">
        <f>LEFT(IFERROR(INDEX(Fragenkatalog!$BR81,MATCH('Referral Stati'!$D$19,Fragenkatalog!AU81,0)),""),250)</f>
        <v/>
      </c>
      <c r="E94" s="19" t="str">
        <f>LEFT(IFERROR(INDEX(Fragenkatalog!$BR81,MATCH('Referral Stati'!$E$19,Fragenkatalog!AV81,0)),""),250)</f>
        <v/>
      </c>
      <c r="F94" s="19" t="str">
        <f>LEFT(IFERROR(INDEX(Fragenkatalog!$BR81,MATCH('Referral Stati'!$F$19,Fragenkatalog!AO81,0)),""),250)</f>
        <v/>
      </c>
      <c r="G94" t="str">
        <f>LEFT(IFERROR(INDEX(Fragenkatalog!$BR81,MATCH('Referral Stati'!$G$19,Fragenkatalog!AP81,0)),""),250)</f>
        <v/>
      </c>
      <c r="J94" t="str">
        <f t="array" ref="J94">LEFT(IFERROR(INDEX(Fragenkatalog!BR81,MATCH('Referral Stati'!$J$19,Fragenkatalog!W81,0)),""),250)</f>
        <v/>
      </c>
      <c r="K94" t="str">
        <f t="array" ref="K94">LEFT(IFERROR(INDEX(Fragenkatalog!BR81,MATCH('Referral Stati'!$K$19,Fragenkatalog!X81,0)),""),250)</f>
        <v/>
      </c>
      <c r="L94" s="19" t="str">
        <f>LEFT(IFERROR(INDEX(Fragenkatalog!$BR81,MATCH('Referral Stati'!$L$19,Fragenkatalog!Q81,0)),""),250)</f>
        <v/>
      </c>
      <c r="M94" s="19" t="str">
        <f>LEFT(IFERROR(INDEX(Fragenkatalog!$BR81,MATCH('Referral Stati'!$M$19,Fragenkatalog!R81,0)),""),250)</f>
        <v/>
      </c>
      <c r="N94" s="19" t="str">
        <f>LEFT(IFERROR(INDEX(Fragenkatalog!$BR81,MATCH('Referral Stati'!$N$19,Fragenkatalog!AI81,0)),""),250)</f>
        <v/>
      </c>
      <c r="O94" t="str">
        <f>LEFT(IFERROR(INDEX(Fragenkatalog!$BR81,MATCH('Referral Stati'!$O$19,Fragenkatalog!AJ81,0)),""),250)</f>
        <v/>
      </c>
      <c r="P94" s="19" t="str">
        <f>LEFT(IFERROR(INDEX(Fragenkatalog!$BR81,MATCH('Referral Stati'!$P$19,Fragenkatalog!AC81,0)),""),250)</f>
        <v/>
      </c>
      <c r="Q94" s="19" t="str">
        <f>LEFT(IFERROR(INDEX(Fragenkatalog!$BR81,MATCH('Referral Stati'!$Q$19,Fragenkatalog!AD81,0)),""),250)</f>
        <v/>
      </c>
      <c r="R94" t="str">
        <f>LEFT(IFERROR(INDEX(Fragenkatalog!$BR81,MATCH('Referral Stati'!$R$19,Fragenkatalog!BA81,0)),""),250)</f>
        <v/>
      </c>
      <c r="S94" t="str">
        <f>LEFT(IFERROR(INDEX(Fragenkatalog!$BR81,MATCH('Referral Stati'!$S$19,Fragenkatalog!BB81,0)),""),250)</f>
        <v/>
      </c>
      <c r="T94" t="str">
        <f>LEFT(IFERROR(INDEX(Fragenkatalog!$BR81,MATCH('Referral Stati'!$T$19,Fragenkatalog!BG81,0)),""),250)</f>
        <v/>
      </c>
      <c r="U94" t="str">
        <f>LEFT(IFERROR(INDEX(Fragenkatalog!$BR81,MATCH('Referral Stati'!$U$19,Fragenkatalog!BH81,0)),""),250)</f>
        <v/>
      </c>
      <c r="V94" t="str">
        <f>LEFT(IFERROR(INDEX(Fragenkatalog!$BR81,MATCH('Referral Stati'!$V$19,Fragenkatalog!BM81,0)),""),250)</f>
        <v/>
      </c>
      <c r="W94" t="str">
        <f>LEFT(IFERROR(INDEX(Fragenkatalog!$BR81,MATCH('Referral Stati'!$U$19,Fragenkatalog!BN81,0)),""),250)</f>
        <v/>
      </c>
    </row>
    <row r="95" spans="1:23" ht="20.25" customHeight="1">
      <c r="A95" s="168" t="str">
        <f>Fragenkatalog!B82</f>
        <v>RisikoFragen97c</v>
      </c>
      <c r="D95" t="str">
        <f>LEFT(IFERROR(INDEX(Fragenkatalog!$BR82,MATCH('Referral Stati'!$D$19,Fragenkatalog!AU82,0)),""),250)</f>
        <v/>
      </c>
      <c r="E95" s="19" t="str">
        <f>LEFT(IFERROR(INDEX(Fragenkatalog!$BR82,MATCH('Referral Stati'!$E$19,Fragenkatalog!AV82,0)),""),250)</f>
        <v/>
      </c>
      <c r="F95" s="19" t="str">
        <f>LEFT(IFERROR(INDEX(Fragenkatalog!$BR82,MATCH('Referral Stati'!$F$19,Fragenkatalog!AO82,0)),""),250)</f>
        <v/>
      </c>
      <c r="G95" t="str">
        <f>LEFT(IFERROR(INDEX(Fragenkatalog!$BR82,MATCH('Referral Stati'!$G$19,Fragenkatalog!AP82,0)),""),250)</f>
        <v/>
      </c>
      <c r="J95" t="str">
        <f t="array" ref="J95">LEFT(IFERROR(INDEX(Fragenkatalog!BR82,MATCH('Referral Stati'!$J$19,Fragenkatalog!W82,0)),""),250)</f>
        <v/>
      </c>
      <c r="K95" t="str">
        <f t="array" ref="K95">LEFT(IFERROR(INDEX(Fragenkatalog!BR82,MATCH('Referral Stati'!$K$19,Fragenkatalog!X82,0)),""),250)</f>
        <v/>
      </c>
      <c r="L95" s="19" t="str">
        <f>LEFT(IFERROR(INDEX(Fragenkatalog!$BR82,MATCH('Referral Stati'!$L$19,Fragenkatalog!Q82,0)),""),250)</f>
        <v/>
      </c>
      <c r="M95" s="19" t="str">
        <f>LEFT(IFERROR(INDEX(Fragenkatalog!$BR82,MATCH('Referral Stati'!$M$19,Fragenkatalog!R82,0)),""),250)</f>
        <v/>
      </c>
      <c r="N95" s="19" t="str">
        <f>LEFT(IFERROR(INDEX(Fragenkatalog!$BR82,MATCH('Referral Stati'!$N$19,Fragenkatalog!AI82,0)),""),250)</f>
        <v/>
      </c>
      <c r="O95" t="str">
        <f>LEFT(IFERROR(INDEX(Fragenkatalog!$BR82,MATCH('Referral Stati'!$O$19,Fragenkatalog!AJ82,0)),""),250)</f>
        <v/>
      </c>
      <c r="P95" s="19" t="str">
        <f>LEFT(IFERROR(INDEX(Fragenkatalog!$BR82,MATCH('Referral Stati'!$P$19,Fragenkatalog!AC82,0)),""),250)</f>
        <v/>
      </c>
      <c r="Q95" s="19" t="str">
        <f>LEFT(IFERROR(INDEX(Fragenkatalog!$BR82,MATCH('Referral Stati'!$Q$19,Fragenkatalog!AD82,0)),""),250)</f>
        <v/>
      </c>
      <c r="R95" t="str">
        <f>LEFT(IFERROR(INDEX(Fragenkatalog!$BR82,MATCH('Referral Stati'!$R$19,Fragenkatalog!BA82,0)),""),250)</f>
        <v/>
      </c>
      <c r="S95" t="str">
        <f>LEFT(IFERROR(INDEX(Fragenkatalog!$BR82,MATCH('Referral Stati'!$S$19,Fragenkatalog!BB82,0)),""),250)</f>
        <v/>
      </c>
      <c r="T95" t="str">
        <f>LEFT(IFERROR(INDEX(Fragenkatalog!$BR82,MATCH('Referral Stati'!$T$19,Fragenkatalog!BG82,0)),""),250)</f>
        <v/>
      </c>
      <c r="U95" t="str">
        <f>LEFT(IFERROR(INDEX(Fragenkatalog!$BR82,MATCH('Referral Stati'!$U$19,Fragenkatalog!BH82,0)),""),250)</f>
        <v/>
      </c>
      <c r="V95" t="str">
        <f>LEFT(IFERROR(INDEX(Fragenkatalog!$BR82,MATCH('Referral Stati'!$V$19,Fragenkatalog!BM82,0)),""),250)</f>
        <v/>
      </c>
      <c r="W95" t="str">
        <f>LEFT(IFERROR(INDEX(Fragenkatalog!$BR82,MATCH('Referral Stati'!$U$19,Fragenkatalog!BN82,0)),""),250)</f>
        <v/>
      </c>
    </row>
    <row r="96" spans="1:23" ht="20.25" customHeight="1">
      <c r="A96" s="168" t="str">
        <f>Fragenkatalog!B83</f>
        <v>RisikoFragen97d</v>
      </c>
      <c r="D96" t="str">
        <f>LEFT(IFERROR(INDEX(Fragenkatalog!$BR83,MATCH('Referral Stati'!$D$19,Fragenkatalog!AU83,0)),""),250)</f>
        <v/>
      </c>
      <c r="E96" s="19" t="str">
        <f>LEFT(IFERROR(INDEX(Fragenkatalog!$BR83,MATCH('Referral Stati'!$E$19,Fragenkatalog!AV83,0)),""),250)</f>
        <v/>
      </c>
      <c r="F96" s="19" t="str">
        <f>LEFT(IFERROR(INDEX(Fragenkatalog!$BR83,MATCH('Referral Stati'!$F$19,Fragenkatalog!AO83,0)),""),250)</f>
        <v/>
      </c>
      <c r="G96" t="str">
        <f>LEFT(IFERROR(INDEX(Fragenkatalog!$BR83,MATCH('Referral Stati'!$G$19,Fragenkatalog!AP83,0)),""),250)</f>
        <v/>
      </c>
      <c r="J96" t="str">
        <f t="array" ref="J96">LEFT(IFERROR(INDEX(Fragenkatalog!BR83,MATCH('Referral Stati'!$J$19,Fragenkatalog!W83,0)),""),250)</f>
        <v/>
      </c>
      <c r="K96" t="str">
        <f t="array" ref="K96">LEFT(IFERROR(INDEX(Fragenkatalog!BR83,MATCH('Referral Stati'!$K$19,Fragenkatalog!X83,0)),""),250)</f>
        <v/>
      </c>
      <c r="L96" s="19" t="str">
        <f>LEFT(IFERROR(INDEX(Fragenkatalog!$BR83,MATCH('Referral Stati'!$L$19,Fragenkatalog!Q83,0)),""),250)</f>
        <v/>
      </c>
      <c r="M96" s="19" t="str">
        <f>LEFT(IFERROR(INDEX(Fragenkatalog!$BR83,MATCH('Referral Stati'!$M$19,Fragenkatalog!R83,0)),""),250)</f>
        <v/>
      </c>
      <c r="N96" s="19" t="str">
        <f>LEFT(IFERROR(INDEX(Fragenkatalog!$BR83,MATCH('Referral Stati'!$N$19,Fragenkatalog!AI83,0)),""),250)</f>
        <v/>
      </c>
      <c r="O96" t="str">
        <f>LEFT(IFERROR(INDEX(Fragenkatalog!$BR83,MATCH('Referral Stati'!$O$19,Fragenkatalog!AJ83,0)),""),250)</f>
        <v/>
      </c>
      <c r="P96" s="19" t="str">
        <f>LEFT(IFERROR(INDEX(Fragenkatalog!$BR83,MATCH('Referral Stati'!$P$19,Fragenkatalog!AC83,0)),""),250)</f>
        <v/>
      </c>
      <c r="Q96" s="19" t="str">
        <f>LEFT(IFERROR(INDEX(Fragenkatalog!$BR83,MATCH('Referral Stati'!$Q$19,Fragenkatalog!AD83,0)),""),250)</f>
        <v/>
      </c>
      <c r="R96" t="str">
        <f>LEFT(IFERROR(INDEX(Fragenkatalog!$BR83,MATCH('Referral Stati'!$R$19,Fragenkatalog!BA83,0)),""),250)</f>
        <v/>
      </c>
      <c r="S96" t="str">
        <f>LEFT(IFERROR(INDEX(Fragenkatalog!$BR83,MATCH('Referral Stati'!$S$19,Fragenkatalog!BB83,0)),""),250)</f>
        <v/>
      </c>
      <c r="T96" t="str">
        <f>LEFT(IFERROR(INDEX(Fragenkatalog!$BR83,MATCH('Referral Stati'!$T$19,Fragenkatalog!BG83,0)),""),250)</f>
        <v/>
      </c>
      <c r="U96" t="str">
        <f>LEFT(IFERROR(INDEX(Fragenkatalog!$BR83,MATCH('Referral Stati'!$U$19,Fragenkatalog!BH83,0)),""),250)</f>
        <v/>
      </c>
      <c r="V96" t="str">
        <f>LEFT(IFERROR(INDEX(Fragenkatalog!$BR83,MATCH('Referral Stati'!$V$19,Fragenkatalog!BM83,0)),""),250)</f>
        <v/>
      </c>
      <c r="W96" t="str">
        <f>LEFT(IFERROR(INDEX(Fragenkatalog!$BR83,MATCH('Referral Stati'!$U$19,Fragenkatalog!BN83,0)),""),250)</f>
        <v/>
      </c>
    </row>
    <row r="97" spans="1:23" ht="20.25" customHeight="1">
      <c r="A97" s="168" t="str">
        <f>Fragenkatalog!B84</f>
        <v>RisikoFragen97e</v>
      </c>
      <c r="D97" t="str">
        <f>LEFT(IFERROR(INDEX(Fragenkatalog!$BR84,MATCH('Referral Stati'!$D$19,Fragenkatalog!AU84,0)),""),250)</f>
        <v/>
      </c>
      <c r="E97" s="19" t="str">
        <f>LEFT(IFERROR(INDEX(Fragenkatalog!$BR84,MATCH('Referral Stati'!$E$19,Fragenkatalog!AV84,0)),""),250)</f>
        <v/>
      </c>
      <c r="F97" s="19" t="str">
        <f>LEFT(IFERROR(INDEX(Fragenkatalog!$BR84,MATCH('Referral Stati'!$F$19,Fragenkatalog!AO84,0)),""),250)</f>
        <v/>
      </c>
      <c r="G97" t="str">
        <f>LEFT(IFERROR(INDEX(Fragenkatalog!$BR84,MATCH('Referral Stati'!$G$19,Fragenkatalog!AP84,0)),""),250)</f>
        <v/>
      </c>
      <c r="J97" t="str">
        <f t="array" ref="J97">LEFT(IFERROR(INDEX(Fragenkatalog!BR84,MATCH('Referral Stati'!$J$19,Fragenkatalog!W84,0)),""),250)</f>
        <v/>
      </c>
      <c r="K97" t="str">
        <f t="array" ref="K97">LEFT(IFERROR(INDEX(Fragenkatalog!BR84,MATCH('Referral Stati'!$K$19,Fragenkatalog!X84,0)),""),250)</f>
        <v/>
      </c>
      <c r="L97" s="19" t="str">
        <f>LEFT(IFERROR(INDEX(Fragenkatalog!$BR84,MATCH('Referral Stati'!$L$19,Fragenkatalog!Q84,0)),""),250)</f>
        <v/>
      </c>
      <c r="M97" s="19" t="str">
        <f>LEFT(IFERROR(INDEX(Fragenkatalog!$BR84,MATCH('Referral Stati'!$M$19,Fragenkatalog!R84,0)),""),250)</f>
        <v/>
      </c>
      <c r="N97" s="19" t="str">
        <f>LEFT(IFERROR(INDEX(Fragenkatalog!$BR84,MATCH('Referral Stati'!$N$19,Fragenkatalog!AI84,0)),""),250)</f>
        <v/>
      </c>
      <c r="O97" t="str">
        <f>LEFT(IFERROR(INDEX(Fragenkatalog!$BR84,MATCH('Referral Stati'!$O$19,Fragenkatalog!AJ84,0)),""),250)</f>
        <v/>
      </c>
      <c r="P97" s="19" t="str">
        <f>LEFT(IFERROR(INDEX(Fragenkatalog!$BR84,MATCH('Referral Stati'!$P$19,Fragenkatalog!AC84,0)),""),250)</f>
        <v/>
      </c>
      <c r="Q97" s="19" t="str">
        <f>LEFT(IFERROR(INDEX(Fragenkatalog!$BR84,MATCH('Referral Stati'!$Q$19,Fragenkatalog!AD84,0)),""),250)</f>
        <v/>
      </c>
      <c r="R97" t="str">
        <f>LEFT(IFERROR(INDEX(Fragenkatalog!$BR84,MATCH('Referral Stati'!$R$19,Fragenkatalog!BA84,0)),""),250)</f>
        <v/>
      </c>
      <c r="S97" t="str">
        <f>LEFT(IFERROR(INDEX(Fragenkatalog!$BR84,MATCH('Referral Stati'!$S$19,Fragenkatalog!BB84,0)),""),250)</f>
        <v/>
      </c>
      <c r="T97" t="str">
        <f>LEFT(IFERROR(INDEX(Fragenkatalog!$BR84,MATCH('Referral Stati'!$T$19,Fragenkatalog!BG84,0)),""),250)</f>
        <v/>
      </c>
      <c r="U97" t="str">
        <f>LEFT(IFERROR(INDEX(Fragenkatalog!$BR84,MATCH('Referral Stati'!$U$19,Fragenkatalog!BH84,0)),""),250)</f>
        <v/>
      </c>
      <c r="V97" t="str">
        <f>LEFT(IFERROR(INDEX(Fragenkatalog!$BR84,MATCH('Referral Stati'!$V$19,Fragenkatalog!BM84,0)),""),250)</f>
        <v/>
      </c>
      <c r="W97" t="str">
        <f>LEFT(IFERROR(INDEX(Fragenkatalog!$BR84,MATCH('Referral Stati'!$U$19,Fragenkatalog!BN84,0)),""),250)</f>
        <v/>
      </c>
    </row>
    <row r="98" spans="1:23" ht="20.25" customHeight="1">
      <c r="A98" s="168" t="str">
        <f>Fragenkatalog!B85</f>
        <v>RisikoFragen98</v>
      </c>
      <c r="D98" t="str">
        <f>LEFT(IFERROR(INDEX(Fragenkatalog!$BR85,MATCH('Referral Stati'!$D$19,Fragenkatalog!AU85,0)),""),250)</f>
        <v/>
      </c>
      <c r="E98" s="19" t="str">
        <f>LEFT(IFERROR(INDEX(Fragenkatalog!$BR85,MATCH('Referral Stati'!$E$19,Fragenkatalog!AV85,0)),""),250)</f>
        <v/>
      </c>
      <c r="F98" s="19" t="str">
        <f>LEFT(IFERROR(INDEX(Fragenkatalog!$BR85,MATCH('Referral Stati'!$F$19,Fragenkatalog!AO85,0)),""),250)</f>
        <v/>
      </c>
      <c r="G98" t="str">
        <f>LEFT(IFERROR(INDEX(Fragenkatalog!$BR85,MATCH('Referral Stati'!$G$19,Fragenkatalog!AP85,0)),""),250)</f>
        <v/>
      </c>
      <c r="J98" t="str">
        <f t="array" ref="J98">LEFT(IFERROR(INDEX(Fragenkatalog!BR85,MATCH('Referral Stati'!$J$19,Fragenkatalog!W85,0)),""),250)</f>
        <v/>
      </c>
      <c r="K98" t="str">
        <f t="array" ref="K98">LEFT(IFERROR(INDEX(Fragenkatalog!BR85,MATCH('Referral Stati'!$K$19,Fragenkatalog!X85,0)),""),250)</f>
        <v/>
      </c>
      <c r="L98" s="19" t="str">
        <f>LEFT(IFERROR(INDEX(Fragenkatalog!$BR85,MATCH('Referral Stati'!$L$19,Fragenkatalog!Q85,0)),""),250)</f>
        <v/>
      </c>
      <c r="M98" s="19" t="str">
        <f>LEFT(IFERROR(INDEX(Fragenkatalog!$BR85,MATCH('Referral Stati'!$M$19,Fragenkatalog!R85,0)),""),250)</f>
        <v/>
      </c>
      <c r="N98" s="19" t="str">
        <f>LEFT(IFERROR(INDEX(Fragenkatalog!$BR85,MATCH('Referral Stati'!$N$19,Fragenkatalog!AI85,0)),""),250)</f>
        <v/>
      </c>
      <c r="O98" t="str">
        <f>LEFT(IFERROR(INDEX(Fragenkatalog!$BR85,MATCH('Referral Stati'!$O$19,Fragenkatalog!AJ85,0)),""),250)</f>
        <v/>
      </c>
      <c r="P98" s="19" t="str">
        <f>LEFT(IFERROR(INDEX(Fragenkatalog!$BR85,MATCH('Referral Stati'!$P$19,Fragenkatalog!AC85,0)),""),250)</f>
        <v/>
      </c>
      <c r="Q98" s="19" t="str">
        <f>LEFT(IFERROR(INDEX(Fragenkatalog!$BR85,MATCH('Referral Stati'!$Q$19,Fragenkatalog!AD85,0)),""),250)</f>
        <v/>
      </c>
      <c r="R98" t="str">
        <f>LEFT(IFERROR(INDEX(Fragenkatalog!$BR85,MATCH('Referral Stati'!$R$19,Fragenkatalog!BA85,0)),""),250)</f>
        <v/>
      </c>
      <c r="S98" t="str">
        <f>LEFT(IFERROR(INDEX(Fragenkatalog!$BR85,MATCH('Referral Stati'!$S$19,Fragenkatalog!BB85,0)),""),250)</f>
        <v/>
      </c>
      <c r="T98" t="str">
        <f>LEFT(IFERROR(INDEX(Fragenkatalog!$BR85,MATCH('Referral Stati'!$T$19,Fragenkatalog!BG85,0)),""),250)</f>
        <v/>
      </c>
      <c r="U98" t="str">
        <f>LEFT(IFERROR(INDEX(Fragenkatalog!$BR85,MATCH('Referral Stati'!$U$19,Fragenkatalog!BH85,0)),""),250)</f>
        <v/>
      </c>
      <c r="V98" t="str">
        <f>LEFT(IFERROR(INDEX(Fragenkatalog!$BR85,MATCH('Referral Stati'!$V$19,Fragenkatalog!BM85,0)),""),250)</f>
        <v/>
      </c>
      <c r="W98" t="str">
        <f>LEFT(IFERROR(INDEX(Fragenkatalog!$BR85,MATCH('Referral Stati'!$U$19,Fragenkatalog!BN85,0)),""),250)</f>
        <v/>
      </c>
    </row>
    <row r="99" spans="1:23" ht="20.25" customHeight="1">
      <c r="A99" s="168" t="str">
        <f>Fragenkatalog!B86</f>
        <v>RisikoFragen99</v>
      </c>
      <c r="D99" t="str">
        <f>LEFT(IFERROR(INDEX(Fragenkatalog!$BR86,MATCH('Referral Stati'!$D$19,Fragenkatalog!AU86,0)),""),250)</f>
        <v/>
      </c>
      <c r="E99" s="19" t="str">
        <f>LEFT(IFERROR(INDEX(Fragenkatalog!$BR86,MATCH('Referral Stati'!$E$19,Fragenkatalog!AV86,0)),""),250)</f>
        <v/>
      </c>
      <c r="F99" s="19" t="str">
        <f>LEFT(IFERROR(INDEX(Fragenkatalog!$BR86,MATCH('Referral Stati'!$F$19,Fragenkatalog!AO86,0)),""),250)</f>
        <v/>
      </c>
      <c r="G99" t="str">
        <f>LEFT(IFERROR(INDEX(Fragenkatalog!$BR86,MATCH('Referral Stati'!$G$19,Fragenkatalog!AP86,0)),""),250)</f>
        <v/>
      </c>
      <c r="J99" t="str">
        <f t="array" ref="J99">LEFT(IFERROR(INDEX(Fragenkatalog!BR86,MATCH('Referral Stati'!$J$19,Fragenkatalog!W86,0)),""),250)</f>
        <v/>
      </c>
      <c r="K99" t="str">
        <f t="array" ref="K99">LEFT(IFERROR(INDEX(Fragenkatalog!BR86,MATCH('Referral Stati'!$K$19,Fragenkatalog!X86,0)),""),250)</f>
        <v/>
      </c>
      <c r="L99" s="19" t="str">
        <f>LEFT(IFERROR(INDEX(Fragenkatalog!$BR86,MATCH('Referral Stati'!$L$19,Fragenkatalog!Q86,0)),""),250)</f>
        <v/>
      </c>
      <c r="M99" s="19" t="str">
        <f>LEFT(IFERROR(INDEX(Fragenkatalog!$BR86,MATCH('Referral Stati'!$M$19,Fragenkatalog!R86,0)),""),250)</f>
        <v/>
      </c>
      <c r="N99" s="19" t="str">
        <f>LEFT(IFERROR(INDEX(Fragenkatalog!$BR86,MATCH('Referral Stati'!$N$19,Fragenkatalog!AI86,0)),""),250)</f>
        <v/>
      </c>
      <c r="O99" t="str">
        <f>LEFT(IFERROR(INDEX(Fragenkatalog!$BR86,MATCH('Referral Stati'!$O$19,Fragenkatalog!AJ86,0)),""),250)</f>
        <v/>
      </c>
      <c r="P99" s="19" t="str">
        <f>LEFT(IFERROR(INDEX(Fragenkatalog!$BR86,MATCH('Referral Stati'!$P$19,Fragenkatalog!AC86,0)),""),250)</f>
        <v/>
      </c>
      <c r="Q99" s="19" t="str">
        <f>LEFT(IFERROR(INDEX(Fragenkatalog!$BR86,MATCH('Referral Stati'!$Q$19,Fragenkatalog!AD86,0)),""),250)</f>
        <v/>
      </c>
      <c r="R99" t="str">
        <f>LEFT(IFERROR(INDEX(Fragenkatalog!$BR86,MATCH('Referral Stati'!$R$19,Fragenkatalog!BA86,0)),""),250)</f>
        <v/>
      </c>
      <c r="S99" t="str">
        <f>LEFT(IFERROR(INDEX(Fragenkatalog!$BR86,MATCH('Referral Stati'!$S$19,Fragenkatalog!BB86,0)),""),250)</f>
        <v/>
      </c>
      <c r="T99" t="str">
        <f>LEFT(IFERROR(INDEX(Fragenkatalog!$BR86,MATCH('Referral Stati'!$T$19,Fragenkatalog!BG86,0)),""),250)</f>
        <v/>
      </c>
      <c r="U99" t="str">
        <f>LEFT(IFERROR(INDEX(Fragenkatalog!$BR86,MATCH('Referral Stati'!$U$19,Fragenkatalog!BH86,0)),""),250)</f>
        <v/>
      </c>
      <c r="V99" t="str">
        <f>LEFT(IFERROR(INDEX(Fragenkatalog!$BR86,MATCH('Referral Stati'!$V$19,Fragenkatalog!BM86,0)),""),250)</f>
        <v/>
      </c>
      <c r="W99" t="str">
        <f>LEFT(IFERROR(INDEX(Fragenkatalog!$BR86,MATCH('Referral Stati'!$U$19,Fragenkatalog!BN86,0)),""),250)</f>
        <v/>
      </c>
    </row>
    <row r="100" spans="1:23" ht="20.25" customHeight="1">
      <c r="A100" s="168" t="str">
        <f>Fragenkatalog!B87</f>
        <v>RisikoFragenVereine100</v>
      </c>
      <c r="D100" t="str">
        <f>LEFT(IFERROR(INDEX(Fragenkatalog!$BR87,MATCH('Referral Stati'!$D$19,Fragenkatalog!AU87,0)),""),250)</f>
        <v/>
      </c>
      <c r="E100" s="19" t="str">
        <f>LEFT(IFERROR(INDEX(Fragenkatalog!$BR87,MATCH('Referral Stati'!$E$19,Fragenkatalog!AV87,0)),""),250)</f>
        <v/>
      </c>
      <c r="F100" s="19" t="str">
        <f>LEFT(IFERROR(INDEX(Fragenkatalog!$BR87,MATCH('Referral Stati'!$F$19,Fragenkatalog!AO87,0)),""),250)</f>
        <v/>
      </c>
      <c r="G100" t="str">
        <f>LEFT(IFERROR(INDEX(Fragenkatalog!$BR87,MATCH('Referral Stati'!$G$19,Fragenkatalog!AP87,0)),""),250)</f>
        <v/>
      </c>
      <c r="J100" t="str">
        <f t="array" ref="J100">LEFT(IFERROR(INDEX(Fragenkatalog!BR87,MATCH('Referral Stati'!$J$19,Fragenkatalog!W87,0)),""),250)</f>
        <v/>
      </c>
      <c r="K100" t="str">
        <f t="array" ref="K100">LEFT(IFERROR(INDEX(Fragenkatalog!BR87,MATCH('Referral Stati'!$K$19,Fragenkatalog!X87,0)),""),250)</f>
        <v/>
      </c>
      <c r="L100" s="19" t="str">
        <f>LEFT(IFERROR(INDEX(Fragenkatalog!$BR87,MATCH('Referral Stati'!$L$19,Fragenkatalog!Q87,0)),""),250)</f>
        <v/>
      </c>
      <c r="M100" s="19" t="str">
        <f>LEFT(IFERROR(INDEX(Fragenkatalog!$BR87,MATCH('Referral Stati'!$M$19,Fragenkatalog!R87,0)),""),250)</f>
        <v/>
      </c>
      <c r="N100" s="19" t="str">
        <f>LEFT(IFERROR(INDEX(Fragenkatalog!$BR87,MATCH('Referral Stati'!$N$19,Fragenkatalog!AI87,0)),""),250)</f>
        <v/>
      </c>
      <c r="O100" t="str">
        <f>LEFT(IFERROR(INDEX(Fragenkatalog!$BR87,MATCH('Referral Stati'!$O$19,Fragenkatalog!AJ87,0)),""),250)</f>
        <v/>
      </c>
      <c r="P100" s="19" t="str">
        <f>LEFT(IFERROR(INDEX(Fragenkatalog!$BR87,MATCH('Referral Stati'!$P$19,Fragenkatalog!AC87,0)),""),250)</f>
        <v/>
      </c>
      <c r="Q100" s="19" t="str">
        <f>LEFT(IFERROR(INDEX(Fragenkatalog!$BR87,MATCH('Referral Stati'!$Q$19,Fragenkatalog!AD87,0)),""),250)</f>
        <v/>
      </c>
      <c r="R100" t="str">
        <f>LEFT(IFERROR(INDEX(Fragenkatalog!$BR87,MATCH('Referral Stati'!$R$19,Fragenkatalog!BA87,0)),""),250)</f>
        <v/>
      </c>
      <c r="S100" t="str">
        <f>LEFT(IFERROR(INDEX(Fragenkatalog!$BR87,MATCH('Referral Stati'!$S$19,Fragenkatalog!BB87,0)),""),250)</f>
        <v/>
      </c>
      <c r="T100" t="str">
        <f>LEFT(IFERROR(INDEX(Fragenkatalog!$BR87,MATCH('Referral Stati'!$T$19,Fragenkatalog!BG87,0)),""),250)</f>
        <v/>
      </c>
      <c r="U100" t="str">
        <f>LEFT(IFERROR(INDEX(Fragenkatalog!$BR87,MATCH('Referral Stati'!$U$19,Fragenkatalog!BH87,0)),""),250)</f>
        <v/>
      </c>
      <c r="V100" t="str">
        <f>LEFT(IFERROR(INDEX(Fragenkatalog!$BR87,MATCH('Referral Stati'!$V$19,Fragenkatalog!BM87,0)),""),250)</f>
        <v/>
      </c>
      <c r="W100" t="str">
        <f>LEFT(IFERROR(INDEX(Fragenkatalog!$BR87,MATCH('Referral Stati'!$U$19,Fragenkatalog!BN87,0)),""),250)</f>
        <v/>
      </c>
    </row>
    <row r="101" spans="1:23" ht="20.25" customHeight="1">
      <c r="A101" s="168" t="str">
        <f>Fragenkatalog!B88</f>
        <v>RisikoFragenVereine101</v>
      </c>
      <c r="D101" t="str">
        <f>LEFT(IFERROR(INDEX(Fragenkatalog!$BR88,MATCH('Referral Stati'!$D$19,Fragenkatalog!AU88,0)),""),250)</f>
        <v/>
      </c>
      <c r="E101" s="19" t="str">
        <f>LEFT(IFERROR(INDEX(Fragenkatalog!$BR88,MATCH('Referral Stati'!$E$19,Fragenkatalog!AV88,0)),""),250)</f>
        <v/>
      </c>
      <c r="F101" s="19" t="str">
        <f>LEFT(IFERROR(INDEX(Fragenkatalog!$BR88,MATCH('Referral Stati'!$F$19,Fragenkatalog!AO88,0)),""),250)</f>
        <v/>
      </c>
      <c r="G101" t="str">
        <f>LEFT(IFERROR(INDEX(Fragenkatalog!$BR88,MATCH('Referral Stati'!$G$19,Fragenkatalog!AP88,0)),""),250)</f>
        <v/>
      </c>
      <c r="J101" t="str">
        <f t="array" ref="J101">LEFT(IFERROR(INDEX(Fragenkatalog!BR88,MATCH('Referral Stati'!$J$19,Fragenkatalog!W88,0)),""),250)</f>
        <v/>
      </c>
      <c r="K101" t="str">
        <f t="array" ref="K101">LEFT(IFERROR(INDEX(Fragenkatalog!BR88,MATCH('Referral Stati'!$K$19,Fragenkatalog!X88,0)),""),250)</f>
        <v/>
      </c>
      <c r="L101" s="19" t="str">
        <f>LEFT(IFERROR(INDEX(Fragenkatalog!$BR88,MATCH('Referral Stati'!$L$19,Fragenkatalog!Q88,0)),""),250)</f>
        <v/>
      </c>
      <c r="M101" s="19" t="str">
        <f>LEFT(IFERROR(INDEX(Fragenkatalog!$BR88,MATCH('Referral Stati'!$M$19,Fragenkatalog!R88,0)),""),250)</f>
        <v/>
      </c>
      <c r="N101" s="19" t="str">
        <f>LEFT(IFERROR(INDEX(Fragenkatalog!$BR88,MATCH('Referral Stati'!$N$19,Fragenkatalog!AI88,0)),""),250)</f>
        <v/>
      </c>
      <c r="O101" t="str">
        <f>LEFT(IFERROR(INDEX(Fragenkatalog!$BR88,MATCH('Referral Stati'!$O$19,Fragenkatalog!AJ88,0)),""),250)</f>
        <v/>
      </c>
      <c r="P101" s="19" t="str">
        <f>LEFT(IFERROR(INDEX(Fragenkatalog!$BR88,MATCH('Referral Stati'!$P$19,Fragenkatalog!AC88,0)),""),250)</f>
        <v/>
      </c>
      <c r="Q101" s="19" t="str">
        <f>LEFT(IFERROR(INDEX(Fragenkatalog!$BR88,MATCH('Referral Stati'!$Q$19,Fragenkatalog!AD88,0)),""),250)</f>
        <v/>
      </c>
      <c r="R101" t="str">
        <f>LEFT(IFERROR(INDEX(Fragenkatalog!$BR88,MATCH('Referral Stati'!$R$19,Fragenkatalog!BA88,0)),""),250)</f>
        <v/>
      </c>
      <c r="S101" t="str">
        <f>LEFT(IFERROR(INDEX(Fragenkatalog!$BR88,MATCH('Referral Stati'!$S$19,Fragenkatalog!BB88,0)),""),250)</f>
        <v/>
      </c>
      <c r="T101" t="str">
        <f>LEFT(IFERROR(INDEX(Fragenkatalog!$BR88,MATCH('Referral Stati'!$T$19,Fragenkatalog!BG88,0)),""),250)</f>
        <v/>
      </c>
      <c r="U101" t="str">
        <f>LEFT(IFERROR(INDEX(Fragenkatalog!$BR88,MATCH('Referral Stati'!$U$19,Fragenkatalog!BH88,0)),""),250)</f>
        <v/>
      </c>
      <c r="V101" t="str">
        <f>LEFT(IFERROR(INDEX(Fragenkatalog!$BR88,MATCH('Referral Stati'!$V$19,Fragenkatalog!BM88,0)),""),250)</f>
        <v/>
      </c>
      <c r="W101" t="str">
        <f>LEFT(IFERROR(INDEX(Fragenkatalog!$BR88,MATCH('Referral Stati'!$U$19,Fragenkatalog!BN88,0)),""),250)</f>
        <v/>
      </c>
    </row>
    <row r="102" spans="1:23" ht="20.25" customHeight="1">
      <c r="A102" s="168" t="str">
        <f>Fragenkatalog!B89</f>
        <v>RisikoFragenVereine102</v>
      </c>
      <c r="D102" t="str">
        <f>LEFT(IFERROR(INDEX(Fragenkatalog!$BR89,MATCH('Referral Stati'!$D$19,Fragenkatalog!AU89,0)),""),250)</f>
        <v/>
      </c>
      <c r="E102" s="19" t="str">
        <f>LEFT(IFERROR(INDEX(Fragenkatalog!$BR89,MATCH('Referral Stati'!$E$19,Fragenkatalog!AV89,0)),""),250)</f>
        <v/>
      </c>
      <c r="F102" s="19" t="str">
        <f>LEFT(IFERROR(INDEX(Fragenkatalog!$BR89,MATCH('Referral Stati'!$F$19,Fragenkatalog!AO89,0)),""),250)</f>
        <v/>
      </c>
      <c r="G102" t="str">
        <f>LEFT(IFERROR(INDEX(Fragenkatalog!$BR89,MATCH('Referral Stati'!$G$19,Fragenkatalog!AP89,0)),""),250)</f>
        <v/>
      </c>
      <c r="J102" t="str">
        <f t="array" ref="J102">LEFT(IFERROR(INDEX(Fragenkatalog!BR89,MATCH('Referral Stati'!$J$19,Fragenkatalog!W89,0)),""),250)</f>
        <v/>
      </c>
      <c r="K102" t="str">
        <f t="array" ref="K102">LEFT(IFERROR(INDEX(Fragenkatalog!BR89,MATCH('Referral Stati'!$K$19,Fragenkatalog!X89,0)),""),250)</f>
        <v/>
      </c>
      <c r="L102" s="19" t="str">
        <f>LEFT(IFERROR(INDEX(Fragenkatalog!$BR89,MATCH('Referral Stati'!$L$19,Fragenkatalog!Q89,0)),""),250)</f>
        <v/>
      </c>
      <c r="M102" s="19" t="str">
        <f>LEFT(IFERROR(INDEX(Fragenkatalog!$BR89,MATCH('Referral Stati'!$M$19,Fragenkatalog!R89,0)),""),250)</f>
        <v/>
      </c>
      <c r="N102" s="19" t="str">
        <f>LEFT(IFERROR(INDEX(Fragenkatalog!$BR89,MATCH('Referral Stati'!$N$19,Fragenkatalog!AI89,0)),""),250)</f>
        <v/>
      </c>
      <c r="O102" t="str">
        <f>LEFT(IFERROR(INDEX(Fragenkatalog!$BR89,MATCH('Referral Stati'!$O$19,Fragenkatalog!AJ89,0)),""),250)</f>
        <v/>
      </c>
      <c r="P102" s="19" t="str">
        <f>LEFT(IFERROR(INDEX(Fragenkatalog!$BR89,MATCH('Referral Stati'!$P$19,Fragenkatalog!AC89,0)),""),250)</f>
        <v/>
      </c>
      <c r="Q102" s="19" t="str">
        <f>LEFT(IFERROR(INDEX(Fragenkatalog!$BR89,MATCH('Referral Stati'!$Q$19,Fragenkatalog!AD89,0)),""),250)</f>
        <v/>
      </c>
      <c r="R102" t="str">
        <f>LEFT(IFERROR(INDEX(Fragenkatalog!$BR89,MATCH('Referral Stati'!$R$19,Fragenkatalog!BA89,0)),""),250)</f>
        <v/>
      </c>
      <c r="S102" t="str">
        <f>LEFT(IFERROR(INDEX(Fragenkatalog!$BR89,MATCH('Referral Stati'!$S$19,Fragenkatalog!BB89,0)),""),250)</f>
        <v/>
      </c>
      <c r="T102" t="str">
        <f>LEFT(IFERROR(INDEX(Fragenkatalog!$BR89,MATCH('Referral Stati'!$T$19,Fragenkatalog!BG89,0)),""),250)</f>
        <v/>
      </c>
      <c r="U102" t="str">
        <f>LEFT(IFERROR(INDEX(Fragenkatalog!$BR89,MATCH('Referral Stati'!$U$19,Fragenkatalog!BH89,0)),""),250)</f>
        <v/>
      </c>
      <c r="V102" t="str">
        <f>LEFT(IFERROR(INDEX(Fragenkatalog!$BR89,MATCH('Referral Stati'!$V$19,Fragenkatalog!BM89,0)),""),250)</f>
        <v/>
      </c>
      <c r="W102" t="str">
        <f>LEFT(IFERROR(INDEX(Fragenkatalog!$BR89,MATCH('Referral Stati'!$U$19,Fragenkatalog!BN89,0)),""),250)</f>
        <v/>
      </c>
    </row>
    <row r="103" spans="1:23" ht="20.25" customHeight="1">
      <c r="A103" s="168" t="str">
        <f>Fragenkatalog!B90</f>
        <v>RisikoFragenVereine104</v>
      </c>
      <c r="D103" t="str">
        <f>LEFT(IFERROR(INDEX(Fragenkatalog!$BR90,MATCH('Referral Stati'!$D$19,Fragenkatalog!AU90,0)),""),250)</f>
        <v/>
      </c>
      <c r="E103" s="19" t="str">
        <f>LEFT(IFERROR(INDEX(Fragenkatalog!$BR90,MATCH('Referral Stati'!$E$19,Fragenkatalog!AV90,0)),""),250)</f>
        <v/>
      </c>
      <c r="F103" s="19" t="str">
        <f>LEFT(IFERROR(INDEX(Fragenkatalog!$BR90,MATCH('Referral Stati'!$F$19,Fragenkatalog!AO90,0)),""),250)</f>
        <v/>
      </c>
      <c r="G103" t="str">
        <f>LEFT(IFERROR(INDEX(Fragenkatalog!$BR90,MATCH('Referral Stati'!$G$19,Fragenkatalog!AP90,0)),""),250)</f>
        <v/>
      </c>
      <c r="J103" t="str">
        <f t="array" ref="J103">LEFT(IFERROR(INDEX(Fragenkatalog!BR90,MATCH('Referral Stati'!$J$19,Fragenkatalog!W90,0)),""),250)</f>
        <v/>
      </c>
      <c r="K103" t="str">
        <f t="array" ref="K103">LEFT(IFERROR(INDEX(Fragenkatalog!BR90,MATCH('Referral Stati'!$K$19,Fragenkatalog!X90,0)),""),250)</f>
        <v/>
      </c>
      <c r="L103" s="19" t="str">
        <f>LEFT(IFERROR(INDEX(Fragenkatalog!$BR90,MATCH('Referral Stati'!$L$19,Fragenkatalog!Q90,0)),""),250)</f>
        <v/>
      </c>
      <c r="M103" s="19" t="str">
        <f>LEFT(IFERROR(INDEX(Fragenkatalog!$BR90,MATCH('Referral Stati'!$M$19,Fragenkatalog!R90,0)),""),250)</f>
        <v/>
      </c>
      <c r="N103" s="19" t="str">
        <f>LEFT(IFERROR(INDEX(Fragenkatalog!$BR90,MATCH('Referral Stati'!$N$19,Fragenkatalog!AI90,0)),""),250)</f>
        <v/>
      </c>
      <c r="O103" t="str">
        <f>LEFT(IFERROR(INDEX(Fragenkatalog!$BR90,MATCH('Referral Stati'!$O$19,Fragenkatalog!AJ90,0)),""),250)</f>
        <v/>
      </c>
      <c r="P103" s="19" t="str">
        <f>LEFT(IFERROR(INDEX(Fragenkatalog!$BR90,MATCH('Referral Stati'!$P$19,Fragenkatalog!AC90,0)),""),250)</f>
        <v/>
      </c>
      <c r="Q103" s="19" t="str">
        <f>LEFT(IFERROR(INDEX(Fragenkatalog!$BR90,MATCH('Referral Stati'!$Q$19,Fragenkatalog!AD90,0)),""),250)</f>
        <v/>
      </c>
      <c r="R103" t="str">
        <f>LEFT(IFERROR(INDEX(Fragenkatalog!$BR90,MATCH('Referral Stati'!$R$19,Fragenkatalog!BA90,0)),""),250)</f>
        <v/>
      </c>
      <c r="S103" t="str">
        <f>LEFT(IFERROR(INDEX(Fragenkatalog!$BR90,MATCH('Referral Stati'!$S$19,Fragenkatalog!BB90,0)),""),250)</f>
        <v/>
      </c>
      <c r="T103" t="str">
        <f>LEFT(IFERROR(INDEX(Fragenkatalog!$BR90,MATCH('Referral Stati'!$T$19,Fragenkatalog!BG90,0)),""),250)</f>
        <v/>
      </c>
      <c r="U103" t="str">
        <f>LEFT(IFERROR(INDEX(Fragenkatalog!$BR90,MATCH('Referral Stati'!$U$19,Fragenkatalog!BH90,0)),""),250)</f>
        <v/>
      </c>
      <c r="V103" t="str">
        <f>LEFT(IFERROR(INDEX(Fragenkatalog!$BR90,MATCH('Referral Stati'!$V$19,Fragenkatalog!BM90,0)),""),250)</f>
        <v/>
      </c>
      <c r="W103" t="str">
        <f>LEFT(IFERROR(INDEX(Fragenkatalog!$BR90,MATCH('Referral Stati'!$U$19,Fragenkatalog!BN90,0)),""),250)</f>
        <v/>
      </c>
    </row>
    <row r="104" spans="1:23" ht="20.25" customHeight="1">
      <c r="A104" s="168" t="str">
        <f>Fragenkatalog!B91</f>
        <v>RisikoFragenVereine105</v>
      </c>
      <c r="D104" t="str">
        <f>LEFT(IFERROR(INDEX(Fragenkatalog!$BR91,MATCH('Referral Stati'!$D$19,Fragenkatalog!AU91,0)),""),250)</f>
        <v/>
      </c>
      <c r="E104" s="19" t="str">
        <f>LEFT(IFERROR(INDEX(Fragenkatalog!$BR91,MATCH('Referral Stati'!$E$19,Fragenkatalog!AV91,0)),""),250)</f>
        <v/>
      </c>
      <c r="F104" s="19" t="str">
        <f>LEFT(IFERROR(INDEX(Fragenkatalog!$BR91,MATCH('Referral Stati'!$F$19,Fragenkatalog!AO91,0)),""),250)</f>
        <v/>
      </c>
      <c r="G104" t="str">
        <f>LEFT(IFERROR(INDEX(Fragenkatalog!$BR91,MATCH('Referral Stati'!$G$19,Fragenkatalog!AP91,0)),""),250)</f>
        <v/>
      </c>
      <c r="J104" t="str">
        <f t="array" ref="J104">LEFT(IFERROR(INDEX(Fragenkatalog!BR91,MATCH('Referral Stati'!$J$19,Fragenkatalog!W91,0)),""),250)</f>
        <v/>
      </c>
      <c r="K104" t="str">
        <f t="array" ref="K104">LEFT(IFERROR(INDEX(Fragenkatalog!BR91,MATCH('Referral Stati'!$K$19,Fragenkatalog!X91,0)),""),250)</f>
        <v/>
      </c>
      <c r="L104" s="19" t="str">
        <f>LEFT(IFERROR(INDEX(Fragenkatalog!$BR91,MATCH('Referral Stati'!$L$19,Fragenkatalog!Q91,0)),""),250)</f>
        <v/>
      </c>
      <c r="M104" s="19" t="str">
        <f>LEFT(IFERROR(INDEX(Fragenkatalog!$BR91,MATCH('Referral Stati'!$M$19,Fragenkatalog!R91,0)),""),250)</f>
        <v/>
      </c>
      <c r="N104" s="19" t="str">
        <f>LEFT(IFERROR(INDEX(Fragenkatalog!$BR91,MATCH('Referral Stati'!$N$19,Fragenkatalog!AI91,0)),""),250)</f>
        <v/>
      </c>
      <c r="O104" t="str">
        <f>LEFT(IFERROR(INDEX(Fragenkatalog!$BR91,MATCH('Referral Stati'!$O$19,Fragenkatalog!AJ91,0)),""),250)</f>
        <v/>
      </c>
      <c r="P104" s="19" t="str">
        <f>LEFT(IFERROR(INDEX(Fragenkatalog!$BR91,MATCH('Referral Stati'!$P$19,Fragenkatalog!AC91,0)),""),250)</f>
        <v/>
      </c>
      <c r="Q104" s="19" t="str">
        <f>LEFT(IFERROR(INDEX(Fragenkatalog!$BR91,MATCH('Referral Stati'!$Q$19,Fragenkatalog!AD91,0)),""),250)</f>
        <v/>
      </c>
      <c r="R104" t="str">
        <f>LEFT(IFERROR(INDEX(Fragenkatalog!$BR91,MATCH('Referral Stati'!$R$19,Fragenkatalog!BA91,0)),""),250)</f>
        <v/>
      </c>
      <c r="S104" t="str">
        <f>LEFT(IFERROR(INDEX(Fragenkatalog!$BR91,MATCH('Referral Stati'!$S$19,Fragenkatalog!BB91,0)),""),250)</f>
        <v/>
      </c>
      <c r="T104" t="str">
        <f>LEFT(IFERROR(INDEX(Fragenkatalog!$BR91,MATCH('Referral Stati'!$T$19,Fragenkatalog!BG91,0)),""),250)</f>
        <v/>
      </c>
      <c r="U104" t="str">
        <f>LEFT(IFERROR(INDEX(Fragenkatalog!$BR91,MATCH('Referral Stati'!$U$19,Fragenkatalog!BH91,0)),""),250)</f>
        <v/>
      </c>
      <c r="V104" t="str">
        <f>LEFT(IFERROR(INDEX(Fragenkatalog!$BR91,MATCH('Referral Stati'!$V$19,Fragenkatalog!BM91,0)),""),250)</f>
        <v/>
      </c>
      <c r="W104" t="str">
        <f>LEFT(IFERROR(INDEX(Fragenkatalog!$BR91,MATCH('Referral Stati'!$U$19,Fragenkatalog!BN91,0)),""),250)</f>
        <v/>
      </c>
    </row>
    <row r="105" spans="1:23" ht="20.25" customHeight="1">
      <c r="A105" s="168" t="str">
        <f>Fragenkatalog!B92</f>
        <v>RisikoFragenUSACAN106</v>
      </c>
      <c r="D105" t="str">
        <f>LEFT(IFERROR(INDEX(Fragenkatalog!$BR92,MATCH('Referral Stati'!$D$19,Fragenkatalog!AU92,0)),""),250)</f>
        <v/>
      </c>
      <c r="E105" s="19" t="str">
        <f>LEFT(IFERROR(INDEX(Fragenkatalog!$BR92,MATCH('Referral Stati'!$E$19,Fragenkatalog!AV92,0)),""),250)</f>
        <v/>
      </c>
      <c r="F105" s="19" t="str">
        <f>LEFT(IFERROR(INDEX(Fragenkatalog!$BR92,MATCH('Referral Stati'!$F$19,Fragenkatalog!AO92,0)),""),250)</f>
        <v/>
      </c>
      <c r="G105" t="str">
        <f>LEFT(IFERROR(INDEX(Fragenkatalog!$BR92,MATCH('Referral Stati'!$G$19,Fragenkatalog!AP92,0)),""),250)</f>
        <v/>
      </c>
      <c r="J105" t="str">
        <f t="array" ref="J105">LEFT(IFERROR(INDEX(Fragenkatalog!BR92,MATCH('Referral Stati'!$J$19,Fragenkatalog!W92,0)),""),250)</f>
        <v/>
      </c>
      <c r="K105" t="str">
        <f t="array" ref="K105">LEFT(IFERROR(INDEX(Fragenkatalog!BR92,MATCH('Referral Stati'!$K$19,Fragenkatalog!X92,0)),""),250)</f>
        <v/>
      </c>
      <c r="L105" s="19" t="str">
        <f>LEFT(IFERROR(INDEX(Fragenkatalog!$BR92,MATCH('Referral Stati'!$L$19,Fragenkatalog!Q92,0)),""),250)</f>
        <v/>
      </c>
      <c r="M105" s="19" t="str">
        <f>LEFT(IFERROR(INDEX(Fragenkatalog!$BR92,MATCH('Referral Stati'!$M$19,Fragenkatalog!R92,0)),""),250)</f>
        <v/>
      </c>
      <c r="N105" s="19" t="str">
        <f>LEFT(IFERROR(INDEX(Fragenkatalog!$BR92,MATCH('Referral Stati'!$N$19,Fragenkatalog!AI92,0)),""),250)</f>
        <v/>
      </c>
      <c r="O105" t="str">
        <f>LEFT(IFERROR(INDEX(Fragenkatalog!$BR92,MATCH('Referral Stati'!$O$19,Fragenkatalog!AJ92,0)),""),250)</f>
        <v/>
      </c>
      <c r="P105" s="19" t="str">
        <f>LEFT(IFERROR(INDEX(Fragenkatalog!$BR92,MATCH('Referral Stati'!$P$19,Fragenkatalog!AC92,0)),""),250)</f>
        <v/>
      </c>
      <c r="Q105" s="19" t="str">
        <f>LEFT(IFERROR(INDEX(Fragenkatalog!$BR92,MATCH('Referral Stati'!$Q$19,Fragenkatalog!AD92,0)),""),250)</f>
        <v/>
      </c>
      <c r="R105" t="str">
        <f>LEFT(IFERROR(INDEX(Fragenkatalog!$BR92,MATCH('Referral Stati'!$R$19,Fragenkatalog!BA92,0)),""),250)</f>
        <v/>
      </c>
      <c r="S105" t="str">
        <f>LEFT(IFERROR(INDEX(Fragenkatalog!$BR92,MATCH('Referral Stati'!$S$19,Fragenkatalog!BB92,0)),""),250)</f>
        <v/>
      </c>
      <c r="T105" t="str">
        <f>LEFT(IFERROR(INDEX(Fragenkatalog!$BR92,MATCH('Referral Stati'!$T$19,Fragenkatalog!BG92,0)),""),250)</f>
        <v/>
      </c>
      <c r="U105" t="str">
        <f>LEFT(IFERROR(INDEX(Fragenkatalog!$BR92,MATCH('Referral Stati'!$U$19,Fragenkatalog!BH92,0)),""),250)</f>
        <v/>
      </c>
      <c r="V105" t="str">
        <f>LEFT(IFERROR(INDEX(Fragenkatalog!$BR92,MATCH('Referral Stati'!$V$19,Fragenkatalog!BM92,0)),""),250)</f>
        <v/>
      </c>
      <c r="W105" t="str">
        <f>LEFT(IFERROR(INDEX(Fragenkatalog!$BR92,MATCH('Referral Stati'!$U$19,Fragenkatalog!BN92,0)),""),250)</f>
        <v/>
      </c>
    </row>
    <row r="106" spans="1:23" ht="20.25" customHeight="1">
      <c r="A106" s="168" t="str">
        <f>Fragenkatalog!B93</f>
        <v>RisikoFragenUSACAN107</v>
      </c>
      <c r="D106" t="str">
        <f>LEFT(IFERROR(INDEX(Fragenkatalog!$BR93,MATCH('Referral Stati'!$D$19,Fragenkatalog!AU93,0)),""),250)</f>
        <v/>
      </c>
      <c r="E106" s="19" t="str">
        <f>LEFT(IFERROR(INDEX(Fragenkatalog!$BR93,MATCH('Referral Stati'!$E$19,Fragenkatalog!AV93,0)),""),250)</f>
        <v/>
      </c>
      <c r="F106" s="19" t="str">
        <f>LEFT(IFERROR(INDEX(Fragenkatalog!$BR93,MATCH('Referral Stati'!$F$19,Fragenkatalog!AO93,0)),""),250)</f>
        <v/>
      </c>
      <c r="G106" t="str">
        <f>LEFT(IFERROR(INDEX(Fragenkatalog!$BR93,MATCH('Referral Stati'!$G$19,Fragenkatalog!AP93,0)),""),250)</f>
        <v/>
      </c>
      <c r="J106" t="str">
        <f t="array" ref="J106">LEFT(IFERROR(INDEX(Fragenkatalog!BR93,MATCH('Referral Stati'!$J$19,Fragenkatalog!W93,0)),""),250)</f>
        <v/>
      </c>
      <c r="K106" t="str">
        <f t="array" ref="K106">LEFT(IFERROR(INDEX(Fragenkatalog!BR93,MATCH('Referral Stati'!$K$19,Fragenkatalog!X93,0)),""),250)</f>
        <v/>
      </c>
      <c r="L106" s="19" t="str">
        <f>LEFT(IFERROR(INDEX(Fragenkatalog!$BR93,MATCH('Referral Stati'!$L$19,Fragenkatalog!Q93,0)),""),250)</f>
        <v/>
      </c>
      <c r="M106" s="19" t="str">
        <f>LEFT(IFERROR(INDEX(Fragenkatalog!$BR93,MATCH('Referral Stati'!$M$19,Fragenkatalog!R93,0)),""),250)</f>
        <v/>
      </c>
      <c r="N106" s="19" t="str">
        <f>LEFT(IFERROR(INDEX(Fragenkatalog!$BR93,MATCH('Referral Stati'!$N$19,Fragenkatalog!AI93,0)),""),250)</f>
        <v/>
      </c>
      <c r="O106" t="str">
        <f>LEFT(IFERROR(INDEX(Fragenkatalog!$BR93,MATCH('Referral Stati'!$O$19,Fragenkatalog!AJ93,0)),""),250)</f>
        <v/>
      </c>
      <c r="P106" s="19" t="str">
        <f>LEFT(IFERROR(INDEX(Fragenkatalog!$BR93,MATCH('Referral Stati'!$P$19,Fragenkatalog!AC93,0)),""),250)</f>
        <v/>
      </c>
      <c r="Q106" s="19" t="str">
        <f>LEFT(IFERROR(INDEX(Fragenkatalog!$BR93,MATCH('Referral Stati'!$Q$19,Fragenkatalog!AD93,0)),""),250)</f>
        <v/>
      </c>
      <c r="R106" t="str">
        <f>LEFT(IFERROR(INDEX(Fragenkatalog!$BR93,MATCH('Referral Stati'!$R$19,Fragenkatalog!BA93,0)),""),250)</f>
        <v/>
      </c>
      <c r="S106" t="str">
        <f>LEFT(IFERROR(INDEX(Fragenkatalog!$BR93,MATCH('Referral Stati'!$S$19,Fragenkatalog!BB93,0)),""),250)</f>
        <v/>
      </c>
      <c r="T106" t="str">
        <f>LEFT(IFERROR(INDEX(Fragenkatalog!$BR93,MATCH('Referral Stati'!$T$19,Fragenkatalog!BG93,0)),""),250)</f>
        <v/>
      </c>
      <c r="U106" t="str">
        <f>LEFT(IFERROR(INDEX(Fragenkatalog!$BR93,MATCH('Referral Stati'!$U$19,Fragenkatalog!BH93,0)),""),250)</f>
        <v/>
      </c>
      <c r="V106" t="str">
        <f>LEFT(IFERROR(INDEX(Fragenkatalog!$BR93,MATCH('Referral Stati'!$V$19,Fragenkatalog!BM93,0)),""),250)</f>
        <v/>
      </c>
      <c r="W106" t="str">
        <f>LEFT(IFERROR(INDEX(Fragenkatalog!$BR93,MATCH('Referral Stati'!$U$19,Fragenkatalog!BN93,0)),""),250)</f>
        <v/>
      </c>
    </row>
    <row r="107" spans="1:23" ht="20.25" customHeight="1">
      <c r="A107" s="168" t="str">
        <f>Fragenkatalog!B94</f>
        <v>RisikoFragenUSACAN108</v>
      </c>
      <c r="D107" t="str">
        <f>LEFT(IFERROR(INDEX(Fragenkatalog!$BR94,MATCH('Referral Stati'!$D$19,Fragenkatalog!AU94,0)),""),250)</f>
        <v/>
      </c>
      <c r="E107" s="19" t="str">
        <f>LEFT(IFERROR(INDEX(Fragenkatalog!$BR94,MATCH('Referral Stati'!$E$19,Fragenkatalog!AV94,0)),""),250)</f>
        <v/>
      </c>
      <c r="F107" s="19" t="str">
        <f>LEFT(IFERROR(INDEX(Fragenkatalog!$BR94,MATCH('Referral Stati'!$F$19,Fragenkatalog!AO94,0)),""),250)</f>
        <v/>
      </c>
      <c r="G107" t="str">
        <f>LEFT(IFERROR(INDEX(Fragenkatalog!$BR94,MATCH('Referral Stati'!$G$19,Fragenkatalog!AP94,0)),""),250)</f>
        <v/>
      </c>
      <c r="J107" t="str">
        <f t="array" ref="J107">LEFT(IFERROR(INDEX(Fragenkatalog!BR94,MATCH('Referral Stati'!$J$19,Fragenkatalog!W94,0)),""),250)</f>
        <v/>
      </c>
      <c r="K107" t="str">
        <f t="array" ref="K107">LEFT(IFERROR(INDEX(Fragenkatalog!BR94,MATCH('Referral Stati'!$K$19,Fragenkatalog!X94,0)),""),250)</f>
        <v/>
      </c>
      <c r="L107" s="19" t="str">
        <f>LEFT(IFERROR(INDEX(Fragenkatalog!$BR94,MATCH('Referral Stati'!$L$19,Fragenkatalog!Q94,0)),""),250)</f>
        <v/>
      </c>
      <c r="M107" s="19" t="str">
        <f>LEFT(IFERROR(INDEX(Fragenkatalog!$BR94,MATCH('Referral Stati'!$M$19,Fragenkatalog!R94,0)),""),250)</f>
        <v/>
      </c>
      <c r="N107" s="19" t="str">
        <f>LEFT(IFERROR(INDEX(Fragenkatalog!$BR94,MATCH('Referral Stati'!$N$19,Fragenkatalog!AI94,0)),""),250)</f>
        <v/>
      </c>
      <c r="O107" t="str">
        <f>LEFT(IFERROR(INDEX(Fragenkatalog!$BR94,MATCH('Referral Stati'!$O$19,Fragenkatalog!AJ94,0)),""),250)</f>
        <v/>
      </c>
      <c r="P107" s="19" t="str">
        <f>LEFT(IFERROR(INDEX(Fragenkatalog!$BR94,MATCH('Referral Stati'!$P$19,Fragenkatalog!AC94,0)),""),250)</f>
        <v/>
      </c>
      <c r="Q107" s="19" t="str">
        <f>LEFT(IFERROR(INDEX(Fragenkatalog!$BR94,MATCH('Referral Stati'!$Q$19,Fragenkatalog!AD94,0)),""),250)</f>
        <v/>
      </c>
      <c r="R107" t="str">
        <f>LEFT(IFERROR(INDEX(Fragenkatalog!$BR94,MATCH('Referral Stati'!$R$19,Fragenkatalog!BA94,0)),""),250)</f>
        <v/>
      </c>
      <c r="S107" t="str">
        <f>LEFT(IFERROR(INDEX(Fragenkatalog!$BR94,MATCH('Referral Stati'!$S$19,Fragenkatalog!BB94,0)),""),250)</f>
        <v/>
      </c>
      <c r="T107" t="str">
        <f>LEFT(IFERROR(INDEX(Fragenkatalog!$BR94,MATCH('Referral Stati'!$T$19,Fragenkatalog!BG94,0)),""),250)</f>
        <v/>
      </c>
      <c r="U107" t="str">
        <f>LEFT(IFERROR(INDEX(Fragenkatalog!$BR94,MATCH('Referral Stati'!$U$19,Fragenkatalog!BH94,0)),""),250)</f>
        <v/>
      </c>
      <c r="V107" t="str">
        <f>LEFT(IFERROR(INDEX(Fragenkatalog!$BR94,MATCH('Referral Stati'!$V$19,Fragenkatalog!BM94,0)),""),250)</f>
        <v/>
      </c>
      <c r="W107" t="str">
        <f>LEFT(IFERROR(INDEX(Fragenkatalog!$BR94,MATCH('Referral Stati'!$U$19,Fragenkatalog!BN94,0)),""),250)</f>
        <v/>
      </c>
    </row>
    <row r="108" spans="1:23" ht="20.25" customHeight="1">
      <c r="A108" s="168" t="str">
        <f>Fragenkatalog!B95</f>
        <v>RisikoFragenUSACAN109</v>
      </c>
      <c r="D108" t="str">
        <f>LEFT(IFERROR(INDEX(Fragenkatalog!$BR95,MATCH('Referral Stati'!$D$19,Fragenkatalog!AU95,0)),""),250)</f>
        <v/>
      </c>
      <c r="E108" s="19" t="str">
        <f>LEFT(IFERROR(INDEX(Fragenkatalog!$BR95,MATCH('Referral Stati'!$E$19,Fragenkatalog!AV95,0)),""),250)</f>
        <v/>
      </c>
      <c r="F108" s="19" t="str">
        <f>LEFT(IFERROR(INDEX(Fragenkatalog!$BR95,MATCH('Referral Stati'!$F$19,Fragenkatalog!AO95,0)),""),250)</f>
        <v/>
      </c>
      <c r="G108" t="str">
        <f>LEFT(IFERROR(INDEX(Fragenkatalog!$BR95,MATCH('Referral Stati'!$G$19,Fragenkatalog!AP95,0)),""),250)</f>
        <v/>
      </c>
      <c r="J108" t="str">
        <f t="array" ref="J108">LEFT(IFERROR(INDEX(Fragenkatalog!BR95,MATCH('Referral Stati'!$J$19,Fragenkatalog!W95,0)),""),250)</f>
        <v/>
      </c>
      <c r="K108" t="str">
        <f t="array" ref="K108">LEFT(IFERROR(INDEX(Fragenkatalog!BR95,MATCH('Referral Stati'!$K$19,Fragenkatalog!X95,0)),""),250)</f>
        <v/>
      </c>
      <c r="L108" s="19" t="str">
        <f>LEFT(IFERROR(INDEX(Fragenkatalog!$BR95,MATCH('Referral Stati'!$L$19,Fragenkatalog!Q95,0)),""),250)</f>
        <v/>
      </c>
      <c r="M108" s="19" t="str">
        <f>LEFT(IFERROR(INDEX(Fragenkatalog!$BR95,MATCH('Referral Stati'!$M$19,Fragenkatalog!R95,0)),""),250)</f>
        <v/>
      </c>
      <c r="N108" s="19" t="str">
        <f>LEFT(IFERROR(INDEX(Fragenkatalog!$BR95,MATCH('Referral Stati'!$N$19,Fragenkatalog!AI95,0)),""),250)</f>
        <v/>
      </c>
      <c r="O108" t="str">
        <f>LEFT(IFERROR(INDEX(Fragenkatalog!$BR95,MATCH('Referral Stati'!$O$19,Fragenkatalog!AJ95,0)),""),250)</f>
        <v/>
      </c>
      <c r="P108" s="19" t="str">
        <f>LEFT(IFERROR(INDEX(Fragenkatalog!$BR95,MATCH('Referral Stati'!$P$19,Fragenkatalog!AC95,0)),""),250)</f>
        <v/>
      </c>
      <c r="Q108" s="19" t="str">
        <f>LEFT(IFERROR(INDEX(Fragenkatalog!$BR95,MATCH('Referral Stati'!$Q$19,Fragenkatalog!AD95,0)),""),250)</f>
        <v/>
      </c>
      <c r="R108" t="str">
        <f>LEFT(IFERROR(INDEX(Fragenkatalog!$BR95,MATCH('Referral Stati'!$R$19,Fragenkatalog!BA95,0)),""),250)</f>
        <v/>
      </c>
      <c r="S108" t="str">
        <f>LEFT(IFERROR(INDEX(Fragenkatalog!$BR95,MATCH('Referral Stati'!$S$19,Fragenkatalog!BB95,0)),""),250)</f>
        <v/>
      </c>
      <c r="T108" t="str">
        <f>LEFT(IFERROR(INDEX(Fragenkatalog!$BR95,MATCH('Referral Stati'!$T$19,Fragenkatalog!BG95,0)),""),250)</f>
        <v/>
      </c>
      <c r="U108" t="str">
        <f>LEFT(IFERROR(INDEX(Fragenkatalog!$BR95,MATCH('Referral Stati'!$U$19,Fragenkatalog!BH95,0)),""),250)</f>
        <v/>
      </c>
      <c r="V108" t="str">
        <f>LEFT(IFERROR(INDEX(Fragenkatalog!$BR95,MATCH('Referral Stati'!$V$19,Fragenkatalog!BM95,0)),""),250)</f>
        <v/>
      </c>
      <c r="W108" t="str">
        <f>LEFT(IFERROR(INDEX(Fragenkatalog!$BR95,MATCH('Referral Stati'!$U$19,Fragenkatalog!BN95,0)),""),250)</f>
        <v/>
      </c>
    </row>
    <row r="109" spans="1:23" ht="20.25" customHeight="1">
      <c r="A109" s="168" t="str">
        <f>Fragenkatalog!B96</f>
        <v>RisikoFragenUSACAN110</v>
      </c>
      <c r="D109" t="str">
        <f>LEFT(IFERROR(INDEX(Fragenkatalog!$BR96,MATCH('Referral Stati'!$D$19,Fragenkatalog!AU96,0)),""),250)</f>
        <v/>
      </c>
      <c r="E109" s="19" t="str">
        <f>LEFT(IFERROR(INDEX(Fragenkatalog!$BR96,MATCH('Referral Stati'!$E$19,Fragenkatalog!AV96,0)),""),250)</f>
        <v/>
      </c>
      <c r="F109" s="19" t="str">
        <f>LEFT(IFERROR(INDEX(Fragenkatalog!$BR96,MATCH('Referral Stati'!$F$19,Fragenkatalog!AO96,0)),""),250)</f>
        <v/>
      </c>
      <c r="G109" t="str">
        <f>LEFT(IFERROR(INDEX(Fragenkatalog!$BR96,MATCH('Referral Stati'!$G$19,Fragenkatalog!AP96,0)),""),250)</f>
        <v/>
      </c>
      <c r="J109" t="str">
        <f t="array" ref="J109">LEFT(IFERROR(INDEX(Fragenkatalog!BR96,MATCH('Referral Stati'!$J$19,Fragenkatalog!W96,0)),""),250)</f>
        <v/>
      </c>
      <c r="K109" t="str">
        <f t="array" ref="K109">LEFT(IFERROR(INDEX(Fragenkatalog!BR96,MATCH('Referral Stati'!$K$19,Fragenkatalog!X96,0)),""),250)</f>
        <v/>
      </c>
      <c r="L109" s="19" t="str">
        <f>LEFT(IFERROR(INDEX(Fragenkatalog!$BR96,MATCH('Referral Stati'!$L$19,Fragenkatalog!Q96,0)),""),250)</f>
        <v/>
      </c>
      <c r="M109" s="19" t="str">
        <f>LEFT(IFERROR(INDEX(Fragenkatalog!$BR96,MATCH('Referral Stati'!$M$19,Fragenkatalog!R96,0)),""),250)</f>
        <v/>
      </c>
      <c r="N109" s="19" t="str">
        <f>LEFT(IFERROR(INDEX(Fragenkatalog!$BR96,MATCH('Referral Stati'!$N$19,Fragenkatalog!AI96,0)),""),250)</f>
        <v/>
      </c>
      <c r="O109" t="str">
        <f>LEFT(IFERROR(INDEX(Fragenkatalog!$BR96,MATCH('Referral Stati'!$O$19,Fragenkatalog!AJ96,0)),""),250)</f>
        <v/>
      </c>
      <c r="P109" s="19" t="str">
        <f>LEFT(IFERROR(INDEX(Fragenkatalog!$BR96,MATCH('Referral Stati'!$P$19,Fragenkatalog!AC96,0)),""),250)</f>
        <v/>
      </c>
      <c r="Q109" s="19" t="str">
        <f>LEFT(IFERROR(INDEX(Fragenkatalog!$BR96,MATCH('Referral Stati'!$Q$19,Fragenkatalog!AD96,0)),""),250)</f>
        <v/>
      </c>
      <c r="R109" t="str">
        <f>LEFT(IFERROR(INDEX(Fragenkatalog!$BR96,MATCH('Referral Stati'!$R$19,Fragenkatalog!BA96,0)),""),250)</f>
        <v/>
      </c>
      <c r="S109" t="str">
        <f>LEFT(IFERROR(INDEX(Fragenkatalog!$BR96,MATCH('Referral Stati'!$S$19,Fragenkatalog!BB96,0)),""),250)</f>
        <v/>
      </c>
      <c r="T109" t="str">
        <f>LEFT(IFERROR(INDEX(Fragenkatalog!$BR96,MATCH('Referral Stati'!$T$19,Fragenkatalog!BG96,0)),""),250)</f>
        <v/>
      </c>
      <c r="U109" t="str">
        <f>LEFT(IFERROR(INDEX(Fragenkatalog!$BR96,MATCH('Referral Stati'!$U$19,Fragenkatalog!BH96,0)),""),250)</f>
        <v/>
      </c>
      <c r="V109" t="str">
        <f>LEFT(IFERROR(INDEX(Fragenkatalog!$BR96,MATCH('Referral Stati'!$V$19,Fragenkatalog!BM96,0)),""),250)</f>
        <v/>
      </c>
      <c r="W109" t="str">
        <f>LEFT(IFERROR(INDEX(Fragenkatalog!$BR96,MATCH('Referral Stati'!$U$19,Fragenkatalog!BN96,0)),""),250)</f>
        <v/>
      </c>
    </row>
    <row r="110" spans="1:23" ht="20.25" customHeight="1">
      <c r="A110" s="168" t="str">
        <f>Fragenkatalog!B97</f>
        <v>RisikoFragenUSACAN111</v>
      </c>
      <c r="D110" t="str">
        <f>LEFT(IFERROR(INDEX(Fragenkatalog!$BR97,MATCH('Referral Stati'!$D$19,Fragenkatalog!AU97,0)),""),250)</f>
        <v/>
      </c>
      <c r="E110" s="19" t="str">
        <f>LEFT(IFERROR(INDEX(Fragenkatalog!$BR97,MATCH('Referral Stati'!$E$19,Fragenkatalog!AV97,0)),""),250)</f>
        <v/>
      </c>
      <c r="F110" s="19" t="str">
        <f>LEFT(IFERROR(INDEX(Fragenkatalog!$BR97,MATCH('Referral Stati'!$F$19,Fragenkatalog!AO97,0)),""),250)</f>
        <v/>
      </c>
      <c r="G110" t="str">
        <f>LEFT(IFERROR(INDEX(Fragenkatalog!$BR97,MATCH('Referral Stati'!$G$19,Fragenkatalog!AP97,0)),""),250)</f>
        <v/>
      </c>
      <c r="J110" t="str">
        <f t="array" ref="J110">LEFT(IFERROR(INDEX(Fragenkatalog!BR97,MATCH('Referral Stati'!$J$19,Fragenkatalog!W97,0)),""),250)</f>
        <v/>
      </c>
      <c r="K110" t="str">
        <f t="array" ref="K110">LEFT(IFERROR(INDEX(Fragenkatalog!BR97,MATCH('Referral Stati'!$K$19,Fragenkatalog!X97,0)),""),250)</f>
        <v/>
      </c>
      <c r="L110" s="19" t="str">
        <f>LEFT(IFERROR(INDEX(Fragenkatalog!$BR97,MATCH('Referral Stati'!$L$19,Fragenkatalog!Q97,0)),""),250)</f>
        <v/>
      </c>
      <c r="M110" s="19" t="str">
        <f>LEFT(IFERROR(INDEX(Fragenkatalog!$BR97,MATCH('Referral Stati'!$M$19,Fragenkatalog!R97,0)),""),250)</f>
        <v/>
      </c>
      <c r="N110" s="19" t="str">
        <f>LEFT(IFERROR(INDEX(Fragenkatalog!$BR97,MATCH('Referral Stati'!$N$19,Fragenkatalog!AI97,0)),""),250)</f>
        <v/>
      </c>
      <c r="O110" t="str">
        <f>LEFT(IFERROR(INDEX(Fragenkatalog!$BR97,MATCH('Referral Stati'!$O$19,Fragenkatalog!AJ97,0)),""),250)</f>
        <v/>
      </c>
      <c r="P110" s="19" t="str">
        <f>LEFT(IFERROR(INDEX(Fragenkatalog!$BR97,MATCH('Referral Stati'!$P$19,Fragenkatalog!AC97,0)),""),250)</f>
        <v/>
      </c>
      <c r="Q110" s="19" t="str">
        <f>LEFT(IFERROR(INDEX(Fragenkatalog!$BR97,MATCH('Referral Stati'!$Q$19,Fragenkatalog!AD97,0)),""),250)</f>
        <v/>
      </c>
      <c r="R110" t="str">
        <f>LEFT(IFERROR(INDEX(Fragenkatalog!$BR97,MATCH('Referral Stati'!$R$19,Fragenkatalog!BA97,0)),""),250)</f>
        <v/>
      </c>
      <c r="S110" t="str">
        <f>LEFT(IFERROR(INDEX(Fragenkatalog!$BR97,MATCH('Referral Stati'!$S$19,Fragenkatalog!BB97,0)),""),250)</f>
        <v/>
      </c>
      <c r="T110" t="str">
        <f>LEFT(IFERROR(INDEX(Fragenkatalog!$BR97,MATCH('Referral Stati'!$T$19,Fragenkatalog!BG97,0)),""),250)</f>
        <v/>
      </c>
      <c r="U110" t="str">
        <f>LEFT(IFERROR(INDEX(Fragenkatalog!$BR97,MATCH('Referral Stati'!$U$19,Fragenkatalog!BH97,0)),""),250)</f>
        <v/>
      </c>
      <c r="V110" t="str">
        <f>LEFT(IFERROR(INDEX(Fragenkatalog!$BR97,MATCH('Referral Stati'!$V$19,Fragenkatalog!BM97,0)),""),250)</f>
        <v/>
      </c>
      <c r="W110" t="str">
        <f>LEFT(IFERROR(INDEX(Fragenkatalog!$BR97,MATCH('Referral Stati'!$U$19,Fragenkatalog!BN97,0)),""),250)</f>
        <v/>
      </c>
    </row>
    <row r="111" spans="1:23" ht="20.25" customHeight="1">
      <c r="A111" s="168" t="str">
        <f>Fragenkatalog!B98</f>
        <v>RisikoFragenUSACAN112</v>
      </c>
      <c r="D111" t="str">
        <f>LEFT(IFERROR(INDEX(Fragenkatalog!$BR98,MATCH('Referral Stati'!$D$19,Fragenkatalog!AU98,0)),""),250)</f>
        <v/>
      </c>
      <c r="E111" s="19" t="str">
        <f>LEFT(IFERROR(INDEX(Fragenkatalog!$BR98,MATCH('Referral Stati'!$E$19,Fragenkatalog!AV98,0)),""),250)</f>
        <v/>
      </c>
      <c r="F111" s="19" t="str">
        <f>LEFT(IFERROR(INDEX(Fragenkatalog!$BR98,MATCH('Referral Stati'!$F$19,Fragenkatalog!AO98,0)),""),250)</f>
        <v/>
      </c>
      <c r="G111" t="str">
        <f>LEFT(IFERROR(INDEX(Fragenkatalog!$BR98,MATCH('Referral Stati'!$G$19,Fragenkatalog!AP98,0)),""),250)</f>
        <v/>
      </c>
      <c r="J111" t="str">
        <f t="array" ref="J111">LEFT(IFERROR(INDEX(Fragenkatalog!BR98,MATCH('Referral Stati'!$J$19,Fragenkatalog!W98,0)),""),250)</f>
        <v/>
      </c>
      <c r="K111" t="str">
        <f t="array" ref="K111">LEFT(IFERROR(INDEX(Fragenkatalog!BR98,MATCH('Referral Stati'!$K$19,Fragenkatalog!X98,0)),""),250)</f>
        <v/>
      </c>
      <c r="L111" s="19" t="str">
        <f>LEFT(IFERROR(INDEX(Fragenkatalog!$BR98,MATCH('Referral Stati'!$L$19,Fragenkatalog!Q98,0)),""),250)</f>
        <v/>
      </c>
      <c r="M111" s="19" t="str">
        <f>LEFT(IFERROR(INDEX(Fragenkatalog!$BR98,MATCH('Referral Stati'!$M$19,Fragenkatalog!R98,0)),""),250)</f>
        <v/>
      </c>
      <c r="N111" s="19" t="str">
        <f>LEFT(IFERROR(INDEX(Fragenkatalog!$BR98,MATCH('Referral Stati'!$N$19,Fragenkatalog!AI98,0)),""),250)</f>
        <v/>
      </c>
      <c r="O111" t="str">
        <f>LEFT(IFERROR(INDEX(Fragenkatalog!$BR98,MATCH('Referral Stati'!$O$19,Fragenkatalog!AJ98,0)),""),250)</f>
        <v/>
      </c>
      <c r="P111" s="19" t="str">
        <f>LEFT(IFERROR(INDEX(Fragenkatalog!$BR98,MATCH('Referral Stati'!$P$19,Fragenkatalog!AC98,0)),""),250)</f>
        <v/>
      </c>
      <c r="Q111" s="19" t="str">
        <f>LEFT(IFERROR(INDEX(Fragenkatalog!$BR98,MATCH('Referral Stati'!$Q$19,Fragenkatalog!AD98,0)),""),250)</f>
        <v/>
      </c>
      <c r="R111" t="str">
        <f>LEFT(IFERROR(INDEX(Fragenkatalog!$BR98,MATCH('Referral Stati'!$R$19,Fragenkatalog!BA98,0)),""),250)</f>
        <v/>
      </c>
      <c r="S111" t="str">
        <f>LEFT(IFERROR(INDEX(Fragenkatalog!$BR98,MATCH('Referral Stati'!$S$19,Fragenkatalog!BB98,0)),""),250)</f>
        <v/>
      </c>
      <c r="T111" t="str">
        <f>LEFT(IFERROR(INDEX(Fragenkatalog!$BR98,MATCH('Referral Stati'!$T$19,Fragenkatalog!BG98,0)),""),250)</f>
        <v/>
      </c>
      <c r="U111" t="str">
        <f>LEFT(IFERROR(INDEX(Fragenkatalog!$BR98,MATCH('Referral Stati'!$U$19,Fragenkatalog!BH98,0)),""),250)</f>
        <v/>
      </c>
      <c r="V111" t="str">
        <f>LEFT(IFERROR(INDEX(Fragenkatalog!$BR98,MATCH('Referral Stati'!$V$19,Fragenkatalog!BM98,0)),""),250)</f>
        <v/>
      </c>
      <c r="W111" t="str">
        <f>LEFT(IFERROR(INDEX(Fragenkatalog!$BR98,MATCH('Referral Stati'!$U$19,Fragenkatalog!BN98,0)),""),250)</f>
        <v/>
      </c>
    </row>
    <row r="112" spans="1:23" ht="20.25" customHeight="1">
      <c r="A112" s="168" t="str">
        <f>Fragenkatalog!B99</f>
        <v>RisikoFragenUSACAN113</v>
      </c>
      <c r="D112" t="str">
        <f>LEFT(IFERROR(INDEX(Fragenkatalog!$BR99,MATCH('Referral Stati'!$D$19,Fragenkatalog!AU99,0)),""),250)</f>
        <v/>
      </c>
      <c r="E112" s="19" t="str">
        <f>LEFT(IFERROR(INDEX(Fragenkatalog!$BR99,MATCH('Referral Stati'!$E$19,Fragenkatalog!AV99,0)),""),250)</f>
        <v/>
      </c>
      <c r="F112" s="19" t="str">
        <f>LEFT(IFERROR(INDEX(Fragenkatalog!$BR99,MATCH('Referral Stati'!$F$19,Fragenkatalog!AO99,0)),""),250)</f>
        <v/>
      </c>
      <c r="G112" t="str">
        <f>LEFT(IFERROR(INDEX(Fragenkatalog!$BR99,MATCH('Referral Stati'!$G$19,Fragenkatalog!AP99,0)),""),250)</f>
        <v/>
      </c>
      <c r="J112" t="str">
        <f t="array" ref="J112">LEFT(IFERROR(INDEX(Fragenkatalog!BR99,MATCH('Referral Stati'!$J$19,Fragenkatalog!W99,0)),""),250)</f>
        <v/>
      </c>
      <c r="K112" t="str">
        <f t="array" ref="K112">LEFT(IFERROR(INDEX(Fragenkatalog!BR99,MATCH('Referral Stati'!$K$19,Fragenkatalog!X99,0)),""),250)</f>
        <v/>
      </c>
      <c r="L112" s="19" t="str">
        <f>LEFT(IFERROR(INDEX(Fragenkatalog!$BR99,MATCH('Referral Stati'!$L$19,Fragenkatalog!Q99,0)),""),250)</f>
        <v/>
      </c>
      <c r="M112" s="19" t="str">
        <f>LEFT(IFERROR(INDEX(Fragenkatalog!$BR99,MATCH('Referral Stati'!$M$19,Fragenkatalog!R99,0)),""),250)</f>
        <v/>
      </c>
      <c r="N112" s="19" t="str">
        <f>LEFT(IFERROR(INDEX(Fragenkatalog!$BR99,MATCH('Referral Stati'!$N$19,Fragenkatalog!AI99,0)),""),250)</f>
        <v/>
      </c>
      <c r="O112" t="str">
        <f>LEFT(IFERROR(INDEX(Fragenkatalog!$BR99,MATCH('Referral Stati'!$O$19,Fragenkatalog!AJ99,0)),""),250)</f>
        <v/>
      </c>
      <c r="P112" s="19" t="str">
        <f>LEFT(IFERROR(INDEX(Fragenkatalog!$BR99,MATCH('Referral Stati'!$P$19,Fragenkatalog!AC99,0)),""),250)</f>
        <v/>
      </c>
      <c r="Q112" s="19" t="str">
        <f>LEFT(IFERROR(INDEX(Fragenkatalog!$BR99,MATCH('Referral Stati'!$Q$19,Fragenkatalog!AD99,0)),""),250)</f>
        <v/>
      </c>
      <c r="R112" t="str">
        <f>LEFT(IFERROR(INDEX(Fragenkatalog!$BR99,MATCH('Referral Stati'!$R$19,Fragenkatalog!BA99,0)),""),250)</f>
        <v/>
      </c>
      <c r="S112" t="str">
        <f>LEFT(IFERROR(INDEX(Fragenkatalog!$BR99,MATCH('Referral Stati'!$S$19,Fragenkatalog!BB99,0)),""),250)</f>
        <v/>
      </c>
      <c r="T112" t="str">
        <f>LEFT(IFERROR(INDEX(Fragenkatalog!$BR99,MATCH('Referral Stati'!$T$19,Fragenkatalog!BG99,0)),""),250)</f>
        <v/>
      </c>
      <c r="U112" t="str">
        <f>LEFT(IFERROR(INDEX(Fragenkatalog!$BR99,MATCH('Referral Stati'!$U$19,Fragenkatalog!BH99,0)),""),250)</f>
        <v/>
      </c>
      <c r="V112" t="str">
        <f>LEFT(IFERROR(INDEX(Fragenkatalog!$BR99,MATCH('Referral Stati'!$V$19,Fragenkatalog!BM99,0)),""),250)</f>
        <v/>
      </c>
      <c r="W112" t="str">
        <f>LEFT(IFERROR(INDEX(Fragenkatalog!$BR99,MATCH('Referral Stati'!$U$19,Fragenkatalog!BN99,0)),""),250)</f>
        <v/>
      </c>
    </row>
    <row r="113" spans="1:23" ht="20.25" customHeight="1">
      <c r="A113" s="168" t="str">
        <f>Fragenkatalog!B100</f>
        <v>RisikoFragenUSACAN114</v>
      </c>
      <c r="D113" t="str">
        <f>LEFT(IFERROR(INDEX(Fragenkatalog!$BR100,MATCH('Referral Stati'!$D$19,Fragenkatalog!AU100,0)),""),250)</f>
        <v/>
      </c>
      <c r="E113" s="19" t="str">
        <f>LEFT(IFERROR(INDEX(Fragenkatalog!$BR100,MATCH('Referral Stati'!$E$19,Fragenkatalog!AV100,0)),""),250)</f>
        <v/>
      </c>
      <c r="F113" s="19" t="str">
        <f>LEFT(IFERROR(INDEX(Fragenkatalog!$BR100,MATCH('Referral Stati'!$F$19,Fragenkatalog!AO100,0)),""),250)</f>
        <v/>
      </c>
      <c r="G113" t="str">
        <f>LEFT(IFERROR(INDEX(Fragenkatalog!$BR100,MATCH('Referral Stati'!$G$19,Fragenkatalog!AP100,0)),""),250)</f>
        <v/>
      </c>
      <c r="J113" t="str">
        <f t="array" ref="J113">LEFT(IFERROR(INDEX(Fragenkatalog!BR100,MATCH('Referral Stati'!$J$19,Fragenkatalog!W100,0)),""),250)</f>
        <v/>
      </c>
      <c r="K113" t="str">
        <f t="array" ref="K113">LEFT(IFERROR(INDEX(Fragenkatalog!BR100,MATCH('Referral Stati'!$K$19,Fragenkatalog!X100,0)),""),250)</f>
        <v/>
      </c>
      <c r="L113" s="19" t="str">
        <f>LEFT(IFERROR(INDEX(Fragenkatalog!$BR100,MATCH('Referral Stati'!$L$19,Fragenkatalog!Q100,0)),""),250)</f>
        <v/>
      </c>
      <c r="M113" s="19" t="str">
        <f>LEFT(IFERROR(INDEX(Fragenkatalog!$BR100,MATCH('Referral Stati'!$M$19,Fragenkatalog!R100,0)),""),250)</f>
        <v/>
      </c>
      <c r="N113" s="19" t="str">
        <f>LEFT(IFERROR(INDEX(Fragenkatalog!$BR100,MATCH('Referral Stati'!$N$19,Fragenkatalog!AI100,0)),""),250)</f>
        <v/>
      </c>
      <c r="O113" t="str">
        <f>LEFT(IFERROR(INDEX(Fragenkatalog!$BR100,MATCH('Referral Stati'!$O$19,Fragenkatalog!AJ100,0)),""),250)</f>
        <v/>
      </c>
      <c r="P113" s="19" t="str">
        <f>LEFT(IFERROR(INDEX(Fragenkatalog!$BR100,MATCH('Referral Stati'!$P$19,Fragenkatalog!AC100,0)),""),250)</f>
        <v/>
      </c>
      <c r="Q113" s="19" t="str">
        <f>LEFT(IFERROR(INDEX(Fragenkatalog!$BR100,MATCH('Referral Stati'!$Q$19,Fragenkatalog!AD100,0)),""),250)</f>
        <v/>
      </c>
      <c r="R113" t="str">
        <f>LEFT(IFERROR(INDEX(Fragenkatalog!$BR100,MATCH('Referral Stati'!$R$19,Fragenkatalog!BA100,0)),""),250)</f>
        <v/>
      </c>
      <c r="S113" t="str">
        <f>LEFT(IFERROR(INDEX(Fragenkatalog!$BR100,MATCH('Referral Stati'!$S$19,Fragenkatalog!BB100,0)),""),250)</f>
        <v/>
      </c>
      <c r="T113" t="str">
        <f>LEFT(IFERROR(INDEX(Fragenkatalog!$BR100,MATCH('Referral Stati'!$T$19,Fragenkatalog!BG100,0)),""),250)</f>
        <v/>
      </c>
      <c r="U113" t="str">
        <f>LEFT(IFERROR(INDEX(Fragenkatalog!$BR100,MATCH('Referral Stati'!$U$19,Fragenkatalog!BH100,0)),""),250)</f>
        <v/>
      </c>
      <c r="V113" t="str">
        <f>LEFT(IFERROR(INDEX(Fragenkatalog!$BR100,MATCH('Referral Stati'!$V$19,Fragenkatalog!BM100,0)),""),250)</f>
        <v/>
      </c>
      <c r="W113" t="str">
        <f>LEFT(IFERROR(INDEX(Fragenkatalog!$BR100,MATCH('Referral Stati'!$U$19,Fragenkatalog!BN100,0)),""),250)</f>
        <v/>
      </c>
    </row>
    <row r="114" spans="1:23" ht="20.25" customHeight="1">
      <c r="A114" s="168" t="str">
        <f>Fragenkatalog!B101</f>
        <v>RisikoFragenAXAFacility115a</v>
      </c>
      <c r="D114" t="str">
        <f>LEFT(IFERROR(INDEX(Fragenkatalog!$BR101,MATCH('Referral Stati'!$D$19,Fragenkatalog!AU101,0)),""),250)</f>
        <v/>
      </c>
      <c r="E114" s="19" t="str">
        <f>LEFT(IFERROR(INDEX(Fragenkatalog!$BR101,MATCH('Referral Stati'!$E$19,Fragenkatalog!AV101,0)),""),250)</f>
        <v/>
      </c>
      <c r="F114" s="19" t="str">
        <f>LEFT(IFERROR(INDEX(Fragenkatalog!$BR101,MATCH('Referral Stati'!$F$19,Fragenkatalog!AO101,0)),""),250)</f>
        <v/>
      </c>
      <c r="G114" t="str">
        <f>LEFT(IFERROR(INDEX(Fragenkatalog!$BR101,MATCH('Referral Stati'!$G$19,Fragenkatalog!AP101,0)),""),250)</f>
        <v/>
      </c>
      <c r="J114" t="str">
        <f t="array" ref="J114">LEFT(IFERROR(INDEX(Fragenkatalog!BR101,MATCH('Referral Stati'!$J$19,Fragenkatalog!W101,0)),""),250)</f>
        <v/>
      </c>
      <c r="K114" t="str">
        <f t="array" ref="K114">LEFT(IFERROR(INDEX(Fragenkatalog!BR101,MATCH('Referral Stati'!$K$19,Fragenkatalog!X101,0)),""),250)</f>
        <v/>
      </c>
      <c r="L114" s="19" t="str">
        <f>LEFT(IFERROR(INDEX(Fragenkatalog!$BR101,MATCH('Referral Stati'!$L$19,Fragenkatalog!Q101,0)),""),250)</f>
        <v/>
      </c>
      <c r="M114" s="19" t="str">
        <f>LEFT(IFERROR(INDEX(Fragenkatalog!$BR101,MATCH('Referral Stati'!$M$19,Fragenkatalog!R101,0)),""),250)</f>
        <v/>
      </c>
      <c r="N114" s="19" t="str">
        <f>LEFT(IFERROR(INDEX(Fragenkatalog!$BR101,MATCH('Referral Stati'!$N$19,Fragenkatalog!AI101,0)),""),250)</f>
        <v/>
      </c>
      <c r="O114" t="str">
        <f>LEFT(IFERROR(INDEX(Fragenkatalog!$BR101,MATCH('Referral Stati'!$O$19,Fragenkatalog!AJ101,0)),""),250)</f>
        <v/>
      </c>
      <c r="P114" s="19" t="str">
        <f>LEFT(IFERROR(INDEX(Fragenkatalog!$BR101,MATCH('Referral Stati'!$P$19,Fragenkatalog!AC101,0)),""),250)</f>
        <v/>
      </c>
      <c r="Q114" s="19" t="str">
        <f>LEFT(IFERROR(INDEX(Fragenkatalog!$BR101,MATCH('Referral Stati'!$Q$19,Fragenkatalog!AD101,0)),""),250)</f>
        <v/>
      </c>
      <c r="R114" t="str">
        <f>LEFT(IFERROR(INDEX(Fragenkatalog!$BR101,MATCH('Referral Stati'!$R$19,Fragenkatalog!BA101,0)),""),250)</f>
        <v/>
      </c>
      <c r="S114" t="str">
        <f>LEFT(IFERROR(INDEX(Fragenkatalog!$BR101,MATCH('Referral Stati'!$S$19,Fragenkatalog!BB101,0)),""),250)</f>
        <v/>
      </c>
      <c r="T114" t="str">
        <f>LEFT(IFERROR(INDEX(Fragenkatalog!$BR101,MATCH('Referral Stati'!$T$19,Fragenkatalog!BG101,0)),""),250)</f>
        <v/>
      </c>
      <c r="U114" t="str">
        <f>LEFT(IFERROR(INDEX(Fragenkatalog!$BR101,MATCH('Referral Stati'!$U$19,Fragenkatalog!BH101,0)),""),250)</f>
        <v/>
      </c>
      <c r="V114" t="str">
        <f>LEFT(IFERROR(INDEX(Fragenkatalog!$BR101,MATCH('Referral Stati'!$V$19,Fragenkatalog!BM101,0)),""),250)</f>
        <v/>
      </c>
      <c r="W114" t="str">
        <f>LEFT(IFERROR(INDEX(Fragenkatalog!$BR101,MATCH('Referral Stati'!$U$19,Fragenkatalog!BN101,0)),""),250)</f>
        <v/>
      </c>
    </row>
    <row r="115" spans="1:23" ht="20.25" customHeight="1">
      <c r="A115" s="168" t="str">
        <f>Fragenkatalog!B102</f>
        <v>RisikoFragenAXAFacility115b</v>
      </c>
      <c r="D115" t="str">
        <f>LEFT(IFERROR(INDEX(Fragenkatalog!$BR102,MATCH('Referral Stati'!$D$19,Fragenkatalog!AU102,0)),""),250)</f>
        <v/>
      </c>
      <c r="E115" s="19" t="str">
        <f>LEFT(IFERROR(INDEX(Fragenkatalog!$BR102,MATCH('Referral Stati'!$E$19,Fragenkatalog!AV102,0)),""),250)</f>
        <v/>
      </c>
      <c r="F115" s="19" t="str">
        <f>LEFT(IFERROR(INDEX(Fragenkatalog!$BR102,MATCH('Referral Stati'!$F$19,Fragenkatalog!AO102,0)),""),250)</f>
        <v/>
      </c>
      <c r="G115" t="str">
        <f>LEFT(IFERROR(INDEX(Fragenkatalog!$BR102,MATCH('Referral Stati'!$G$19,Fragenkatalog!AP102,0)),""),250)</f>
        <v/>
      </c>
      <c r="J115" t="str">
        <f t="array" ref="J115">LEFT(IFERROR(INDEX(Fragenkatalog!BR102,MATCH('Referral Stati'!$J$19,Fragenkatalog!W102,0)),""),250)</f>
        <v/>
      </c>
      <c r="K115" t="str">
        <f t="array" ref="K115">LEFT(IFERROR(INDEX(Fragenkatalog!BR102,MATCH('Referral Stati'!$K$19,Fragenkatalog!X102,0)),""),250)</f>
        <v/>
      </c>
      <c r="L115" s="19" t="str">
        <f>LEFT(IFERROR(INDEX(Fragenkatalog!$BR102,MATCH('Referral Stati'!$L$19,Fragenkatalog!Q102,0)),""),250)</f>
        <v/>
      </c>
      <c r="M115" s="19" t="str">
        <f>LEFT(IFERROR(INDEX(Fragenkatalog!$BR102,MATCH('Referral Stati'!$M$19,Fragenkatalog!R102,0)),""),250)</f>
        <v/>
      </c>
      <c r="N115" s="19" t="str">
        <f>LEFT(IFERROR(INDEX(Fragenkatalog!$BR102,MATCH('Referral Stati'!$N$19,Fragenkatalog!AI102,0)),""),250)</f>
        <v/>
      </c>
      <c r="O115" t="str">
        <f>LEFT(IFERROR(INDEX(Fragenkatalog!$BR102,MATCH('Referral Stati'!$O$19,Fragenkatalog!AJ102,0)),""),250)</f>
        <v/>
      </c>
      <c r="P115" s="19" t="str">
        <f>LEFT(IFERROR(INDEX(Fragenkatalog!$BR102,MATCH('Referral Stati'!$P$19,Fragenkatalog!AC102,0)),""),250)</f>
        <v/>
      </c>
      <c r="Q115" s="19" t="str">
        <f>LEFT(IFERROR(INDEX(Fragenkatalog!$BR102,MATCH('Referral Stati'!$Q$19,Fragenkatalog!AD102,0)),""),250)</f>
        <v/>
      </c>
      <c r="R115" t="str">
        <f>LEFT(IFERROR(INDEX(Fragenkatalog!$BR102,MATCH('Referral Stati'!$R$19,Fragenkatalog!BA102,0)),""),250)</f>
        <v/>
      </c>
      <c r="S115" t="str">
        <f>LEFT(IFERROR(INDEX(Fragenkatalog!$BR102,MATCH('Referral Stati'!$S$19,Fragenkatalog!BB102,0)),""),250)</f>
        <v/>
      </c>
      <c r="T115" t="str">
        <f>LEFT(IFERROR(INDEX(Fragenkatalog!$BR102,MATCH('Referral Stati'!$T$19,Fragenkatalog!BG102,0)),""),250)</f>
        <v/>
      </c>
      <c r="U115" t="str">
        <f>LEFT(IFERROR(INDEX(Fragenkatalog!$BR102,MATCH('Referral Stati'!$U$19,Fragenkatalog!BH102,0)),""),250)</f>
        <v/>
      </c>
      <c r="V115" t="str">
        <f>LEFT(IFERROR(INDEX(Fragenkatalog!$BR102,MATCH('Referral Stati'!$V$19,Fragenkatalog!BM102,0)),""),250)</f>
        <v/>
      </c>
      <c r="W115" t="str">
        <f>LEFT(IFERROR(INDEX(Fragenkatalog!$BR102,MATCH('Referral Stati'!$U$19,Fragenkatalog!BN102,0)),""),250)</f>
        <v/>
      </c>
    </row>
    <row r="116" spans="1:23" ht="20.25" customHeight="1">
      <c r="A116" s="168" t="str">
        <f>Fragenkatalog!B103</f>
        <v>RisikoFragenAXAFacility116a</v>
      </c>
      <c r="D116" t="str">
        <f>LEFT(IFERROR(INDEX(Fragenkatalog!$BR103,MATCH('Referral Stati'!$D$19,Fragenkatalog!AU103,0)),""),250)</f>
        <v/>
      </c>
      <c r="E116" s="19" t="str">
        <f>LEFT(IFERROR(INDEX(Fragenkatalog!$BR103,MATCH('Referral Stati'!$E$19,Fragenkatalog!AV103,0)),""),250)</f>
        <v/>
      </c>
      <c r="F116" s="19" t="str">
        <f>LEFT(IFERROR(INDEX(Fragenkatalog!$BR103,MATCH('Referral Stati'!$F$19,Fragenkatalog!AO103,0)),""),250)</f>
        <v/>
      </c>
      <c r="G116" t="str">
        <f>LEFT(IFERROR(INDEX(Fragenkatalog!$BR103,MATCH('Referral Stati'!$G$19,Fragenkatalog!AP103,0)),""),250)</f>
        <v/>
      </c>
      <c r="J116" t="str">
        <f t="array" ref="J116">LEFT(IFERROR(INDEX(Fragenkatalog!BR103,MATCH('Referral Stati'!$J$19,Fragenkatalog!W103,0)),""),250)</f>
        <v/>
      </c>
      <c r="K116" t="str">
        <f t="array" ref="K116">LEFT(IFERROR(INDEX(Fragenkatalog!BR103,MATCH('Referral Stati'!$K$19,Fragenkatalog!X103,0)),""),250)</f>
        <v/>
      </c>
      <c r="L116" s="19" t="str">
        <f>LEFT(IFERROR(INDEX(Fragenkatalog!$BR103,MATCH('Referral Stati'!$L$19,Fragenkatalog!Q103,0)),""),250)</f>
        <v/>
      </c>
      <c r="M116" s="19" t="str">
        <f>LEFT(IFERROR(INDEX(Fragenkatalog!$BR103,MATCH('Referral Stati'!$M$19,Fragenkatalog!R103,0)),""),250)</f>
        <v/>
      </c>
      <c r="N116" s="19" t="str">
        <f>LEFT(IFERROR(INDEX(Fragenkatalog!$BR103,MATCH('Referral Stati'!$N$19,Fragenkatalog!AI103,0)),""),250)</f>
        <v/>
      </c>
      <c r="O116" t="str">
        <f>LEFT(IFERROR(INDEX(Fragenkatalog!$BR103,MATCH('Referral Stati'!$O$19,Fragenkatalog!AJ103,0)),""),250)</f>
        <v/>
      </c>
      <c r="P116" s="19" t="str">
        <f>LEFT(IFERROR(INDEX(Fragenkatalog!$BR103,MATCH('Referral Stati'!$P$19,Fragenkatalog!AC103,0)),""),250)</f>
        <v/>
      </c>
      <c r="Q116" s="19" t="str">
        <f>LEFT(IFERROR(INDEX(Fragenkatalog!$BR103,MATCH('Referral Stati'!$Q$19,Fragenkatalog!AD103,0)),""),250)</f>
        <v/>
      </c>
      <c r="R116" t="str">
        <f>LEFT(IFERROR(INDEX(Fragenkatalog!$BR103,MATCH('Referral Stati'!$R$19,Fragenkatalog!BA103,0)),""),250)</f>
        <v/>
      </c>
      <c r="S116" t="str">
        <f>LEFT(IFERROR(INDEX(Fragenkatalog!$BR103,MATCH('Referral Stati'!$S$19,Fragenkatalog!BB103,0)),""),250)</f>
        <v/>
      </c>
      <c r="T116" t="str">
        <f>LEFT(IFERROR(INDEX(Fragenkatalog!$BR103,MATCH('Referral Stati'!$T$19,Fragenkatalog!BG103,0)),""),250)</f>
        <v/>
      </c>
      <c r="U116" t="str">
        <f>LEFT(IFERROR(INDEX(Fragenkatalog!$BR103,MATCH('Referral Stati'!$U$19,Fragenkatalog!BH103,0)),""),250)</f>
        <v/>
      </c>
      <c r="V116" t="str">
        <f>LEFT(IFERROR(INDEX(Fragenkatalog!$BR103,MATCH('Referral Stati'!$V$19,Fragenkatalog!BM103,0)),""),250)</f>
        <v/>
      </c>
      <c r="W116" t="str">
        <f>LEFT(IFERROR(INDEX(Fragenkatalog!$BR103,MATCH('Referral Stati'!$U$19,Fragenkatalog!BN103,0)),""),250)</f>
        <v/>
      </c>
    </row>
    <row r="117" spans="1:23" ht="20.25" customHeight="1">
      <c r="A117" s="168" t="str">
        <f>Fragenkatalog!B104</f>
        <v>RisikoFragenAXAFacility116b</v>
      </c>
      <c r="D117" t="str">
        <f>LEFT(IFERROR(INDEX(Fragenkatalog!$BR104,MATCH('Referral Stati'!$D$19,Fragenkatalog!AU104,0)),""),250)</f>
        <v/>
      </c>
      <c r="E117" s="19" t="str">
        <f>LEFT(IFERROR(INDEX(Fragenkatalog!$BR104,MATCH('Referral Stati'!$E$19,Fragenkatalog!AV104,0)),""),250)</f>
        <v/>
      </c>
      <c r="F117" s="19" t="str">
        <f>LEFT(IFERROR(INDEX(Fragenkatalog!$BR104,MATCH('Referral Stati'!$F$19,Fragenkatalog!AO104,0)),""),250)</f>
        <v/>
      </c>
      <c r="G117" t="str">
        <f>LEFT(IFERROR(INDEX(Fragenkatalog!$BR104,MATCH('Referral Stati'!$G$19,Fragenkatalog!AP104,0)),""),250)</f>
        <v/>
      </c>
      <c r="J117" t="str">
        <f t="array" ref="J117">LEFT(IFERROR(INDEX(Fragenkatalog!BR104,MATCH('Referral Stati'!$J$19,Fragenkatalog!W104,0)),""),250)</f>
        <v/>
      </c>
      <c r="K117" t="str">
        <f t="array" ref="K117">LEFT(IFERROR(INDEX(Fragenkatalog!BR104,MATCH('Referral Stati'!$K$19,Fragenkatalog!X104,0)),""),250)</f>
        <v/>
      </c>
      <c r="L117" s="19" t="str">
        <f>LEFT(IFERROR(INDEX(Fragenkatalog!$BR104,MATCH('Referral Stati'!$L$19,Fragenkatalog!Q104,0)),""),250)</f>
        <v/>
      </c>
      <c r="M117" s="19" t="str">
        <f>LEFT(IFERROR(INDEX(Fragenkatalog!$BR104,MATCH('Referral Stati'!$M$19,Fragenkatalog!R104,0)),""),250)</f>
        <v/>
      </c>
      <c r="N117" s="19" t="str">
        <f>LEFT(IFERROR(INDEX(Fragenkatalog!$BR104,MATCH('Referral Stati'!$N$19,Fragenkatalog!AI104,0)),""),250)</f>
        <v/>
      </c>
      <c r="O117" t="str">
        <f>LEFT(IFERROR(INDEX(Fragenkatalog!$BR104,MATCH('Referral Stati'!$O$19,Fragenkatalog!AJ104,0)),""),250)</f>
        <v/>
      </c>
      <c r="P117" s="19" t="str">
        <f>LEFT(IFERROR(INDEX(Fragenkatalog!$BR104,MATCH('Referral Stati'!$P$19,Fragenkatalog!AC104,0)),""),250)</f>
        <v/>
      </c>
      <c r="Q117" s="19" t="str">
        <f>LEFT(IFERROR(INDEX(Fragenkatalog!$BR104,MATCH('Referral Stati'!$Q$19,Fragenkatalog!AD104,0)),""),250)</f>
        <v/>
      </c>
      <c r="R117" t="str">
        <f>LEFT(IFERROR(INDEX(Fragenkatalog!$BR104,MATCH('Referral Stati'!$R$19,Fragenkatalog!BA104,0)),""),250)</f>
        <v/>
      </c>
      <c r="S117" t="str">
        <f>LEFT(IFERROR(INDEX(Fragenkatalog!$BR104,MATCH('Referral Stati'!$S$19,Fragenkatalog!BB104,0)),""),250)</f>
        <v/>
      </c>
      <c r="T117" t="str">
        <f>LEFT(IFERROR(INDEX(Fragenkatalog!$BR104,MATCH('Referral Stati'!$T$19,Fragenkatalog!BG104,0)),""),250)</f>
        <v/>
      </c>
      <c r="U117" t="str">
        <f>LEFT(IFERROR(INDEX(Fragenkatalog!$BR104,MATCH('Referral Stati'!$U$19,Fragenkatalog!BH104,0)),""),250)</f>
        <v/>
      </c>
      <c r="V117" t="str">
        <f>LEFT(IFERROR(INDEX(Fragenkatalog!$BR104,MATCH('Referral Stati'!$V$19,Fragenkatalog!BM104,0)),""),250)</f>
        <v/>
      </c>
      <c r="W117" t="str">
        <f>LEFT(IFERROR(INDEX(Fragenkatalog!$BR104,MATCH('Referral Stati'!$U$19,Fragenkatalog!BN104,0)),""),250)</f>
        <v/>
      </c>
    </row>
    <row r="118" spans="1:23" ht="20.25" customHeight="1">
      <c r="A118" s="168" t="str">
        <f>Fragenkatalog!B105</f>
        <v>RisikoFragenAXAFacility116c</v>
      </c>
      <c r="D118" t="str">
        <f>LEFT(IFERROR(INDEX(Fragenkatalog!$BR105,MATCH('Referral Stati'!$D$19,Fragenkatalog!AU105,0)),""),250)</f>
        <v/>
      </c>
      <c r="E118" s="19" t="str">
        <f>LEFT(IFERROR(INDEX(Fragenkatalog!$BR105,MATCH('Referral Stati'!$E$19,Fragenkatalog!AV105,0)),""),250)</f>
        <v/>
      </c>
      <c r="F118" s="19" t="str">
        <f>LEFT(IFERROR(INDEX(Fragenkatalog!$BR105,MATCH('Referral Stati'!$F$19,Fragenkatalog!AO105,0)),""),250)</f>
        <v/>
      </c>
      <c r="G118" t="str">
        <f>LEFT(IFERROR(INDEX(Fragenkatalog!$BR105,MATCH('Referral Stati'!$G$19,Fragenkatalog!AP105,0)),""),250)</f>
        <v/>
      </c>
      <c r="J118" t="str">
        <f t="array" ref="J118">LEFT(IFERROR(INDEX(Fragenkatalog!BR105,MATCH('Referral Stati'!$J$19,Fragenkatalog!W105,0)),""),250)</f>
        <v/>
      </c>
      <c r="K118" t="str">
        <f t="array" ref="K118">LEFT(IFERROR(INDEX(Fragenkatalog!BR105,MATCH('Referral Stati'!$K$19,Fragenkatalog!X105,0)),""),250)</f>
        <v/>
      </c>
      <c r="L118" s="19" t="str">
        <f>LEFT(IFERROR(INDEX(Fragenkatalog!$BR105,MATCH('Referral Stati'!$L$19,Fragenkatalog!Q105,0)),""),250)</f>
        <v/>
      </c>
      <c r="M118" s="19" t="str">
        <f>LEFT(IFERROR(INDEX(Fragenkatalog!$BR105,MATCH('Referral Stati'!$M$19,Fragenkatalog!R105,0)),""),250)</f>
        <v/>
      </c>
      <c r="N118" s="19" t="str">
        <f>LEFT(IFERROR(INDEX(Fragenkatalog!$BR105,MATCH('Referral Stati'!$N$19,Fragenkatalog!AI105,0)),""),250)</f>
        <v/>
      </c>
      <c r="O118" t="str">
        <f>LEFT(IFERROR(INDEX(Fragenkatalog!$BR105,MATCH('Referral Stati'!$O$19,Fragenkatalog!AJ105,0)),""),250)</f>
        <v/>
      </c>
      <c r="P118" s="19" t="str">
        <f>LEFT(IFERROR(INDEX(Fragenkatalog!$BR105,MATCH('Referral Stati'!$P$19,Fragenkatalog!AC105,0)),""),250)</f>
        <v/>
      </c>
      <c r="Q118" s="19" t="str">
        <f>LEFT(IFERROR(INDEX(Fragenkatalog!$BR105,MATCH('Referral Stati'!$Q$19,Fragenkatalog!AD105,0)),""),250)</f>
        <v/>
      </c>
      <c r="R118" t="str">
        <f>LEFT(IFERROR(INDEX(Fragenkatalog!$BR105,MATCH('Referral Stati'!$R$19,Fragenkatalog!BA105,0)),""),250)</f>
        <v/>
      </c>
      <c r="S118" t="str">
        <f>LEFT(IFERROR(INDEX(Fragenkatalog!$BR105,MATCH('Referral Stati'!$S$19,Fragenkatalog!BB105,0)),""),250)</f>
        <v/>
      </c>
      <c r="T118" t="str">
        <f>LEFT(IFERROR(INDEX(Fragenkatalog!$BR105,MATCH('Referral Stati'!$T$19,Fragenkatalog!BG105,0)),""),250)</f>
        <v/>
      </c>
      <c r="U118" t="str">
        <f>LEFT(IFERROR(INDEX(Fragenkatalog!$BR105,MATCH('Referral Stati'!$U$19,Fragenkatalog!BH105,0)),""),250)</f>
        <v/>
      </c>
      <c r="V118" t="str">
        <f>LEFT(IFERROR(INDEX(Fragenkatalog!$BR105,MATCH('Referral Stati'!$V$19,Fragenkatalog!BM105,0)),""),250)</f>
        <v/>
      </c>
      <c r="W118" t="str">
        <f>LEFT(IFERROR(INDEX(Fragenkatalog!$BR105,MATCH('Referral Stati'!$U$19,Fragenkatalog!BN105,0)),""),250)</f>
        <v/>
      </c>
    </row>
    <row r="119" spans="1:23" ht="20.25" customHeight="1">
      <c r="A119" s="168" t="str">
        <f>Fragenkatalog!B106</f>
        <v>RisikoFragenAXAFacility116d</v>
      </c>
      <c r="D119" t="str">
        <f>LEFT(IFERROR(INDEX(Fragenkatalog!$BR106,MATCH('Referral Stati'!$D$19,Fragenkatalog!AU106,0)),""),250)</f>
        <v/>
      </c>
      <c r="E119" s="19" t="str">
        <f>LEFT(IFERROR(INDEX(Fragenkatalog!$BR106,MATCH('Referral Stati'!$E$19,Fragenkatalog!AV106,0)),""),250)</f>
        <v/>
      </c>
      <c r="F119" s="19" t="str">
        <f>LEFT(IFERROR(INDEX(Fragenkatalog!$BR106,MATCH('Referral Stati'!$F$19,Fragenkatalog!AO106,0)),""),250)</f>
        <v/>
      </c>
      <c r="G119" t="str">
        <f>LEFT(IFERROR(INDEX(Fragenkatalog!$BR106,MATCH('Referral Stati'!$G$19,Fragenkatalog!AP106,0)),""),250)</f>
        <v/>
      </c>
      <c r="J119" t="str">
        <f t="array" ref="J119">LEFT(IFERROR(INDEX(Fragenkatalog!BR106,MATCH('Referral Stati'!$J$19,Fragenkatalog!W106,0)),""),250)</f>
        <v/>
      </c>
      <c r="K119" t="str">
        <f t="array" ref="K119">LEFT(IFERROR(INDEX(Fragenkatalog!BR106,MATCH('Referral Stati'!$K$19,Fragenkatalog!X106,0)),""),250)</f>
        <v/>
      </c>
      <c r="L119" s="19" t="str">
        <f>LEFT(IFERROR(INDEX(Fragenkatalog!$BR106,MATCH('Referral Stati'!$L$19,Fragenkatalog!Q106,0)),""),250)</f>
        <v/>
      </c>
      <c r="M119" s="19" t="str">
        <f>LEFT(IFERROR(INDEX(Fragenkatalog!$BR106,MATCH('Referral Stati'!$M$19,Fragenkatalog!R106,0)),""),250)</f>
        <v/>
      </c>
      <c r="N119" s="19" t="str">
        <f>LEFT(IFERROR(INDEX(Fragenkatalog!$BR106,MATCH('Referral Stati'!$N$19,Fragenkatalog!AI106,0)),""),250)</f>
        <v/>
      </c>
      <c r="O119" t="str">
        <f>LEFT(IFERROR(INDEX(Fragenkatalog!$BR106,MATCH('Referral Stati'!$O$19,Fragenkatalog!AJ106,0)),""),250)</f>
        <v/>
      </c>
      <c r="P119" s="19" t="str">
        <f>LEFT(IFERROR(INDEX(Fragenkatalog!$BR106,MATCH('Referral Stati'!$P$19,Fragenkatalog!AC106,0)),""),250)</f>
        <v/>
      </c>
      <c r="Q119" s="19" t="str">
        <f>LEFT(IFERROR(INDEX(Fragenkatalog!$BR106,MATCH('Referral Stati'!$Q$19,Fragenkatalog!AD106,0)),""),250)</f>
        <v/>
      </c>
      <c r="R119" t="str">
        <f>LEFT(IFERROR(INDEX(Fragenkatalog!$BR106,MATCH('Referral Stati'!$R$19,Fragenkatalog!BA106,0)),""),250)</f>
        <v/>
      </c>
      <c r="S119" t="str">
        <f>LEFT(IFERROR(INDEX(Fragenkatalog!$BR106,MATCH('Referral Stati'!$S$19,Fragenkatalog!BB106,0)),""),250)</f>
        <v/>
      </c>
      <c r="T119" t="str">
        <f>LEFT(IFERROR(INDEX(Fragenkatalog!$BR106,MATCH('Referral Stati'!$T$19,Fragenkatalog!BG106,0)),""),250)</f>
        <v/>
      </c>
      <c r="U119" t="str">
        <f>LEFT(IFERROR(INDEX(Fragenkatalog!$BR106,MATCH('Referral Stati'!$U$19,Fragenkatalog!BH106,0)),""),250)</f>
        <v/>
      </c>
      <c r="V119" t="str">
        <f>LEFT(IFERROR(INDEX(Fragenkatalog!$BR106,MATCH('Referral Stati'!$V$19,Fragenkatalog!BM106,0)),""),250)</f>
        <v/>
      </c>
      <c r="W119" t="str">
        <f>LEFT(IFERROR(INDEX(Fragenkatalog!$BR106,MATCH('Referral Stati'!$U$19,Fragenkatalog!BN106,0)),""),250)</f>
        <v/>
      </c>
    </row>
    <row r="120" spans="1:23" ht="20.25" customHeight="1">
      <c r="A120" s="168" t="str">
        <f>Fragenkatalog!B107</f>
        <v>RisikoFragenAXAFacility116e</v>
      </c>
      <c r="D120" t="str">
        <f>LEFT(IFERROR(INDEX(Fragenkatalog!$BR107,MATCH('Referral Stati'!$D$19,Fragenkatalog!AU107,0)),""),250)</f>
        <v/>
      </c>
      <c r="E120" s="19" t="str">
        <f>LEFT(IFERROR(INDEX(Fragenkatalog!$BR107,MATCH('Referral Stati'!$E$19,Fragenkatalog!AV107,0)),""),250)</f>
        <v/>
      </c>
      <c r="F120" s="19" t="str">
        <f>LEFT(IFERROR(INDEX(Fragenkatalog!$BR107,MATCH('Referral Stati'!$F$19,Fragenkatalog!AO107,0)),""),250)</f>
        <v/>
      </c>
      <c r="G120" t="str">
        <f>LEFT(IFERROR(INDEX(Fragenkatalog!$BR107,MATCH('Referral Stati'!$G$19,Fragenkatalog!AP107,0)),""),250)</f>
        <v/>
      </c>
      <c r="J120" t="str">
        <f t="array" ref="J120">LEFT(IFERROR(INDEX(Fragenkatalog!BR107,MATCH('Referral Stati'!$J$19,Fragenkatalog!W107,0)),""),250)</f>
        <v/>
      </c>
      <c r="K120" t="str">
        <f t="array" ref="K120">LEFT(IFERROR(INDEX(Fragenkatalog!BR107,MATCH('Referral Stati'!$K$19,Fragenkatalog!X107,0)),""),250)</f>
        <v/>
      </c>
      <c r="L120" s="19" t="str">
        <f>LEFT(IFERROR(INDEX(Fragenkatalog!$BR107,MATCH('Referral Stati'!$L$19,Fragenkatalog!Q107,0)),""),250)</f>
        <v/>
      </c>
      <c r="M120" s="19" t="str">
        <f>LEFT(IFERROR(INDEX(Fragenkatalog!$BR107,MATCH('Referral Stati'!$M$19,Fragenkatalog!R107,0)),""),250)</f>
        <v/>
      </c>
      <c r="N120" s="19" t="str">
        <f>LEFT(IFERROR(INDEX(Fragenkatalog!$BR107,MATCH('Referral Stati'!$N$19,Fragenkatalog!AI107,0)),""),250)</f>
        <v/>
      </c>
      <c r="O120" t="str">
        <f>LEFT(IFERROR(INDEX(Fragenkatalog!$BR107,MATCH('Referral Stati'!$O$19,Fragenkatalog!AJ107,0)),""),250)</f>
        <v/>
      </c>
      <c r="P120" s="19" t="str">
        <f>LEFT(IFERROR(INDEX(Fragenkatalog!$BR107,MATCH('Referral Stati'!$P$19,Fragenkatalog!AC107,0)),""),250)</f>
        <v/>
      </c>
      <c r="Q120" s="19" t="str">
        <f>LEFT(IFERROR(INDEX(Fragenkatalog!$BR107,MATCH('Referral Stati'!$Q$19,Fragenkatalog!AD107,0)),""),250)</f>
        <v/>
      </c>
      <c r="R120" t="str">
        <f>LEFT(IFERROR(INDEX(Fragenkatalog!$BR107,MATCH('Referral Stati'!$R$19,Fragenkatalog!BA107,0)),""),250)</f>
        <v/>
      </c>
      <c r="S120" t="str">
        <f>LEFT(IFERROR(INDEX(Fragenkatalog!$BR107,MATCH('Referral Stati'!$S$19,Fragenkatalog!BB107,0)),""),250)</f>
        <v/>
      </c>
      <c r="T120" t="str">
        <f>LEFT(IFERROR(INDEX(Fragenkatalog!$BR107,MATCH('Referral Stati'!$T$19,Fragenkatalog!BG107,0)),""),250)</f>
        <v/>
      </c>
      <c r="U120" t="str">
        <f>LEFT(IFERROR(INDEX(Fragenkatalog!$BR107,MATCH('Referral Stati'!$U$19,Fragenkatalog!BH107,0)),""),250)</f>
        <v/>
      </c>
      <c r="V120" t="str">
        <f>LEFT(IFERROR(INDEX(Fragenkatalog!$BR107,MATCH('Referral Stati'!$V$19,Fragenkatalog!BM107,0)),""),250)</f>
        <v/>
      </c>
      <c r="W120" t="str">
        <f>LEFT(IFERROR(INDEX(Fragenkatalog!$BR107,MATCH('Referral Stati'!$U$19,Fragenkatalog!BN107,0)),""),250)</f>
        <v/>
      </c>
    </row>
    <row r="121" spans="1:23" ht="20.25" customHeight="1">
      <c r="A121" s="168" t="str">
        <f>Fragenkatalog!B108</f>
        <v>RisikoFragenAXAFacility117a</v>
      </c>
      <c r="D121" t="str">
        <f>LEFT(IFERROR(INDEX(Fragenkatalog!$BR108,MATCH('Referral Stati'!$D$19,Fragenkatalog!AU108,0)),""),250)</f>
        <v/>
      </c>
      <c r="E121" s="19" t="str">
        <f>LEFT(IFERROR(INDEX(Fragenkatalog!$BR108,MATCH('Referral Stati'!$E$19,Fragenkatalog!AV108,0)),""),250)</f>
        <v/>
      </c>
      <c r="F121" s="19" t="str">
        <f>LEFT(IFERROR(INDEX(Fragenkatalog!$BR108,MATCH('Referral Stati'!$F$19,Fragenkatalog!AO108,0)),""),250)</f>
        <v/>
      </c>
      <c r="G121" t="str">
        <f>LEFT(IFERROR(INDEX(Fragenkatalog!$BR108,MATCH('Referral Stati'!$G$19,Fragenkatalog!AP108,0)),""),250)</f>
        <v/>
      </c>
      <c r="J121" t="str">
        <f t="array" ref="J121">LEFT(IFERROR(INDEX(Fragenkatalog!BR108,MATCH('Referral Stati'!$J$19,Fragenkatalog!W108,0)),""),250)</f>
        <v/>
      </c>
      <c r="K121" t="str">
        <f t="array" ref="K121">LEFT(IFERROR(INDEX(Fragenkatalog!BR108,MATCH('Referral Stati'!$K$19,Fragenkatalog!X108,0)),""),250)</f>
        <v/>
      </c>
      <c r="L121" s="19" t="str">
        <f>LEFT(IFERROR(INDEX(Fragenkatalog!$BR108,MATCH('Referral Stati'!$L$19,Fragenkatalog!Q108,0)),""),250)</f>
        <v/>
      </c>
      <c r="M121" s="19" t="str">
        <f>LEFT(IFERROR(INDEX(Fragenkatalog!$BR108,MATCH('Referral Stati'!$M$19,Fragenkatalog!R108,0)),""),250)</f>
        <v/>
      </c>
      <c r="N121" s="19" t="str">
        <f>LEFT(IFERROR(INDEX(Fragenkatalog!$BR108,MATCH('Referral Stati'!$N$19,Fragenkatalog!AI108,0)),""),250)</f>
        <v/>
      </c>
      <c r="O121" t="str">
        <f>LEFT(IFERROR(INDEX(Fragenkatalog!$BR108,MATCH('Referral Stati'!$O$19,Fragenkatalog!AJ108,0)),""),250)</f>
        <v/>
      </c>
      <c r="P121" s="19" t="str">
        <f>LEFT(IFERROR(INDEX(Fragenkatalog!$BR108,MATCH('Referral Stati'!$P$19,Fragenkatalog!AC108,0)),""),250)</f>
        <v/>
      </c>
      <c r="Q121" s="19" t="str">
        <f>LEFT(IFERROR(INDEX(Fragenkatalog!$BR108,MATCH('Referral Stati'!$Q$19,Fragenkatalog!AD108,0)),""),250)</f>
        <v/>
      </c>
      <c r="R121" t="str">
        <f>LEFT(IFERROR(INDEX(Fragenkatalog!$BR108,MATCH('Referral Stati'!$R$19,Fragenkatalog!BA108,0)),""),250)</f>
        <v/>
      </c>
      <c r="S121" t="str">
        <f>LEFT(IFERROR(INDEX(Fragenkatalog!$BR108,MATCH('Referral Stati'!$S$19,Fragenkatalog!BB108,0)),""),250)</f>
        <v/>
      </c>
      <c r="T121" t="str">
        <f>LEFT(IFERROR(INDEX(Fragenkatalog!$BR108,MATCH('Referral Stati'!$T$19,Fragenkatalog!BG108,0)),""),250)</f>
        <v/>
      </c>
      <c r="U121" t="str">
        <f>LEFT(IFERROR(INDEX(Fragenkatalog!$BR108,MATCH('Referral Stati'!$U$19,Fragenkatalog!BH108,0)),""),250)</f>
        <v/>
      </c>
      <c r="V121" t="str">
        <f>LEFT(IFERROR(INDEX(Fragenkatalog!$BR108,MATCH('Referral Stati'!$V$19,Fragenkatalog!BM108,0)),""),250)</f>
        <v/>
      </c>
      <c r="W121" t="str">
        <f>LEFT(IFERROR(INDEX(Fragenkatalog!$BR108,MATCH('Referral Stati'!$U$19,Fragenkatalog!BN108,0)),""),250)</f>
        <v/>
      </c>
    </row>
    <row r="122" spans="1:23" ht="20.25" customHeight="1">
      <c r="A122" s="168" t="str">
        <f>Fragenkatalog!B109</f>
        <v>RisikoFragenAXAFacility117b</v>
      </c>
      <c r="D122" t="str">
        <f>LEFT(IFERROR(INDEX(Fragenkatalog!$BR109,MATCH('Referral Stati'!$D$19,Fragenkatalog!AU109,0)),""),250)</f>
        <v/>
      </c>
      <c r="E122" s="19" t="str">
        <f>LEFT(IFERROR(INDEX(Fragenkatalog!$BR109,MATCH('Referral Stati'!$E$19,Fragenkatalog!AV109,0)),""),250)</f>
        <v/>
      </c>
      <c r="F122" s="19" t="str">
        <f>LEFT(IFERROR(INDEX(Fragenkatalog!$BR109,MATCH('Referral Stati'!$F$19,Fragenkatalog!AO109,0)),""),250)</f>
        <v/>
      </c>
      <c r="G122" t="str">
        <f>LEFT(IFERROR(INDEX(Fragenkatalog!$BR109,MATCH('Referral Stati'!$G$19,Fragenkatalog!AP109,0)),""),250)</f>
        <v/>
      </c>
      <c r="J122" t="str">
        <f t="array" ref="J122">LEFT(IFERROR(INDEX(Fragenkatalog!BR109,MATCH('Referral Stati'!$J$19,Fragenkatalog!W109,0)),""),250)</f>
        <v/>
      </c>
      <c r="K122" t="str">
        <f t="array" ref="K122">LEFT(IFERROR(INDEX(Fragenkatalog!BR109,MATCH('Referral Stati'!$K$19,Fragenkatalog!X109,0)),""),250)</f>
        <v/>
      </c>
      <c r="L122" s="19" t="str">
        <f>LEFT(IFERROR(INDEX(Fragenkatalog!$BR109,MATCH('Referral Stati'!$L$19,Fragenkatalog!Q109,0)),""),250)</f>
        <v/>
      </c>
      <c r="M122" s="19" t="str">
        <f>LEFT(IFERROR(INDEX(Fragenkatalog!$BR109,MATCH('Referral Stati'!$M$19,Fragenkatalog!R109,0)),""),250)</f>
        <v/>
      </c>
      <c r="N122" s="19" t="str">
        <f>LEFT(IFERROR(INDEX(Fragenkatalog!$BR109,MATCH('Referral Stati'!$N$19,Fragenkatalog!AI109,0)),""),250)</f>
        <v/>
      </c>
      <c r="O122" t="str">
        <f>LEFT(IFERROR(INDEX(Fragenkatalog!$BR109,MATCH('Referral Stati'!$O$19,Fragenkatalog!AJ109,0)),""),250)</f>
        <v/>
      </c>
      <c r="P122" s="19" t="str">
        <f>LEFT(IFERROR(INDEX(Fragenkatalog!$BR109,MATCH('Referral Stati'!$P$19,Fragenkatalog!AC109,0)),""),250)</f>
        <v/>
      </c>
      <c r="Q122" s="19" t="str">
        <f>LEFT(IFERROR(INDEX(Fragenkatalog!$BR109,MATCH('Referral Stati'!$Q$19,Fragenkatalog!AD109,0)),""),250)</f>
        <v/>
      </c>
      <c r="R122" t="str">
        <f>LEFT(IFERROR(INDEX(Fragenkatalog!$BR109,MATCH('Referral Stati'!$R$19,Fragenkatalog!BA109,0)),""),250)</f>
        <v/>
      </c>
      <c r="S122" t="str">
        <f>LEFT(IFERROR(INDEX(Fragenkatalog!$BR109,MATCH('Referral Stati'!$S$19,Fragenkatalog!BB109,0)),""),250)</f>
        <v/>
      </c>
      <c r="T122" t="str">
        <f>LEFT(IFERROR(INDEX(Fragenkatalog!$BR109,MATCH('Referral Stati'!$T$19,Fragenkatalog!BG109,0)),""),250)</f>
        <v/>
      </c>
      <c r="U122" t="str">
        <f>LEFT(IFERROR(INDEX(Fragenkatalog!$BR109,MATCH('Referral Stati'!$U$19,Fragenkatalog!BH109,0)),""),250)</f>
        <v/>
      </c>
      <c r="V122" t="str">
        <f>LEFT(IFERROR(INDEX(Fragenkatalog!$BR109,MATCH('Referral Stati'!$V$19,Fragenkatalog!BM109,0)),""),250)</f>
        <v/>
      </c>
      <c r="W122" t="str">
        <f>LEFT(IFERROR(INDEX(Fragenkatalog!$BR109,MATCH('Referral Stati'!$U$19,Fragenkatalog!BN109,0)),""),250)</f>
        <v/>
      </c>
    </row>
    <row r="123" spans="1:23" ht="20.25" customHeight="1">
      <c r="A123" s="168" t="str">
        <f>Fragenkatalog!B110</f>
        <v>RisikoFragenAXAFacility117c</v>
      </c>
      <c r="D123" t="str">
        <f>LEFT(IFERROR(INDEX(Fragenkatalog!$BR110,MATCH('Referral Stati'!$D$19,Fragenkatalog!AU110,0)),""),250)</f>
        <v/>
      </c>
      <c r="E123" s="19" t="str">
        <f>LEFT(IFERROR(INDEX(Fragenkatalog!$BR110,MATCH('Referral Stati'!$E$19,Fragenkatalog!AV110,0)),""),250)</f>
        <v/>
      </c>
      <c r="F123" s="19" t="str">
        <f>LEFT(IFERROR(INDEX(Fragenkatalog!$BR110,MATCH('Referral Stati'!$F$19,Fragenkatalog!AO110,0)),""),250)</f>
        <v/>
      </c>
      <c r="G123" t="str">
        <f>LEFT(IFERROR(INDEX(Fragenkatalog!$BR110,MATCH('Referral Stati'!$G$19,Fragenkatalog!AP110,0)),""),250)</f>
        <v/>
      </c>
      <c r="J123" t="str">
        <f t="array" ref="J123">LEFT(IFERROR(INDEX(Fragenkatalog!BR110,MATCH('Referral Stati'!$J$19,Fragenkatalog!W110,0)),""),250)</f>
        <v/>
      </c>
      <c r="K123" t="str">
        <f t="array" ref="K123">LEFT(IFERROR(INDEX(Fragenkatalog!BR110,MATCH('Referral Stati'!$K$19,Fragenkatalog!X110,0)),""),250)</f>
        <v/>
      </c>
      <c r="L123" s="19" t="str">
        <f>LEFT(IFERROR(INDEX(Fragenkatalog!$BR110,MATCH('Referral Stati'!$L$19,Fragenkatalog!Q110,0)),""),250)</f>
        <v/>
      </c>
      <c r="M123" s="19" t="str">
        <f>LEFT(IFERROR(INDEX(Fragenkatalog!$BR110,MATCH('Referral Stati'!$M$19,Fragenkatalog!R110,0)),""),250)</f>
        <v/>
      </c>
      <c r="N123" s="19" t="str">
        <f>LEFT(IFERROR(INDEX(Fragenkatalog!$BR110,MATCH('Referral Stati'!$N$19,Fragenkatalog!AI110,0)),""),250)</f>
        <v/>
      </c>
      <c r="O123" t="str">
        <f>LEFT(IFERROR(INDEX(Fragenkatalog!$BR110,MATCH('Referral Stati'!$O$19,Fragenkatalog!AJ110,0)),""),250)</f>
        <v/>
      </c>
      <c r="P123" s="19" t="str">
        <f>LEFT(IFERROR(INDEX(Fragenkatalog!$BR110,MATCH('Referral Stati'!$P$19,Fragenkatalog!AC110,0)),""),250)</f>
        <v/>
      </c>
      <c r="Q123" s="19" t="str">
        <f>LEFT(IFERROR(INDEX(Fragenkatalog!$BR110,MATCH('Referral Stati'!$Q$19,Fragenkatalog!AD110,0)),""),250)</f>
        <v/>
      </c>
      <c r="R123" t="str">
        <f>LEFT(IFERROR(INDEX(Fragenkatalog!$BR110,MATCH('Referral Stati'!$R$19,Fragenkatalog!BA110,0)),""),250)</f>
        <v/>
      </c>
      <c r="S123" t="str">
        <f>LEFT(IFERROR(INDEX(Fragenkatalog!$BR110,MATCH('Referral Stati'!$S$19,Fragenkatalog!BB110,0)),""),250)</f>
        <v/>
      </c>
      <c r="T123" t="str">
        <f>LEFT(IFERROR(INDEX(Fragenkatalog!$BR110,MATCH('Referral Stati'!$T$19,Fragenkatalog!BG110,0)),""),250)</f>
        <v/>
      </c>
      <c r="U123" t="str">
        <f>LEFT(IFERROR(INDEX(Fragenkatalog!$BR110,MATCH('Referral Stati'!$U$19,Fragenkatalog!BH110,0)),""),250)</f>
        <v/>
      </c>
      <c r="V123" t="str">
        <f>LEFT(IFERROR(INDEX(Fragenkatalog!$BR110,MATCH('Referral Stati'!$V$19,Fragenkatalog!BM110,0)),""),250)</f>
        <v/>
      </c>
      <c r="W123" t="str">
        <f>LEFT(IFERROR(INDEX(Fragenkatalog!$BR110,MATCH('Referral Stati'!$U$19,Fragenkatalog!BN110,0)),""),250)</f>
        <v/>
      </c>
    </row>
    <row r="124" spans="1:23" ht="20.25" customHeight="1">
      <c r="A124" s="168" t="str">
        <f>Fragenkatalog!B111</f>
        <v>RisikoFragenAXAFacility117d</v>
      </c>
      <c r="D124" t="str">
        <f>LEFT(IFERROR(INDEX(Fragenkatalog!$BR111,MATCH('Referral Stati'!$D$19,Fragenkatalog!AU111,0)),""),250)</f>
        <v/>
      </c>
      <c r="E124" s="19" t="str">
        <f>LEFT(IFERROR(INDEX(Fragenkatalog!$BR111,MATCH('Referral Stati'!$E$19,Fragenkatalog!AV111,0)),""),250)</f>
        <v/>
      </c>
      <c r="F124" s="19" t="str">
        <f>LEFT(IFERROR(INDEX(Fragenkatalog!$BR111,MATCH('Referral Stati'!$F$19,Fragenkatalog!AO111,0)),""),250)</f>
        <v/>
      </c>
      <c r="G124" t="str">
        <f>LEFT(IFERROR(INDEX(Fragenkatalog!$BR111,MATCH('Referral Stati'!$G$19,Fragenkatalog!AP111,0)),""),250)</f>
        <v/>
      </c>
      <c r="J124" t="str">
        <f t="array" ref="J124">LEFT(IFERROR(INDEX(Fragenkatalog!BR111,MATCH('Referral Stati'!$J$19,Fragenkatalog!W111,0)),""),250)</f>
        <v/>
      </c>
      <c r="K124" t="str">
        <f t="array" ref="K124">LEFT(IFERROR(INDEX(Fragenkatalog!BR111,MATCH('Referral Stati'!$K$19,Fragenkatalog!X111,0)),""),250)</f>
        <v/>
      </c>
      <c r="L124" s="19" t="str">
        <f>LEFT(IFERROR(INDEX(Fragenkatalog!$BR111,MATCH('Referral Stati'!$L$19,Fragenkatalog!Q111,0)),""),250)</f>
        <v/>
      </c>
      <c r="M124" s="19" t="str">
        <f>LEFT(IFERROR(INDEX(Fragenkatalog!$BR111,MATCH('Referral Stati'!$M$19,Fragenkatalog!R111,0)),""),250)</f>
        <v/>
      </c>
      <c r="N124" s="19" t="str">
        <f>LEFT(IFERROR(INDEX(Fragenkatalog!$BR111,MATCH('Referral Stati'!$N$19,Fragenkatalog!AI111,0)),""),250)</f>
        <v/>
      </c>
      <c r="O124" t="str">
        <f>LEFT(IFERROR(INDEX(Fragenkatalog!$BR111,MATCH('Referral Stati'!$O$19,Fragenkatalog!AJ111,0)),""),250)</f>
        <v/>
      </c>
      <c r="P124" s="19" t="str">
        <f>LEFT(IFERROR(INDEX(Fragenkatalog!$BR111,MATCH('Referral Stati'!$P$19,Fragenkatalog!AC111,0)),""),250)</f>
        <v/>
      </c>
      <c r="Q124" s="19" t="str">
        <f>LEFT(IFERROR(INDEX(Fragenkatalog!$BR111,MATCH('Referral Stati'!$Q$19,Fragenkatalog!AD111,0)),""),250)</f>
        <v/>
      </c>
      <c r="R124" t="str">
        <f>LEFT(IFERROR(INDEX(Fragenkatalog!$BR111,MATCH('Referral Stati'!$R$19,Fragenkatalog!BA111,0)),""),250)</f>
        <v/>
      </c>
      <c r="S124" t="str">
        <f>LEFT(IFERROR(INDEX(Fragenkatalog!$BR111,MATCH('Referral Stati'!$S$19,Fragenkatalog!BB111,0)),""),250)</f>
        <v/>
      </c>
      <c r="T124" t="str">
        <f>LEFT(IFERROR(INDEX(Fragenkatalog!$BR111,MATCH('Referral Stati'!$T$19,Fragenkatalog!BG111,0)),""),250)</f>
        <v/>
      </c>
      <c r="U124" t="str">
        <f>LEFT(IFERROR(INDEX(Fragenkatalog!$BR111,MATCH('Referral Stati'!$U$19,Fragenkatalog!BH111,0)),""),250)</f>
        <v/>
      </c>
      <c r="V124" t="str">
        <f>LEFT(IFERROR(INDEX(Fragenkatalog!$BR111,MATCH('Referral Stati'!$V$19,Fragenkatalog!BM111,0)),""),250)</f>
        <v/>
      </c>
      <c r="W124" t="str">
        <f>LEFT(IFERROR(INDEX(Fragenkatalog!$BR111,MATCH('Referral Stati'!$U$19,Fragenkatalog!BN111,0)),""),250)</f>
        <v/>
      </c>
    </row>
    <row r="125" spans="1:23" ht="20.25" customHeight="1">
      <c r="A125" s="168" t="str">
        <f>Fragenkatalog!B112</f>
        <v>RisikoFragenAXAFacility117e</v>
      </c>
      <c r="D125" t="str">
        <f>LEFT(IFERROR(INDEX(Fragenkatalog!$BR112,MATCH('Referral Stati'!$D$19,Fragenkatalog!AU112,0)),""),250)</f>
        <v/>
      </c>
      <c r="E125" s="19" t="str">
        <f>LEFT(IFERROR(INDEX(Fragenkatalog!$BR112,MATCH('Referral Stati'!$E$19,Fragenkatalog!AV112,0)),""),250)</f>
        <v/>
      </c>
      <c r="F125" s="19" t="str">
        <f>LEFT(IFERROR(INDEX(Fragenkatalog!$BR112,MATCH('Referral Stati'!$F$19,Fragenkatalog!AO112,0)),""),250)</f>
        <v/>
      </c>
      <c r="G125" t="str">
        <f>LEFT(IFERROR(INDEX(Fragenkatalog!$BR112,MATCH('Referral Stati'!$G$19,Fragenkatalog!AP112,0)),""),250)</f>
        <v/>
      </c>
      <c r="J125" t="str">
        <f t="array" ref="J125">LEFT(IFERROR(INDEX(Fragenkatalog!BR112,MATCH('Referral Stati'!$J$19,Fragenkatalog!W112,0)),""),250)</f>
        <v/>
      </c>
      <c r="K125" t="str">
        <f t="array" ref="K125">LEFT(IFERROR(INDEX(Fragenkatalog!BR112,MATCH('Referral Stati'!$K$19,Fragenkatalog!X112,0)),""),250)</f>
        <v/>
      </c>
      <c r="L125" s="19" t="str">
        <f>LEFT(IFERROR(INDEX(Fragenkatalog!$BR112,MATCH('Referral Stati'!$L$19,Fragenkatalog!Q112,0)),""),250)</f>
        <v/>
      </c>
      <c r="M125" s="19" t="str">
        <f>LEFT(IFERROR(INDEX(Fragenkatalog!$BR112,MATCH('Referral Stati'!$M$19,Fragenkatalog!R112,0)),""),250)</f>
        <v/>
      </c>
      <c r="N125" s="19" t="str">
        <f>LEFT(IFERROR(INDEX(Fragenkatalog!$BR112,MATCH('Referral Stati'!$N$19,Fragenkatalog!AI112,0)),""),250)</f>
        <v/>
      </c>
      <c r="O125" t="str">
        <f>LEFT(IFERROR(INDEX(Fragenkatalog!$BR112,MATCH('Referral Stati'!$O$19,Fragenkatalog!AJ112,0)),""),250)</f>
        <v/>
      </c>
      <c r="P125" s="19" t="str">
        <f>LEFT(IFERROR(INDEX(Fragenkatalog!$BR112,MATCH('Referral Stati'!$P$19,Fragenkatalog!AC112,0)),""),250)</f>
        <v/>
      </c>
      <c r="Q125" s="19" t="str">
        <f>LEFT(IFERROR(INDEX(Fragenkatalog!$BR112,MATCH('Referral Stati'!$Q$19,Fragenkatalog!AD112,0)),""),250)</f>
        <v/>
      </c>
      <c r="R125" t="str">
        <f>LEFT(IFERROR(INDEX(Fragenkatalog!$BR112,MATCH('Referral Stati'!$R$19,Fragenkatalog!BA112,0)),""),250)</f>
        <v/>
      </c>
      <c r="S125" t="str">
        <f>LEFT(IFERROR(INDEX(Fragenkatalog!$BR112,MATCH('Referral Stati'!$S$19,Fragenkatalog!BB112,0)),""),250)</f>
        <v/>
      </c>
      <c r="T125" t="str">
        <f>LEFT(IFERROR(INDEX(Fragenkatalog!$BR112,MATCH('Referral Stati'!$T$19,Fragenkatalog!BG112,0)),""),250)</f>
        <v/>
      </c>
      <c r="U125" t="str">
        <f>LEFT(IFERROR(INDEX(Fragenkatalog!$BR112,MATCH('Referral Stati'!$U$19,Fragenkatalog!BH112,0)),""),250)</f>
        <v/>
      </c>
      <c r="V125" t="str">
        <f>LEFT(IFERROR(INDEX(Fragenkatalog!$BR112,MATCH('Referral Stati'!$V$19,Fragenkatalog!BM112,0)),""),250)</f>
        <v/>
      </c>
      <c r="W125" t="str">
        <f>LEFT(IFERROR(INDEX(Fragenkatalog!$BR112,MATCH('Referral Stati'!$U$19,Fragenkatalog!BN112,0)),""),250)</f>
        <v/>
      </c>
    </row>
    <row r="126" spans="1:23" ht="20.25" customHeight="1">
      <c r="A126" s="168" t="str">
        <f>Fragenkatalog!B113</f>
        <v>RisikoFragenAXAFacility118a</v>
      </c>
      <c r="D126" t="str">
        <f>LEFT(IFERROR(INDEX(Fragenkatalog!$BR113,MATCH('Referral Stati'!$D$19,Fragenkatalog!AU113,0)),""),250)</f>
        <v/>
      </c>
      <c r="E126" s="19" t="str">
        <f>LEFT(IFERROR(INDEX(Fragenkatalog!$BR113,MATCH('Referral Stati'!$E$19,Fragenkatalog!AV113,0)),""),250)</f>
        <v/>
      </c>
      <c r="F126" s="19" t="str">
        <f>LEFT(IFERROR(INDEX(Fragenkatalog!$BR113,MATCH('Referral Stati'!$F$19,Fragenkatalog!AO113,0)),""),250)</f>
        <v/>
      </c>
      <c r="G126" t="str">
        <f>LEFT(IFERROR(INDEX(Fragenkatalog!$BR113,MATCH('Referral Stati'!$G$19,Fragenkatalog!AP113,0)),""),250)</f>
        <v/>
      </c>
      <c r="J126" t="str">
        <f t="array" ref="J126">LEFT(IFERROR(INDEX(Fragenkatalog!BR113,MATCH('Referral Stati'!$J$19,Fragenkatalog!W113,0)),""),250)</f>
        <v/>
      </c>
      <c r="K126" t="str">
        <f t="array" ref="K126">LEFT(IFERROR(INDEX(Fragenkatalog!BR113,MATCH('Referral Stati'!$K$19,Fragenkatalog!X113,0)),""),250)</f>
        <v/>
      </c>
      <c r="L126" s="19" t="str">
        <f>LEFT(IFERROR(INDEX(Fragenkatalog!$BR113,MATCH('Referral Stati'!$L$19,Fragenkatalog!Q113,0)),""),250)</f>
        <v/>
      </c>
      <c r="M126" s="19" t="str">
        <f>LEFT(IFERROR(INDEX(Fragenkatalog!$BR113,MATCH('Referral Stati'!$M$19,Fragenkatalog!R113,0)),""),250)</f>
        <v/>
      </c>
      <c r="N126" s="19" t="str">
        <f>LEFT(IFERROR(INDEX(Fragenkatalog!$BR113,MATCH('Referral Stati'!$N$19,Fragenkatalog!AI113,0)),""),250)</f>
        <v/>
      </c>
      <c r="O126" t="str">
        <f>LEFT(IFERROR(INDEX(Fragenkatalog!$BR113,MATCH('Referral Stati'!$O$19,Fragenkatalog!AJ113,0)),""),250)</f>
        <v/>
      </c>
      <c r="P126" s="19" t="str">
        <f>LEFT(IFERROR(INDEX(Fragenkatalog!$BR113,MATCH('Referral Stati'!$P$19,Fragenkatalog!AC113,0)),""),250)</f>
        <v/>
      </c>
      <c r="Q126" s="19" t="str">
        <f>LEFT(IFERROR(INDEX(Fragenkatalog!$BR113,MATCH('Referral Stati'!$Q$19,Fragenkatalog!AD113,0)),""),250)</f>
        <v/>
      </c>
      <c r="R126" t="str">
        <f>LEFT(IFERROR(INDEX(Fragenkatalog!$BR113,MATCH('Referral Stati'!$R$19,Fragenkatalog!BA113,0)),""),250)</f>
        <v/>
      </c>
      <c r="S126" t="str">
        <f>LEFT(IFERROR(INDEX(Fragenkatalog!$BR113,MATCH('Referral Stati'!$S$19,Fragenkatalog!BB113,0)),""),250)</f>
        <v/>
      </c>
      <c r="T126" t="str">
        <f>LEFT(IFERROR(INDEX(Fragenkatalog!$BR113,MATCH('Referral Stati'!$T$19,Fragenkatalog!BG113,0)),""),250)</f>
        <v/>
      </c>
      <c r="U126" t="str">
        <f>LEFT(IFERROR(INDEX(Fragenkatalog!$BR113,MATCH('Referral Stati'!$U$19,Fragenkatalog!BH113,0)),""),250)</f>
        <v/>
      </c>
      <c r="V126" t="str">
        <f>LEFT(IFERROR(INDEX(Fragenkatalog!$BR113,MATCH('Referral Stati'!$V$19,Fragenkatalog!BM113,0)),""),250)</f>
        <v/>
      </c>
      <c r="W126" t="str">
        <f>LEFT(IFERROR(INDEX(Fragenkatalog!$BR113,MATCH('Referral Stati'!$U$19,Fragenkatalog!BN113,0)),""),250)</f>
        <v/>
      </c>
    </row>
    <row r="127" spans="1:23" ht="20.25" customHeight="1">
      <c r="A127" s="168" t="str">
        <f>Fragenkatalog!B114</f>
        <v>RisikoFragenAXAFacility118b</v>
      </c>
      <c r="D127" t="str">
        <f>LEFT(IFERROR(INDEX(Fragenkatalog!$BR114,MATCH('Referral Stati'!$D$19,Fragenkatalog!AU114,0)),""),250)</f>
        <v/>
      </c>
      <c r="E127" s="19" t="str">
        <f>LEFT(IFERROR(INDEX(Fragenkatalog!$BR114,MATCH('Referral Stati'!$E$19,Fragenkatalog!AV114,0)),""),250)</f>
        <v/>
      </c>
      <c r="F127" s="19" t="str">
        <f>LEFT(IFERROR(INDEX(Fragenkatalog!$BR114,MATCH('Referral Stati'!$F$19,Fragenkatalog!AO114,0)),""),250)</f>
        <v/>
      </c>
      <c r="G127" t="str">
        <f>LEFT(IFERROR(INDEX(Fragenkatalog!$BR114,MATCH('Referral Stati'!$G$19,Fragenkatalog!AP114,0)),""),250)</f>
        <v/>
      </c>
      <c r="J127" t="str">
        <f t="array" ref="J127">LEFT(IFERROR(INDEX(Fragenkatalog!BR114,MATCH('Referral Stati'!$J$19,Fragenkatalog!W114,0)),""),250)</f>
        <v/>
      </c>
      <c r="K127" t="str">
        <f t="array" ref="K127">LEFT(IFERROR(INDEX(Fragenkatalog!BR114,MATCH('Referral Stati'!$K$19,Fragenkatalog!X114,0)),""),250)</f>
        <v/>
      </c>
      <c r="L127" s="19" t="str">
        <f>LEFT(IFERROR(INDEX(Fragenkatalog!$BR114,MATCH('Referral Stati'!$L$19,Fragenkatalog!Q114,0)),""),250)</f>
        <v/>
      </c>
      <c r="M127" s="19" t="str">
        <f>LEFT(IFERROR(INDEX(Fragenkatalog!$BR114,MATCH('Referral Stati'!$M$19,Fragenkatalog!R114,0)),""),250)</f>
        <v/>
      </c>
      <c r="N127" s="19" t="str">
        <f>LEFT(IFERROR(INDEX(Fragenkatalog!$BR114,MATCH('Referral Stati'!$N$19,Fragenkatalog!AI114,0)),""),250)</f>
        <v/>
      </c>
      <c r="O127" t="str">
        <f>LEFT(IFERROR(INDEX(Fragenkatalog!$BR114,MATCH('Referral Stati'!$O$19,Fragenkatalog!AJ114,0)),""),250)</f>
        <v/>
      </c>
      <c r="P127" s="19" t="str">
        <f>LEFT(IFERROR(INDEX(Fragenkatalog!$BR114,MATCH('Referral Stati'!$P$19,Fragenkatalog!AC114,0)),""),250)</f>
        <v/>
      </c>
      <c r="Q127" s="19" t="str">
        <f>LEFT(IFERROR(INDEX(Fragenkatalog!$BR114,MATCH('Referral Stati'!$Q$19,Fragenkatalog!AD114,0)),""),250)</f>
        <v/>
      </c>
      <c r="R127" t="str">
        <f>LEFT(IFERROR(INDEX(Fragenkatalog!$BR114,MATCH('Referral Stati'!$R$19,Fragenkatalog!BA114,0)),""),250)</f>
        <v/>
      </c>
      <c r="S127" t="str">
        <f>LEFT(IFERROR(INDEX(Fragenkatalog!$BR114,MATCH('Referral Stati'!$S$19,Fragenkatalog!BB114,0)),""),250)</f>
        <v/>
      </c>
      <c r="T127" t="str">
        <f>LEFT(IFERROR(INDEX(Fragenkatalog!$BR114,MATCH('Referral Stati'!$T$19,Fragenkatalog!BG114,0)),""),250)</f>
        <v/>
      </c>
      <c r="U127" t="str">
        <f>LEFT(IFERROR(INDEX(Fragenkatalog!$BR114,MATCH('Referral Stati'!$U$19,Fragenkatalog!BH114,0)),""),250)</f>
        <v/>
      </c>
      <c r="V127" t="str">
        <f>LEFT(IFERROR(INDEX(Fragenkatalog!$BR114,MATCH('Referral Stati'!$V$19,Fragenkatalog!BM114,0)),""),250)</f>
        <v/>
      </c>
      <c r="W127" t="str">
        <f>LEFT(IFERROR(INDEX(Fragenkatalog!$BR114,MATCH('Referral Stati'!$U$19,Fragenkatalog!BN114,0)),""),250)</f>
        <v/>
      </c>
    </row>
    <row r="128" spans="1:23" ht="20.25" customHeight="1">
      <c r="A128" s="168" t="str">
        <f>Fragenkatalog!B115</f>
        <v>RisikoFragenAXAFacility118c</v>
      </c>
      <c r="D128" t="str">
        <f>LEFT(IFERROR(INDEX(Fragenkatalog!$BR115,MATCH('Referral Stati'!$D$19,Fragenkatalog!AU115,0)),""),250)</f>
        <v/>
      </c>
      <c r="E128" s="19" t="str">
        <f>LEFT(IFERROR(INDEX(Fragenkatalog!$BR115,MATCH('Referral Stati'!$E$19,Fragenkatalog!AV115,0)),""),250)</f>
        <v/>
      </c>
      <c r="F128" s="19" t="str">
        <f>LEFT(IFERROR(INDEX(Fragenkatalog!$BR115,MATCH('Referral Stati'!$F$19,Fragenkatalog!AO115,0)),""),250)</f>
        <v/>
      </c>
      <c r="G128" t="str">
        <f>LEFT(IFERROR(INDEX(Fragenkatalog!$BR115,MATCH('Referral Stati'!$G$19,Fragenkatalog!AP115,0)),""),250)</f>
        <v/>
      </c>
      <c r="J128" t="str">
        <f t="array" ref="J128">LEFT(IFERROR(INDEX(Fragenkatalog!BR115,MATCH('Referral Stati'!$J$19,Fragenkatalog!W115,0)),""),250)</f>
        <v/>
      </c>
      <c r="K128" t="str">
        <f t="array" ref="K128">LEFT(IFERROR(INDEX(Fragenkatalog!BR115,MATCH('Referral Stati'!$K$19,Fragenkatalog!X115,0)),""),250)</f>
        <v/>
      </c>
      <c r="L128" s="19" t="str">
        <f>LEFT(IFERROR(INDEX(Fragenkatalog!$BR115,MATCH('Referral Stati'!$L$19,Fragenkatalog!Q115,0)),""),250)</f>
        <v/>
      </c>
      <c r="M128" s="19" t="str">
        <f>LEFT(IFERROR(INDEX(Fragenkatalog!$BR115,MATCH('Referral Stati'!$M$19,Fragenkatalog!R115,0)),""),250)</f>
        <v/>
      </c>
      <c r="N128" s="19" t="str">
        <f>LEFT(IFERROR(INDEX(Fragenkatalog!$BR115,MATCH('Referral Stati'!$N$19,Fragenkatalog!AI115,0)),""),250)</f>
        <v/>
      </c>
      <c r="O128" t="str">
        <f>LEFT(IFERROR(INDEX(Fragenkatalog!$BR115,MATCH('Referral Stati'!$O$19,Fragenkatalog!AJ115,0)),""),250)</f>
        <v/>
      </c>
      <c r="P128" s="19" t="str">
        <f>LEFT(IFERROR(INDEX(Fragenkatalog!$BR115,MATCH('Referral Stati'!$P$19,Fragenkatalog!AC115,0)),""),250)</f>
        <v/>
      </c>
      <c r="Q128" s="19" t="str">
        <f>LEFT(IFERROR(INDEX(Fragenkatalog!$BR115,MATCH('Referral Stati'!$Q$19,Fragenkatalog!AD115,0)),""),250)</f>
        <v/>
      </c>
      <c r="R128" t="str">
        <f>LEFT(IFERROR(INDEX(Fragenkatalog!$BR115,MATCH('Referral Stati'!$R$19,Fragenkatalog!BA115,0)),""),250)</f>
        <v/>
      </c>
      <c r="S128" t="str">
        <f>LEFT(IFERROR(INDEX(Fragenkatalog!$BR115,MATCH('Referral Stati'!$S$19,Fragenkatalog!BB115,0)),""),250)</f>
        <v/>
      </c>
      <c r="T128" t="str">
        <f>LEFT(IFERROR(INDEX(Fragenkatalog!$BR115,MATCH('Referral Stati'!$T$19,Fragenkatalog!BG115,0)),""),250)</f>
        <v/>
      </c>
      <c r="U128" t="str">
        <f>LEFT(IFERROR(INDEX(Fragenkatalog!$BR115,MATCH('Referral Stati'!$U$19,Fragenkatalog!BH115,0)),""),250)</f>
        <v/>
      </c>
      <c r="V128" t="str">
        <f>LEFT(IFERROR(INDEX(Fragenkatalog!$BR115,MATCH('Referral Stati'!$V$19,Fragenkatalog!BM115,0)),""),250)</f>
        <v/>
      </c>
      <c r="W128" t="str">
        <f>LEFT(IFERROR(INDEX(Fragenkatalog!$BR115,MATCH('Referral Stati'!$U$19,Fragenkatalog!BN115,0)),""),250)</f>
        <v/>
      </c>
    </row>
    <row r="129" spans="1:23" ht="20.25" customHeight="1">
      <c r="A129" s="168" t="str">
        <f>Fragenkatalog!B116</f>
        <v>RisikoFragenAXAFacility118d</v>
      </c>
      <c r="D129" t="str">
        <f>LEFT(IFERROR(INDEX(Fragenkatalog!$BR116,MATCH('Referral Stati'!$D$19,Fragenkatalog!AU116,0)),""),250)</f>
        <v/>
      </c>
      <c r="E129" s="19" t="str">
        <f>LEFT(IFERROR(INDEX(Fragenkatalog!$BR116,MATCH('Referral Stati'!$E$19,Fragenkatalog!AV116,0)),""),250)</f>
        <v/>
      </c>
      <c r="F129" s="19" t="str">
        <f>LEFT(IFERROR(INDEX(Fragenkatalog!$BR116,MATCH('Referral Stati'!$F$19,Fragenkatalog!AO116,0)),""),250)</f>
        <v/>
      </c>
      <c r="G129" t="str">
        <f>LEFT(IFERROR(INDEX(Fragenkatalog!$BR116,MATCH('Referral Stati'!$G$19,Fragenkatalog!AP116,0)),""),250)</f>
        <v/>
      </c>
      <c r="J129" t="str">
        <f t="array" ref="J129">LEFT(IFERROR(INDEX(Fragenkatalog!BR116,MATCH('Referral Stati'!$J$19,Fragenkatalog!W116,0)),""),250)</f>
        <v/>
      </c>
      <c r="K129" t="str">
        <f t="array" ref="K129">LEFT(IFERROR(INDEX(Fragenkatalog!BR116,MATCH('Referral Stati'!$K$19,Fragenkatalog!X116,0)),""),250)</f>
        <v/>
      </c>
      <c r="L129" s="19" t="str">
        <f>LEFT(IFERROR(INDEX(Fragenkatalog!$BR116,MATCH('Referral Stati'!$L$19,Fragenkatalog!Q116,0)),""),250)</f>
        <v/>
      </c>
      <c r="M129" s="19" t="str">
        <f>LEFT(IFERROR(INDEX(Fragenkatalog!$BR116,MATCH('Referral Stati'!$M$19,Fragenkatalog!R116,0)),""),250)</f>
        <v/>
      </c>
      <c r="N129" s="19" t="str">
        <f>LEFT(IFERROR(INDEX(Fragenkatalog!$BR116,MATCH('Referral Stati'!$N$19,Fragenkatalog!AI116,0)),""),250)</f>
        <v/>
      </c>
      <c r="O129" t="str">
        <f>LEFT(IFERROR(INDEX(Fragenkatalog!$BR116,MATCH('Referral Stati'!$O$19,Fragenkatalog!AJ116,0)),""),250)</f>
        <v/>
      </c>
      <c r="P129" s="19" t="str">
        <f>LEFT(IFERROR(INDEX(Fragenkatalog!$BR116,MATCH('Referral Stati'!$P$19,Fragenkatalog!AC116,0)),""),250)</f>
        <v/>
      </c>
      <c r="Q129" s="19" t="str">
        <f>LEFT(IFERROR(INDEX(Fragenkatalog!$BR116,MATCH('Referral Stati'!$Q$19,Fragenkatalog!AD116,0)),""),250)</f>
        <v/>
      </c>
      <c r="R129" t="str">
        <f>LEFT(IFERROR(INDEX(Fragenkatalog!$BR116,MATCH('Referral Stati'!$R$19,Fragenkatalog!BA116,0)),""),250)</f>
        <v/>
      </c>
      <c r="S129" t="str">
        <f>LEFT(IFERROR(INDEX(Fragenkatalog!$BR116,MATCH('Referral Stati'!$S$19,Fragenkatalog!BB116,0)),""),250)</f>
        <v/>
      </c>
      <c r="T129" t="str">
        <f>LEFT(IFERROR(INDEX(Fragenkatalog!$BR116,MATCH('Referral Stati'!$T$19,Fragenkatalog!BG116,0)),""),250)</f>
        <v/>
      </c>
      <c r="U129" t="str">
        <f>LEFT(IFERROR(INDEX(Fragenkatalog!$BR116,MATCH('Referral Stati'!$U$19,Fragenkatalog!BH116,0)),""),250)</f>
        <v/>
      </c>
      <c r="V129" t="str">
        <f>LEFT(IFERROR(INDEX(Fragenkatalog!$BR116,MATCH('Referral Stati'!$V$19,Fragenkatalog!BM116,0)),""),250)</f>
        <v/>
      </c>
      <c r="W129" t="str">
        <f>LEFT(IFERROR(INDEX(Fragenkatalog!$BR116,MATCH('Referral Stati'!$U$19,Fragenkatalog!BN116,0)),""),250)</f>
        <v/>
      </c>
    </row>
    <row r="130" spans="1:23" ht="20.25" customHeight="1">
      <c r="A130" s="168" t="str">
        <f>Fragenkatalog!B117</f>
        <v>RisikoFragenAXAFacility118e</v>
      </c>
      <c r="D130" t="str">
        <f>LEFT(IFERROR(INDEX(Fragenkatalog!$BR117,MATCH('Referral Stati'!$D$19,Fragenkatalog!AU117,0)),""),250)</f>
        <v/>
      </c>
      <c r="E130" s="19" t="str">
        <f>LEFT(IFERROR(INDEX(Fragenkatalog!$BR117,MATCH('Referral Stati'!$E$19,Fragenkatalog!AV117,0)),""),250)</f>
        <v/>
      </c>
      <c r="F130" s="19" t="str">
        <f>LEFT(IFERROR(INDEX(Fragenkatalog!$BR117,MATCH('Referral Stati'!$F$19,Fragenkatalog!AO117,0)),""),250)</f>
        <v/>
      </c>
      <c r="G130" t="str">
        <f>LEFT(IFERROR(INDEX(Fragenkatalog!$BR117,MATCH('Referral Stati'!$G$19,Fragenkatalog!AP117,0)),""),250)</f>
        <v/>
      </c>
      <c r="J130" t="str">
        <f t="array" ref="J130">LEFT(IFERROR(INDEX(Fragenkatalog!BR117,MATCH('Referral Stati'!$J$19,Fragenkatalog!W117,0)),""),250)</f>
        <v/>
      </c>
      <c r="K130" t="str">
        <f t="array" ref="K130">LEFT(IFERROR(INDEX(Fragenkatalog!BR117,MATCH('Referral Stati'!$K$19,Fragenkatalog!X117,0)),""),250)</f>
        <v/>
      </c>
      <c r="L130" s="19" t="str">
        <f>LEFT(IFERROR(INDEX(Fragenkatalog!$BR117,MATCH('Referral Stati'!$L$19,Fragenkatalog!Q117,0)),""),250)</f>
        <v/>
      </c>
      <c r="M130" s="19" t="str">
        <f>LEFT(IFERROR(INDEX(Fragenkatalog!$BR117,MATCH('Referral Stati'!$M$19,Fragenkatalog!R117,0)),""),250)</f>
        <v/>
      </c>
      <c r="N130" s="19" t="str">
        <f>LEFT(IFERROR(INDEX(Fragenkatalog!$BR117,MATCH('Referral Stati'!$N$19,Fragenkatalog!AI117,0)),""),250)</f>
        <v/>
      </c>
      <c r="O130" t="str">
        <f>LEFT(IFERROR(INDEX(Fragenkatalog!$BR117,MATCH('Referral Stati'!$O$19,Fragenkatalog!AJ117,0)),""),250)</f>
        <v/>
      </c>
      <c r="P130" s="19" t="str">
        <f>LEFT(IFERROR(INDEX(Fragenkatalog!$BR117,MATCH('Referral Stati'!$P$19,Fragenkatalog!AC117,0)),""),250)</f>
        <v/>
      </c>
      <c r="Q130" s="19" t="str">
        <f>LEFT(IFERROR(INDEX(Fragenkatalog!$BR117,MATCH('Referral Stati'!$Q$19,Fragenkatalog!AD117,0)),""),250)</f>
        <v/>
      </c>
      <c r="R130" t="str">
        <f>LEFT(IFERROR(INDEX(Fragenkatalog!$BR117,MATCH('Referral Stati'!$R$19,Fragenkatalog!BA117,0)),""),250)</f>
        <v/>
      </c>
      <c r="S130" t="str">
        <f>LEFT(IFERROR(INDEX(Fragenkatalog!$BR117,MATCH('Referral Stati'!$S$19,Fragenkatalog!BB117,0)),""),250)</f>
        <v/>
      </c>
      <c r="T130" t="str">
        <f>LEFT(IFERROR(INDEX(Fragenkatalog!$BR117,MATCH('Referral Stati'!$T$19,Fragenkatalog!BG117,0)),""),250)</f>
        <v/>
      </c>
      <c r="U130" t="str">
        <f>LEFT(IFERROR(INDEX(Fragenkatalog!$BR117,MATCH('Referral Stati'!$U$19,Fragenkatalog!BH117,0)),""),250)</f>
        <v/>
      </c>
      <c r="V130" t="str">
        <f>LEFT(IFERROR(INDEX(Fragenkatalog!$BR117,MATCH('Referral Stati'!$V$19,Fragenkatalog!BM117,0)),""),250)</f>
        <v/>
      </c>
      <c r="W130" t="str">
        <f>LEFT(IFERROR(INDEX(Fragenkatalog!$BR117,MATCH('Referral Stati'!$U$19,Fragenkatalog!BN117,0)),""),250)</f>
        <v/>
      </c>
    </row>
    <row r="131" spans="1:23" ht="20.25" customHeight="1">
      <c r="A131" s="168" t="str">
        <f>Fragenkatalog!B118</f>
        <v>RisikoFragenAXAFacility119a</v>
      </c>
      <c r="D131" t="str">
        <f>LEFT(IFERROR(INDEX(Fragenkatalog!$BR118,MATCH('Referral Stati'!$D$19,Fragenkatalog!AU118,0)),""),250)</f>
        <v/>
      </c>
      <c r="E131" s="19" t="str">
        <f>LEFT(IFERROR(INDEX(Fragenkatalog!$BR118,MATCH('Referral Stati'!$E$19,Fragenkatalog!AV118,0)),""),250)</f>
        <v/>
      </c>
      <c r="F131" s="19" t="str">
        <f>LEFT(IFERROR(INDEX(Fragenkatalog!$BR118,MATCH('Referral Stati'!$F$19,Fragenkatalog!AO118,0)),""),250)</f>
        <v/>
      </c>
      <c r="G131" t="str">
        <f>LEFT(IFERROR(INDEX(Fragenkatalog!$BR118,MATCH('Referral Stati'!$G$19,Fragenkatalog!AP118,0)),""),250)</f>
        <v/>
      </c>
      <c r="J131" t="str">
        <f t="array" ref="J131">LEFT(IFERROR(INDEX(Fragenkatalog!BR118,MATCH('Referral Stati'!$J$19,Fragenkatalog!W118,0)),""),250)</f>
        <v/>
      </c>
      <c r="K131" t="str">
        <f t="array" ref="K131">LEFT(IFERROR(INDEX(Fragenkatalog!BR118,MATCH('Referral Stati'!$K$19,Fragenkatalog!X118,0)),""),250)</f>
        <v/>
      </c>
      <c r="L131" s="19" t="str">
        <f>LEFT(IFERROR(INDEX(Fragenkatalog!$BR118,MATCH('Referral Stati'!$L$19,Fragenkatalog!Q118,0)),""),250)</f>
        <v/>
      </c>
      <c r="M131" s="19" t="str">
        <f>LEFT(IFERROR(INDEX(Fragenkatalog!$BR118,MATCH('Referral Stati'!$M$19,Fragenkatalog!R118,0)),""),250)</f>
        <v/>
      </c>
      <c r="N131" s="19" t="str">
        <f>LEFT(IFERROR(INDEX(Fragenkatalog!$BR118,MATCH('Referral Stati'!$N$19,Fragenkatalog!AI118,0)),""),250)</f>
        <v/>
      </c>
      <c r="O131" t="str">
        <f>LEFT(IFERROR(INDEX(Fragenkatalog!$BR118,MATCH('Referral Stati'!$O$19,Fragenkatalog!AJ118,0)),""),250)</f>
        <v/>
      </c>
      <c r="P131" s="19" t="str">
        <f>LEFT(IFERROR(INDEX(Fragenkatalog!$BR118,MATCH('Referral Stati'!$P$19,Fragenkatalog!AC118,0)),""),250)</f>
        <v/>
      </c>
      <c r="Q131" s="19" t="str">
        <f>LEFT(IFERROR(INDEX(Fragenkatalog!$BR118,MATCH('Referral Stati'!$Q$19,Fragenkatalog!AD118,0)),""),250)</f>
        <v/>
      </c>
      <c r="R131" t="str">
        <f>LEFT(IFERROR(INDEX(Fragenkatalog!$BR118,MATCH('Referral Stati'!$R$19,Fragenkatalog!BA118,0)),""),250)</f>
        <v/>
      </c>
      <c r="S131" t="str">
        <f>LEFT(IFERROR(INDEX(Fragenkatalog!$BR118,MATCH('Referral Stati'!$S$19,Fragenkatalog!BB118,0)),""),250)</f>
        <v/>
      </c>
      <c r="T131" t="str">
        <f>LEFT(IFERROR(INDEX(Fragenkatalog!$BR118,MATCH('Referral Stati'!$T$19,Fragenkatalog!BG118,0)),""),250)</f>
        <v/>
      </c>
      <c r="U131" t="str">
        <f>LEFT(IFERROR(INDEX(Fragenkatalog!$BR118,MATCH('Referral Stati'!$U$19,Fragenkatalog!BH118,0)),""),250)</f>
        <v/>
      </c>
      <c r="V131" t="str">
        <f>LEFT(IFERROR(INDEX(Fragenkatalog!$BR118,MATCH('Referral Stati'!$V$19,Fragenkatalog!BM118,0)),""),250)</f>
        <v/>
      </c>
      <c r="W131" t="str">
        <f>LEFT(IFERROR(INDEX(Fragenkatalog!$BR118,MATCH('Referral Stati'!$U$19,Fragenkatalog!BN118,0)),""),250)</f>
        <v/>
      </c>
    </row>
    <row r="132" spans="1:23" ht="20.25" customHeight="1">
      <c r="A132" s="168" t="str">
        <f>Fragenkatalog!B119</f>
        <v>RisikoFragenAXAFacility119b</v>
      </c>
      <c r="D132" t="str">
        <f>LEFT(IFERROR(INDEX(Fragenkatalog!$BR119,MATCH('Referral Stati'!$D$19,Fragenkatalog!AU119,0)),""),250)</f>
        <v/>
      </c>
      <c r="E132" s="19" t="str">
        <f>LEFT(IFERROR(INDEX(Fragenkatalog!$BR119,MATCH('Referral Stati'!$E$19,Fragenkatalog!AV119,0)),""),250)</f>
        <v/>
      </c>
      <c r="F132" s="19" t="str">
        <f>LEFT(IFERROR(INDEX(Fragenkatalog!$BR119,MATCH('Referral Stati'!$F$19,Fragenkatalog!AO119,0)),""),250)</f>
        <v/>
      </c>
      <c r="G132" t="str">
        <f>LEFT(IFERROR(INDEX(Fragenkatalog!$BR119,MATCH('Referral Stati'!$G$19,Fragenkatalog!AP119,0)),""),250)</f>
        <v/>
      </c>
      <c r="J132" t="str">
        <f t="array" ref="J132">LEFT(IFERROR(INDEX(Fragenkatalog!BR119,MATCH('Referral Stati'!$J$19,Fragenkatalog!W119,0)),""),250)</f>
        <v/>
      </c>
      <c r="K132" t="str">
        <f t="array" ref="K132">LEFT(IFERROR(INDEX(Fragenkatalog!BR119,MATCH('Referral Stati'!$K$19,Fragenkatalog!X119,0)),""),250)</f>
        <v/>
      </c>
      <c r="L132" s="19" t="str">
        <f>LEFT(IFERROR(INDEX(Fragenkatalog!$BR119,MATCH('Referral Stati'!$L$19,Fragenkatalog!Q119,0)),""),250)</f>
        <v/>
      </c>
      <c r="M132" s="19" t="str">
        <f>LEFT(IFERROR(INDEX(Fragenkatalog!$BR119,MATCH('Referral Stati'!$M$19,Fragenkatalog!R119,0)),""),250)</f>
        <v/>
      </c>
      <c r="N132" s="19" t="str">
        <f>LEFT(IFERROR(INDEX(Fragenkatalog!$BR119,MATCH('Referral Stati'!$N$19,Fragenkatalog!AI119,0)),""),250)</f>
        <v/>
      </c>
      <c r="O132" t="str">
        <f>LEFT(IFERROR(INDEX(Fragenkatalog!$BR119,MATCH('Referral Stati'!$O$19,Fragenkatalog!AJ119,0)),""),250)</f>
        <v/>
      </c>
      <c r="P132" s="19" t="str">
        <f>LEFT(IFERROR(INDEX(Fragenkatalog!$BR119,MATCH('Referral Stati'!$P$19,Fragenkatalog!AC119,0)),""),250)</f>
        <v/>
      </c>
      <c r="Q132" s="19" t="str">
        <f>LEFT(IFERROR(INDEX(Fragenkatalog!$BR119,MATCH('Referral Stati'!$Q$19,Fragenkatalog!AD119,0)),""),250)</f>
        <v/>
      </c>
      <c r="R132" t="str">
        <f>LEFT(IFERROR(INDEX(Fragenkatalog!$BR119,MATCH('Referral Stati'!$R$19,Fragenkatalog!BA119,0)),""),250)</f>
        <v/>
      </c>
      <c r="S132" t="str">
        <f>LEFT(IFERROR(INDEX(Fragenkatalog!$BR119,MATCH('Referral Stati'!$S$19,Fragenkatalog!BB119,0)),""),250)</f>
        <v/>
      </c>
      <c r="T132" t="str">
        <f>LEFT(IFERROR(INDEX(Fragenkatalog!$BR119,MATCH('Referral Stati'!$T$19,Fragenkatalog!BG119,0)),""),250)</f>
        <v/>
      </c>
      <c r="U132" t="str">
        <f>LEFT(IFERROR(INDEX(Fragenkatalog!$BR119,MATCH('Referral Stati'!$U$19,Fragenkatalog!BH119,0)),""),250)</f>
        <v/>
      </c>
      <c r="V132" t="str">
        <f>LEFT(IFERROR(INDEX(Fragenkatalog!$BR119,MATCH('Referral Stati'!$V$19,Fragenkatalog!BM119,0)),""),250)</f>
        <v/>
      </c>
      <c r="W132" t="str">
        <f>LEFT(IFERROR(INDEX(Fragenkatalog!$BR119,MATCH('Referral Stati'!$U$19,Fragenkatalog!BN119,0)),""),250)</f>
        <v/>
      </c>
    </row>
    <row r="133" spans="1:23" ht="20.25" customHeight="1">
      <c r="A133" s="168" t="str">
        <f>Fragenkatalog!B120</f>
        <v>RisikoFragenAXAFacility120</v>
      </c>
      <c r="D133" t="str">
        <f>LEFT(IFERROR(INDEX(Fragenkatalog!$BR120,MATCH('Referral Stati'!$D$19,Fragenkatalog!AU120,0)),""),250)</f>
        <v/>
      </c>
      <c r="E133" s="19" t="str">
        <f>LEFT(IFERROR(INDEX(Fragenkatalog!$BR120,MATCH('Referral Stati'!$E$19,Fragenkatalog!AV120,0)),""),250)</f>
        <v/>
      </c>
      <c r="F133" s="19" t="str">
        <f>LEFT(IFERROR(INDEX(Fragenkatalog!$BR120,MATCH('Referral Stati'!$F$19,Fragenkatalog!AO120,0)),""),250)</f>
        <v/>
      </c>
      <c r="G133" t="str">
        <f>LEFT(IFERROR(INDEX(Fragenkatalog!$BR120,MATCH('Referral Stati'!$G$19,Fragenkatalog!AP120,0)),""),250)</f>
        <v/>
      </c>
      <c r="J133" t="str">
        <f t="array" ref="J133">LEFT(IFERROR(INDEX(Fragenkatalog!BR120,MATCH('Referral Stati'!$J$19,Fragenkatalog!W120,0)),""),250)</f>
        <v/>
      </c>
      <c r="K133" t="str">
        <f t="array" ref="K133">LEFT(IFERROR(INDEX(Fragenkatalog!BR120,MATCH('Referral Stati'!$K$19,Fragenkatalog!X120,0)),""),250)</f>
        <v/>
      </c>
      <c r="L133" s="19" t="str">
        <f>LEFT(IFERROR(INDEX(Fragenkatalog!$BR120,MATCH('Referral Stati'!$L$19,Fragenkatalog!Q120,0)),""),250)</f>
        <v/>
      </c>
      <c r="M133" s="19" t="str">
        <f>LEFT(IFERROR(INDEX(Fragenkatalog!$BR120,MATCH('Referral Stati'!$M$19,Fragenkatalog!R120,0)),""),250)</f>
        <v/>
      </c>
      <c r="N133" s="19" t="str">
        <f>LEFT(IFERROR(INDEX(Fragenkatalog!$BR120,MATCH('Referral Stati'!$N$19,Fragenkatalog!AI120,0)),""),250)</f>
        <v/>
      </c>
      <c r="O133" t="str">
        <f>LEFT(IFERROR(INDEX(Fragenkatalog!$BR120,MATCH('Referral Stati'!$O$19,Fragenkatalog!AJ120,0)),""),250)</f>
        <v/>
      </c>
      <c r="P133" s="19" t="str">
        <f>LEFT(IFERROR(INDEX(Fragenkatalog!$BR120,MATCH('Referral Stati'!$P$19,Fragenkatalog!AC120,0)),""),250)</f>
        <v/>
      </c>
      <c r="Q133" s="19" t="str">
        <f>LEFT(IFERROR(INDEX(Fragenkatalog!$BR120,MATCH('Referral Stati'!$Q$19,Fragenkatalog!AD120,0)),""),250)</f>
        <v/>
      </c>
      <c r="R133" t="str">
        <f>LEFT(IFERROR(INDEX(Fragenkatalog!$BR120,MATCH('Referral Stati'!$R$19,Fragenkatalog!BA120,0)),""),250)</f>
        <v/>
      </c>
      <c r="S133" t="str">
        <f>LEFT(IFERROR(INDEX(Fragenkatalog!$BR120,MATCH('Referral Stati'!$S$19,Fragenkatalog!BB120,0)),""),250)</f>
        <v/>
      </c>
      <c r="T133" t="str">
        <f>LEFT(IFERROR(INDEX(Fragenkatalog!$BR120,MATCH('Referral Stati'!$T$19,Fragenkatalog!BG120,0)),""),250)</f>
        <v/>
      </c>
      <c r="U133" t="str">
        <f>LEFT(IFERROR(INDEX(Fragenkatalog!$BR120,MATCH('Referral Stati'!$U$19,Fragenkatalog!BH120,0)),""),250)</f>
        <v/>
      </c>
      <c r="V133" t="str">
        <f>LEFT(IFERROR(INDEX(Fragenkatalog!$BR120,MATCH('Referral Stati'!$V$19,Fragenkatalog!BM120,0)),""),250)</f>
        <v/>
      </c>
      <c r="W133" t="str">
        <f>LEFT(IFERROR(INDEX(Fragenkatalog!$BR120,MATCH('Referral Stati'!$U$19,Fragenkatalog!BN120,0)),""),250)</f>
        <v/>
      </c>
    </row>
    <row r="134" spans="1:23" ht="20.25" customHeight="1">
      <c r="A134" s="168" t="str">
        <f>Fragenkatalog!B121</f>
        <v>RisikoFragenAXAFacility122a</v>
      </c>
      <c r="D134" t="str">
        <f>LEFT(IFERROR(INDEX(Fragenkatalog!$BR121,MATCH('Referral Stati'!$D$19,Fragenkatalog!AU121,0)),""),250)</f>
        <v/>
      </c>
      <c r="E134" s="19" t="str">
        <f>LEFT(IFERROR(INDEX(Fragenkatalog!$BR121,MATCH('Referral Stati'!$E$19,Fragenkatalog!AV121,0)),""),250)</f>
        <v/>
      </c>
      <c r="F134" s="19" t="str">
        <f>LEFT(IFERROR(INDEX(Fragenkatalog!$BR121,MATCH('Referral Stati'!$F$19,Fragenkatalog!AO121,0)),""),250)</f>
        <v/>
      </c>
      <c r="G134" t="str">
        <f>LEFT(IFERROR(INDEX(Fragenkatalog!$BR121,MATCH('Referral Stati'!$G$19,Fragenkatalog!AP121,0)),""),250)</f>
        <v/>
      </c>
      <c r="J134" t="str">
        <f t="array" ref="J134">LEFT(IFERROR(INDEX(Fragenkatalog!BR121,MATCH('Referral Stati'!$J$19,Fragenkatalog!W121,0)),""),250)</f>
        <v/>
      </c>
      <c r="K134" t="str">
        <f t="array" ref="K134">LEFT(IFERROR(INDEX(Fragenkatalog!BR121,MATCH('Referral Stati'!$K$19,Fragenkatalog!X121,0)),""),250)</f>
        <v/>
      </c>
      <c r="L134" s="19" t="str">
        <f>LEFT(IFERROR(INDEX(Fragenkatalog!$BR121,MATCH('Referral Stati'!$L$19,Fragenkatalog!Q121,0)),""),250)</f>
        <v/>
      </c>
      <c r="M134" s="19" t="str">
        <f>LEFT(IFERROR(INDEX(Fragenkatalog!$BR121,MATCH('Referral Stati'!$M$19,Fragenkatalog!R121,0)),""),250)</f>
        <v/>
      </c>
      <c r="N134" s="19" t="str">
        <f>LEFT(IFERROR(INDEX(Fragenkatalog!$BR121,MATCH('Referral Stati'!$N$19,Fragenkatalog!AI121,0)),""),250)</f>
        <v/>
      </c>
      <c r="O134" t="str">
        <f>LEFT(IFERROR(INDEX(Fragenkatalog!$BR121,MATCH('Referral Stati'!$O$19,Fragenkatalog!AJ121,0)),""),250)</f>
        <v/>
      </c>
      <c r="P134" s="19" t="str">
        <f>LEFT(IFERROR(INDEX(Fragenkatalog!$BR121,MATCH('Referral Stati'!$P$19,Fragenkatalog!AC121,0)),""),250)</f>
        <v/>
      </c>
      <c r="Q134" s="19" t="str">
        <f>LEFT(IFERROR(INDEX(Fragenkatalog!$BR121,MATCH('Referral Stati'!$Q$19,Fragenkatalog!AD121,0)),""),250)</f>
        <v/>
      </c>
      <c r="R134" t="str">
        <f>LEFT(IFERROR(INDEX(Fragenkatalog!$BR121,MATCH('Referral Stati'!$R$19,Fragenkatalog!BA121,0)),""),250)</f>
        <v/>
      </c>
      <c r="S134" t="str">
        <f>LEFT(IFERROR(INDEX(Fragenkatalog!$BR121,MATCH('Referral Stati'!$S$19,Fragenkatalog!BB121,0)),""),250)</f>
        <v/>
      </c>
      <c r="T134" t="str">
        <f>LEFT(IFERROR(INDEX(Fragenkatalog!$BR121,MATCH('Referral Stati'!$T$19,Fragenkatalog!BG121,0)),""),250)</f>
        <v/>
      </c>
      <c r="U134" t="str">
        <f>LEFT(IFERROR(INDEX(Fragenkatalog!$BR121,MATCH('Referral Stati'!$U$19,Fragenkatalog!BH121,0)),""),250)</f>
        <v/>
      </c>
      <c r="V134" t="str">
        <f>LEFT(IFERROR(INDEX(Fragenkatalog!$BR121,MATCH('Referral Stati'!$V$19,Fragenkatalog!BM121,0)),""),250)</f>
        <v/>
      </c>
      <c r="W134" t="str">
        <f>LEFT(IFERROR(INDEX(Fragenkatalog!$BR121,MATCH('Referral Stati'!$U$19,Fragenkatalog!BN121,0)),""),250)</f>
        <v/>
      </c>
    </row>
    <row r="135" spans="1:23" ht="20.25" customHeight="1">
      <c r="A135" s="168" t="str">
        <f>Fragenkatalog!B122</f>
        <v>RisikoFragenAXAFacility122b</v>
      </c>
      <c r="D135" t="str">
        <f>LEFT(IFERROR(INDEX(Fragenkatalog!$BR122,MATCH('Referral Stati'!$D$19,Fragenkatalog!AU122,0)),""),250)</f>
        <v/>
      </c>
      <c r="E135" s="19" t="str">
        <f>LEFT(IFERROR(INDEX(Fragenkatalog!$BR122,MATCH('Referral Stati'!$E$19,Fragenkatalog!AV122,0)),""),250)</f>
        <v/>
      </c>
      <c r="F135" s="19" t="str">
        <f>LEFT(IFERROR(INDEX(Fragenkatalog!$BR122,MATCH('Referral Stati'!$F$19,Fragenkatalog!AO122,0)),""),250)</f>
        <v/>
      </c>
      <c r="G135" t="str">
        <f>LEFT(IFERROR(INDEX(Fragenkatalog!$BR122,MATCH('Referral Stati'!$G$19,Fragenkatalog!AP122,0)),""),250)</f>
        <v/>
      </c>
      <c r="J135" t="str">
        <f t="array" ref="J135">LEFT(IFERROR(INDEX(Fragenkatalog!BR122,MATCH('Referral Stati'!$J$19,Fragenkatalog!W122,0)),""),250)</f>
        <v/>
      </c>
      <c r="K135" t="str">
        <f t="array" ref="K135">LEFT(IFERROR(INDEX(Fragenkatalog!BR122,MATCH('Referral Stati'!$K$19,Fragenkatalog!X122,0)),""),250)</f>
        <v/>
      </c>
      <c r="L135" s="19" t="str">
        <f>LEFT(IFERROR(INDEX(Fragenkatalog!$BR122,MATCH('Referral Stati'!$L$19,Fragenkatalog!Q122,0)),""),250)</f>
        <v/>
      </c>
      <c r="M135" s="19" t="str">
        <f>LEFT(IFERROR(INDEX(Fragenkatalog!$BR122,MATCH('Referral Stati'!$M$19,Fragenkatalog!R122,0)),""),250)</f>
        <v/>
      </c>
      <c r="N135" s="19" t="str">
        <f>LEFT(IFERROR(INDEX(Fragenkatalog!$BR122,MATCH('Referral Stati'!$N$19,Fragenkatalog!AI122,0)),""),250)</f>
        <v/>
      </c>
      <c r="O135" t="str">
        <f>LEFT(IFERROR(INDEX(Fragenkatalog!$BR122,MATCH('Referral Stati'!$O$19,Fragenkatalog!AJ122,0)),""),250)</f>
        <v/>
      </c>
      <c r="P135" s="19" t="str">
        <f>LEFT(IFERROR(INDEX(Fragenkatalog!$BR122,MATCH('Referral Stati'!$P$19,Fragenkatalog!AC122,0)),""),250)</f>
        <v/>
      </c>
      <c r="Q135" s="19" t="str">
        <f>LEFT(IFERROR(INDEX(Fragenkatalog!$BR122,MATCH('Referral Stati'!$Q$19,Fragenkatalog!AD122,0)),""),250)</f>
        <v/>
      </c>
      <c r="R135" t="str">
        <f>LEFT(IFERROR(INDEX(Fragenkatalog!$BR122,MATCH('Referral Stati'!$R$19,Fragenkatalog!BA122,0)),""),250)</f>
        <v/>
      </c>
      <c r="S135" t="str">
        <f>LEFT(IFERROR(INDEX(Fragenkatalog!$BR122,MATCH('Referral Stati'!$S$19,Fragenkatalog!BB122,0)),""),250)</f>
        <v/>
      </c>
      <c r="T135" t="str">
        <f>LEFT(IFERROR(INDEX(Fragenkatalog!$BR122,MATCH('Referral Stati'!$T$19,Fragenkatalog!BG122,0)),""),250)</f>
        <v/>
      </c>
      <c r="U135" t="str">
        <f>LEFT(IFERROR(INDEX(Fragenkatalog!$BR122,MATCH('Referral Stati'!$U$19,Fragenkatalog!BH122,0)),""),250)</f>
        <v/>
      </c>
      <c r="V135" t="str">
        <f>LEFT(IFERROR(INDEX(Fragenkatalog!$BR122,MATCH('Referral Stati'!$V$19,Fragenkatalog!BM122,0)),""),250)</f>
        <v/>
      </c>
      <c r="W135" t="str">
        <f>LEFT(IFERROR(INDEX(Fragenkatalog!$BR122,MATCH('Referral Stati'!$U$19,Fragenkatalog!BN122,0)),""),250)</f>
        <v/>
      </c>
    </row>
    <row r="136" spans="1:23" ht="20.25" customHeight="1">
      <c r="A136" s="168" t="str">
        <f>Fragenkatalog!B123</f>
        <v>RisikoFragenAXAFacility122c</v>
      </c>
      <c r="D136" t="str">
        <f>LEFT(IFERROR(INDEX(Fragenkatalog!$BR123,MATCH('Referral Stati'!$D$19,Fragenkatalog!AU123,0)),""),250)</f>
        <v/>
      </c>
      <c r="E136" s="19" t="str">
        <f>LEFT(IFERROR(INDEX(Fragenkatalog!$BR123,MATCH('Referral Stati'!$E$19,Fragenkatalog!AV123,0)),""),250)</f>
        <v/>
      </c>
      <c r="F136" s="19" t="str">
        <f>LEFT(IFERROR(INDEX(Fragenkatalog!$BR123,MATCH('Referral Stati'!$F$19,Fragenkatalog!AO123,0)),""),250)</f>
        <v/>
      </c>
      <c r="G136" t="str">
        <f>LEFT(IFERROR(INDEX(Fragenkatalog!$BR123,MATCH('Referral Stati'!$G$19,Fragenkatalog!AP123,0)),""),250)</f>
        <v/>
      </c>
      <c r="J136" t="str">
        <f t="array" ref="J136">LEFT(IFERROR(INDEX(Fragenkatalog!BR123,MATCH('Referral Stati'!$J$19,Fragenkatalog!W123,0)),""),250)</f>
        <v/>
      </c>
      <c r="K136" t="str">
        <f t="array" ref="K136">LEFT(IFERROR(INDEX(Fragenkatalog!BR123,MATCH('Referral Stati'!$K$19,Fragenkatalog!X123,0)),""),250)</f>
        <v/>
      </c>
      <c r="L136" s="19" t="str">
        <f>LEFT(IFERROR(INDEX(Fragenkatalog!$BR123,MATCH('Referral Stati'!$L$19,Fragenkatalog!Q123,0)),""),250)</f>
        <v/>
      </c>
      <c r="M136" s="19" t="str">
        <f>LEFT(IFERROR(INDEX(Fragenkatalog!$BR123,MATCH('Referral Stati'!$M$19,Fragenkatalog!R123,0)),""),250)</f>
        <v/>
      </c>
      <c r="N136" s="19" t="str">
        <f>LEFT(IFERROR(INDEX(Fragenkatalog!$BR123,MATCH('Referral Stati'!$N$19,Fragenkatalog!AI123,0)),""),250)</f>
        <v/>
      </c>
      <c r="O136" t="str">
        <f>LEFT(IFERROR(INDEX(Fragenkatalog!$BR123,MATCH('Referral Stati'!$O$19,Fragenkatalog!AJ123,0)),""),250)</f>
        <v/>
      </c>
      <c r="P136" s="19" t="str">
        <f>LEFT(IFERROR(INDEX(Fragenkatalog!$BR123,MATCH('Referral Stati'!$P$19,Fragenkatalog!AC123,0)),""),250)</f>
        <v/>
      </c>
      <c r="Q136" s="19" t="str">
        <f>LEFT(IFERROR(INDEX(Fragenkatalog!$BR123,MATCH('Referral Stati'!$Q$19,Fragenkatalog!AD123,0)),""),250)</f>
        <v/>
      </c>
      <c r="R136" t="str">
        <f>LEFT(IFERROR(INDEX(Fragenkatalog!$BR123,MATCH('Referral Stati'!$R$19,Fragenkatalog!BA123,0)),""),250)</f>
        <v/>
      </c>
      <c r="S136" t="str">
        <f>LEFT(IFERROR(INDEX(Fragenkatalog!$BR123,MATCH('Referral Stati'!$S$19,Fragenkatalog!BB123,0)),""),250)</f>
        <v/>
      </c>
      <c r="T136" t="str">
        <f>LEFT(IFERROR(INDEX(Fragenkatalog!$BR123,MATCH('Referral Stati'!$T$19,Fragenkatalog!BG123,0)),""),250)</f>
        <v/>
      </c>
      <c r="U136" t="str">
        <f>LEFT(IFERROR(INDEX(Fragenkatalog!$BR123,MATCH('Referral Stati'!$U$19,Fragenkatalog!BH123,0)),""),250)</f>
        <v/>
      </c>
      <c r="V136" t="str">
        <f>LEFT(IFERROR(INDEX(Fragenkatalog!$BR123,MATCH('Referral Stati'!$V$19,Fragenkatalog!BM123,0)),""),250)</f>
        <v/>
      </c>
      <c r="W136" t="str">
        <f>LEFT(IFERROR(INDEX(Fragenkatalog!$BR123,MATCH('Referral Stati'!$U$19,Fragenkatalog!BN123,0)),""),250)</f>
        <v/>
      </c>
    </row>
    <row r="137" spans="1:23" ht="20.25" customHeight="1">
      <c r="A137" s="168" t="str">
        <f>Fragenkatalog!B124</f>
        <v>RisikoFragenAXAFacility122d</v>
      </c>
      <c r="D137" t="str">
        <f>LEFT(IFERROR(INDEX(Fragenkatalog!$BR124,MATCH('Referral Stati'!$D$19,Fragenkatalog!AU124,0)),""),250)</f>
        <v/>
      </c>
      <c r="E137" s="19" t="str">
        <f>LEFT(IFERROR(INDEX(Fragenkatalog!$BR124,MATCH('Referral Stati'!$E$19,Fragenkatalog!AV124,0)),""),250)</f>
        <v/>
      </c>
      <c r="F137" s="19" t="str">
        <f>LEFT(IFERROR(INDEX(Fragenkatalog!$BR124,MATCH('Referral Stati'!$F$19,Fragenkatalog!AO124,0)),""),250)</f>
        <v/>
      </c>
      <c r="G137" t="str">
        <f>LEFT(IFERROR(INDEX(Fragenkatalog!$BR124,MATCH('Referral Stati'!$G$19,Fragenkatalog!AP124,0)),""),250)</f>
        <v/>
      </c>
      <c r="J137" t="str">
        <f t="array" ref="J137">LEFT(IFERROR(INDEX(Fragenkatalog!BR124,MATCH('Referral Stati'!$J$19,Fragenkatalog!W124,0)),""),250)</f>
        <v/>
      </c>
      <c r="K137" t="str">
        <f t="array" ref="K137">LEFT(IFERROR(INDEX(Fragenkatalog!BR124,MATCH('Referral Stati'!$K$19,Fragenkatalog!X124,0)),""),250)</f>
        <v/>
      </c>
      <c r="L137" s="19" t="str">
        <f>LEFT(IFERROR(INDEX(Fragenkatalog!$BR124,MATCH('Referral Stati'!$L$19,Fragenkatalog!Q124,0)),""),250)</f>
        <v/>
      </c>
      <c r="M137" s="19" t="str">
        <f>LEFT(IFERROR(INDEX(Fragenkatalog!$BR124,MATCH('Referral Stati'!$M$19,Fragenkatalog!R124,0)),""),250)</f>
        <v/>
      </c>
      <c r="N137" s="19" t="str">
        <f>LEFT(IFERROR(INDEX(Fragenkatalog!$BR124,MATCH('Referral Stati'!$N$19,Fragenkatalog!AI124,0)),""),250)</f>
        <v/>
      </c>
      <c r="O137" t="str">
        <f>LEFT(IFERROR(INDEX(Fragenkatalog!$BR124,MATCH('Referral Stati'!$O$19,Fragenkatalog!AJ124,0)),""),250)</f>
        <v/>
      </c>
      <c r="P137" s="19" t="str">
        <f>LEFT(IFERROR(INDEX(Fragenkatalog!$BR124,MATCH('Referral Stati'!$P$19,Fragenkatalog!AC124,0)),""),250)</f>
        <v/>
      </c>
      <c r="Q137" s="19" t="str">
        <f>LEFT(IFERROR(INDEX(Fragenkatalog!$BR124,MATCH('Referral Stati'!$Q$19,Fragenkatalog!AD124,0)),""),250)</f>
        <v/>
      </c>
      <c r="R137" t="str">
        <f>LEFT(IFERROR(INDEX(Fragenkatalog!$BR124,MATCH('Referral Stati'!$R$19,Fragenkatalog!BA124,0)),""),250)</f>
        <v/>
      </c>
      <c r="S137" t="str">
        <f>LEFT(IFERROR(INDEX(Fragenkatalog!$BR124,MATCH('Referral Stati'!$S$19,Fragenkatalog!BB124,0)),""),250)</f>
        <v/>
      </c>
      <c r="T137" t="str">
        <f>LEFT(IFERROR(INDEX(Fragenkatalog!$BR124,MATCH('Referral Stati'!$T$19,Fragenkatalog!BG124,0)),""),250)</f>
        <v/>
      </c>
      <c r="U137" t="str">
        <f>LEFT(IFERROR(INDEX(Fragenkatalog!$BR124,MATCH('Referral Stati'!$U$19,Fragenkatalog!BH124,0)),""),250)</f>
        <v/>
      </c>
      <c r="V137" t="str">
        <f>LEFT(IFERROR(INDEX(Fragenkatalog!$BR124,MATCH('Referral Stati'!$V$19,Fragenkatalog!BM124,0)),""),250)</f>
        <v/>
      </c>
      <c r="W137" t="str">
        <f>LEFT(IFERROR(INDEX(Fragenkatalog!$BR124,MATCH('Referral Stati'!$U$19,Fragenkatalog!BN124,0)),""),250)</f>
        <v/>
      </c>
    </row>
    <row r="138" spans="1:23" ht="20.25" customHeight="1">
      <c r="A138" s="168" t="str">
        <f>Fragenkatalog!B125</f>
        <v>RisikoFragenAXAFacility122e</v>
      </c>
      <c r="D138" t="str">
        <f>LEFT(IFERROR(INDEX(Fragenkatalog!$BR125,MATCH('Referral Stati'!$D$19,Fragenkatalog!AU125,0)),""),250)</f>
        <v/>
      </c>
      <c r="E138" s="19" t="str">
        <f>LEFT(IFERROR(INDEX(Fragenkatalog!$BR125,MATCH('Referral Stati'!$E$19,Fragenkatalog!AV125,0)),""),250)</f>
        <v/>
      </c>
      <c r="F138" s="19" t="str">
        <f>LEFT(IFERROR(INDEX(Fragenkatalog!$BR125,MATCH('Referral Stati'!$F$19,Fragenkatalog!AO125,0)),""),250)</f>
        <v/>
      </c>
      <c r="G138" t="str">
        <f>LEFT(IFERROR(INDEX(Fragenkatalog!$BR125,MATCH('Referral Stati'!$G$19,Fragenkatalog!AP125,0)),""),250)</f>
        <v/>
      </c>
      <c r="J138" t="str">
        <f t="array" ref="J138">LEFT(IFERROR(INDEX(Fragenkatalog!BR125,MATCH('Referral Stati'!$J$19,Fragenkatalog!W125,0)),""),250)</f>
        <v/>
      </c>
      <c r="K138" t="str">
        <f t="array" ref="K138">LEFT(IFERROR(INDEX(Fragenkatalog!BR125,MATCH('Referral Stati'!$K$19,Fragenkatalog!X125,0)),""),250)</f>
        <v/>
      </c>
      <c r="L138" s="19" t="str">
        <f>LEFT(IFERROR(INDEX(Fragenkatalog!$BR125,MATCH('Referral Stati'!$L$19,Fragenkatalog!Q125,0)),""),250)</f>
        <v/>
      </c>
      <c r="M138" s="19" t="str">
        <f>LEFT(IFERROR(INDEX(Fragenkatalog!$BR125,MATCH('Referral Stati'!$M$19,Fragenkatalog!R125,0)),""),250)</f>
        <v/>
      </c>
      <c r="N138" s="19" t="str">
        <f>LEFT(IFERROR(INDEX(Fragenkatalog!$BR125,MATCH('Referral Stati'!$N$19,Fragenkatalog!AI125,0)),""),250)</f>
        <v/>
      </c>
      <c r="O138" t="str">
        <f>LEFT(IFERROR(INDEX(Fragenkatalog!$BR125,MATCH('Referral Stati'!$O$19,Fragenkatalog!AJ125,0)),""),250)</f>
        <v/>
      </c>
      <c r="P138" s="19" t="str">
        <f>LEFT(IFERROR(INDEX(Fragenkatalog!$BR125,MATCH('Referral Stati'!$P$19,Fragenkatalog!AC125,0)),""),250)</f>
        <v/>
      </c>
      <c r="Q138" s="19" t="str">
        <f>LEFT(IFERROR(INDEX(Fragenkatalog!$BR125,MATCH('Referral Stati'!$Q$19,Fragenkatalog!AD125,0)),""),250)</f>
        <v/>
      </c>
      <c r="R138" t="str">
        <f>LEFT(IFERROR(INDEX(Fragenkatalog!$BR125,MATCH('Referral Stati'!$R$19,Fragenkatalog!BA125,0)),""),250)</f>
        <v/>
      </c>
      <c r="S138" t="str">
        <f>LEFT(IFERROR(INDEX(Fragenkatalog!$BR125,MATCH('Referral Stati'!$S$19,Fragenkatalog!BB125,0)),""),250)</f>
        <v/>
      </c>
      <c r="T138" t="str">
        <f>LEFT(IFERROR(INDEX(Fragenkatalog!$BR125,MATCH('Referral Stati'!$T$19,Fragenkatalog!BG125,0)),""),250)</f>
        <v/>
      </c>
      <c r="U138" t="str">
        <f>LEFT(IFERROR(INDEX(Fragenkatalog!$BR125,MATCH('Referral Stati'!$U$19,Fragenkatalog!BH125,0)),""),250)</f>
        <v/>
      </c>
      <c r="V138" t="str">
        <f>LEFT(IFERROR(INDEX(Fragenkatalog!$BR125,MATCH('Referral Stati'!$V$19,Fragenkatalog!BM125,0)),""),250)</f>
        <v/>
      </c>
      <c r="W138" t="str">
        <f>LEFT(IFERROR(INDEX(Fragenkatalog!$BR125,MATCH('Referral Stati'!$U$19,Fragenkatalog!BN125,0)),""),250)</f>
        <v/>
      </c>
    </row>
    <row r="139" spans="1:23" ht="20.25" customHeight="1">
      <c r="A139" s="168" t="str">
        <f>Fragenkatalog!B126</f>
        <v>RisikoFragenStartUp127</v>
      </c>
      <c r="D139" t="str">
        <f>LEFT(IFERROR(INDEX(Fragenkatalog!$BR126,MATCH('Referral Stati'!$D$19,Fragenkatalog!AU126,0)),""),250)</f>
        <v/>
      </c>
      <c r="E139" s="19" t="str">
        <f>LEFT(IFERROR(INDEX(Fragenkatalog!$BR126,MATCH('Referral Stati'!$E$19,Fragenkatalog!AV126,0)),""),250)</f>
        <v/>
      </c>
      <c r="F139" s="19" t="str">
        <f>LEFT(IFERROR(INDEX(Fragenkatalog!$BR126,MATCH('Referral Stati'!$F$19,Fragenkatalog!AO126,0)),""),250)</f>
        <v/>
      </c>
      <c r="G139" t="str">
        <f>LEFT(IFERROR(INDEX(Fragenkatalog!$BR126,MATCH('Referral Stati'!$G$19,Fragenkatalog!AP126,0)),""),250)</f>
        <v/>
      </c>
      <c r="J139" t="str">
        <f t="array" ref="J139">LEFT(IFERROR(INDEX(Fragenkatalog!BR126,MATCH('Referral Stati'!$J$19,Fragenkatalog!W126,0)),""),250)</f>
        <v/>
      </c>
      <c r="K139" t="str">
        <f t="array" ref="K139">LEFT(IFERROR(INDEX(Fragenkatalog!BR126,MATCH('Referral Stati'!$K$19,Fragenkatalog!X126,0)),""),250)</f>
        <v/>
      </c>
      <c r="L139" s="19" t="str">
        <f>LEFT(IFERROR(INDEX(Fragenkatalog!$BR126,MATCH('Referral Stati'!$L$19,Fragenkatalog!Q126,0)),""),250)</f>
        <v/>
      </c>
      <c r="M139" s="19" t="str">
        <f>LEFT(IFERROR(INDEX(Fragenkatalog!$BR126,MATCH('Referral Stati'!$M$19,Fragenkatalog!R126,0)),""),250)</f>
        <v/>
      </c>
      <c r="N139" s="19" t="str">
        <f>LEFT(IFERROR(INDEX(Fragenkatalog!$BR126,MATCH('Referral Stati'!$N$19,Fragenkatalog!AI126,0)),""),250)</f>
        <v/>
      </c>
      <c r="O139" t="str">
        <f>LEFT(IFERROR(INDEX(Fragenkatalog!$BR126,MATCH('Referral Stati'!$O$19,Fragenkatalog!AJ126,0)),""),250)</f>
        <v/>
      </c>
      <c r="P139" s="19" t="str">
        <f>LEFT(IFERROR(INDEX(Fragenkatalog!$BR126,MATCH('Referral Stati'!$P$19,Fragenkatalog!AC126,0)),""),250)</f>
        <v/>
      </c>
      <c r="Q139" s="19" t="str">
        <f>LEFT(IFERROR(INDEX(Fragenkatalog!$BR126,MATCH('Referral Stati'!$Q$19,Fragenkatalog!AD126,0)),""),250)</f>
        <v/>
      </c>
      <c r="R139" t="str">
        <f>LEFT(IFERROR(INDEX(Fragenkatalog!$BR126,MATCH('Referral Stati'!$R$19,Fragenkatalog!BA126,0)),""),250)</f>
        <v/>
      </c>
      <c r="S139" t="str">
        <f>LEFT(IFERROR(INDEX(Fragenkatalog!$BR126,MATCH('Referral Stati'!$S$19,Fragenkatalog!BB126,0)),""),250)</f>
        <v/>
      </c>
      <c r="T139" t="str">
        <f>LEFT(IFERROR(INDEX(Fragenkatalog!$BR126,MATCH('Referral Stati'!$T$19,Fragenkatalog!BG126,0)),""),250)</f>
        <v/>
      </c>
      <c r="U139" t="str">
        <f>LEFT(IFERROR(INDEX(Fragenkatalog!$BR126,MATCH('Referral Stati'!$U$19,Fragenkatalog!BH126,0)),""),250)</f>
        <v/>
      </c>
      <c r="V139" t="str">
        <f>LEFT(IFERROR(INDEX(Fragenkatalog!$BR126,MATCH('Referral Stati'!$V$19,Fragenkatalog!BM126,0)),""),250)</f>
        <v/>
      </c>
      <c r="W139" t="str">
        <f>LEFT(IFERROR(INDEX(Fragenkatalog!$BR126,MATCH('Referral Stati'!$U$19,Fragenkatalog!BN126,0)),""),250)</f>
        <v/>
      </c>
    </row>
    <row r="140" spans="1:23" ht="20.25" customHeight="1">
      <c r="A140" s="168" t="str">
        <f>Fragenkatalog!B127</f>
        <v>RisikoFragenStartUp128</v>
      </c>
      <c r="D140" t="str">
        <f>LEFT(IFERROR(INDEX(Fragenkatalog!$BR127,MATCH('Referral Stati'!$D$19,Fragenkatalog!AU127,0)),""),250)</f>
        <v/>
      </c>
      <c r="E140" s="19" t="str">
        <f>LEFT(IFERROR(INDEX(Fragenkatalog!$BR127,MATCH('Referral Stati'!$E$19,Fragenkatalog!AV127,0)),""),250)</f>
        <v/>
      </c>
      <c r="F140" s="19" t="str">
        <f>LEFT(IFERROR(INDEX(Fragenkatalog!$BR127,MATCH('Referral Stati'!$F$19,Fragenkatalog!AO127,0)),""),250)</f>
        <v/>
      </c>
      <c r="G140" t="str">
        <f>LEFT(IFERROR(INDEX(Fragenkatalog!$BR127,MATCH('Referral Stati'!$G$19,Fragenkatalog!AP127,0)),""),250)</f>
        <v/>
      </c>
      <c r="J140" t="str">
        <f t="array" ref="J140">LEFT(IFERROR(INDEX(Fragenkatalog!BR127,MATCH('Referral Stati'!$J$19,Fragenkatalog!W127,0)),""),250)</f>
        <v/>
      </c>
      <c r="K140" t="str">
        <f t="array" ref="K140">LEFT(IFERROR(INDEX(Fragenkatalog!BR127,MATCH('Referral Stati'!$K$19,Fragenkatalog!X127,0)),""),250)</f>
        <v/>
      </c>
      <c r="L140" s="19" t="str">
        <f>LEFT(IFERROR(INDEX(Fragenkatalog!$BR127,MATCH('Referral Stati'!$L$19,Fragenkatalog!Q127,0)),""),250)</f>
        <v/>
      </c>
      <c r="M140" s="19" t="str">
        <f>LEFT(IFERROR(INDEX(Fragenkatalog!$BR127,MATCH('Referral Stati'!$M$19,Fragenkatalog!R127,0)),""),250)</f>
        <v/>
      </c>
      <c r="N140" s="19" t="str">
        <f>LEFT(IFERROR(INDEX(Fragenkatalog!$BR127,MATCH('Referral Stati'!$N$19,Fragenkatalog!AI127,0)),""),250)</f>
        <v/>
      </c>
      <c r="O140" t="str">
        <f>LEFT(IFERROR(INDEX(Fragenkatalog!$BR127,MATCH('Referral Stati'!$O$19,Fragenkatalog!AJ127,0)),""),250)</f>
        <v/>
      </c>
      <c r="P140" s="19" t="str">
        <f>LEFT(IFERROR(INDEX(Fragenkatalog!$BR127,MATCH('Referral Stati'!$P$19,Fragenkatalog!AC127,0)),""),250)</f>
        <v/>
      </c>
      <c r="Q140" s="19" t="str">
        <f>LEFT(IFERROR(INDEX(Fragenkatalog!$BR127,MATCH('Referral Stati'!$Q$19,Fragenkatalog!AD127,0)),""),250)</f>
        <v/>
      </c>
      <c r="R140" t="str">
        <f>LEFT(IFERROR(INDEX(Fragenkatalog!$BR127,MATCH('Referral Stati'!$R$19,Fragenkatalog!BA127,0)),""),250)</f>
        <v/>
      </c>
      <c r="S140" t="str">
        <f>LEFT(IFERROR(INDEX(Fragenkatalog!$BR127,MATCH('Referral Stati'!$S$19,Fragenkatalog!BB127,0)),""),250)</f>
        <v/>
      </c>
      <c r="T140" t="str">
        <f>LEFT(IFERROR(INDEX(Fragenkatalog!$BR127,MATCH('Referral Stati'!$T$19,Fragenkatalog!BG127,0)),""),250)</f>
        <v/>
      </c>
      <c r="U140" t="str">
        <f>LEFT(IFERROR(INDEX(Fragenkatalog!$BR127,MATCH('Referral Stati'!$U$19,Fragenkatalog!BH127,0)),""),250)</f>
        <v/>
      </c>
      <c r="V140" t="str">
        <f>LEFT(IFERROR(INDEX(Fragenkatalog!$BR127,MATCH('Referral Stati'!$V$19,Fragenkatalog!BM127,0)),""),250)</f>
        <v/>
      </c>
      <c r="W140" t="str">
        <f>LEFT(IFERROR(INDEX(Fragenkatalog!$BR127,MATCH('Referral Stati'!$U$19,Fragenkatalog!BN127,0)),""),250)</f>
        <v/>
      </c>
    </row>
    <row r="141" spans="1:23" ht="20.25" customHeight="1">
      <c r="A141" s="168" t="str">
        <f>Fragenkatalog!B128</f>
        <v>RisikoFragenStartUp129</v>
      </c>
      <c r="D141" t="str">
        <f>LEFT(IFERROR(INDEX(Fragenkatalog!$BR128,MATCH('Referral Stati'!$D$19,Fragenkatalog!AU128,0)),""),250)</f>
        <v/>
      </c>
      <c r="E141" s="19" t="str">
        <f>LEFT(IFERROR(INDEX(Fragenkatalog!$BR128,MATCH('Referral Stati'!$E$19,Fragenkatalog!AV128,0)),""),250)</f>
        <v/>
      </c>
      <c r="F141" s="19" t="str">
        <f>LEFT(IFERROR(INDEX(Fragenkatalog!$BR128,MATCH('Referral Stati'!$F$19,Fragenkatalog!AO128,0)),""),250)</f>
        <v/>
      </c>
      <c r="G141" t="str">
        <f>LEFT(IFERROR(INDEX(Fragenkatalog!$BR128,MATCH('Referral Stati'!$G$19,Fragenkatalog!AP128,0)),""),250)</f>
        <v/>
      </c>
      <c r="J141" t="str">
        <f t="array" ref="J141">LEFT(IFERROR(INDEX(Fragenkatalog!BR128,MATCH('Referral Stati'!$J$19,Fragenkatalog!W128,0)),""),250)</f>
        <v/>
      </c>
      <c r="K141" t="str">
        <f t="array" ref="K141">LEFT(IFERROR(INDEX(Fragenkatalog!BR128,MATCH('Referral Stati'!$K$19,Fragenkatalog!X128,0)),""),250)</f>
        <v/>
      </c>
      <c r="L141" s="19" t="str">
        <f>LEFT(IFERROR(INDEX(Fragenkatalog!$BR128,MATCH('Referral Stati'!$L$19,Fragenkatalog!Q128,0)),""),250)</f>
        <v/>
      </c>
      <c r="M141" s="19" t="str">
        <f>LEFT(IFERROR(INDEX(Fragenkatalog!$BR128,MATCH('Referral Stati'!$M$19,Fragenkatalog!R128,0)),""),250)</f>
        <v/>
      </c>
      <c r="N141" s="19" t="str">
        <f>LEFT(IFERROR(INDEX(Fragenkatalog!$BR128,MATCH('Referral Stati'!$N$19,Fragenkatalog!AI128,0)),""),250)</f>
        <v/>
      </c>
      <c r="O141" t="str">
        <f>LEFT(IFERROR(INDEX(Fragenkatalog!$BR128,MATCH('Referral Stati'!$O$19,Fragenkatalog!AJ128,0)),""),250)</f>
        <v/>
      </c>
      <c r="P141" s="19" t="str">
        <f>LEFT(IFERROR(INDEX(Fragenkatalog!$BR128,MATCH('Referral Stati'!$P$19,Fragenkatalog!AC128,0)),""),250)</f>
        <v/>
      </c>
      <c r="Q141" s="19" t="str">
        <f>LEFT(IFERROR(INDEX(Fragenkatalog!$BR128,MATCH('Referral Stati'!$Q$19,Fragenkatalog!AD128,0)),""),250)</f>
        <v/>
      </c>
      <c r="R141" t="str">
        <f>LEFT(IFERROR(INDEX(Fragenkatalog!$BR128,MATCH('Referral Stati'!$R$19,Fragenkatalog!BA128,0)),""),250)</f>
        <v/>
      </c>
      <c r="S141" t="str">
        <f>LEFT(IFERROR(INDEX(Fragenkatalog!$BR128,MATCH('Referral Stati'!$S$19,Fragenkatalog!BB128,0)),""),250)</f>
        <v/>
      </c>
      <c r="T141" t="str">
        <f>LEFT(IFERROR(INDEX(Fragenkatalog!$BR128,MATCH('Referral Stati'!$T$19,Fragenkatalog!BG128,0)),""),250)</f>
        <v/>
      </c>
      <c r="U141" t="str">
        <f>LEFT(IFERROR(INDEX(Fragenkatalog!$BR128,MATCH('Referral Stati'!$U$19,Fragenkatalog!BH128,0)),""),250)</f>
        <v/>
      </c>
      <c r="V141" t="str">
        <f>LEFT(IFERROR(INDEX(Fragenkatalog!$BR128,MATCH('Referral Stati'!$V$19,Fragenkatalog!BM128,0)),""),250)</f>
        <v/>
      </c>
      <c r="W141" t="str">
        <f>LEFT(IFERROR(INDEX(Fragenkatalog!$BR128,MATCH('Referral Stati'!$U$19,Fragenkatalog!BN128,0)),""),250)</f>
        <v/>
      </c>
    </row>
    <row r="142" spans="1:23" ht="20.25" customHeight="1">
      <c r="A142" s="168" t="str">
        <f>Fragenkatalog!B129</f>
        <v>RisikoFragenStartUp130</v>
      </c>
      <c r="D142" t="str">
        <f>LEFT(IFERROR(INDEX(Fragenkatalog!$BR129,MATCH('Referral Stati'!$D$19,Fragenkatalog!AU129,0)),""),250)</f>
        <v/>
      </c>
      <c r="E142" s="19" t="str">
        <f>LEFT(IFERROR(INDEX(Fragenkatalog!$BR129,MATCH('Referral Stati'!$E$19,Fragenkatalog!AV129,0)),""),250)</f>
        <v/>
      </c>
      <c r="F142" s="19" t="str">
        <f>LEFT(IFERROR(INDEX(Fragenkatalog!$BR129,MATCH('Referral Stati'!$F$19,Fragenkatalog!AO129,0)),""),250)</f>
        <v/>
      </c>
      <c r="G142" t="str">
        <f>LEFT(IFERROR(INDEX(Fragenkatalog!$BR129,MATCH('Referral Stati'!$G$19,Fragenkatalog!AP129,0)),""),250)</f>
        <v/>
      </c>
      <c r="J142" t="str">
        <f t="array" ref="J142">LEFT(IFERROR(INDEX(Fragenkatalog!BR129,MATCH('Referral Stati'!$J$19,Fragenkatalog!W129,0)),""),250)</f>
        <v/>
      </c>
      <c r="K142" t="str">
        <f t="array" ref="K142">LEFT(IFERROR(INDEX(Fragenkatalog!BR129,MATCH('Referral Stati'!$K$19,Fragenkatalog!X129,0)),""),250)</f>
        <v/>
      </c>
      <c r="L142" s="19" t="str">
        <f>LEFT(IFERROR(INDEX(Fragenkatalog!$BR129,MATCH('Referral Stati'!$L$19,Fragenkatalog!Q129,0)),""),250)</f>
        <v/>
      </c>
      <c r="M142" s="19" t="str">
        <f>LEFT(IFERROR(INDEX(Fragenkatalog!$BR129,MATCH('Referral Stati'!$M$19,Fragenkatalog!R129,0)),""),250)</f>
        <v/>
      </c>
      <c r="N142" s="19" t="str">
        <f>LEFT(IFERROR(INDEX(Fragenkatalog!$BR129,MATCH('Referral Stati'!$N$19,Fragenkatalog!AI129,0)),""),250)</f>
        <v/>
      </c>
      <c r="O142" t="str">
        <f>LEFT(IFERROR(INDEX(Fragenkatalog!$BR129,MATCH('Referral Stati'!$O$19,Fragenkatalog!AJ129,0)),""),250)</f>
        <v/>
      </c>
      <c r="P142" s="19" t="str">
        <f>LEFT(IFERROR(INDEX(Fragenkatalog!$BR129,MATCH('Referral Stati'!$P$19,Fragenkatalog!AC129,0)),""),250)</f>
        <v/>
      </c>
      <c r="Q142" s="19" t="str">
        <f>LEFT(IFERROR(INDEX(Fragenkatalog!$BR129,MATCH('Referral Stati'!$Q$19,Fragenkatalog!AD129,0)),""),250)</f>
        <v/>
      </c>
      <c r="R142" t="str">
        <f>LEFT(IFERROR(INDEX(Fragenkatalog!$BR129,MATCH('Referral Stati'!$R$19,Fragenkatalog!BA129,0)),""),250)</f>
        <v/>
      </c>
      <c r="S142" t="str">
        <f>LEFT(IFERROR(INDEX(Fragenkatalog!$BR129,MATCH('Referral Stati'!$S$19,Fragenkatalog!BB129,0)),""),250)</f>
        <v/>
      </c>
      <c r="T142" t="str">
        <f>LEFT(IFERROR(INDEX(Fragenkatalog!$BR129,MATCH('Referral Stati'!$T$19,Fragenkatalog!BG129,0)),""),250)</f>
        <v/>
      </c>
      <c r="U142" t="str">
        <f>LEFT(IFERROR(INDEX(Fragenkatalog!$BR129,MATCH('Referral Stati'!$U$19,Fragenkatalog!BH129,0)),""),250)</f>
        <v/>
      </c>
      <c r="V142" t="str">
        <f>LEFT(IFERROR(INDEX(Fragenkatalog!$BR129,MATCH('Referral Stati'!$V$19,Fragenkatalog!BM129,0)),""),250)</f>
        <v/>
      </c>
      <c r="W142" t="str">
        <f>LEFT(IFERROR(INDEX(Fragenkatalog!$BR129,MATCH('Referral Stati'!$U$19,Fragenkatalog!BN129,0)),""),250)</f>
        <v/>
      </c>
    </row>
    <row r="143" spans="1:23" ht="20.25" customHeight="1">
      <c r="A143" s="168" t="str">
        <f>Fragenkatalog!B130</f>
        <v>RisikoFragenStartUp131</v>
      </c>
      <c r="D143" t="str">
        <f>LEFT(IFERROR(INDEX(Fragenkatalog!$BR130,MATCH('Referral Stati'!$D$19,Fragenkatalog!AU130,0)),""),250)</f>
        <v/>
      </c>
      <c r="E143" s="19" t="str">
        <f>LEFT(IFERROR(INDEX(Fragenkatalog!$BR130,MATCH('Referral Stati'!$E$19,Fragenkatalog!AV130,0)),""),250)</f>
        <v/>
      </c>
      <c r="F143" s="19" t="str">
        <f>LEFT(IFERROR(INDEX(Fragenkatalog!$BR130,MATCH('Referral Stati'!$F$19,Fragenkatalog!AO130,0)),""),250)</f>
        <v/>
      </c>
      <c r="G143" t="str">
        <f>LEFT(IFERROR(INDEX(Fragenkatalog!$BR130,MATCH('Referral Stati'!$G$19,Fragenkatalog!AP130,0)),""),250)</f>
        <v/>
      </c>
      <c r="J143" t="str">
        <f t="array" ref="J143">LEFT(IFERROR(INDEX(Fragenkatalog!BR130,MATCH('Referral Stati'!$J$19,Fragenkatalog!W130,0)),""),250)</f>
        <v/>
      </c>
      <c r="K143" t="str">
        <f t="array" ref="K143">LEFT(IFERROR(INDEX(Fragenkatalog!BR130,MATCH('Referral Stati'!$K$19,Fragenkatalog!X130,0)),""),250)</f>
        <v/>
      </c>
      <c r="L143" s="19" t="str">
        <f>LEFT(IFERROR(INDEX(Fragenkatalog!$BR130,MATCH('Referral Stati'!$L$19,Fragenkatalog!Q130,0)),""),250)</f>
        <v/>
      </c>
      <c r="M143" s="19" t="str">
        <f>LEFT(IFERROR(INDEX(Fragenkatalog!$BR130,MATCH('Referral Stati'!$M$19,Fragenkatalog!R130,0)),""),250)</f>
        <v/>
      </c>
      <c r="N143" s="19" t="str">
        <f>LEFT(IFERROR(INDEX(Fragenkatalog!$BR130,MATCH('Referral Stati'!$N$19,Fragenkatalog!AI130,0)),""),250)</f>
        <v/>
      </c>
      <c r="O143" t="str">
        <f>LEFT(IFERROR(INDEX(Fragenkatalog!$BR130,MATCH('Referral Stati'!$O$19,Fragenkatalog!AJ130,0)),""),250)</f>
        <v/>
      </c>
      <c r="P143" s="19" t="str">
        <f>LEFT(IFERROR(INDEX(Fragenkatalog!$BR130,MATCH('Referral Stati'!$P$19,Fragenkatalog!AC130,0)),""),250)</f>
        <v/>
      </c>
      <c r="Q143" s="19" t="str">
        <f>LEFT(IFERROR(INDEX(Fragenkatalog!$BR130,MATCH('Referral Stati'!$Q$19,Fragenkatalog!AD130,0)),""),250)</f>
        <v/>
      </c>
      <c r="R143" t="str">
        <f>LEFT(IFERROR(INDEX(Fragenkatalog!$BR130,MATCH('Referral Stati'!$R$19,Fragenkatalog!BA130,0)),""),250)</f>
        <v/>
      </c>
      <c r="S143" t="str">
        <f>LEFT(IFERROR(INDEX(Fragenkatalog!$BR130,MATCH('Referral Stati'!$S$19,Fragenkatalog!BB130,0)),""),250)</f>
        <v/>
      </c>
      <c r="T143" t="str">
        <f>LEFT(IFERROR(INDEX(Fragenkatalog!$BR130,MATCH('Referral Stati'!$T$19,Fragenkatalog!BG130,0)),""),250)</f>
        <v/>
      </c>
      <c r="U143" t="str">
        <f>LEFT(IFERROR(INDEX(Fragenkatalog!$BR130,MATCH('Referral Stati'!$U$19,Fragenkatalog!BH130,0)),""),250)</f>
        <v/>
      </c>
      <c r="V143" t="str">
        <f>LEFT(IFERROR(INDEX(Fragenkatalog!$BR130,MATCH('Referral Stati'!$V$19,Fragenkatalog!BM130,0)),""),250)</f>
        <v/>
      </c>
      <c r="W143" t="str">
        <f>LEFT(IFERROR(INDEX(Fragenkatalog!$BR130,MATCH('Referral Stati'!$U$19,Fragenkatalog!BN130,0)),""),250)</f>
        <v/>
      </c>
    </row>
    <row r="144" spans="1:23" ht="20.25" customHeight="1">
      <c r="A144" s="168" t="str">
        <f>Fragenkatalog!B131</f>
        <v>RisikoFragenStartUp132</v>
      </c>
      <c r="D144" t="str">
        <f>LEFT(IFERROR(INDEX(Fragenkatalog!$BR131,MATCH('Referral Stati'!$D$19,Fragenkatalog!AU131,0)),""),250)</f>
        <v/>
      </c>
      <c r="E144" s="19" t="str">
        <f>LEFT(IFERROR(INDEX(Fragenkatalog!$BR131,MATCH('Referral Stati'!$E$19,Fragenkatalog!AV131,0)),""),250)</f>
        <v/>
      </c>
      <c r="F144" s="19" t="str">
        <f>LEFT(IFERROR(INDEX(Fragenkatalog!$BR131,MATCH('Referral Stati'!$F$19,Fragenkatalog!AO131,0)),""),250)</f>
        <v/>
      </c>
      <c r="G144" t="str">
        <f>LEFT(IFERROR(INDEX(Fragenkatalog!$BR131,MATCH('Referral Stati'!$G$19,Fragenkatalog!AP131,0)),""),250)</f>
        <v/>
      </c>
      <c r="J144" t="str">
        <f t="array" ref="J144">LEFT(IFERROR(INDEX(Fragenkatalog!BR131,MATCH('Referral Stati'!$J$19,Fragenkatalog!W131,0)),""),250)</f>
        <v/>
      </c>
      <c r="K144" t="str">
        <f t="array" ref="K144">LEFT(IFERROR(INDEX(Fragenkatalog!BR131,MATCH('Referral Stati'!$K$19,Fragenkatalog!X131,0)),""),250)</f>
        <v/>
      </c>
      <c r="L144" s="19" t="str">
        <f>LEFT(IFERROR(INDEX(Fragenkatalog!$BR131,MATCH('Referral Stati'!$L$19,Fragenkatalog!Q131,0)),""),250)</f>
        <v/>
      </c>
      <c r="M144" s="19" t="str">
        <f>LEFT(IFERROR(INDEX(Fragenkatalog!$BR131,MATCH('Referral Stati'!$M$19,Fragenkatalog!R131,0)),""),250)</f>
        <v/>
      </c>
      <c r="N144" s="19" t="str">
        <f>LEFT(IFERROR(INDEX(Fragenkatalog!$BR131,MATCH('Referral Stati'!$N$19,Fragenkatalog!AI131,0)),""),250)</f>
        <v/>
      </c>
      <c r="O144" t="str">
        <f>LEFT(IFERROR(INDEX(Fragenkatalog!$BR131,MATCH('Referral Stati'!$O$19,Fragenkatalog!AJ131,0)),""),250)</f>
        <v/>
      </c>
      <c r="P144" s="19" t="str">
        <f>LEFT(IFERROR(INDEX(Fragenkatalog!$BR131,MATCH('Referral Stati'!$P$19,Fragenkatalog!AC131,0)),""),250)</f>
        <v/>
      </c>
      <c r="Q144" s="19" t="str">
        <f>LEFT(IFERROR(INDEX(Fragenkatalog!$BR131,MATCH('Referral Stati'!$Q$19,Fragenkatalog!AD131,0)),""),250)</f>
        <v/>
      </c>
      <c r="R144" t="str">
        <f>LEFT(IFERROR(INDEX(Fragenkatalog!$BR131,MATCH('Referral Stati'!$R$19,Fragenkatalog!BA131,0)),""),250)</f>
        <v/>
      </c>
      <c r="S144" t="str">
        <f>LEFT(IFERROR(INDEX(Fragenkatalog!$BR131,MATCH('Referral Stati'!$S$19,Fragenkatalog!BB131,0)),""),250)</f>
        <v/>
      </c>
      <c r="T144" t="str">
        <f>LEFT(IFERROR(INDEX(Fragenkatalog!$BR131,MATCH('Referral Stati'!$T$19,Fragenkatalog!BG131,0)),""),250)</f>
        <v/>
      </c>
      <c r="U144" t="str">
        <f>LEFT(IFERROR(INDEX(Fragenkatalog!$BR131,MATCH('Referral Stati'!$U$19,Fragenkatalog!BH131,0)),""),250)</f>
        <v/>
      </c>
      <c r="V144" t="str">
        <f>LEFT(IFERROR(INDEX(Fragenkatalog!$BR131,MATCH('Referral Stati'!$V$19,Fragenkatalog!BM131,0)),""),250)</f>
        <v/>
      </c>
      <c r="W144" t="str">
        <f>LEFT(IFERROR(INDEX(Fragenkatalog!$BR131,MATCH('Referral Stati'!$U$19,Fragenkatalog!BN131,0)),""),250)</f>
        <v/>
      </c>
    </row>
    <row r="145" spans="1:23" ht="20.25" customHeight="1">
      <c r="A145" s="168" t="str">
        <f>Fragenkatalog!B132</f>
        <v>RisikoFragenStartUp133</v>
      </c>
      <c r="D145" t="str">
        <f>LEFT(IFERROR(INDEX(Fragenkatalog!$BR132,MATCH('Referral Stati'!$D$19,Fragenkatalog!AU132,0)),""),250)</f>
        <v/>
      </c>
      <c r="E145" s="19" t="str">
        <f>LEFT(IFERROR(INDEX(Fragenkatalog!$BR132,MATCH('Referral Stati'!$E$19,Fragenkatalog!AV132,0)),""),250)</f>
        <v/>
      </c>
      <c r="F145" s="19" t="str">
        <f>LEFT(IFERROR(INDEX(Fragenkatalog!$BR132,MATCH('Referral Stati'!$F$19,Fragenkatalog!AO132,0)),""),250)</f>
        <v/>
      </c>
      <c r="G145" t="str">
        <f>LEFT(IFERROR(INDEX(Fragenkatalog!$BR132,MATCH('Referral Stati'!$G$19,Fragenkatalog!AP132,0)),""),250)</f>
        <v/>
      </c>
      <c r="J145" t="str">
        <f t="array" ref="J145">LEFT(IFERROR(INDEX(Fragenkatalog!BR132,MATCH('Referral Stati'!$J$19,Fragenkatalog!W132,0)),""),250)</f>
        <v/>
      </c>
      <c r="K145" t="str">
        <f t="array" ref="K145">LEFT(IFERROR(INDEX(Fragenkatalog!BR132,MATCH('Referral Stati'!$K$19,Fragenkatalog!X132,0)),""),250)</f>
        <v/>
      </c>
      <c r="L145" s="19" t="str">
        <f>LEFT(IFERROR(INDEX(Fragenkatalog!$BR132,MATCH('Referral Stati'!$L$19,Fragenkatalog!Q132,0)),""),250)</f>
        <v/>
      </c>
      <c r="M145" s="19" t="str">
        <f>LEFT(IFERROR(INDEX(Fragenkatalog!$BR132,MATCH('Referral Stati'!$M$19,Fragenkatalog!R132,0)),""),250)</f>
        <v/>
      </c>
      <c r="N145" s="19" t="str">
        <f>LEFT(IFERROR(INDEX(Fragenkatalog!$BR132,MATCH('Referral Stati'!$N$19,Fragenkatalog!AI132,0)),""),250)</f>
        <v/>
      </c>
      <c r="O145" t="str">
        <f>LEFT(IFERROR(INDEX(Fragenkatalog!$BR132,MATCH('Referral Stati'!$O$19,Fragenkatalog!AJ132,0)),""),250)</f>
        <v/>
      </c>
      <c r="P145" s="19" t="str">
        <f>LEFT(IFERROR(INDEX(Fragenkatalog!$BR132,MATCH('Referral Stati'!$P$19,Fragenkatalog!AC132,0)),""),250)</f>
        <v/>
      </c>
      <c r="Q145" s="19" t="str">
        <f>LEFT(IFERROR(INDEX(Fragenkatalog!$BR132,MATCH('Referral Stati'!$Q$19,Fragenkatalog!AD132,0)),""),250)</f>
        <v/>
      </c>
      <c r="R145" t="str">
        <f>LEFT(IFERROR(INDEX(Fragenkatalog!$BR132,MATCH('Referral Stati'!$R$19,Fragenkatalog!BA132,0)),""),250)</f>
        <v/>
      </c>
      <c r="S145" t="str">
        <f>LEFT(IFERROR(INDEX(Fragenkatalog!$BR132,MATCH('Referral Stati'!$S$19,Fragenkatalog!BB132,0)),""),250)</f>
        <v/>
      </c>
      <c r="T145" t="str">
        <f>LEFT(IFERROR(INDEX(Fragenkatalog!$BR132,MATCH('Referral Stati'!$T$19,Fragenkatalog!BG132,0)),""),250)</f>
        <v/>
      </c>
      <c r="U145" t="str">
        <f>LEFT(IFERROR(INDEX(Fragenkatalog!$BR132,MATCH('Referral Stati'!$U$19,Fragenkatalog!BH132,0)),""),250)</f>
        <v/>
      </c>
      <c r="V145" t="str">
        <f>LEFT(IFERROR(INDEX(Fragenkatalog!$BR132,MATCH('Referral Stati'!$V$19,Fragenkatalog!BM132,0)),""),250)</f>
        <v/>
      </c>
      <c r="W145" t="str">
        <f>LEFT(IFERROR(INDEX(Fragenkatalog!$BR132,MATCH('Referral Stati'!$U$19,Fragenkatalog!BN132,0)),""),250)</f>
        <v/>
      </c>
    </row>
    <row r="146" spans="1:23" ht="20.25" customHeight="1">
      <c r="A146" s="168" t="str">
        <f>Fragenkatalog!B133</f>
        <v>RisikoFragenStartUp134</v>
      </c>
      <c r="D146" t="str">
        <f>LEFT(IFERROR(INDEX(Fragenkatalog!$BR133,MATCH('Referral Stati'!$D$19,Fragenkatalog!AU133,0)),""),250)</f>
        <v/>
      </c>
      <c r="E146" s="19" t="str">
        <f>LEFT(IFERROR(INDEX(Fragenkatalog!$BR133,MATCH('Referral Stati'!$E$19,Fragenkatalog!AV133,0)),""),250)</f>
        <v/>
      </c>
      <c r="F146" s="19" t="str">
        <f>LEFT(IFERROR(INDEX(Fragenkatalog!$BR133,MATCH('Referral Stati'!$F$19,Fragenkatalog!AO133,0)),""),250)</f>
        <v/>
      </c>
      <c r="G146" t="str">
        <f>LEFT(IFERROR(INDEX(Fragenkatalog!$BR133,MATCH('Referral Stati'!$G$19,Fragenkatalog!AP133,0)),""),250)</f>
        <v/>
      </c>
      <c r="J146" t="str">
        <f t="array" ref="J146">LEFT(IFERROR(INDEX(Fragenkatalog!BR133,MATCH('Referral Stati'!$J$19,Fragenkatalog!W133,0)),""),250)</f>
        <v/>
      </c>
      <c r="K146" t="str">
        <f t="array" ref="K146">LEFT(IFERROR(INDEX(Fragenkatalog!BR133,MATCH('Referral Stati'!$K$19,Fragenkatalog!X133,0)),""),250)</f>
        <v/>
      </c>
      <c r="L146" s="19" t="str">
        <f>LEFT(IFERROR(INDEX(Fragenkatalog!$BR133,MATCH('Referral Stati'!$L$19,Fragenkatalog!Q133,0)),""),250)</f>
        <v/>
      </c>
      <c r="M146" s="19" t="str">
        <f>LEFT(IFERROR(INDEX(Fragenkatalog!$BR133,MATCH('Referral Stati'!$M$19,Fragenkatalog!R133,0)),""),250)</f>
        <v/>
      </c>
      <c r="N146" s="19" t="str">
        <f>LEFT(IFERROR(INDEX(Fragenkatalog!$BR133,MATCH('Referral Stati'!$N$19,Fragenkatalog!AI133,0)),""),250)</f>
        <v/>
      </c>
      <c r="O146" t="str">
        <f>LEFT(IFERROR(INDEX(Fragenkatalog!$BR133,MATCH('Referral Stati'!$O$19,Fragenkatalog!AJ133,0)),""),250)</f>
        <v/>
      </c>
      <c r="P146" s="19" t="str">
        <f>LEFT(IFERROR(INDEX(Fragenkatalog!$BR133,MATCH('Referral Stati'!$P$19,Fragenkatalog!AC133,0)),""),250)</f>
        <v/>
      </c>
      <c r="Q146" s="19" t="str">
        <f>LEFT(IFERROR(INDEX(Fragenkatalog!$BR133,MATCH('Referral Stati'!$Q$19,Fragenkatalog!AD133,0)),""),250)</f>
        <v/>
      </c>
      <c r="R146" t="str">
        <f>LEFT(IFERROR(INDEX(Fragenkatalog!$BR133,MATCH('Referral Stati'!$R$19,Fragenkatalog!BA133,0)),""),250)</f>
        <v/>
      </c>
      <c r="S146" t="str">
        <f>LEFT(IFERROR(INDEX(Fragenkatalog!$BR133,MATCH('Referral Stati'!$S$19,Fragenkatalog!BB133,0)),""),250)</f>
        <v/>
      </c>
      <c r="T146" t="str">
        <f>LEFT(IFERROR(INDEX(Fragenkatalog!$BR133,MATCH('Referral Stati'!$T$19,Fragenkatalog!BG133,0)),""),250)</f>
        <v/>
      </c>
      <c r="U146" t="str">
        <f>LEFT(IFERROR(INDEX(Fragenkatalog!$BR133,MATCH('Referral Stati'!$U$19,Fragenkatalog!BH133,0)),""),250)</f>
        <v/>
      </c>
      <c r="V146" t="str">
        <f>LEFT(IFERROR(INDEX(Fragenkatalog!$BR133,MATCH('Referral Stati'!$V$19,Fragenkatalog!BM133,0)),""),250)</f>
        <v/>
      </c>
      <c r="W146" t="str">
        <f>LEFT(IFERROR(INDEX(Fragenkatalog!$BR133,MATCH('Referral Stati'!$U$19,Fragenkatalog!BN133,0)),""),250)</f>
        <v/>
      </c>
    </row>
    <row r="147" spans="1:23" ht="20.25" customHeight="1">
      <c r="A147" s="168" t="str">
        <f>Fragenkatalog!B134</f>
        <v>RisikoFragenStartUp135</v>
      </c>
      <c r="D147" t="str">
        <f>LEFT(IFERROR(INDEX(Fragenkatalog!$BR134,MATCH('Referral Stati'!$D$19,Fragenkatalog!AU134,0)),""),250)</f>
        <v/>
      </c>
      <c r="E147" s="19" t="str">
        <f>LEFT(IFERROR(INDEX(Fragenkatalog!$BR134,MATCH('Referral Stati'!$E$19,Fragenkatalog!AV134,0)),""),250)</f>
        <v/>
      </c>
      <c r="F147" s="19" t="str">
        <f>LEFT(IFERROR(INDEX(Fragenkatalog!$BR134,MATCH('Referral Stati'!$F$19,Fragenkatalog!AO134,0)),""),250)</f>
        <v/>
      </c>
      <c r="G147" t="str">
        <f>LEFT(IFERROR(INDEX(Fragenkatalog!$BR134,MATCH('Referral Stati'!$G$19,Fragenkatalog!AP134,0)),""),250)</f>
        <v/>
      </c>
      <c r="J147" t="str">
        <f t="array" ref="J147">LEFT(IFERROR(INDEX(Fragenkatalog!BR134,MATCH('Referral Stati'!$J$19,Fragenkatalog!W134,0)),""),250)</f>
        <v/>
      </c>
      <c r="K147" t="str">
        <f t="array" ref="K147">LEFT(IFERROR(INDEX(Fragenkatalog!BR134,MATCH('Referral Stati'!$K$19,Fragenkatalog!X134,0)),""),250)</f>
        <v/>
      </c>
      <c r="L147" s="19" t="str">
        <f>LEFT(IFERROR(INDEX(Fragenkatalog!$BR134,MATCH('Referral Stati'!$L$19,Fragenkatalog!Q134,0)),""),250)</f>
        <v/>
      </c>
      <c r="M147" s="19" t="str">
        <f>LEFT(IFERROR(INDEX(Fragenkatalog!$BR134,MATCH('Referral Stati'!$M$19,Fragenkatalog!R134,0)),""),250)</f>
        <v/>
      </c>
      <c r="N147" s="19" t="str">
        <f>LEFT(IFERROR(INDEX(Fragenkatalog!$BR134,MATCH('Referral Stati'!$N$19,Fragenkatalog!AI134,0)),""),250)</f>
        <v/>
      </c>
      <c r="O147" t="str">
        <f>LEFT(IFERROR(INDEX(Fragenkatalog!$BR134,MATCH('Referral Stati'!$O$19,Fragenkatalog!AJ134,0)),""),250)</f>
        <v/>
      </c>
      <c r="P147" s="19" t="str">
        <f>LEFT(IFERROR(INDEX(Fragenkatalog!$BR134,MATCH('Referral Stati'!$P$19,Fragenkatalog!AC134,0)),""),250)</f>
        <v/>
      </c>
      <c r="Q147" s="19" t="str">
        <f>LEFT(IFERROR(INDEX(Fragenkatalog!$BR134,MATCH('Referral Stati'!$Q$19,Fragenkatalog!AD134,0)),""),250)</f>
        <v/>
      </c>
      <c r="R147" t="str">
        <f>LEFT(IFERROR(INDEX(Fragenkatalog!$BR134,MATCH('Referral Stati'!$R$19,Fragenkatalog!BA134,0)),""),250)</f>
        <v/>
      </c>
      <c r="S147" t="str">
        <f>LEFT(IFERROR(INDEX(Fragenkatalog!$BR134,MATCH('Referral Stati'!$S$19,Fragenkatalog!BB134,0)),""),250)</f>
        <v/>
      </c>
      <c r="T147" t="str">
        <f>LEFT(IFERROR(INDEX(Fragenkatalog!$BR134,MATCH('Referral Stati'!$T$19,Fragenkatalog!BG134,0)),""),250)</f>
        <v/>
      </c>
      <c r="U147" t="str">
        <f>LEFT(IFERROR(INDEX(Fragenkatalog!$BR134,MATCH('Referral Stati'!$U$19,Fragenkatalog!BH134,0)),""),250)</f>
        <v/>
      </c>
      <c r="V147" t="str">
        <f>LEFT(IFERROR(INDEX(Fragenkatalog!$BR134,MATCH('Referral Stati'!$V$19,Fragenkatalog!BM134,0)),""),250)</f>
        <v/>
      </c>
      <c r="W147" t="str">
        <f>LEFT(IFERROR(INDEX(Fragenkatalog!$BR134,MATCH('Referral Stati'!$U$19,Fragenkatalog!BN134,0)),""),250)</f>
        <v/>
      </c>
    </row>
    <row r="148" spans="1:23" ht="20.25" customHeight="1">
      <c r="A148" s="168" t="str">
        <f>Fragenkatalog!B135</f>
        <v>RisikoFragenStartUp136</v>
      </c>
      <c r="D148" t="str">
        <f>LEFT(IFERROR(INDEX(Fragenkatalog!$BR135,MATCH('Referral Stati'!$D$19,Fragenkatalog!AU135,0)),""),250)</f>
        <v/>
      </c>
      <c r="E148" s="19" t="str">
        <f>LEFT(IFERROR(INDEX(Fragenkatalog!$BR135,MATCH('Referral Stati'!$E$19,Fragenkatalog!AV135,0)),""),250)</f>
        <v/>
      </c>
      <c r="F148" s="19" t="str">
        <f>LEFT(IFERROR(INDEX(Fragenkatalog!$BR135,MATCH('Referral Stati'!$F$19,Fragenkatalog!AO135,0)),""),250)</f>
        <v/>
      </c>
      <c r="G148" t="str">
        <f>LEFT(IFERROR(INDEX(Fragenkatalog!$BR135,MATCH('Referral Stati'!$G$19,Fragenkatalog!AP135,0)),""),250)</f>
        <v/>
      </c>
      <c r="J148" t="str">
        <f t="array" ref="J148">LEFT(IFERROR(INDEX(Fragenkatalog!BR135,MATCH('Referral Stati'!$J$19,Fragenkatalog!W135,0)),""),250)</f>
        <v/>
      </c>
      <c r="K148" t="str">
        <f t="array" ref="K148">LEFT(IFERROR(INDEX(Fragenkatalog!BR135,MATCH('Referral Stati'!$K$19,Fragenkatalog!X135,0)),""),250)</f>
        <v/>
      </c>
      <c r="L148" s="19" t="str">
        <f>LEFT(IFERROR(INDEX(Fragenkatalog!$BR135,MATCH('Referral Stati'!$L$19,Fragenkatalog!Q135,0)),""),250)</f>
        <v/>
      </c>
      <c r="M148" s="19" t="str">
        <f>LEFT(IFERROR(INDEX(Fragenkatalog!$BR135,MATCH('Referral Stati'!$M$19,Fragenkatalog!R135,0)),""),250)</f>
        <v/>
      </c>
      <c r="N148" s="19" t="str">
        <f>LEFT(IFERROR(INDEX(Fragenkatalog!$BR135,MATCH('Referral Stati'!$N$19,Fragenkatalog!AI135,0)),""),250)</f>
        <v/>
      </c>
      <c r="O148" t="str">
        <f>LEFT(IFERROR(INDEX(Fragenkatalog!$BR135,MATCH('Referral Stati'!$O$19,Fragenkatalog!AJ135,0)),""),250)</f>
        <v/>
      </c>
      <c r="P148" s="19" t="str">
        <f>LEFT(IFERROR(INDEX(Fragenkatalog!$BR135,MATCH('Referral Stati'!$P$19,Fragenkatalog!AC135,0)),""),250)</f>
        <v/>
      </c>
      <c r="Q148" s="19" t="str">
        <f>LEFT(IFERROR(INDEX(Fragenkatalog!$BR135,MATCH('Referral Stati'!$Q$19,Fragenkatalog!AD135,0)),""),250)</f>
        <v/>
      </c>
      <c r="R148" t="str">
        <f>LEFT(IFERROR(INDEX(Fragenkatalog!$BR135,MATCH('Referral Stati'!$R$19,Fragenkatalog!BA135,0)),""),250)</f>
        <v/>
      </c>
      <c r="S148" t="str">
        <f>LEFT(IFERROR(INDEX(Fragenkatalog!$BR135,MATCH('Referral Stati'!$S$19,Fragenkatalog!BB135,0)),""),250)</f>
        <v/>
      </c>
      <c r="T148" t="str">
        <f>LEFT(IFERROR(INDEX(Fragenkatalog!$BR135,MATCH('Referral Stati'!$T$19,Fragenkatalog!BG135,0)),""),250)</f>
        <v/>
      </c>
      <c r="U148" t="str">
        <f>LEFT(IFERROR(INDEX(Fragenkatalog!$BR135,MATCH('Referral Stati'!$U$19,Fragenkatalog!BH135,0)),""),250)</f>
        <v/>
      </c>
      <c r="V148" t="str">
        <f>LEFT(IFERROR(INDEX(Fragenkatalog!$BR135,MATCH('Referral Stati'!$V$19,Fragenkatalog!BM135,0)),""),250)</f>
        <v/>
      </c>
      <c r="W148" t="str">
        <f>LEFT(IFERROR(INDEX(Fragenkatalog!$BR135,MATCH('Referral Stati'!$U$19,Fragenkatalog!BN135,0)),""),250)</f>
        <v/>
      </c>
    </row>
    <row r="149" spans="1:23" ht="20.25" customHeight="1">
      <c r="A149" s="168" t="str">
        <f>Fragenkatalog!B136</f>
        <v>RisikoFragenStartUp137</v>
      </c>
      <c r="D149" t="str">
        <f>LEFT(IFERROR(INDEX(Fragenkatalog!$BR136,MATCH('Referral Stati'!$D$19,Fragenkatalog!AU136,0)),""),250)</f>
        <v/>
      </c>
      <c r="E149" s="19" t="str">
        <f>LEFT(IFERROR(INDEX(Fragenkatalog!$BR136,MATCH('Referral Stati'!$E$19,Fragenkatalog!AV136,0)),""),250)</f>
        <v/>
      </c>
      <c r="F149" s="19" t="str">
        <f>LEFT(IFERROR(INDEX(Fragenkatalog!$BR136,MATCH('Referral Stati'!$F$19,Fragenkatalog!AO136,0)),""),250)</f>
        <v/>
      </c>
      <c r="G149" t="str">
        <f>LEFT(IFERROR(INDEX(Fragenkatalog!$BR136,MATCH('Referral Stati'!$G$19,Fragenkatalog!AP136,0)),""),250)</f>
        <v/>
      </c>
      <c r="J149" t="str">
        <f t="array" ref="J149">LEFT(IFERROR(INDEX(Fragenkatalog!BR136,MATCH('Referral Stati'!$J$19,Fragenkatalog!W136,0)),""),250)</f>
        <v/>
      </c>
      <c r="K149" t="str">
        <f t="array" ref="K149">LEFT(IFERROR(INDEX(Fragenkatalog!BR136,MATCH('Referral Stati'!$K$19,Fragenkatalog!X136,0)),""),250)</f>
        <v/>
      </c>
      <c r="L149" s="19" t="str">
        <f>LEFT(IFERROR(INDEX(Fragenkatalog!$BR136,MATCH('Referral Stati'!$L$19,Fragenkatalog!Q136,0)),""),250)</f>
        <v/>
      </c>
      <c r="M149" s="19" t="str">
        <f>LEFT(IFERROR(INDEX(Fragenkatalog!$BR136,MATCH('Referral Stati'!$M$19,Fragenkatalog!R136,0)),""),250)</f>
        <v/>
      </c>
      <c r="N149" s="19" t="str">
        <f>LEFT(IFERROR(INDEX(Fragenkatalog!$BR136,MATCH('Referral Stati'!$N$19,Fragenkatalog!AI136,0)),""),250)</f>
        <v/>
      </c>
      <c r="O149" t="str">
        <f>LEFT(IFERROR(INDEX(Fragenkatalog!$BR136,MATCH('Referral Stati'!$O$19,Fragenkatalog!AJ136,0)),""),250)</f>
        <v/>
      </c>
      <c r="P149" s="19" t="str">
        <f>LEFT(IFERROR(INDEX(Fragenkatalog!$BR136,MATCH('Referral Stati'!$P$19,Fragenkatalog!AC136,0)),""),250)</f>
        <v/>
      </c>
      <c r="Q149" s="19" t="str">
        <f>LEFT(IFERROR(INDEX(Fragenkatalog!$BR136,MATCH('Referral Stati'!$Q$19,Fragenkatalog!AD136,0)),""),250)</f>
        <v/>
      </c>
      <c r="R149" t="str">
        <f>LEFT(IFERROR(INDEX(Fragenkatalog!$BR136,MATCH('Referral Stati'!$R$19,Fragenkatalog!BA136,0)),""),250)</f>
        <v/>
      </c>
      <c r="S149" t="str">
        <f>LEFT(IFERROR(INDEX(Fragenkatalog!$BR136,MATCH('Referral Stati'!$S$19,Fragenkatalog!BB136,0)),""),250)</f>
        <v/>
      </c>
      <c r="T149" t="str">
        <f>LEFT(IFERROR(INDEX(Fragenkatalog!$BR136,MATCH('Referral Stati'!$T$19,Fragenkatalog!BG136,0)),""),250)</f>
        <v/>
      </c>
      <c r="U149" t="str">
        <f>LEFT(IFERROR(INDEX(Fragenkatalog!$BR136,MATCH('Referral Stati'!$U$19,Fragenkatalog!BH136,0)),""),250)</f>
        <v/>
      </c>
      <c r="V149" t="str">
        <f>LEFT(IFERROR(INDEX(Fragenkatalog!$BR136,MATCH('Referral Stati'!$V$19,Fragenkatalog!BM136,0)),""),250)</f>
        <v/>
      </c>
      <c r="W149" t="str">
        <f>LEFT(IFERROR(INDEX(Fragenkatalog!$BR136,MATCH('Referral Stati'!$U$19,Fragenkatalog!BN136,0)),""),250)</f>
        <v/>
      </c>
    </row>
    <row r="150" spans="1:23" ht="20.25" customHeight="1">
      <c r="A150" s="168" t="str">
        <f>Fragenkatalog!B137</f>
        <v>RisikoFragenStartUp138</v>
      </c>
      <c r="D150" t="str">
        <f>LEFT(IFERROR(INDEX(Fragenkatalog!$BR137,MATCH('Referral Stati'!$D$19,Fragenkatalog!AU137,0)),""),250)</f>
        <v/>
      </c>
      <c r="E150" s="19" t="str">
        <f>LEFT(IFERROR(INDEX(Fragenkatalog!$BR137,MATCH('Referral Stati'!$E$19,Fragenkatalog!AV137,0)),""),250)</f>
        <v/>
      </c>
      <c r="F150" s="19" t="str">
        <f>LEFT(IFERROR(INDEX(Fragenkatalog!$BR137,MATCH('Referral Stati'!$F$19,Fragenkatalog!AO137,0)),""),250)</f>
        <v/>
      </c>
      <c r="G150" t="str">
        <f>LEFT(IFERROR(INDEX(Fragenkatalog!$BR137,MATCH('Referral Stati'!$G$19,Fragenkatalog!AP137,0)),""),250)</f>
        <v/>
      </c>
      <c r="J150" t="str">
        <f t="array" ref="J150">LEFT(IFERROR(INDEX(Fragenkatalog!BR137,MATCH('Referral Stati'!$J$19,Fragenkatalog!W137,0)),""),250)</f>
        <v/>
      </c>
      <c r="K150" t="str">
        <f t="array" ref="K150">LEFT(IFERROR(INDEX(Fragenkatalog!BR137,MATCH('Referral Stati'!$K$19,Fragenkatalog!X137,0)),""),250)</f>
        <v/>
      </c>
      <c r="L150" s="19" t="str">
        <f>LEFT(IFERROR(INDEX(Fragenkatalog!$BR137,MATCH('Referral Stati'!$L$19,Fragenkatalog!Q137,0)),""),250)</f>
        <v/>
      </c>
      <c r="M150" s="19" t="str">
        <f>LEFT(IFERROR(INDEX(Fragenkatalog!$BR137,MATCH('Referral Stati'!$M$19,Fragenkatalog!R137,0)),""),250)</f>
        <v/>
      </c>
      <c r="N150" s="19" t="str">
        <f>LEFT(IFERROR(INDEX(Fragenkatalog!$BR137,MATCH('Referral Stati'!$N$19,Fragenkatalog!AI137,0)),""),250)</f>
        <v/>
      </c>
      <c r="O150" t="str">
        <f>LEFT(IFERROR(INDEX(Fragenkatalog!$BR137,MATCH('Referral Stati'!$O$19,Fragenkatalog!AJ137,0)),""),250)</f>
        <v/>
      </c>
      <c r="P150" s="19" t="str">
        <f>LEFT(IFERROR(INDEX(Fragenkatalog!$BR137,MATCH('Referral Stati'!$P$19,Fragenkatalog!AC137,0)),""),250)</f>
        <v/>
      </c>
      <c r="Q150" s="19" t="str">
        <f>LEFT(IFERROR(INDEX(Fragenkatalog!$BR137,MATCH('Referral Stati'!$Q$19,Fragenkatalog!AD137,0)),""),250)</f>
        <v/>
      </c>
      <c r="R150" t="str">
        <f>LEFT(IFERROR(INDEX(Fragenkatalog!$BR137,MATCH('Referral Stati'!$R$19,Fragenkatalog!BA137,0)),""),250)</f>
        <v/>
      </c>
      <c r="S150" t="str">
        <f>LEFT(IFERROR(INDEX(Fragenkatalog!$BR137,MATCH('Referral Stati'!$S$19,Fragenkatalog!BB137,0)),""),250)</f>
        <v/>
      </c>
      <c r="T150" t="str">
        <f>LEFT(IFERROR(INDEX(Fragenkatalog!$BR137,MATCH('Referral Stati'!$T$19,Fragenkatalog!BG137,0)),""),250)</f>
        <v/>
      </c>
      <c r="U150" t="str">
        <f>LEFT(IFERROR(INDEX(Fragenkatalog!$BR137,MATCH('Referral Stati'!$U$19,Fragenkatalog!BH137,0)),""),250)</f>
        <v/>
      </c>
      <c r="V150" t="str">
        <f>LEFT(IFERROR(INDEX(Fragenkatalog!$BR137,MATCH('Referral Stati'!$V$19,Fragenkatalog!BM137,0)),""),250)</f>
        <v/>
      </c>
      <c r="W150" t="str">
        <f>LEFT(IFERROR(INDEX(Fragenkatalog!$BR137,MATCH('Referral Stati'!$U$19,Fragenkatalog!BN137,0)),""),250)</f>
        <v/>
      </c>
    </row>
    <row r="151" spans="1:23" ht="20.25" customHeight="1">
      <c r="A151" s="168" t="str">
        <f>Fragenkatalog!B138</f>
        <v>RisikoFragenStartUp142</v>
      </c>
      <c r="D151" t="str">
        <f>LEFT(IFERROR(INDEX(Fragenkatalog!$BR138,MATCH('Referral Stati'!$D$19,Fragenkatalog!AU138,0)),""),250)</f>
        <v/>
      </c>
      <c r="E151" s="19" t="str">
        <f>LEFT(IFERROR(INDEX(Fragenkatalog!$BR138,MATCH('Referral Stati'!$E$19,Fragenkatalog!AV138,0)),""),250)</f>
        <v/>
      </c>
      <c r="F151" s="19" t="str">
        <f>LEFT(IFERROR(INDEX(Fragenkatalog!$BR138,MATCH('Referral Stati'!$F$19,Fragenkatalog!AO138,0)),""),250)</f>
        <v/>
      </c>
      <c r="G151" t="str">
        <f>LEFT(IFERROR(INDEX(Fragenkatalog!$BR138,MATCH('Referral Stati'!$G$19,Fragenkatalog!AP138,0)),""),250)</f>
        <v/>
      </c>
      <c r="J151" t="str">
        <f t="array" ref="J151">LEFT(IFERROR(INDEX(Fragenkatalog!BR138,MATCH('Referral Stati'!$J$19,Fragenkatalog!W138,0)),""),250)</f>
        <v/>
      </c>
      <c r="K151" t="str">
        <f t="array" ref="K151">LEFT(IFERROR(INDEX(Fragenkatalog!BR138,MATCH('Referral Stati'!$K$19,Fragenkatalog!X138,0)),""),250)</f>
        <v/>
      </c>
      <c r="L151" s="19" t="str">
        <f>LEFT(IFERROR(INDEX(Fragenkatalog!$BR138,MATCH('Referral Stati'!$L$19,Fragenkatalog!Q138,0)),""),250)</f>
        <v/>
      </c>
      <c r="M151" s="19" t="str">
        <f>LEFT(IFERROR(INDEX(Fragenkatalog!$BR138,MATCH('Referral Stati'!$M$19,Fragenkatalog!R138,0)),""),250)</f>
        <v/>
      </c>
      <c r="N151" s="19" t="str">
        <f>LEFT(IFERROR(INDEX(Fragenkatalog!$BR138,MATCH('Referral Stati'!$N$19,Fragenkatalog!AI138,0)),""),250)</f>
        <v/>
      </c>
      <c r="O151" t="str">
        <f>LEFT(IFERROR(INDEX(Fragenkatalog!$BR138,MATCH('Referral Stati'!$O$19,Fragenkatalog!AJ138,0)),""),250)</f>
        <v/>
      </c>
      <c r="P151" s="19" t="str">
        <f>LEFT(IFERROR(INDEX(Fragenkatalog!$BR138,MATCH('Referral Stati'!$P$19,Fragenkatalog!AC138,0)),""),250)</f>
        <v/>
      </c>
      <c r="Q151" s="19" t="str">
        <f>LEFT(IFERROR(INDEX(Fragenkatalog!$BR138,MATCH('Referral Stati'!$Q$19,Fragenkatalog!AD138,0)),""),250)</f>
        <v/>
      </c>
      <c r="R151" t="str">
        <f>LEFT(IFERROR(INDEX(Fragenkatalog!$BR138,MATCH('Referral Stati'!$R$19,Fragenkatalog!BA138,0)),""),250)</f>
        <v/>
      </c>
      <c r="S151" t="str">
        <f>LEFT(IFERROR(INDEX(Fragenkatalog!$BR138,MATCH('Referral Stati'!$S$19,Fragenkatalog!BB138,0)),""),250)</f>
        <v/>
      </c>
      <c r="T151" t="str">
        <f>LEFT(IFERROR(INDEX(Fragenkatalog!$BR138,MATCH('Referral Stati'!$T$19,Fragenkatalog!BG138,0)),""),250)</f>
        <v/>
      </c>
      <c r="U151" t="str">
        <f>LEFT(IFERROR(INDEX(Fragenkatalog!$BR138,MATCH('Referral Stati'!$U$19,Fragenkatalog!BH138,0)),""),250)</f>
        <v/>
      </c>
      <c r="V151" t="str">
        <f>LEFT(IFERROR(INDEX(Fragenkatalog!$BR138,MATCH('Referral Stati'!$V$19,Fragenkatalog!BM138,0)),""),250)</f>
        <v/>
      </c>
      <c r="W151" t="str">
        <f>LEFT(IFERROR(INDEX(Fragenkatalog!$BR138,MATCH('Referral Stati'!$U$19,Fragenkatalog!BN138,0)),""),250)</f>
        <v/>
      </c>
    </row>
    <row r="152" spans="1:23" ht="20.25" customHeight="1">
      <c r="A152" s="168" t="str">
        <f>Fragenkatalog!B139</f>
        <v>RisikoFragenStartUp143</v>
      </c>
      <c r="D152" t="str">
        <f>LEFT(IFERROR(INDEX(Fragenkatalog!$BR139,MATCH('Referral Stati'!$D$19,Fragenkatalog!AU139,0)),""),250)</f>
        <v/>
      </c>
      <c r="E152" s="19" t="str">
        <f>LEFT(IFERROR(INDEX(Fragenkatalog!$BR139,MATCH('Referral Stati'!$E$19,Fragenkatalog!AV139,0)),""),250)</f>
        <v/>
      </c>
      <c r="F152" s="19" t="str">
        <f>LEFT(IFERROR(INDEX(Fragenkatalog!$BR139,MATCH('Referral Stati'!$F$19,Fragenkatalog!AO139,0)),""),250)</f>
        <v/>
      </c>
      <c r="G152" t="str">
        <f>LEFT(IFERROR(INDEX(Fragenkatalog!$BR139,MATCH('Referral Stati'!$G$19,Fragenkatalog!AP139,0)),""),250)</f>
        <v/>
      </c>
      <c r="J152" t="str">
        <f t="array" ref="J152">LEFT(IFERROR(INDEX(Fragenkatalog!BR139,MATCH('Referral Stati'!$J$19,Fragenkatalog!W139,0)),""),250)</f>
        <v/>
      </c>
      <c r="K152" t="str">
        <f t="array" ref="K152">LEFT(IFERROR(INDEX(Fragenkatalog!BR139,MATCH('Referral Stati'!$K$19,Fragenkatalog!X139,0)),""),250)</f>
        <v/>
      </c>
      <c r="L152" s="19" t="str">
        <f>LEFT(IFERROR(INDEX(Fragenkatalog!$BR139,MATCH('Referral Stati'!$L$19,Fragenkatalog!Q139,0)),""),250)</f>
        <v/>
      </c>
      <c r="M152" s="19" t="str">
        <f>LEFT(IFERROR(INDEX(Fragenkatalog!$BR139,MATCH('Referral Stati'!$M$19,Fragenkatalog!R139,0)),""),250)</f>
        <v/>
      </c>
      <c r="N152" s="19" t="str">
        <f>LEFT(IFERROR(INDEX(Fragenkatalog!$BR139,MATCH('Referral Stati'!$N$19,Fragenkatalog!AI139,0)),""),250)</f>
        <v/>
      </c>
      <c r="O152" t="str">
        <f>LEFT(IFERROR(INDEX(Fragenkatalog!$BR139,MATCH('Referral Stati'!$O$19,Fragenkatalog!AJ139,0)),""),250)</f>
        <v/>
      </c>
      <c r="P152" s="19" t="str">
        <f>LEFT(IFERROR(INDEX(Fragenkatalog!$BR139,MATCH('Referral Stati'!$P$19,Fragenkatalog!AC139,0)),""),250)</f>
        <v/>
      </c>
      <c r="Q152" s="19" t="str">
        <f>LEFT(IFERROR(INDEX(Fragenkatalog!$BR139,MATCH('Referral Stati'!$Q$19,Fragenkatalog!AD139,0)),""),250)</f>
        <v/>
      </c>
      <c r="R152" t="str">
        <f>LEFT(IFERROR(INDEX(Fragenkatalog!$BR139,MATCH('Referral Stati'!$R$19,Fragenkatalog!BA139,0)),""),250)</f>
        <v/>
      </c>
      <c r="S152" t="str">
        <f>LEFT(IFERROR(INDEX(Fragenkatalog!$BR139,MATCH('Referral Stati'!$S$19,Fragenkatalog!BB139,0)),""),250)</f>
        <v/>
      </c>
      <c r="T152" t="str">
        <f>LEFT(IFERROR(INDEX(Fragenkatalog!$BR139,MATCH('Referral Stati'!$T$19,Fragenkatalog!BG139,0)),""),250)</f>
        <v/>
      </c>
      <c r="U152" t="str">
        <f>LEFT(IFERROR(INDEX(Fragenkatalog!$BR139,MATCH('Referral Stati'!$U$19,Fragenkatalog!BH139,0)),""),250)</f>
        <v/>
      </c>
      <c r="V152" t="str">
        <f>LEFT(IFERROR(INDEX(Fragenkatalog!$BR139,MATCH('Referral Stati'!$V$19,Fragenkatalog!BM139,0)),""),250)</f>
        <v/>
      </c>
      <c r="W152" t="str">
        <f>LEFT(IFERROR(INDEX(Fragenkatalog!$BR139,MATCH('Referral Stati'!$U$19,Fragenkatalog!BN139,0)),""),250)</f>
        <v/>
      </c>
    </row>
    <row r="153" spans="1:23" ht="20.25" customHeight="1">
      <c r="A153" s="168" t="str">
        <f>Fragenkatalog!B140</f>
        <v>RisikoFragenStartUp144</v>
      </c>
      <c r="D153" t="str">
        <f>LEFT(IFERROR(INDEX(Fragenkatalog!$BR140,MATCH('Referral Stati'!$D$19,Fragenkatalog!AU140,0)),""),250)</f>
        <v/>
      </c>
      <c r="E153" s="19" t="str">
        <f>LEFT(IFERROR(INDEX(Fragenkatalog!$BR140,MATCH('Referral Stati'!$E$19,Fragenkatalog!AV140,0)),""),250)</f>
        <v/>
      </c>
      <c r="F153" s="19" t="str">
        <f>LEFT(IFERROR(INDEX(Fragenkatalog!$BR140,MATCH('Referral Stati'!$F$19,Fragenkatalog!AO140,0)),""),250)</f>
        <v/>
      </c>
      <c r="G153" t="str">
        <f>LEFT(IFERROR(INDEX(Fragenkatalog!$BR140,MATCH('Referral Stati'!$G$19,Fragenkatalog!AP140,0)),""),250)</f>
        <v/>
      </c>
      <c r="J153" t="str">
        <f t="array" ref="J153">LEFT(IFERROR(INDEX(Fragenkatalog!BR140,MATCH('Referral Stati'!$J$19,Fragenkatalog!W140,0)),""),250)</f>
        <v/>
      </c>
      <c r="K153" t="str">
        <f t="array" ref="K153">LEFT(IFERROR(INDEX(Fragenkatalog!BR140,MATCH('Referral Stati'!$K$19,Fragenkatalog!X140,0)),""),250)</f>
        <v/>
      </c>
      <c r="L153" s="19" t="str">
        <f>LEFT(IFERROR(INDEX(Fragenkatalog!$BR140,MATCH('Referral Stati'!$L$19,Fragenkatalog!Q140,0)),""),250)</f>
        <v/>
      </c>
      <c r="M153" s="19" t="str">
        <f>LEFT(IFERROR(INDEX(Fragenkatalog!$BR140,MATCH('Referral Stati'!$M$19,Fragenkatalog!R140,0)),""),250)</f>
        <v/>
      </c>
      <c r="N153" s="19" t="str">
        <f>LEFT(IFERROR(INDEX(Fragenkatalog!$BR140,MATCH('Referral Stati'!$N$19,Fragenkatalog!AI140,0)),""),250)</f>
        <v/>
      </c>
      <c r="O153" t="str">
        <f>LEFT(IFERROR(INDEX(Fragenkatalog!$BR140,MATCH('Referral Stati'!$O$19,Fragenkatalog!AJ140,0)),""),250)</f>
        <v/>
      </c>
      <c r="P153" s="19" t="str">
        <f>LEFT(IFERROR(INDEX(Fragenkatalog!$BR140,MATCH('Referral Stati'!$P$19,Fragenkatalog!AC140,0)),""),250)</f>
        <v/>
      </c>
      <c r="Q153" s="19" t="str">
        <f>LEFT(IFERROR(INDEX(Fragenkatalog!$BR140,MATCH('Referral Stati'!$Q$19,Fragenkatalog!AD140,0)),""),250)</f>
        <v/>
      </c>
      <c r="R153" t="str">
        <f>LEFT(IFERROR(INDEX(Fragenkatalog!$BR140,MATCH('Referral Stati'!$R$19,Fragenkatalog!BA140,0)),""),250)</f>
        <v/>
      </c>
      <c r="S153" t="str">
        <f>LEFT(IFERROR(INDEX(Fragenkatalog!$BR140,MATCH('Referral Stati'!$S$19,Fragenkatalog!BB140,0)),""),250)</f>
        <v/>
      </c>
      <c r="T153" t="str">
        <f>LEFT(IFERROR(INDEX(Fragenkatalog!$BR140,MATCH('Referral Stati'!$T$19,Fragenkatalog!BG140,0)),""),250)</f>
        <v/>
      </c>
      <c r="U153" t="str">
        <f>LEFT(IFERROR(INDEX(Fragenkatalog!$BR140,MATCH('Referral Stati'!$U$19,Fragenkatalog!BH140,0)),""),250)</f>
        <v/>
      </c>
      <c r="V153" t="str">
        <f>LEFT(IFERROR(INDEX(Fragenkatalog!$BR140,MATCH('Referral Stati'!$V$19,Fragenkatalog!BM140,0)),""),250)</f>
        <v/>
      </c>
      <c r="W153" t="str">
        <f>LEFT(IFERROR(INDEX(Fragenkatalog!$BR140,MATCH('Referral Stati'!$U$19,Fragenkatalog!BN140,0)),""),250)</f>
        <v/>
      </c>
    </row>
    <row r="154" spans="1:23" ht="20.25" customHeight="1">
      <c r="A154" s="168" t="str">
        <f>Fragenkatalog!B141</f>
        <v>RisikoFragenStartUp145</v>
      </c>
      <c r="D154" t="str">
        <f>LEFT(IFERROR(INDEX(Fragenkatalog!$BR141,MATCH('Referral Stati'!$D$19,Fragenkatalog!AU141,0)),""),250)</f>
        <v/>
      </c>
      <c r="E154" s="19" t="str">
        <f>LEFT(IFERROR(INDEX(Fragenkatalog!$BR141,MATCH('Referral Stati'!$E$19,Fragenkatalog!AV141,0)),""),250)</f>
        <v/>
      </c>
      <c r="F154" s="19" t="str">
        <f>LEFT(IFERROR(INDEX(Fragenkatalog!$BR141,MATCH('Referral Stati'!$F$19,Fragenkatalog!AO141,0)),""),250)</f>
        <v/>
      </c>
      <c r="G154" t="str">
        <f>LEFT(IFERROR(INDEX(Fragenkatalog!$BR141,MATCH('Referral Stati'!$G$19,Fragenkatalog!AP141,0)),""),250)</f>
        <v/>
      </c>
      <c r="J154" t="str">
        <f t="array" ref="J154">LEFT(IFERROR(INDEX(Fragenkatalog!BR141,MATCH('Referral Stati'!$J$19,Fragenkatalog!W141,0)),""),250)</f>
        <v/>
      </c>
      <c r="K154" t="str">
        <f t="array" ref="K154">LEFT(IFERROR(INDEX(Fragenkatalog!BR141,MATCH('Referral Stati'!$K$19,Fragenkatalog!X141,0)),""),250)</f>
        <v/>
      </c>
      <c r="L154" s="19" t="str">
        <f>LEFT(IFERROR(INDEX(Fragenkatalog!$BR141,MATCH('Referral Stati'!$L$19,Fragenkatalog!Q141,0)),""),250)</f>
        <v/>
      </c>
      <c r="M154" s="19" t="str">
        <f>LEFT(IFERROR(INDEX(Fragenkatalog!$BR141,MATCH('Referral Stati'!$M$19,Fragenkatalog!R141,0)),""),250)</f>
        <v/>
      </c>
      <c r="N154" s="19" t="str">
        <f>LEFT(IFERROR(INDEX(Fragenkatalog!$BR141,MATCH('Referral Stati'!$N$19,Fragenkatalog!AI141,0)),""),250)</f>
        <v/>
      </c>
      <c r="O154" t="str">
        <f>LEFT(IFERROR(INDEX(Fragenkatalog!$BR141,MATCH('Referral Stati'!$O$19,Fragenkatalog!AJ141,0)),""),250)</f>
        <v/>
      </c>
      <c r="P154" s="19" t="str">
        <f>LEFT(IFERROR(INDEX(Fragenkatalog!$BR141,MATCH('Referral Stati'!$P$19,Fragenkatalog!AC141,0)),""),250)</f>
        <v/>
      </c>
      <c r="Q154" s="19" t="str">
        <f>LEFT(IFERROR(INDEX(Fragenkatalog!$BR141,MATCH('Referral Stati'!$Q$19,Fragenkatalog!AD141,0)),""),250)</f>
        <v/>
      </c>
      <c r="R154" t="str">
        <f>LEFT(IFERROR(INDEX(Fragenkatalog!$BR141,MATCH('Referral Stati'!$R$19,Fragenkatalog!BA141,0)),""),250)</f>
        <v/>
      </c>
      <c r="S154" t="str">
        <f>LEFT(IFERROR(INDEX(Fragenkatalog!$BR141,MATCH('Referral Stati'!$S$19,Fragenkatalog!BB141,0)),""),250)</f>
        <v/>
      </c>
      <c r="T154" t="str">
        <f>LEFT(IFERROR(INDEX(Fragenkatalog!$BR141,MATCH('Referral Stati'!$T$19,Fragenkatalog!BG141,0)),""),250)</f>
        <v/>
      </c>
      <c r="U154" t="str">
        <f>LEFT(IFERROR(INDEX(Fragenkatalog!$BR141,MATCH('Referral Stati'!$U$19,Fragenkatalog!BH141,0)),""),250)</f>
        <v/>
      </c>
      <c r="V154" t="str">
        <f>LEFT(IFERROR(INDEX(Fragenkatalog!$BR141,MATCH('Referral Stati'!$V$19,Fragenkatalog!BM141,0)),""),250)</f>
        <v/>
      </c>
      <c r="W154" t="str">
        <f>LEFT(IFERROR(INDEX(Fragenkatalog!$BR141,MATCH('Referral Stati'!$U$19,Fragenkatalog!BN141,0)),""),250)</f>
        <v/>
      </c>
    </row>
    <row r="155" spans="1:23" ht="20.25" customHeight="1">
      <c r="A155" s="168" t="str">
        <f>Fragenkatalog!B142</f>
        <v>RisikoFragenStartUp146</v>
      </c>
      <c r="D155" t="str">
        <f>LEFT(IFERROR(INDEX(Fragenkatalog!$BR142,MATCH('Referral Stati'!$D$19,Fragenkatalog!AU142,0)),""),250)</f>
        <v/>
      </c>
      <c r="E155" s="19" t="str">
        <f>LEFT(IFERROR(INDEX(Fragenkatalog!$BR142,MATCH('Referral Stati'!$E$19,Fragenkatalog!AV142,0)),""),250)</f>
        <v/>
      </c>
      <c r="F155" s="19" t="str">
        <f>LEFT(IFERROR(INDEX(Fragenkatalog!$BR142,MATCH('Referral Stati'!$F$19,Fragenkatalog!AO142,0)),""),250)</f>
        <v/>
      </c>
      <c r="G155" t="str">
        <f>LEFT(IFERROR(INDEX(Fragenkatalog!$BR142,MATCH('Referral Stati'!$G$19,Fragenkatalog!AP142,0)),""),250)</f>
        <v/>
      </c>
      <c r="J155" t="str">
        <f t="array" ref="J155">LEFT(IFERROR(INDEX(Fragenkatalog!BR142,MATCH('Referral Stati'!$J$19,Fragenkatalog!W142,0)),""),250)</f>
        <v/>
      </c>
      <c r="K155" t="str">
        <f t="array" ref="K155">LEFT(IFERROR(INDEX(Fragenkatalog!BR142,MATCH('Referral Stati'!$K$19,Fragenkatalog!X142,0)),""),250)</f>
        <v/>
      </c>
      <c r="L155" s="19" t="str">
        <f>LEFT(IFERROR(INDEX(Fragenkatalog!$BR142,MATCH('Referral Stati'!$L$19,Fragenkatalog!Q142,0)),""),250)</f>
        <v/>
      </c>
      <c r="M155" s="19" t="str">
        <f>LEFT(IFERROR(INDEX(Fragenkatalog!$BR142,MATCH('Referral Stati'!$M$19,Fragenkatalog!R142,0)),""),250)</f>
        <v/>
      </c>
      <c r="N155" s="19" t="str">
        <f>LEFT(IFERROR(INDEX(Fragenkatalog!$BR142,MATCH('Referral Stati'!$N$19,Fragenkatalog!AI142,0)),""),250)</f>
        <v/>
      </c>
      <c r="O155" t="str">
        <f>LEFT(IFERROR(INDEX(Fragenkatalog!$BR142,MATCH('Referral Stati'!$O$19,Fragenkatalog!AJ142,0)),""),250)</f>
        <v/>
      </c>
      <c r="P155" s="19" t="str">
        <f>LEFT(IFERROR(INDEX(Fragenkatalog!$BR142,MATCH('Referral Stati'!$P$19,Fragenkatalog!AC142,0)),""),250)</f>
        <v/>
      </c>
      <c r="Q155" s="19" t="str">
        <f>LEFT(IFERROR(INDEX(Fragenkatalog!$BR142,MATCH('Referral Stati'!$Q$19,Fragenkatalog!AD142,0)),""),250)</f>
        <v/>
      </c>
      <c r="R155" t="str">
        <f>LEFT(IFERROR(INDEX(Fragenkatalog!$BR142,MATCH('Referral Stati'!$R$19,Fragenkatalog!BA142,0)),""),250)</f>
        <v/>
      </c>
      <c r="S155" t="str">
        <f>LEFT(IFERROR(INDEX(Fragenkatalog!$BR142,MATCH('Referral Stati'!$S$19,Fragenkatalog!BB142,0)),""),250)</f>
        <v/>
      </c>
      <c r="T155" t="str">
        <f>LEFT(IFERROR(INDEX(Fragenkatalog!$BR142,MATCH('Referral Stati'!$T$19,Fragenkatalog!BG142,0)),""),250)</f>
        <v/>
      </c>
      <c r="U155" t="str">
        <f>LEFT(IFERROR(INDEX(Fragenkatalog!$BR142,MATCH('Referral Stati'!$U$19,Fragenkatalog!BH142,0)),""),250)</f>
        <v/>
      </c>
      <c r="V155" t="str">
        <f>LEFT(IFERROR(INDEX(Fragenkatalog!$BR142,MATCH('Referral Stati'!$V$19,Fragenkatalog!BM142,0)),""),250)</f>
        <v/>
      </c>
      <c r="W155" t="str">
        <f>LEFT(IFERROR(INDEX(Fragenkatalog!$BR142,MATCH('Referral Stati'!$U$19,Fragenkatalog!BN142,0)),""),250)</f>
        <v/>
      </c>
    </row>
    <row r="156" spans="1:23" ht="20.25" customHeight="1">
      <c r="A156" s="168" t="str">
        <f>Fragenkatalog!B143</f>
        <v>RisikoFragenStartUp147</v>
      </c>
      <c r="D156" t="str">
        <f>LEFT(IFERROR(INDEX(Fragenkatalog!$BR143,MATCH('Referral Stati'!$D$19,Fragenkatalog!AU143,0)),""),250)</f>
        <v/>
      </c>
      <c r="E156" s="19" t="str">
        <f>LEFT(IFERROR(INDEX(Fragenkatalog!$BR143,MATCH('Referral Stati'!$E$19,Fragenkatalog!AV143,0)),""),250)</f>
        <v/>
      </c>
      <c r="F156" s="19" t="str">
        <f>LEFT(IFERROR(INDEX(Fragenkatalog!$BR143,MATCH('Referral Stati'!$F$19,Fragenkatalog!AO143,0)),""),250)</f>
        <v/>
      </c>
      <c r="G156" t="str">
        <f>LEFT(IFERROR(INDEX(Fragenkatalog!$BR143,MATCH('Referral Stati'!$G$19,Fragenkatalog!AP143,0)),""),250)</f>
        <v/>
      </c>
      <c r="J156" t="str">
        <f t="array" ref="J156">LEFT(IFERROR(INDEX(Fragenkatalog!BR143,MATCH('Referral Stati'!$J$19,Fragenkatalog!W143,0)),""),250)</f>
        <v/>
      </c>
      <c r="K156" t="str">
        <f t="array" ref="K156">LEFT(IFERROR(INDEX(Fragenkatalog!BR143,MATCH('Referral Stati'!$K$19,Fragenkatalog!X143,0)),""),250)</f>
        <v/>
      </c>
      <c r="L156" s="19" t="str">
        <f>LEFT(IFERROR(INDEX(Fragenkatalog!$BR143,MATCH('Referral Stati'!$L$19,Fragenkatalog!Q143,0)),""),250)</f>
        <v/>
      </c>
      <c r="M156" s="19" t="str">
        <f>LEFT(IFERROR(INDEX(Fragenkatalog!$BR143,MATCH('Referral Stati'!$M$19,Fragenkatalog!R143,0)),""),250)</f>
        <v/>
      </c>
      <c r="N156" s="19" t="str">
        <f>LEFT(IFERROR(INDEX(Fragenkatalog!$BR143,MATCH('Referral Stati'!$N$19,Fragenkatalog!AI143,0)),""),250)</f>
        <v/>
      </c>
      <c r="O156" t="str">
        <f>LEFT(IFERROR(INDEX(Fragenkatalog!$BR143,MATCH('Referral Stati'!$O$19,Fragenkatalog!AJ143,0)),""),250)</f>
        <v/>
      </c>
      <c r="P156" s="19" t="str">
        <f>LEFT(IFERROR(INDEX(Fragenkatalog!$BR143,MATCH('Referral Stati'!$P$19,Fragenkatalog!AC143,0)),""),250)</f>
        <v/>
      </c>
      <c r="Q156" s="19" t="str">
        <f>LEFT(IFERROR(INDEX(Fragenkatalog!$BR143,MATCH('Referral Stati'!$Q$19,Fragenkatalog!AD143,0)),""),250)</f>
        <v/>
      </c>
      <c r="R156" t="str">
        <f>LEFT(IFERROR(INDEX(Fragenkatalog!$BR143,MATCH('Referral Stati'!$R$19,Fragenkatalog!BA143,0)),""),250)</f>
        <v/>
      </c>
      <c r="S156" t="str">
        <f>LEFT(IFERROR(INDEX(Fragenkatalog!$BR143,MATCH('Referral Stati'!$S$19,Fragenkatalog!BB143,0)),""),250)</f>
        <v/>
      </c>
      <c r="T156" t="str">
        <f>LEFT(IFERROR(INDEX(Fragenkatalog!$BR143,MATCH('Referral Stati'!$T$19,Fragenkatalog!BG143,0)),""),250)</f>
        <v/>
      </c>
      <c r="U156" t="str">
        <f>LEFT(IFERROR(INDEX(Fragenkatalog!$BR143,MATCH('Referral Stati'!$U$19,Fragenkatalog!BH143,0)),""),250)</f>
        <v/>
      </c>
      <c r="V156" t="str">
        <f>LEFT(IFERROR(INDEX(Fragenkatalog!$BR143,MATCH('Referral Stati'!$V$19,Fragenkatalog!BM143,0)),""),250)</f>
        <v/>
      </c>
      <c r="W156" t="str">
        <f>LEFT(IFERROR(INDEX(Fragenkatalog!$BR143,MATCH('Referral Stati'!$U$19,Fragenkatalog!BN143,0)),""),250)</f>
        <v/>
      </c>
    </row>
    <row r="157" spans="1:23" ht="20.25" customHeight="1">
      <c r="A157" s="168" t="str">
        <f>Fragenkatalog!B144</f>
        <v>RisikoFragenStartUp148</v>
      </c>
      <c r="D157" t="str">
        <f>LEFT(IFERROR(INDEX(Fragenkatalog!$BR144,MATCH('Referral Stati'!$D$19,Fragenkatalog!AU144,0)),""),250)</f>
        <v/>
      </c>
      <c r="E157" s="19" t="str">
        <f>LEFT(IFERROR(INDEX(Fragenkatalog!$BR144,MATCH('Referral Stati'!$E$19,Fragenkatalog!AV144,0)),""),250)</f>
        <v/>
      </c>
      <c r="F157" s="19" t="str">
        <f>LEFT(IFERROR(INDEX(Fragenkatalog!$BR144,MATCH('Referral Stati'!$F$19,Fragenkatalog!AO144,0)),""),250)</f>
        <v/>
      </c>
      <c r="G157" t="str">
        <f>LEFT(IFERROR(INDEX(Fragenkatalog!$BR144,MATCH('Referral Stati'!$G$19,Fragenkatalog!AP144,0)),""),250)</f>
        <v/>
      </c>
      <c r="J157" t="str">
        <f t="array" ref="J157">LEFT(IFERROR(INDEX(Fragenkatalog!BR144,MATCH('Referral Stati'!$J$19,Fragenkatalog!W144,0)),""),250)</f>
        <v/>
      </c>
      <c r="K157" t="str">
        <f t="array" ref="K157">LEFT(IFERROR(INDEX(Fragenkatalog!BR144,MATCH('Referral Stati'!$K$19,Fragenkatalog!X144,0)),""),250)</f>
        <v/>
      </c>
      <c r="L157" s="19" t="str">
        <f>LEFT(IFERROR(INDEX(Fragenkatalog!$BR144,MATCH('Referral Stati'!$L$19,Fragenkatalog!Q144,0)),""),250)</f>
        <v/>
      </c>
      <c r="M157" s="19" t="str">
        <f>LEFT(IFERROR(INDEX(Fragenkatalog!$BR144,MATCH('Referral Stati'!$M$19,Fragenkatalog!R144,0)),""),250)</f>
        <v/>
      </c>
      <c r="N157" s="19" t="str">
        <f>LEFT(IFERROR(INDEX(Fragenkatalog!$BR144,MATCH('Referral Stati'!$N$19,Fragenkatalog!AI144,0)),""),250)</f>
        <v/>
      </c>
      <c r="O157" t="str">
        <f>LEFT(IFERROR(INDEX(Fragenkatalog!$BR144,MATCH('Referral Stati'!$O$19,Fragenkatalog!AJ144,0)),""),250)</f>
        <v/>
      </c>
      <c r="P157" s="19" t="str">
        <f>LEFT(IFERROR(INDEX(Fragenkatalog!$BR144,MATCH('Referral Stati'!$P$19,Fragenkatalog!AC144,0)),""),250)</f>
        <v/>
      </c>
      <c r="Q157" s="19" t="str">
        <f>LEFT(IFERROR(INDEX(Fragenkatalog!$BR144,MATCH('Referral Stati'!$Q$19,Fragenkatalog!AD144,0)),""),250)</f>
        <v/>
      </c>
      <c r="R157" t="str">
        <f>LEFT(IFERROR(INDEX(Fragenkatalog!$BR144,MATCH('Referral Stati'!$R$19,Fragenkatalog!BA144,0)),""),250)</f>
        <v/>
      </c>
      <c r="S157" t="str">
        <f>LEFT(IFERROR(INDEX(Fragenkatalog!$BR144,MATCH('Referral Stati'!$S$19,Fragenkatalog!BB144,0)),""),250)</f>
        <v/>
      </c>
      <c r="T157" t="str">
        <f>LEFT(IFERROR(INDEX(Fragenkatalog!$BR144,MATCH('Referral Stati'!$T$19,Fragenkatalog!BG144,0)),""),250)</f>
        <v/>
      </c>
      <c r="U157" t="str">
        <f>LEFT(IFERROR(INDEX(Fragenkatalog!$BR144,MATCH('Referral Stati'!$U$19,Fragenkatalog!BH144,0)),""),250)</f>
        <v/>
      </c>
      <c r="V157" t="str">
        <f>LEFT(IFERROR(INDEX(Fragenkatalog!$BR144,MATCH('Referral Stati'!$V$19,Fragenkatalog!BM144,0)),""),250)</f>
        <v/>
      </c>
      <c r="W157" t="str">
        <f>LEFT(IFERROR(INDEX(Fragenkatalog!$BR144,MATCH('Referral Stati'!$U$19,Fragenkatalog!BN144,0)),""),250)</f>
        <v/>
      </c>
    </row>
    <row r="158" spans="1:23" ht="20.25" customHeight="1">
      <c r="A158" s="168" t="str">
        <f>Fragenkatalog!B145</f>
        <v>RisikoFragenStartUp149</v>
      </c>
      <c r="D158" t="str">
        <f>LEFT(IFERROR(INDEX(Fragenkatalog!$BR145,MATCH('Referral Stati'!$D$19,Fragenkatalog!AU145,0)),""),250)</f>
        <v/>
      </c>
      <c r="E158" s="19" t="str">
        <f>LEFT(IFERROR(INDEX(Fragenkatalog!$BR145,MATCH('Referral Stati'!$E$19,Fragenkatalog!AV145,0)),""),250)</f>
        <v/>
      </c>
      <c r="F158" s="19" t="str">
        <f>LEFT(IFERROR(INDEX(Fragenkatalog!$BR145,MATCH('Referral Stati'!$F$19,Fragenkatalog!AO145,0)),""),250)</f>
        <v/>
      </c>
      <c r="G158" t="str">
        <f>LEFT(IFERROR(INDEX(Fragenkatalog!$BR145,MATCH('Referral Stati'!$G$19,Fragenkatalog!AP145,0)),""),250)</f>
        <v/>
      </c>
      <c r="J158" t="str">
        <f t="array" ref="J158">LEFT(IFERROR(INDEX(Fragenkatalog!BR145,MATCH('Referral Stati'!$J$19,Fragenkatalog!W145,0)),""),250)</f>
        <v/>
      </c>
      <c r="K158" t="str">
        <f t="array" ref="K158">LEFT(IFERROR(INDEX(Fragenkatalog!BR145,MATCH('Referral Stati'!$K$19,Fragenkatalog!X145,0)),""),250)</f>
        <v/>
      </c>
      <c r="L158" s="19" t="str">
        <f>LEFT(IFERROR(INDEX(Fragenkatalog!$BR145,MATCH('Referral Stati'!$L$19,Fragenkatalog!Q145,0)),""),250)</f>
        <v/>
      </c>
      <c r="M158" s="19" t="str">
        <f>LEFT(IFERROR(INDEX(Fragenkatalog!$BR145,MATCH('Referral Stati'!$M$19,Fragenkatalog!R145,0)),""),250)</f>
        <v/>
      </c>
      <c r="N158" s="19" t="str">
        <f>LEFT(IFERROR(INDEX(Fragenkatalog!$BR145,MATCH('Referral Stati'!$N$19,Fragenkatalog!AI145,0)),""),250)</f>
        <v/>
      </c>
      <c r="O158" t="str">
        <f>LEFT(IFERROR(INDEX(Fragenkatalog!$BR145,MATCH('Referral Stati'!$O$19,Fragenkatalog!AJ145,0)),""),250)</f>
        <v/>
      </c>
      <c r="P158" s="19" t="str">
        <f>LEFT(IFERROR(INDEX(Fragenkatalog!$BR145,MATCH('Referral Stati'!$P$19,Fragenkatalog!AC145,0)),""),250)</f>
        <v/>
      </c>
      <c r="Q158" s="19" t="str">
        <f>LEFT(IFERROR(INDEX(Fragenkatalog!$BR145,MATCH('Referral Stati'!$Q$19,Fragenkatalog!AD145,0)),""),250)</f>
        <v/>
      </c>
      <c r="R158" t="str">
        <f>LEFT(IFERROR(INDEX(Fragenkatalog!$BR145,MATCH('Referral Stati'!$R$19,Fragenkatalog!BA145,0)),""),250)</f>
        <v/>
      </c>
      <c r="S158" t="str">
        <f>LEFT(IFERROR(INDEX(Fragenkatalog!$BR145,MATCH('Referral Stati'!$S$19,Fragenkatalog!BB145,0)),""),250)</f>
        <v/>
      </c>
      <c r="T158" t="str">
        <f>LEFT(IFERROR(INDEX(Fragenkatalog!$BR145,MATCH('Referral Stati'!$T$19,Fragenkatalog!BG145,0)),""),250)</f>
        <v/>
      </c>
      <c r="U158" t="str">
        <f>LEFT(IFERROR(INDEX(Fragenkatalog!$BR145,MATCH('Referral Stati'!$U$19,Fragenkatalog!BH145,0)),""),250)</f>
        <v/>
      </c>
      <c r="V158" t="str">
        <f>LEFT(IFERROR(INDEX(Fragenkatalog!$BR145,MATCH('Referral Stati'!$V$19,Fragenkatalog!BM145,0)),""),250)</f>
        <v/>
      </c>
      <c r="W158" t="str">
        <f>LEFT(IFERROR(INDEX(Fragenkatalog!$BR145,MATCH('Referral Stati'!$U$19,Fragenkatalog!BN145,0)),""),250)</f>
        <v/>
      </c>
    </row>
    <row r="159" spans="1:23" ht="20.25" customHeight="1">
      <c r="A159" s="168" t="str">
        <f>Fragenkatalog!B146</f>
        <v>RisikoFragenStartUp150</v>
      </c>
      <c r="D159" t="str">
        <f>LEFT(IFERROR(INDEX(Fragenkatalog!$BR146,MATCH('Referral Stati'!$D$19,Fragenkatalog!AU146,0)),""),250)</f>
        <v/>
      </c>
      <c r="E159" s="19" t="str">
        <f>LEFT(IFERROR(INDEX(Fragenkatalog!$BR146,MATCH('Referral Stati'!$E$19,Fragenkatalog!AV146,0)),""),250)</f>
        <v/>
      </c>
      <c r="F159" s="19" t="str">
        <f>LEFT(IFERROR(INDEX(Fragenkatalog!$BR146,MATCH('Referral Stati'!$F$19,Fragenkatalog!AO146,0)),""),250)</f>
        <v/>
      </c>
      <c r="G159" t="str">
        <f>LEFT(IFERROR(INDEX(Fragenkatalog!$BR146,MATCH('Referral Stati'!$G$19,Fragenkatalog!AP146,0)),""),250)</f>
        <v/>
      </c>
      <c r="J159" t="str">
        <f t="array" ref="J159">LEFT(IFERROR(INDEX(Fragenkatalog!BR146,MATCH('Referral Stati'!$J$19,Fragenkatalog!W146,0)),""),250)</f>
        <v/>
      </c>
      <c r="K159" t="str">
        <f t="array" ref="K159">LEFT(IFERROR(INDEX(Fragenkatalog!BR146,MATCH('Referral Stati'!$K$19,Fragenkatalog!X146,0)),""),250)</f>
        <v/>
      </c>
      <c r="L159" s="19" t="str">
        <f>LEFT(IFERROR(INDEX(Fragenkatalog!$BR146,MATCH('Referral Stati'!$L$19,Fragenkatalog!Q146,0)),""),250)</f>
        <v/>
      </c>
      <c r="M159" s="19" t="str">
        <f>LEFT(IFERROR(INDEX(Fragenkatalog!$BR146,MATCH('Referral Stati'!$M$19,Fragenkatalog!R146,0)),""),250)</f>
        <v/>
      </c>
      <c r="N159" s="19" t="str">
        <f>LEFT(IFERROR(INDEX(Fragenkatalog!$BR146,MATCH('Referral Stati'!$N$19,Fragenkatalog!AI146,0)),""),250)</f>
        <v/>
      </c>
      <c r="O159" t="str">
        <f>LEFT(IFERROR(INDEX(Fragenkatalog!$BR146,MATCH('Referral Stati'!$O$19,Fragenkatalog!AJ146,0)),""),250)</f>
        <v/>
      </c>
      <c r="P159" s="19" t="str">
        <f>LEFT(IFERROR(INDEX(Fragenkatalog!$BR146,MATCH('Referral Stati'!$P$19,Fragenkatalog!AC146,0)),""),250)</f>
        <v/>
      </c>
      <c r="Q159" s="19" t="str">
        <f>LEFT(IFERROR(INDEX(Fragenkatalog!$BR146,MATCH('Referral Stati'!$Q$19,Fragenkatalog!AD146,0)),""),250)</f>
        <v/>
      </c>
      <c r="R159" t="str">
        <f>LEFT(IFERROR(INDEX(Fragenkatalog!$BR146,MATCH('Referral Stati'!$R$19,Fragenkatalog!BA146,0)),""),250)</f>
        <v/>
      </c>
      <c r="S159" t="str">
        <f>LEFT(IFERROR(INDEX(Fragenkatalog!$BR146,MATCH('Referral Stati'!$S$19,Fragenkatalog!BB146,0)),""),250)</f>
        <v/>
      </c>
      <c r="T159" t="str">
        <f>LEFT(IFERROR(INDEX(Fragenkatalog!$BR146,MATCH('Referral Stati'!$T$19,Fragenkatalog!BG146,0)),""),250)</f>
        <v/>
      </c>
      <c r="U159" t="str">
        <f>LEFT(IFERROR(INDEX(Fragenkatalog!$BR146,MATCH('Referral Stati'!$U$19,Fragenkatalog!BH146,0)),""),250)</f>
        <v/>
      </c>
      <c r="V159" t="str">
        <f>LEFT(IFERROR(INDEX(Fragenkatalog!$BR146,MATCH('Referral Stati'!$V$19,Fragenkatalog!BM146,0)),""),250)</f>
        <v/>
      </c>
      <c r="W159" t="str">
        <f>LEFT(IFERROR(INDEX(Fragenkatalog!$BR146,MATCH('Referral Stati'!$U$19,Fragenkatalog!BN146,0)),""),250)</f>
        <v/>
      </c>
    </row>
    <row r="160" spans="1:23" ht="20.25" customHeight="1">
      <c r="A160" s="168" t="s">
        <v>2766</v>
      </c>
      <c r="D160" t="str">
        <f>LEFT(IFERROR(INDEX(Fragenkatalog!$BR147,MATCH('Referral Stati'!$D$19,Fragenkatalog!AU147,0)),""),250)</f>
        <v/>
      </c>
      <c r="E160" s="19" t="str">
        <f>LEFT(IFERROR(INDEX(Fragenkatalog!$BR147,MATCH('Referral Stati'!$E$19,Fragenkatalog!AV147,0)),""),250)</f>
        <v/>
      </c>
      <c r="F160" s="19" t="str">
        <f>LEFT(IFERROR(INDEX(Fragenkatalog!$BR147,MATCH('Referral Stati'!$F$19,Fragenkatalog!AO147,0)),""),250)</f>
        <v/>
      </c>
      <c r="G160" t="str">
        <f>LEFT(IFERROR(INDEX(Fragenkatalog!$BR147,MATCH('Referral Stati'!$G$19,Fragenkatalog!AP147,0)),""),250)</f>
        <v/>
      </c>
      <c r="L160" s="19" t="str">
        <f>LEFT(IFERROR(INDEX(Fragenkatalog!$BR147,MATCH('Referral Stati'!$L$19,Fragenkatalog!Q147,0)),""),250)</f>
        <v/>
      </c>
      <c r="M160" s="19" t="str">
        <f>LEFT(IFERROR(INDEX(Fragenkatalog!$BR147,MATCH('Referral Stati'!$M$19,Fragenkatalog!R147,0)),""),250)</f>
        <v/>
      </c>
      <c r="N160" s="19" t="str">
        <f>LEFT(IFERROR(INDEX(Fragenkatalog!$BR147,MATCH('Referral Stati'!$N$19,Fragenkatalog!AI147,0)),""),250)</f>
        <v/>
      </c>
      <c r="O160" t="str">
        <f>LEFT(IFERROR(INDEX(Fragenkatalog!$BR147,MATCH('Referral Stati'!$O$19,Fragenkatalog!AJ147,0)),""),250)</f>
        <v/>
      </c>
      <c r="P160" s="19" t="str">
        <f>LEFT(IFERROR(INDEX(Fragenkatalog!$BR147,MATCH('Referral Stati'!$P$19,Fragenkatalog!AC147,0)),""),250)</f>
        <v/>
      </c>
      <c r="Q160" s="19" t="str">
        <f>LEFT(IFERROR(INDEX(Fragenkatalog!$BR147,MATCH('Referral Stati'!$Q$19,Fragenkatalog!AD147,0)),""),250)</f>
        <v/>
      </c>
      <c r="R160" t="str">
        <f>LEFT(IFERROR(INDEX(Fragenkatalog!$BR147,MATCH('Referral Stati'!$R$19,Fragenkatalog!BA147,0)),""),250)</f>
        <v/>
      </c>
      <c r="S160" t="str">
        <f>LEFT(IFERROR(INDEX(Fragenkatalog!$BR147,MATCH('Referral Stati'!$S$19,Fragenkatalog!BB147,0)),""),250)</f>
        <v/>
      </c>
      <c r="T160" t="str">
        <f>LEFT(IFERROR(INDEX(Fragenkatalog!$BR147,MATCH('Referral Stati'!$T$19,Fragenkatalog!BG147,0)),""),250)</f>
        <v/>
      </c>
      <c r="U160" t="str">
        <f>LEFT(IFERROR(INDEX(Fragenkatalog!$BR147,MATCH('Referral Stati'!$U$19,Fragenkatalog!BH147,0)),""),250)</f>
        <v/>
      </c>
      <c r="V160" t="str">
        <f>LEFT(IFERROR(INDEX(Fragenkatalog!$BR147,MATCH('Referral Stati'!$V$19,Fragenkatalog!BM147,0)),""),250)</f>
        <v/>
      </c>
      <c r="W160" t="str">
        <f>LEFT(IFERROR(INDEX(Fragenkatalog!$BR147,MATCH('Referral Stati'!$U$19,Fragenkatalog!BN147,0)),""),250)</f>
        <v/>
      </c>
    </row>
    <row r="161" spans="1:23" ht="20.25" customHeight="1">
      <c r="A161" s="168" t="str">
        <f>Fragenkatalog!B148</f>
        <v>StammDaten126</v>
      </c>
      <c r="D161" t="str">
        <f>LEFT(IFERROR(INDEX(Fragenkatalog!$BR148,MATCH('Referral Stati'!$D$19,Fragenkatalog!AU148,0)),""),250)</f>
        <v/>
      </c>
      <c r="E161" s="19" t="str">
        <f>LEFT(IFERROR(INDEX(Fragenkatalog!$BR148,MATCH('Referral Stati'!$E$19,Fragenkatalog!AV148,0)),""),250)</f>
        <v/>
      </c>
      <c r="F161" s="19" t="str">
        <f>LEFT(IFERROR(INDEX(Fragenkatalog!$BR148,MATCH('Referral Stati'!$F$19,Fragenkatalog!AO148,0)),""),250)</f>
        <v/>
      </c>
      <c r="G161" t="str">
        <f>LEFT(IFERROR(INDEX(Fragenkatalog!$BR148,MATCH('Referral Stati'!$G$19,Fragenkatalog!AP148,0)),""),250)</f>
        <v/>
      </c>
      <c r="J161" t="str">
        <f t="array" ref="J161">LEFT(IFERROR(INDEX(Fragenkatalog!BR148,MATCH('Referral Stati'!$J$19,Fragenkatalog!W148,0)),""),250)</f>
        <v/>
      </c>
      <c r="K161" t="str">
        <f t="array" ref="K161">LEFT(IFERROR(INDEX(Fragenkatalog!BR148,MATCH('Referral Stati'!$K$19,Fragenkatalog!X148,0)),""),250)</f>
        <v/>
      </c>
      <c r="L161" s="19" t="str">
        <f>LEFT(IFERROR(INDEX(Fragenkatalog!$BR148,MATCH('Referral Stati'!$L$19,Fragenkatalog!Q148,0)),""),250)</f>
        <v/>
      </c>
      <c r="M161" s="19" t="str">
        <f>LEFT(IFERROR(INDEX(Fragenkatalog!$BR148,MATCH('Referral Stati'!$M$19,Fragenkatalog!R148,0)),""),250)</f>
        <v/>
      </c>
      <c r="N161" s="19" t="str">
        <f>LEFT(IFERROR(INDEX(Fragenkatalog!$BR148,MATCH('Referral Stati'!$N$19,Fragenkatalog!AI148,0)),""),250)</f>
        <v/>
      </c>
      <c r="O161" t="str">
        <f>LEFT(IFERROR(INDEX(Fragenkatalog!$BR148,MATCH('Referral Stati'!$O$19,Fragenkatalog!AJ148,0)),""),250)</f>
        <v/>
      </c>
      <c r="P161" s="19" t="str">
        <f>LEFT(IFERROR(INDEX(Fragenkatalog!$BR148,MATCH('Referral Stati'!$P$19,Fragenkatalog!AC148,0)),""),250)</f>
        <v/>
      </c>
      <c r="Q161" s="19" t="str">
        <f>LEFT(IFERROR(INDEX(Fragenkatalog!$BR148,MATCH('Referral Stati'!$Q$19,Fragenkatalog!AD148,0)),""),250)</f>
        <v/>
      </c>
      <c r="R161" t="str">
        <f>LEFT(IFERROR(INDEX(Fragenkatalog!$BR148,MATCH('Referral Stati'!$R$19,Fragenkatalog!BA148,0)),""),250)</f>
        <v/>
      </c>
      <c r="S161" t="str">
        <f>LEFT(IFERROR(INDEX(Fragenkatalog!$BR148,MATCH('Referral Stati'!$S$19,Fragenkatalog!BB148,0)),""),250)</f>
        <v/>
      </c>
      <c r="T161" t="str">
        <f>LEFT(IFERROR(INDEX(Fragenkatalog!$BR148,MATCH('Referral Stati'!$T$19,Fragenkatalog!BG148,0)),""),250)</f>
        <v/>
      </c>
      <c r="U161" t="str">
        <f>LEFT(IFERROR(INDEX(Fragenkatalog!$BR148,MATCH('Referral Stati'!$U$19,Fragenkatalog!BH148,0)),""),250)</f>
        <v/>
      </c>
      <c r="V161" t="str">
        <f>LEFT(IFERROR(INDEX(Fragenkatalog!$BR148,MATCH('Referral Stati'!$V$19,Fragenkatalog!BM148,0)),""),250)</f>
        <v/>
      </c>
      <c r="W161" t="str">
        <f>LEFT(IFERROR(INDEX(Fragenkatalog!$BR148,MATCH('Referral Stati'!$U$19,Fragenkatalog!BN148,0)),""),250)</f>
        <v/>
      </c>
    </row>
    <row r="162" spans="1:23" ht="20.25" customHeight="1">
      <c r="A162" s="168" t="str">
        <f>Fragenkatalog!B149</f>
        <v>RisikoFragen902</v>
      </c>
      <c r="D162" t="str">
        <f>LEFT(IFERROR(INDEX(Fragenkatalog!$BR149,MATCH('Referral Stati'!$D$19,Fragenkatalog!AU149,0)),""),250)</f>
        <v/>
      </c>
      <c r="E162" s="19" t="str">
        <f>LEFT(IFERROR(INDEX(Fragenkatalog!$BR149,MATCH('Referral Stati'!$E$19,Fragenkatalog!AV149,0)),""),250)</f>
        <v/>
      </c>
      <c r="F162" s="19" t="str">
        <f>LEFT(IFERROR(INDEX(Fragenkatalog!$BR149,MATCH('Referral Stati'!$F$19,Fragenkatalog!AO149,0)),""),250)</f>
        <v>Nettoisierung</v>
      </c>
      <c r="G162" t="str">
        <f>LEFT(IFERROR(INDEX(Fragenkatalog!$BR149,MATCH('Referral Stati'!$G$19,Fragenkatalog!AP149,0)),""),250)</f>
        <v/>
      </c>
      <c r="J162" t="str">
        <f t="array" ref="J162">LEFT(IFERROR(INDEX(Fragenkatalog!BR149,MATCH('Referral Stati'!$J$19,Fragenkatalog!W149,0)),""),250)</f>
        <v/>
      </c>
      <c r="K162" t="str">
        <f t="array" ref="K162">LEFT(IFERROR(INDEX(Fragenkatalog!BR149,MATCH('Referral Stati'!$K$19,Fragenkatalog!X149,0)),""),250)</f>
        <v/>
      </c>
      <c r="L162" s="19" t="str">
        <f>LEFT(IFERROR(INDEX(Fragenkatalog!$BR149,MATCH('Referral Stati'!$L$19,Fragenkatalog!Q149,0)),""),250)</f>
        <v/>
      </c>
      <c r="M162" s="19" t="str">
        <f>LEFT(IFERROR(INDEX(Fragenkatalog!$BR149,MATCH('Referral Stati'!$M$19,Fragenkatalog!R149,0)),""),250)</f>
        <v/>
      </c>
      <c r="N162" s="19" t="str">
        <f>LEFT(IFERROR(INDEX(Fragenkatalog!$BR149,MATCH('Referral Stati'!$N$19,Fragenkatalog!AI149,0)),""),250)</f>
        <v>Nettoisierung</v>
      </c>
      <c r="O162" t="str">
        <f>LEFT(IFERROR(INDEX(Fragenkatalog!$BR149,MATCH('Referral Stati'!$O$19,Fragenkatalog!AJ149,0)),""),250)</f>
        <v/>
      </c>
      <c r="P162" s="19" t="str">
        <f>LEFT(IFERROR(INDEX(Fragenkatalog!$BR149,MATCH('Referral Stati'!$P$19,Fragenkatalog!AC149,0)),""),250)</f>
        <v/>
      </c>
      <c r="Q162" s="19" t="str">
        <f>LEFT(IFERROR(INDEX(Fragenkatalog!$BR149,MATCH('Referral Stati'!$Q$19,Fragenkatalog!AD149,0)),""),250)</f>
        <v/>
      </c>
      <c r="R162" t="str">
        <f>LEFT(IFERROR(INDEX(Fragenkatalog!$BR149,MATCH('Referral Stati'!$R$19,Fragenkatalog!BA149,0)),""),250)</f>
        <v/>
      </c>
      <c r="S162" t="str">
        <f>LEFT(IFERROR(INDEX(Fragenkatalog!$BR149,MATCH('Referral Stati'!$S$19,Fragenkatalog!BB149,0)),""),250)</f>
        <v/>
      </c>
      <c r="T162" t="str">
        <f>LEFT(IFERROR(INDEX(Fragenkatalog!$BR149,MATCH('Referral Stati'!$T$19,Fragenkatalog!BG149,0)),""),250)</f>
        <v/>
      </c>
      <c r="U162" t="str">
        <f>LEFT(IFERROR(INDEX(Fragenkatalog!$BR149,MATCH('Referral Stati'!$U$19,Fragenkatalog!BH149,0)),""),250)</f>
        <v/>
      </c>
      <c r="V162" t="str">
        <f>LEFT(IFERROR(INDEX(Fragenkatalog!$BR149,MATCH('Referral Stati'!$V$19,Fragenkatalog!BM149,0)),""),250)</f>
        <v>Nettoisierung</v>
      </c>
      <c r="W162" t="str">
        <f>LEFT(IFERROR(INDEX(Fragenkatalog!$BR149,MATCH('Referral Stati'!$U$19,Fragenkatalog!BN149,0)),""),250)</f>
        <v/>
      </c>
    </row>
    <row r="163" spans="1:23" ht="20.25" customHeight="1">
      <c r="A163" s="168" t="str">
        <f>Fragenkatalog!B150</f>
        <v>RisikoFragenUmsatzSanktionsland</v>
      </c>
      <c r="D163" t="str">
        <f>LEFT(IFERROR(INDEX(Fragenkatalog!$BR150,MATCH('Referral Stati'!$D$19,Fragenkatalog!AU150,0)),""),250)</f>
        <v/>
      </c>
      <c r="E163" s="19" t="str">
        <f>LEFT(IFERROR(INDEX(Fragenkatalog!$BR150,MATCH('Referral Stati'!$E$19,Fragenkatalog!AV150,0)),""),250)</f>
        <v/>
      </c>
      <c r="F163" s="19" t="str">
        <f>LEFT(IFERROR(INDEX(Fragenkatalog!$BR150,MATCH('Referral Stati'!$F$19,Fragenkatalog!AO150,0)),""),250)</f>
        <v/>
      </c>
      <c r="G163" t="str">
        <f>LEFT(IFERROR(INDEX(Fragenkatalog!$BR150,MATCH('Referral Stati'!$G$19,Fragenkatalog!AP150,0)),""),250)</f>
        <v/>
      </c>
      <c r="L163" s="19" t="str">
        <f>LEFT(IFERROR(INDEX(Fragenkatalog!$BR150,MATCH('Referral Stati'!$L$19,Fragenkatalog!Q150,0)),""),250)</f>
        <v/>
      </c>
      <c r="M163" s="19" t="str">
        <f>LEFT(IFERROR(INDEX(Fragenkatalog!$BR150,MATCH('Referral Stati'!$M$19,Fragenkatalog!R150,0)),""),250)</f>
        <v/>
      </c>
      <c r="N163" s="19" t="str">
        <f>LEFT(IFERROR(INDEX(Fragenkatalog!$BR150,MATCH('Referral Stati'!$N$19,Fragenkatalog!AI150,0)),""),250)</f>
        <v/>
      </c>
      <c r="O163" t="str">
        <f>LEFT(IFERROR(INDEX(Fragenkatalog!$BR150,MATCH('Referral Stati'!$O$19,Fragenkatalog!AJ150,0)),""),250)</f>
        <v/>
      </c>
      <c r="P163" s="19" t="str">
        <f>LEFT(IFERROR(INDEX(Fragenkatalog!$BR150,MATCH('Referral Stati'!$P$19,Fragenkatalog!AC150,0)),""),250)</f>
        <v/>
      </c>
      <c r="Q163" s="19" t="str">
        <f>LEFT(IFERROR(INDEX(Fragenkatalog!$BR150,MATCH('Referral Stati'!$Q$19,Fragenkatalog!AD150,0)),""),250)</f>
        <v/>
      </c>
      <c r="R163" t="str">
        <f>LEFT(IFERROR(INDEX(Fragenkatalog!$BR150,MATCH('Referral Stati'!$R$19,Fragenkatalog!BA150,0)),""),250)</f>
        <v/>
      </c>
      <c r="S163" t="str">
        <f>LEFT(IFERROR(INDEX(Fragenkatalog!$BR150,MATCH('Referral Stati'!$S$19,Fragenkatalog!BB150,0)),""),250)</f>
        <v/>
      </c>
      <c r="T163" t="str">
        <f>LEFT(IFERROR(INDEX(Fragenkatalog!$BR150,MATCH('Referral Stati'!$T$19,Fragenkatalog!BG150,0)),""),250)</f>
        <v/>
      </c>
      <c r="U163" t="str">
        <f>LEFT(IFERROR(INDEX(Fragenkatalog!$BR150,MATCH('Referral Stati'!$U$19,Fragenkatalog!BH150,0)),""),250)</f>
        <v/>
      </c>
      <c r="V163" t="str">
        <f>LEFT(IFERROR(INDEX(Fragenkatalog!$BR150,MATCH('Referral Stati'!$V$19,Fragenkatalog!BM150,0)),""),250)</f>
        <v/>
      </c>
      <c r="W163" t="str">
        <f>LEFT(IFERROR(INDEX(Fragenkatalog!$BR150,MATCH('Referral Stati'!$U$19,Fragenkatalog!BN150,0)),""),250)</f>
        <v/>
      </c>
    </row>
    <row r="164" spans="1:23" ht="20.25" customHeight="1">
      <c r="A164" s="168" t="str">
        <f>Fragenkatalog!B151</f>
        <v>CountryExclusion</v>
      </c>
      <c r="D164" t="str">
        <f>LEFT(IFERROR(INDEX(Fragenkatalog!$BR151,MATCH('Referral Stati'!$D$19,Fragenkatalog!AU151,0)),""),250)</f>
        <v/>
      </c>
      <c r="E164" s="19" t="str">
        <f>LEFT(IFERROR(INDEX(Fragenkatalog!$BR151,MATCH('Referral Stati'!$E$19,Fragenkatalog!AV151,0)),""),250)</f>
        <v/>
      </c>
      <c r="F164" s="19" t="str">
        <f>LEFT(IFERROR(INDEX(Fragenkatalog!$BR151,MATCH('Referral Stati'!$F$19,Fragenkatalog!AO151,0)),""),250)</f>
        <v/>
      </c>
      <c r="G164" t="str">
        <f>LEFT(IFERROR(INDEX(Fragenkatalog!$BR151,MATCH('Referral Stati'!$G$19,Fragenkatalog!AP151,0)),""),250)</f>
        <v/>
      </c>
      <c r="L164" s="19" t="str">
        <f>LEFT(IFERROR(INDEX(Fragenkatalog!$BR151,MATCH('Referral Stati'!$L$19,Fragenkatalog!Q151,0)),""),250)</f>
        <v/>
      </c>
      <c r="M164" s="19" t="str">
        <f>LEFT(IFERROR(INDEX(Fragenkatalog!$BR151,MATCH('Referral Stati'!$M$19,Fragenkatalog!R151,0)),""),250)</f>
        <v/>
      </c>
      <c r="N164" s="19" t="str">
        <f>LEFT(IFERROR(INDEX(Fragenkatalog!$BR151,MATCH('Referral Stati'!$N$19,Fragenkatalog!AI151,0)),""),250)</f>
        <v/>
      </c>
      <c r="O164" t="str">
        <f>LEFT(IFERROR(INDEX(Fragenkatalog!$BR151,MATCH('Referral Stati'!$O$19,Fragenkatalog!AJ151,0)),""),250)</f>
        <v/>
      </c>
      <c r="P164" s="19" t="str">
        <f>LEFT(IFERROR(INDEX(Fragenkatalog!$BR151,MATCH('Referral Stati'!$P$19,Fragenkatalog!AC151,0)),""),250)</f>
        <v/>
      </c>
      <c r="Q164" s="19" t="str">
        <f>LEFT(IFERROR(INDEX(Fragenkatalog!$BR151,MATCH('Referral Stati'!$Q$19,Fragenkatalog!AD151,0)),""),250)</f>
        <v/>
      </c>
      <c r="R164" t="str">
        <f>LEFT(IFERROR(INDEX(Fragenkatalog!$BR151,MATCH('Referral Stati'!$R$19,Fragenkatalog!BA151,0)),""),250)</f>
        <v/>
      </c>
      <c r="S164" t="str">
        <f>LEFT(IFERROR(INDEX(Fragenkatalog!$BR151,MATCH('Referral Stati'!$S$19,Fragenkatalog!BB151,0)),""),250)</f>
        <v/>
      </c>
      <c r="T164" t="str">
        <f>LEFT(IFERROR(INDEX(Fragenkatalog!$BR151,MATCH('Referral Stati'!$T$19,Fragenkatalog!BG151,0)),""),250)</f>
        <v/>
      </c>
      <c r="U164" t="str">
        <f>LEFT(IFERROR(INDEX(Fragenkatalog!$BR151,MATCH('Referral Stati'!$U$19,Fragenkatalog!BH151,0)),""),250)</f>
        <v/>
      </c>
      <c r="V164" t="str">
        <f>LEFT(IFERROR(INDEX(Fragenkatalog!$BR151,MATCH('Referral Stati'!$V$19,Fragenkatalog!BM151,0)),""),250)</f>
        <v/>
      </c>
      <c r="W164" t="str">
        <f>LEFT(IFERROR(INDEX(Fragenkatalog!$BR151,MATCH('Referral Stati'!$U$19,Fragenkatalog!BN151,0)),""),250)</f>
        <v/>
      </c>
    </row>
    <row r="165" spans="1:23" ht="20.25" customHeight="1">
      <c r="A165" s="168" t="s">
        <v>3779</v>
      </c>
      <c r="D165" t="str">
        <f>IF(AND('Sterne-Rechner - Angebot'!$C4="OFFER_REFERRAL",'Sterne-Rechner - Angebot'!$C5="OFFER_REFERRAL",'Sterne-Rechner - Angebot'!$C6="OFFER_REFERRAL"),'Sterne-Rechner - Angebot'!$C$44,
IF(AND('Sterne-Rechner - Angebot'!$C4="OFFER_READY_FOR_POLICY",'Sterne-Rechner - Angebot'!$C5="OFFER_READY_FOR_POLICY",'Sterne-Rechner - Angebot'!$C6="OFFER_READY_FOR_POLICY"),"",
IF(AND('Sterne-Rechner - Angebot'!$C4="OFFER_DECLINED",'Sterne-Rechner - Angebot'!$C5="OFFER_DECLINED",'Sterne-Rechner - Angebot'!$C6="OFFER_DECLINED"),"",
IF(AND('Sterne-Rechner - Angebot'!$C4="",'Sterne-Rechner - Angebot'!$C5="",'Sterne-Rechner - Angebot'!$C6=""),"","FEHLER!"))))</f>
        <v/>
      </c>
      <c r="E165" t="str">
        <f>IF(AND('Sterne-Rechner - Angebot'!$C4="OFFER_DECLINED",'Sterne-Rechner - Angebot'!$C5="OFFER_DECLINED",'Sterne-Rechner - Angebot'!$C6="OFFER_DECLINED"),'Sterne-Rechner - Angebot'!$C$44,
IF(AND('Sterne-Rechner - Angebot'!$C4="OFFER_READY_FOR_POLICY",'Sterne-Rechner - Angebot'!$C5="OFFER_READY_FOR_POLICY",'Sterne-Rechner - Angebot'!$C6="OFFER_READY_FOR_POLICY"),"",
IF(AND('Sterne-Rechner - Angebot'!$C4="OFFER_REFERRAL",'Sterne-Rechner - Angebot'!$C5="OFFER_REFERRAL",'Sterne-Rechner - Angebot'!$C6="OFFER_REFERRAL"),"",
IF(AND('Sterne-Rechner - Angebot'!$C4="",'Sterne-Rechner - Angebot'!$C5="",'Sterne-Rechner - Angebot'!$C6=""),"","FEHLER!"))))</f>
        <v/>
      </c>
      <c r="F165" t="str">
        <f>IF(AND('Sterne-Rechner - Angebot'!$C7="OFFER_REFERRAL",'Sterne-Rechner - Angebot'!$C8="OFFER_REFERRAL",'Sterne-Rechner - Angebot'!$C9="OFFER_REFERRAL"),'Sterne-Rechner - Angebot'!$C$44,
IF(AND('Sterne-Rechner - Angebot'!$C7="OFFER_READY_FOR_POLICY",'Sterne-Rechner - Angebot'!$C8="OFFER_READY_FOR_POLICY",'Sterne-Rechner - Angebot'!$C9="OFFER_READY_FOR_POLICY"),"",
IF(AND('Sterne-Rechner - Angebot'!$C7="OFFER_DECLINED",'Sterne-Rechner - Angebot'!$C8="OFFER_DECLINED",'Sterne-Rechner - Angebot'!$C9="OFFER_DECLINED"),"",
IF(AND('Sterne-Rechner - Angebot'!$C7="",'Sterne-Rechner - Angebot'!$C8="",'Sterne-Rechner - Angebot'!$C9=""),"","FEHLER!"))))</f>
        <v/>
      </c>
      <c r="G165" t="str">
        <f>IF(AND('Sterne-Rechner - Angebot'!$C7="OFFER_DECLINED",'Sterne-Rechner - Angebot'!$C8="OFFER_DECLINED",'Sterne-Rechner - Angebot'!$C9="OFFER_DECLINED"),'Sterne-Rechner - Angebot'!$C$44,
IF(AND('Sterne-Rechner - Angebot'!$C7="OFFER_READY_FOR_POLICY",'Sterne-Rechner - Angebot'!$C8="OFFER_READY_FOR_POLICY",'Sterne-Rechner - Angebot'!$C9="OFFER_READY_FOR_POLICY"),"",
IF(AND('Sterne-Rechner - Angebot'!$C7="OFFER_REFERRAL",'Sterne-Rechner - Angebot'!$C8="OFFER_REFERRAL",'Sterne-Rechner - Angebot'!$C9="OFFER_REFERRAL"),"",
IF(AND('Sterne-Rechner - Angebot'!$C7="",'Sterne-Rechner - Angebot'!$C8="",'Sterne-Rechner - Angebot'!$C9=""),"","FEHLER!"))))</f>
        <v/>
      </c>
      <c r="L165" t="str">
        <f>IF(AND('Sterne-Rechner - Angebot'!$C16="OFFER_REFERRAL",'Sterne-Rechner - Angebot'!$C17="OFFER_REFERRAL",'Sterne-Rechner - Angebot'!$C18="OFFER_REFERRAL"),'Sterne-Rechner - Angebot'!$C$44,
IF(AND('Sterne-Rechner - Angebot'!$C16="OFFER_READY_FOR_POLICY",'Sterne-Rechner - Angebot'!$C17="OFFER_READY_FOR_POLICY",'Sterne-Rechner - Angebot'!$C18="OFFER_READY_FOR_POLICY"),"",
IF(AND('Sterne-Rechner - Angebot'!$C16="OFFER_DECLINED",'Sterne-Rechner - Angebot'!$C17="OFFER_DECLINED",'Sterne-Rechner - Angebot'!$C18="OFFER_DECLINED"),"",
IF(AND('Sterne-Rechner - Angebot'!$C16="",'Sterne-Rechner - Angebot'!$C17="",'Sterne-Rechner - Angebot'!$C18=""),"","FEHLER!"))))</f>
        <v/>
      </c>
      <c r="M165" t="str">
        <f>IF(AND('Sterne-Rechner - Angebot'!$C16="OFFER_DECLINED",'Sterne-Rechner - Angebot'!$C17="OFFER_DECLINED",'Sterne-Rechner - Angebot'!$C18="OFFER_DECLINED"),'Sterne-Rechner - Angebot'!$C$44,
IF(AND('Sterne-Rechner - Angebot'!$C16="OFFER_READY_FOR_POLICY",'Sterne-Rechner - Angebot'!$C17="OFFER_READY_FOR_POLICY",'Sterne-Rechner - Angebot'!$C18="OFFER_READY_FOR_POLICY"),"",
IF(AND('Sterne-Rechner - Angebot'!$C16="OFFER_REFERRAL",'Sterne-Rechner - Angebot'!$C17="OFFER_REFERRAL",'Sterne-Rechner - Angebot'!$C18="OFFER_REFERRAL"),"",
IF(AND('Sterne-Rechner - Angebot'!$C16="",'Sterne-Rechner - Angebot'!$C17="",'Sterne-Rechner - Angebot'!$C18=""),"","FEHLER!"))))</f>
        <v/>
      </c>
      <c r="N165" t="str">
        <f>IF(AND('Sterne-Rechner - Angebot'!$C19="OFFER_REFERRAL",'Sterne-Rechner - Angebot'!$C20="OFFER_REFERRAL",'Sterne-Rechner - Angebot'!$C21="OFFER_REFERRAL"),'Sterne-Rechner - Angebot'!$C$44,
IF(AND('Sterne-Rechner - Angebot'!$C19="OFFER_READY_FOR_POLICY",'Sterne-Rechner - Angebot'!$C20="OFFER_READY_FOR_POLICY",'Sterne-Rechner - Angebot'!$C21="OFFER_READY_FOR_POLICY"),"",
IF(AND('Sterne-Rechner - Angebot'!$C19="OFFER_DECLINED",'Sterne-Rechner - Angebot'!$C20="OFFER_DECLINED",'Sterne-Rechner - Angebot'!$C21="OFFER_DECLINED"),"",
IF(AND('Sterne-Rechner - Angebot'!$C19="",'Sterne-Rechner - Angebot'!$C20="",'Sterne-Rechner - Angebot'!$C21=""),"","FEHLER!"))))</f>
        <v/>
      </c>
      <c r="O165" t="str">
        <f>IF(AND('Sterne-Rechner - Angebot'!$C19="OFFER_DECLINED",'Sterne-Rechner - Angebot'!$C20="OFFER_DECLINED",'Sterne-Rechner - Angebot'!$C21="OFFER_DECLINED"),'Sterne-Rechner - Angebot'!$C$44,
IF(AND('Sterne-Rechner - Angebot'!$C19="OFFER_READY_FOR_POLICY",'Sterne-Rechner - Angebot'!$C20="OFFER_READY_FOR_POLICY",'Sterne-Rechner - Angebot'!$C21="OFFER_READY_FOR_POLICY"),"",
IF(AND('Sterne-Rechner - Angebot'!$C19="OFFER_REFERRAL",'Sterne-Rechner - Angebot'!$C20="OFFER_REFERRAL",'Sterne-Rechner - Angebot'!$C21="OFFER_REFERRAL"),"",
IF(AND('Sterne-Rechner - Angebot'!$C19="",'Sterne-Rechner - Angebot'!$C20="",'Sterne-Rechner - Angebot'!$C21=""),"","FEHLER!"))))</f>
        <v/>
      </c>
      <c r="P165" t="str">
        <f>IF(AND('Sterne-Rechner - Angebot'!$C22="OFFER_REFERRAL",'Sterne-Rechner - Angebot'!$C23="OFFER_REFERRAL",'Sterne-Rechner - Angebot'!$C24="OFFER_REFERRAL"),'Sterne-Rechner - Angebot'!$C$44,
IF(AND('Sterne-Rechner - Angebot'!$C22="OFFER_READY_FOR_POLICY",'Sterne-Rechner - Angebot'!$C23="OFFER_READY_FOR_POLICY",'Sterne-Rechner - Angebot'!$C24="OFFER_READY_FOR_POLICY"),"",
IF(AND('Sterne-Rechner - Angebot'!$C22="OFFER_DECLINED",'Sterne-Rechner - Angebot'!$C23="OFFER_DECLINED",'Sterne-Rechner - Angebot'!$C24="OFFER_DECLINED"),"",
IF(AND('Sterne-Rechner - Angebot'!$C22="",'Sterne-Rechner - Angebot'!$C23="",'Sterne-Rechner - Angebot'!$C24=""),"","FEHLER!"))))</f>
        <v/>
      </c>
      <c r="Q165" t="str">
        <f>IF(AND('Sterne-Rechner - Angebot'!$C22="OFFER_DECLINED",'Sterne-Rechner - Angebot'!$C23="OFFER_DECLINED",'Sterne-Rechner - Angebot'!$C24="OFFER_DECLINED"),'Sterne-Rechner - Angebot'!$C$44,
IF(AND('Sterne-Rechner - Angebot'!$C22="OFFER_READY_FOR_POLICY",'Sterne-Rechner - Angebot'!$C23="OFFER_READY_FOR_POLICY",'Sterne-Rechner - Angebot'!$C24="OFFER_READY_FOR_POLICY"),"",
IF(AND('Sterne-Rechner - Angebot'!$C22="OFFER_REFERRAL",'Sterne-Rechner - Angebot'!$C23="OFFER_REFERRAL",'Sterne-Rechner - Angebot'!$C24="OFFER_REFERRAL"),"",
IF(AND('Sterne-Rechner - Angebot'!$C22="",'Sterne-Rechner - Angebot'!$C23="",'Sterne-Rechner - Angebot'!$C24=""),"","FEHLER!"))))</f>
        <v/>
      </c>
      <c r="R165" t="str">
        <f>IF(AND('Sterne-Rechner - Angebot'!$C25="OFFER_REFERRAL",'Sterne-Rechner - Angebot'!$C26="OFFER_REFERRAL",'Sterne-Rechner - Angebot'!$C27="OFFER_REFERRAL"),'Sterne-Rechner - Angebot'!$C$44,
IF(AND('Sterne-Rechner - Angebot'!$C25="OFFER_READY_FOR_POLICY",'Sterne-Rechner - Angebot'!$C26="OFFER_READY_FOR_POLICY",'Sterne-Rechner - Angebot'!$C27="OFFER_READY_FOR_POLICY"),"",
IF(AND('Sterne-Rechner - Angebot'!$C25="OFFER_DECLINED",'Sterne-Rechner - Angebot'!$C26="OFFER_DECLINED",'Sterne-Rechner - Angebot'!$C27="OFFER_DECLINED"),"",
IF(AND('Sterne-Rechner - Angebot'!$C25="",'Sterne-Rechner - Angebot'!$C26="",'Sterne-Rechner - Angebot'!$C27=""),"","FEHLER!"))))</f>
        <v/>
      </c>
      <c r="S165" t="str">
        <f>IF(AND('Sterne-Rechner - Angebot'!$C25="OFFER_DECLINED",'Sterne-Rechner - Angebot'!$C26="OFFER_DECLINED",'Sterne-Rechner - Angebot'!$C27="OFFER_DECLINED"),'Sterne-Rechner - Angebot'!$C$44,
IF(AND('Sterne-Rechner - Angebot'!$C25="OFFER_READY_FOR_POLICY",'Sterne-Rechner - Angebot'!$C26="OFFER_READY_FOR_POLICY",'Sterne-Rechner - Angebot'!$C27="OFFER_READY_FOR_POLICY"),"",
IF(AND('Sterne-Rechner - Angebot'!$C25="OFFER_REFERRAL",'Sterne-Rechner - Angebot'!$C26="OFFER_REFERRAL",'Sterne-Rechner - Angebot'!$C27="OFFER_REFERRAL"),"",
IF(AND('Sterne-Rechner - Angebot'!$C25="",'Sterne-Rechner - Angebot'!$C26="",'Sterne-Rechner - Angebot'!$C27=""),"","FEHLER!"))))</f>
        <v/>
      </c>
      <c r="T165" t="str">
        <f>IF(AND('Sterne-Rechner - Angebot'!$C28="OFFER_REFERRAL",'Sterne-Rechner - Angebot'!$C29="OFFER_REFERRAL",'Sterne-Rechner - Angebot'!$C30="OFFER_REFERRAL"),'Sterne-Rechner - Angebot'!$C$44,
IF(AND('Sterne-Rechner - Angebot'!$C28="OFFER_READY_FOR_POLICY",'Sterne-Rechner - Angebot'!$C29="OFFER_READY_FOR_POLICY",'Sterne-Rechner - Angebot'!$C30="OFFER_READY_FOR_POLICY"),"",
IF(AND('Sterne-Rechner - Angebot'!$C28="OFFER_DECLINED",'Sterne-Rechner - Angebot'!$C29="OFFER_DECLINED",'Sterne-Rechner - Angebot'!$C30="OFFER_DECLINED"),"",
IF(AND('Sterne-Rechner - Angebot'!$C28="",'Sterne-Rechner - Angebot'!$C29="",'Sterne-Rechner - Angebot'!$C30=""),"","FEHLER!"))))</f>
        <v/>
      </c>
      <c r="U165" t="str">
        <f>IF(AND('Sterne-Rechner - Angebot'!$C28="OFFER_DECLINED",'Sterne-Rechner - Angebot'!$C29="OFFER_DECLINED",'Sterne-Rechner - Angebot'!$C30="OFFER_DECLINED"),'Sterne-Rechner - Angebot'!$C$44,
IF(AND('Sterne-Rechner - Angebot'!$C28="OFFER_READY_FOR_POLICY",'Sterne-Rechner - Angebot'!$C29="OFFER_READY_FOR_POLICY",'Sterne-Rechner - Angebot'!$C30="OFFER_READY_FOR_POLICY"),"",
IF(AND('Sterne-Rechner - Angebot'!$C28="OFFER_REFERRAL",'Sterne-Rechner - Angebot'!$C29="OFFER_REFERRAL",'Sterne-Rechner - Angebot'!$C30="OFFER_REFERRAL"),"",
IF(AND('Sterne-Rechner - Angebot'!$C28="",'Sterne-Rechner - Angebot'!$C29="",'Sterne-Rechner - Angebot'!$C30=""),"","FEHLER!"))))</f>
        <v/>
      </c>
      <c r="V165" t="str">
        <f>IF(AND('Sterne-Rechner - Angebot'!$C31="OFFER_REFERRAL",'Sterne-Rechner - Angebot'!$C32="OFFER_REFERRAL",'Sterne-Rechner - Angebot'!$C33="OFFER_REFERRAL"),'Sterne-Rechner - Angebot'!$C$44,
IF(AND('Sterne-Rechner - Angebot'!$C31="OFFER_READY_FOR_POLICY",'Sterne-Rechner - Angebot'!$C32="OFFER_READY_FOR_POLICY",'Sterne-Rechner - Angebot'!$C33="OFFER_READY_FOR_POLICY"),"",
IF(AND('Sterne-Rechner - Angebot'!$C31="OFFER_DECLINED",'Sterne-Rechner - Angebot'!$C32="OFFER_DECLINED",'Sterne-Rechner - Angebot'!$C33="OFFER_DECLINED"),"",
IF(AND('Sterne-Rechner - Angebot'!$C31="",'Sterne-Rechner - Angebot'!$C32="",'Sterne-Rechner - Angebot'!$C33=""),"","FEHLER!"))))</f>
        <v/>
      </c>
      <c r="W165" t="str">
        <f>IF(AND('Sterne-Rechner - Angebot'!$C31="OFFER_DECLINED",'Sterne-Rechner - Angebot'!$C32="OFFER_DECLINED",'Sterne-Rechner - Angebot'!$C33="OFFER_DECLINED"),'Sterne-Rechner - Angebot'!$C$44,
IF(AND('Sterne-Rechner - Angebot'!$C31="OFFER_READY_FOR_POLICY",'Sterne-Rechner - Angebot'!$C32="OFFER_READY_FOR_POLICY",'Sterne-Rechner - Angebot'!$C33="OFFER_READY_FOR_POLICY"),"",
IF(AND('Sterne-Rechner - Angebot'!$C31="OFFER_REFERRAL",'Sterne-Rechner - Angebot'!$C32="OFFER_REFERRAL",'Sterne-Rechner - Angebot'!$C33="OFFER_REFERRAL"),"",
IF(AND('Sterne-Rechner - Angebot'!$C31="",'Sterne-Rechner - Angebot'!$C32="",'Sterne-Rechner - Angebot'!$C33=""),"","FEHLER!"))))</f>
        <v/>
      </c>
    </row>
    <row r="166" spans="1:23" ht="20.25" customHeight="1">
      <c r="A166" s="168" t="s">
        <v>3101</v>
      </c>
      <c r="D166" s="170" t="str">
        <f>IF(Deckungssumme1&gt;0,IF('Sterne-Rechner - Angebot'!$E4="OFFER_REFERRAL","Deckungssumme 1",""),"")</f>
        <v/>
      </c>
      <c r="E166" t="str">
        <f>IF(Deckungssumme1&gt;0,IF('Sterne-Rechner - Angebot'!$E4="OFFER_DECLINED","Deckungssumme 1",""),"")</f>
        <v/>
      </c>
      <c r="F166" s="170" t="str">
        <f>IF(Deckungssumme1&gt;0,IF('Sterne-Rechner - Angebot'!$E7="OFFER_REFERRAL","Deckungssumme 1",""),"")</f>
        <v/>
      </c>
      <c r="G166" t="str">
        <f>IF(Deckungssumme1&gt;0,IF('Sterne-Rechner - Angebot'!$E7="OFFER_DECLINED","Deckungssumme 1",""),"")</f>
        <v/>
      </c>
      <c r="H166" s="170"/>
      <c r="J166" s="170"/>
      <c r="L166" s="170" t="str">
        <f>IF(Deckungssumme1&gt;0,IF('Sterne-Rechner - Angebot'!$E16="OFFER_REFERRAL","Deckungssumme 1",""),"")</f>
        <v/>
      </c>
      <c r="M166" t="str">
        <f>IF(Deckungssumme1&gt;0,IF('Sterne-Rechner - Angebot'!$E16="OFFER_DECLINED","Deckungssumme 1",""),"")</f>
        <v/>
      </c>
      <c r="N166" s="170" t="str">
        <f>IF(Deckungssumme1&gt;0,IF('Sterne-Rechner - Angebot'!$E19="OFFER_REFERRAL","Deckungssumme 1",""),"")</f>
        <v/>
      </c>
      <c r="O166" t="str">
        <f>IF(Deckungssumme1&gt;0,IF('Sterne-Rechner - Angebot'!$E19="OFFER_DECLINED","Deckungssumme 1",""),"")</f>
        <v/>
      </c>
      <c r="P166" s="170" t="str">
        <f>IF(Deckungssumme1&gt;0,IF('Sterne-Rechner - Angebot'!$E22="OFFER_REFERRAL","Deckungssumme 1",""),"")</f>
        <v/>
      </c>
      <c r="Q166" t="str">
        <f>IF(Deckungssumme1&gt;0,IF('Sterne-Rechner - Angebot'!$E22="OFFER_DECLINED","Deckungssumme 1",""),"")</f>
        <v/>
      </c>
      <c r="R166" s="170" t="str">
        <f>IF(Deckungssumme1&gt;0,IF('Sterne-Rechner - Angebot'!$E25="OFFER_REFERRAL","Deckungssumme 1",""),"")</f>
        <v/>
      </c>
      <c r="S166" t="str">
        <f>IF(Deckungssumme1&gt;0,IF('Sterne-Rechner - Angebot'!$E25="OFFER_DECLINED","Deckungssumme 1",""),"")</f>
        <v/>
      </c>
      <c r="T166" t="str">
        <f>IF(Deckungssumme1&gt;0,IF('Sterne-Rechner - Angebot'!$E28="OFFER_REFERRAL","Deckungssumme 1",""),"")</f>
        <v/>
      </c>
      <c r="U166" t="str">
        <f>IF(Deckungssumme1&gt;0,IF('Sterne-Rechner - Angebot'!$E28="OFFER_DECLINED","Deckungssumme 1",""),"")</f>
        <v/>
      </c>
      <c r="V166" t="str">
        <f>IF(Deckungssumme1&gt;0,IF('Sterne-Rechner - Angebot'!$E31="OFFER_REFERRAL","Deckungssumme 1",""),"")</f>
        <v/>
      </c>
      <c r="W166" t="str">
        <f>IF(Deckungssumme1&gt;0,IF('Sterne-Rechner - Angebot'!$E31="OFFER_DECLINED","Deckungssumme 1",""),"")</f>
        <v/>
      </c>
    </row>
    <row r="167" spans="1:23" ht="20.25" customHeight="1">
      <c r="A167" s="168" t="s">
        <v>3102</v>
      </c>
      <c r="D167" s="170" t="str">
        <f>IF(Deckungssumme2&gt;0,IF('Sterne-Rechner - Angebot'!$E5="OFFER_REFERRAL","Deckungssumme 2",""),"")</f>
        <v/>
      </c>
      <c r="E167" t="str">
        <f>IF(Deckungssumme2&gt;0,IF('Sterne-Rechner - Angebot'!$E5="OFFER_DECLINED","Deckungssumme 2",""),"")</f>
        <v/>
      </c>
      <c r="F167" s="170" t="str">
        <f>IF(Deckungssumme2&gt;0,IF('Sterne-Rechner - Angebot'!$E8="OFFER_REFERRAL","Deckungssumme 2",""),"")</f>
        <v/>
      </c>
      <c r="G167" t="str">
        <f>IF(Deckungssumme2&gt;0,IF('Sterne-Rechner - Angebot'!$E8="OFFER_DECLINED","Deckungssumme 2",""),"")</f>
        <v/>
      </c>
      <c r="H167" s="170"/>
      <c r="J167" s="170"/>
      <c r="L167" s="170" t="str">
        <f>IF(Deckungssumme2&gt;0,IF('Sterne-Rechner - Angebot'!$E17="OFFER_REFERRAL","Deckungssumme 2",""),"")</f>
        <v/>
      </c>
      <c r="M167" t="str">
        <f>IF(Deckungssumme2&gt;0,IF('Sterne-Rechner - Angebot'!$E17="OFFER_DECLINED","Deckungssumme 2",""),"")</f>
        <v/>
      </c>
      <c r="N167" s="170" t="str">
        <f>IF(Deckungssumme2&gt;0,IF('Sterne-Rechner - Angebot'!$E20="OFFER_REFERRAL","Deckungssumme 2",""),"")</f>
        <v/>
      </c>
      <c r="O167" t="str">
        <f>IF(Deckungssumme2&gt;0,IF('Sterne-Rechner - Angebot'!$E20="OFFER_DECLINED","Deckungssumme 2",""),"")</f>
        <v/>
      </c>
      <c r="P167" s="170" t="str">
        <f>IF(Deckungssumme2&gt;0,IF('Sterne-Rechner - Angebot'!$E23="OFFER_REFERRAL","Deckungssumme 2",""),"")</f>
        <v/>
      </c>
      <c r="Q167" t="str">
        <f>IF(Deckungssumme2&gt;0,IF('Sterne-Rechner - Angebot'!$E23="OFFER_DECLINED","Deckungssumme 2",""),"")</f>
        <v/>
      </c>
      <c r="R167" s="170" t="str">
        <f>IF(Deckungssumme2&gt;0,IF('Sterne-Rechner - Angebot'!$E26="OFFER_REFERRAL","Deckungssumme 2",""),"")</f>
        <v/>
      </c>
      <c r="S167" t="str">
        <f>IF(Deckungssumme2&gt;0,IF('Sterne-Rechner - Angebot'!$E26="OFFER_DECLINED","Deckungssumme 2",""),"")</f>
        <v/>
      </c>
      <c r="T167" t="str">
        <f>IF(Deckungssumme2&gt;0,IF('Sterne-Rechner - Angebot'!$E29="OFFER_REFERRAL","Deckungssumme 2",""),"")</f>
        <v/>
      </c>
      <c r="U167" t="str">
        <f>IF(Deckungssumme2&gt;0,IF('Sterne-Rechner - Angebot'!$E29="OFFER_DECLINED","Deckungssumme 2",""),"")</f>
        <v/>
      </c>
      <c r="V167" t="str">
        <f>IF(Deckungssumme2&gt;0,IF('Sterne-Rechner - Angebot'!$E32="OFFER_REFERRAL","Deckungssumme 2",""),"")</f>
        <v/>
      </c>
      <c r="W167" t="str">
        <f>IF(Deckungssumme2&gt;0,IF('Sterne-Rechner - Angebot'!$E32="OFFER_DECLINED","Deckungssumme 2",""),"")</f>
        <v/>
      </c>
    </row>
    <row r="168" spans="1:23" ht="20.25" customHeight="1">
      <c r="A168" s="168" t="s">
        <v>3103</v>
      </c>
      <c r="D168" s="170" t="str">
        <f>IF(Deckungssumme3&gt;0,IF('Sterne-Rechner - Angebot'!$E6="OFFER_REFERRAL","Deckungssumme 3",""),"")</f>
        <v/>
      </c>
      <c r="E168" t="str">
        <f>IF(Deckungssumme3&gt;0,IF('Sterne-Rechner - Angebot'!$E6="OFFER_DECLINED","Deckungssumme 3",""),"")</f>
        <v/>
      </c>
      <c r="F168" s="170" t="str">
        <f>IF(Deckungssumme3&gt;0,IF('Sterne-Rechner - Angebot'!$E9="OFFER_REFERRAL","Deckungssumme 3",""),"")</f>
        <v/>
      </c>
      <c r="G168" t="str">
        <f>IF(Deckungssumme3&gt;0,IF('Sterne-Rechner - Angebot'!$E9="OFFER_DECLINED","Deckungssumme 3",""),"")</f>
        <v/>
      </c>
      <c r="H168" s="170"/>
      <c r="J168" s="170"/>
      <c r="L168" s="170" t="str">
        <f>IF(Deckungssumme3&gt;0,IF('Sterne-Rechner - Angebot'!$E18="OFFER_REFERRAL","Deckungssumme 3",""),"")</f>
        <v/>
      </c>
      <c r="M168" t="str">
        <f>IF(Deckungssumme3&gt;0,IF('Sterne-Rechner - Angebot'!$E18="OFFER_DECLINED","Deckungssumme 3",""),"")</f>
        <v/>
      </c>
      <c r="N168" s="170" t="str">
        <f>IF(Deckungssumme3&gt;0,IF('Sterne-Rechner - Angebot'!$E21="OFFER_REFERRAL","Deckungssumme 3",""),"")</f>
        <v/>
      </c>
      <c r="O168" t="str">
        <f>IF(Deckungssumme3&gt;0,IF('Sterne-Rechner - Angebot'!$E21="OFFER_DECLINED","Deckungssumme 3",""),"")</f>
        <v/>
      </c>
      <c r="P168" s="170" t="str">
        <f>IF(Deckungssumme3&gt;0,IF('Sterne-Rechner - Angebot'!$E24="OFFER_REFERRAL","Deckungssumme 3",""),"")</f>
        <v/>
      </c>
      <c r="Q168" t="str">
        <f>IF(Deckungssumme3&gt;0,IF('Sterne-Rechner - Angebot'!$E24="OFFER_DECLINED","Deckungssumme 3",""),"")</f>
        <v/>
      </c>
      <c r="R168" s="170" t="str">
        <f>IF(Deckungssumme3&gt;0,IF('Sterne-Rechner - Angebot'!$E27="OFFER_REFERRAL","Deckungssumme 3",""),"")</f>
        <v/>
      </c>
      <c r="S168" t="str">
        <f>IF(Deckungssumme3&gt;0,IF('Sterne-Rechner - Angebot'!$E27="OFFER_DECLINED","Deckungssumme 3",""),"")</f>
        <v/>
      </c>
      <c r="T168" t="str">
        <f>IF(Deckungssumme3&gt;0,IF('Sterne-Rechner - Angebot'!$E30="OFFER_REFERRAL","Deckungssumme 3",""),"")</f>
        <v/>
      </c>
      <c r="U168" t="str">
        <f>IF(Deckungssumme3&gt;0,IF('Sterne-Rechner - Angebot'!$E30="OFFER_DECLINED",'Sterne-Rechner - Angebot'!$E$44,""),"")</f>
        <v/>
      </c>
      <c r="V168" t="str">
        <f>IF(Deckungssumme3&gt;0,IF('Sterne-Rechner - Angebot'!$E33="OFFER_REFERRAL","Deckungssumme 3",""),"")</f>
        <v/>
      </c>
      <c r="W168" t="str">
        <f>IF(Deckungssumme3&gt;0,IF('Sterne-Rechner - Angebot'!$E33="OFFER_DECLINED","Deckungssumme 3",""),"")</f>
        <v/>
      </c>
    </row>
    <row r="169" spans="1:23" ht="20.25" customHeight="1">
      <c r="A169" s="168" t="s">
        <v>3104</v>
      </c>
      <c r="D169" s="170" t="str">
        <f>IF(Deckungssumme1&gt;0,IF('Sterne-Rechner - Angebot'!$F4="OFFER_REFERRAL","Deckungssumme 1 größer als Umsatz bzw. Vereinsvermögen",""),"")</f>
        <v/>
      </c>
      <c r="E169" t="str">
        <f>IF(Deckungssumme1&gt;0,IF('Sterne-Rechner - Angebot'!$F4="OFFER_DECLINED","Deckungssumme 1 größer als Umsatz bzw. Vereinsvermögen",""),"")</f>
        <v/>
      </c>
      <c r="F169" s="170" t="str">
        <f>IF(Deckungssumme1&gt;0,IF('Sterne-Rechner - Angebot'!$F7="OFFER_REFERRAL","Deckungssumme 1 größer als Umsatz bzw. Vereinsvermögen",""),"")</f>
        <v/>
      </c>
      <c r="G169" t="str">
        <f>IF(Deckungssumme1&gt;0,IF('Sterne-Rechner - Angebot'!$F7="OFFER_DECLINED","Deckungssumme 1 größer als Umsatz bzw. Vereinsvermögen",""),"")</f>
        <v/>
      </c>
      <c r="H169" s="170"/>
      <c r="J169" s="170"/>
      <c r="L169" s="170" t="str">
        <f>IF(Deckungssumme1&gt;0,IF('Sterne-Rechner - Angebot'!$F16="OFFER_REFERRAL","Deckungssumme 1 größer als Umsatz bzw. Vereinsvermögen",""),"")</f>
        <v/>
      </c>
      <c r="M169" t="str">
        <f>IF(Deckungssumme1&gt;0,IF('Sterne-Rechner - Angebot'!$F16="OFFER_DECLINED","Deckungssumme 1 größer als Umsatz bzw. Vereinsvermögen",""),"")</f>
        <v/>
      </c>
      <c r="N169" s="170" t="str">
        <f>IF(Deckungssumme1&gt;0,IF('Sterne-Rechner - Angebot'!$F19="OFFER_REFERRAL","Deckungssumme 1 größer als Umsatz bzw. Vereinsvermögen",""),"")</f>
        <v/>
      </c>
      <c r="O169" t="str">
        <f>IF(Deckungssumme1&gt;0,IF('Sterne-Rechner - Angebot'!$F19="OFFER_DECLINED","Deckungssumme 1 größer als Umsatz bzw. Vereinsvermögen",""),"")</f>
        <v/>
      </c>
      <c r="P169" s="170" t="str">
        <f>IF(Deckungssumme1&gt;0,IF('Sterne-Rechner - Angebot'!$F22="OFFER_REFERRAL","Deckungssumme 1 größer als Umsatz bzw. Vereinsvermögen",""),"")</f>
        <v/>
      </c>
      <c r="Q169" t="str">
        <f>IF(Deckungssumme1&gt;0,IF('Sterne-Rechner - Angebot'!$F22="OFFER_DECLINED","Deckungssumme 1 größer als Umsatz bzw. Vereinsvermögen",""),"")</f>
        <v/>
      </c>
      <c r="R169" s="170" t="str">
        <f>IF(Deckungssumme1&gt;0,IF('Sterne-Rechner - Angebot'!$F25="OFFER_REFERRAL","Deckungssumme 1 größer als Umsatz bzw. Vereinsvermögen",""),"")</f>
        <v/>
      </c>
      <c r="S169" t="str">
        <f>IF(Deckungssumme1&gt;0,IF('Sterne-Rechner - Angebot'!$F25="OFFER_DECLINED","Deckungssumme 1 größer als Umsatz bzw. Vereinsvermögen",""),"")</f>
        <v/>
      </c>
      <c r="T169" t="str">
        <f>IF(Deckungssumme1&gt;0,IF('Sterne-Rechner - Angebot'!$F28="OFFER_REFERRAL","Deckungssumme 1 größer als Umsatz bzw. Vereinsvermögen",""),"")</f>
        <v/>
      </c>
      <c r="U169" t="str">
        <f>IF(Deckungssumme1&gt;0,IF('Sterne-Rechner - Angebot'!$F28="OFFER_DECLINED","Deckungssumme 1 größer als Umsatz bzw. Vereinsvermögen",""),"")</f>
        <v/>
      </c>
      <c r="V169" t="str">
        <f>IF(Deckungssumme1&gt;0,IF('Sterne-Rechner - Angebot'!$F31="OFFER_REFERRAL","Deckungssumme 1 größer als Umsatz bzw. Vereinsvermögen",""),"")</f>
        <v/>
      </c>
      <c r="W169" t="str">
        <f>IF(Deckungssumme1&gt;0,IF('Sterne-Rechner - Angebot'!$F31="OFFER_DECLINED","Deckungssumme 1 größer als Umsatz bzw. Vereinsvermögen",""),"")</f>
        <v/>
      </c>
    </row>
    <row r="170" spans="1:23" ht="20.25" customHeight="1">
      <c r="A170" s="168" t="s">
        <v>3105</v>
      </c>
      <c r="D170" s="170" t="str">
        <f>IF(Deckungssumme2&gt;0,IF('Sterne-Rechner - Angebot'!$F5="OFFER_REFERRAL","Deckungssumme 2 größer als Umsatz bzw. Vereinsvermögen",""),"")</f>
        <v/>
      </c>
      <c r="E170" t="str">
        <f>IF(Deckungssumme2&gt;0,IF('Sterne-Rechner - Angebot'!$F5="OFFER_DECLINED","Deckungssumme 2 größer als Umsatz bzw. Vereinsvermögen",""),"")</f>
        <v/>
      </c>
      <c r="F170" s="170" t="str">
        <f>IF(Deckungssumme2&gt;0,IF('Sterne-Rechner - Angebot'!$F8="OFFER_REFERRAL","Deckungssumme 2 größer als Umsatz bzw. Vereinsvermögen",""),"")</f>
        <v/>
      </c>
      <c r="G170" t="str">
        <f>IF(Deckungssumme2&gt;0,IF('Sterne-Rechner - Angebot'!$F8="OFFER_DECLINED","Deckungssumme 2 größer als Umsatz bzw. Vereinsvermögen",""),"")</f>
        <v/>
      </c>
      <c r="H170" s="170"/>
      <c r="J170" s="170"/>
      <c r="L170" s="170" t="str">
        <f>IF(Deckungssumme2&gt;0,IF('Sterne-Rechner - Angebot'!$F17="OFFER_REFERRAL","Deckungssumme 2 größer als Umsatz bzw. Vereinsvermögen",""),"")</f>
        <v/>
      </c>
      <c r="M170" t="str">
        <f>IF(Deckungssumme2&gt;0,IF('Sterne-Rechner - Angebot'!$F17="OFFER_DECLINED","Deckungssumme 2 größer als Umsatz bzw. Vereinsvermögen",""),"")</f>
        <v/>
      </c>
      <c r="N170" s="170" t="str">
        <f>IF(Deckungssumme2&gt;0,IF('Sterne-Rechner - Angebot'!$F20="OFFER_REFERRAL","Deckungssumme 2 größer als Umsatz bzw. Vereinsvermögen",""),"")</f>
        <v/>
      </c>
      <c r="O170" t="str">
        <f>IF(Deckungssumme2&gt;0,IF('Sterne-Rechner - Angebot'!$F20="OFFER_DECLINED","Deckungssumme 2 größer als Umsatz bzw. Vereinsvermögen",""),"")</f>
        <v/>
      </c>
      <c r="P170" s="170" t="str">
        <f>IF(Deckungssumme2&gt;0,IF('Sterne-Rechner - Angebot'!$F23="OFFER_REFERRAL","Deckungssumme 2 größer als Umsatz bzw. Vereinsvermögen",""),"")</f>
        <v/>
      </c>
      <c r="Q170" t="str">
        <f>IF(Deckungssumme2&gt;0,IF('Sterne-Rechner - Angebot'!$F23="OFFER_DECLINED","Deckungssumme 2 größer als Umsatz bzw. Vereinsvermögen",""),"")</f>
        <v/>
      </c>
      <c r="R170" s="170" t="str">
        <f>IF(Deckungssumme2&gt;0,IF('Sterne-Rechner - Angebot'!$F26="OFFER_REFERRAL","Deckungssumme 2 größer als Umsatz bzw. Vereinsvermögen",""),"")</f>
        <v/>
      </c>
      <c r="S170" t="str">
        <f>IF(Deckungssumme2&gt;0,IF('Sterne-Rechner - Angebot'!$F26="OFFER_DECLINED","Deckungssumme 2 größer als Umsatz bzw. Vereinsvermögen",""),"")</f>
        <v/>
      </c>
      <c r="T170" t="str">
        <f>IF(Deckungssumme2&gt;0,IF('Sterne-Rechner - Angebot'!$F29="OFFER_REFERRAL","Deckungssumme 2 größer als Umsatz bzw. Vereinsvermögen",""),"")</f>
        <v/>
      </c>
      <c r="U170" t="str">
        <f>IF(Deckungssumme2&gt;0,IF('Sterne-Rechner - Angebot'!$F29="OFFER_DECLINED","Deckungssumme 2 größer als Umsatz bzw. Vereinsvermögen",""),"")</f>
        <v/>
      </c>
      <c r="V170" t="str">
        <f>IF(Deckungssumme2&gt;0,IF('Sterne-Rechner - Angebot'!$F32="OFFER_REFERRAL","Deckungssumme 2 größer als Umsatz bzw. Vereinsvermögen",""),"")</f>
        <v/>
      </c>
      <c r="W170" t="str">
        <f>IF(Deckungssumme2&gt;0,IF('Sterne-Rechner - Angebot'!$F32="OFFER_DECLINED","Deckungssumme 2 größer als Umsatz bzw. Vereinsvermögen",""),"")</f>
        <v/>
      </c>
    </row>
    <row r="171" spans="1:23" ht="20.25" customHeight="1">
      <c r="A171" s="168" t="s">
        <v>3106</v>
      </c>
      <c r="D171" s="170" t="str">
        <f>IF(Deckungssumme3&gt;0,IF('Sterne-Rechner - Angebot'!$F6="OFFER_REFERRAL","Deckungssumme 3 größer als Umsatz bzw. Vereinsvermögen",""),"")</f>
        <v/>
      </c>
      <c r="E171" t="str">
        <f>IF(Deckungssumme3&gt;0,IF('Sterne-Rechner - Angebot'!$F6="OFFER_DECLINED","Deckungssumme 3 größer als Umsatz bzw. Vereinsvermögen",""),"")</f>
        <v/>
      </c>
      <c r="F171" s="170" t="str">
        <f>IF(Deckungssumme3&gt;0,IF('Sterne-Rechner - Angebot'!$F9="OFFER_REFERRAL","Deckungssumme 3 größer als Umsatz bzw. Vereinsvermögen",""),"")</f>
        <v/>
      </c>
      <c r="G171" t="str">
        <f>IF(Deckungssumme3&gt;0,IF('Sterne-Rechner - Angebot'!$F9="OFFER_DECLINED","Deckungssumme 3 größer als Umsatz bzw. Vereinsvermögen",""),"")</f>
        <v/>
      </c>
      <c r="H171" s="170"/>
      <c r="J171" s="170"/>
      <c r="L171" s="170" t="str">
        <f>IF(Deckungssumme3&gt;0,IF('Sterne-Rechner - Angebot'!$F18="OFFER_REFERRAL","Deckungssumme 3 größer als Umsatz bzw. Vereinsvermögen",""),"")</f>
        <v/>
      </c>
      <c r="M171" t="str">
        <f>IF(Deckungssumme3&gt;0,IF('Sterne-Rechner - Angebot'!$F18="OFFER_DECLINED","Deckungssumme 3 größer als Umsatz bzw. Vereinsvermögen",""),"")</f>
        <v/>
      </c>
      <c r="N171" s="170" t="str">
        <f>IF(Deckungssumme3&gt;0,IF('Sterne-Rechner - Angebot'!$F21="OFFER_REFERRAL","Deckungssumme 3 größer als Umsatz bzw. Vereinsvermögen",""),"")</f>
        <v/>
      </c>
      <c r="O171" t="str">
        <f>IF(Deckungssumme3&gt;0,IF('Sterne-Rechner - Angebot'!$F21="OFFER_DECLINED","Deckungssumme 3 größer als Umsatz bzw. Vereinsvermögen",""),"")</f>
        <v/>
      </c>
      <c r="P171" s="170" t="str">
        <f>IF(Deckungssumme3&gt;0,IF('Sterne-Rechner - Angebot'!$F24="OFFER_REFERRAL","Deckungssumme 3 größer als Umsatz bzw. Vereinsvermögen",""),"")</f>
        <v/>
      </c>
      <c r="Q171" t="str">
        <f>IF(Deckungssumme3&gt;0,IF('Sterne-Rechner - Angebot'!$F24="OFFER_DECLINED","Deckungssumme 3 größer als Umsatz bzw. Vereinsvermögen",""),"")</f>
        <v/>
      </c>
      <c r="R171" s="170" t="str">
        <f>IF(Deckungssumme3&gt;0,IF('Sterne-Rechner - Angebot'!$F27="OFFER_REFERRAL","Deckungssumme 3 größer als Umsatz bzw. Vereinsvermögen",""),"")</f>
        <v/>
      </c>
      <c r="S171" t="str">
        <f>IF(Deckungssumme3&gt;0,IF('Sterne-Rechner - Angebot'!$F27="OFFER_DECLINED","Deckungssumme 3 größer als Umsatz bzw. Vereinsvermögen",""),"")</f>
        <v/>
      </c>
      <c r="T171" t="str">
        <f>IF(Deckungssumme3&gt;0,IF('Sterne-Rechner - Angebot'!$F30="OFFER_REFERRAL","Deckungssumme 3 größer als Umsatz bzw. Vereinsvermögen",""),"")</f>
        <v/>
      </c>
      <c r="U171" t="str">
        <f>IF(Deckungssumme3&gt;0,IF('Sterne-Rechner - Angebot'!$F30="OFFER_DECLINED","Deckungssumme 3 größer als Umsatz bzw. Vereinsvermögen",""),"")</f>
        <v/>
      </c>
      <c r="V171" t="str">
        <f>IF(Deckungssumme3&gt;0,IF('Sterne-Rechner - Angebot'!$F33="OFFER_REFERRAL","Deckungssumme 3 größer als Umsatz bzw. Vereinsvermögen",""),"")</f>
        <v/>
      </c>
      <c r="W171" t="str">
        <f>IF(Deckungssumme3&gt;0,IF('Sterne-Rechner - Angebot'!$F33="OFFER_DECLINED","Deckungssumme 3 größer als Umsatz bzw. Vereinsvermögen",""),"")</f>
        <v/>
      </c>
    </row>
    <row r="172" spans="1:23" ht="20.25" customHeight="1">
      <c r="A172" s="847" t="s">
        <v>3808</v>
      </c>
      <c r="D172" s="170" t="str">
        <f>IF(AND('Sterne-Rechner - Angebot'!$G4="OFFER_REFERRAL",'Sterne-Rechner - Angebot'!$G5="OFFER_REFERRAL",'Sterne-Rechner - Angebot'!$G6="OFFER_REFERRAL"),'Sterne-Rechner - Angebot'!$G$44,
 IF(AND('Sterne-Rechner - Angebot'!$G4="OFFER_READY_FOR_POLICY",'Sterne-Rechner - Angebot'!$G5="OFFER_READY_FOR_POLICY",'Sterne-Rechner - Angebot'!$G6="OFFER_READY_FOR_POLICY"),"",
  IF(AND('Sterne-Rechner - Angebot'!$G4="OFFER_DECLINED",'Sterne-Rechner - Angebot'!$G5="OFFER_DECLINED",'Sterne-Rechner - Angebot'!$G6="OFFER_DECLINED"),"","FEHLER!")))</f>
        <v/>
      </c>
      <c r="E172" t="str">
        <f>IF(AND('Sterne-Rechner - Angebot'!$G4="OFFER_DECLINED",'Sterne-Rechner - Angebot'!$G5="OFFER_DECLINED",'Sterne-Rechner - Angebot'!$G6="OFFER_DECLINED"),'Sterne-Rechner - Angebot'!$G$44,
 IF(AND('Sterne-Rechner - Angebot'!$G4="OFFER_READY_FOR_POLICY",'Sterne-Rechner - Angebot'!$G5="OFFER_READY_FOR_POLICY",'Sterne-Rechner - Angebot'!$G6="OFFER_READY_FOR_POLICY"),"",
  IF(AND('Sterne-Rechner - Angebot'!$G4="OFFER_REFERRAL",'Sterne-Rechner - Angebot'!$G5="OFFER_REFERRAL",'Sterne-Rechner - Angebot'!$G6="OFFER_REFERRAL"),"","FEHLER!")))</f>
        <v/>
      </c>
      <c r="F172" s="170" t="str">
        <f>IF(AND('Sterne-Rechner - Angebot'!$G7="OFFER_REFERRAL",'Sterne-Rechner - Angebot'!$G8="OFFER_REFERRAL",'Sterne-Rechner - Angebot'!$G9="OFFER_REFERRAL"),'Sterne-Rechner - Angebot'!$G$44,
 IF(AND('Sterne-Rechner - Angebot'!$G7="OFFER_READY_FOR_POLICY",'Sterne-Rechner - Angebot'!$G8="OFFER_READY_FOR_POLICY",'Sterne-Rechner - Angebot'!$G9="OFFER_READY_FOR_POLICY"),"",
  IF(AND('Sterne-Rechner - Angebot'!$G7="OFFER_DECLINED",'Sterne-Rechner - Angebot'!$G8="OFFER_DECLINED",'Sterne-Rechner - Angebot'!$G9="OFFER_DECLINED"),"","FEHLER!")))</f>
        <v/>
      </c>
      <c r="G172" t="str">
        <f>IF(AND('Sterne-Rechner - Angebot'!$G7="OFFER_DECLINED",'Sterne-Rechner - Angebot'!$G8="OFFER_DECLINED",'Sterne-Rechner - Angebot'!$G9="OFFER_DECLINED"),'Sterne-Rechner - Angebot'!$G$44,
 IF(AND('Sterne-Rechner - Angebot'!$G7="OFFER_READY_FOR_POLICY",'Sterne-Rechner - Angebot'!$G8="OFFER_READY_FOR_POLICY",'Sterne-Rechner - Angebot'!$G9="OFFER_READY_FOR_POLICY"),"",
  IF(AND('Sterne-Rechner - Angebot'!$G7="OFFER_REFERRAL",'Sterne-Rechner - Angebot'!$G8="OFFER_REFERRAL",'Sterne-Rechner - Angebot'!$G9="OFFER_REFERRAL"),"","FEHLER!")))</f>
        <v/>
      </c>
      <c r="H172" s="170"/>
      <c r="J172" s="170"/>
      <c r="L172" s="170" t="str">
        <f>IF(AND('Sterne-Rechner - Angebot'!$G16="OFFER_REFERRAL",'Sterne-Rechner - Angebot'!$G17="OFFER_REFERRAL",'Sterne-Rechner - Angebot'!$G18="OFFER_REFERRAL"),'Sterne-Rechner - Angebot'!$G$44,
 IF(AND('Sterne-Rechner - Angebot'!$G16="OFFER_READY_FOR_POLICY",'Sterne-Rechner - Angebot'!$G17="OFFER_READY_FOR_POLICY",'Sterne-Rechner - Angebot'!$G18="OFFER_READY_FOR_POLICY"),"",
  IF(AND('Sterne-Rechner - Angebot'!$G16="OFFER_DECLINED",'Sterne-Rechner - Angebot'!$G17="OFFER_DECLINED",'Sterne-Rechner - Angebot'!$G18="OFFER_DECLINED"),"","FEHLER!")))</f>
        <v/>
      </c>
      <c r="M172" t="str">
        <f>IF(AND('Sterne-Rechner - Angebot'!$G16="OFFER_DECLINED",'Sterne-Rechner - Angebot'!$G17="OFFER_DECLINED",'Sterne-Rechner - Angebot'!$G18="OFFER_DECLINED"),'Sterne-Rechner - Angebot'!$G$44,
 IF(AND('Sterne-Rechner - Angebot'!$G16="OFFER_READY_FOR_POLICY",'Sterne-Rechner - Angebot'!$G17="OFFER_READY_FOR_POLICY",'Sterne-Rechner - Angebot'!$G18="OFFER_READY_FOR_POLICY"),"",
  IF(AND('Sterne-Rechner - Angebot'!$G16="OFFER_REFERRAL",'Sterne-Rechner - Angebot'!$G17="OFFER_REFERRAL",'Sterne-Rechner - Angebot'!$G18="OFFER_REFERRAL"),"","FEHLER!")))</f>
        <v/>
      </c>
      <c r="N172" s="170" t="str">
        <f>IF(AND('Sterne-Rechner - Angebot'!$G19="OFFER_REFERRAL",'Sterne-Rechner - Angebot'!$G20="OFFER_REFERRAL",'Sterne-Rechner - Angebot'!$G21="OFFER_REFERRAL"),'Sterne-Rechner - Angebot'!$G$44,
 IF(AND('Sterne-Rechner - Angebot'!$G19="OFFER_READY_FOR_POLICY",'Sterne-Rechner - Angebot'!$G20="OFFER_READY_FOR_POLICY",'Sterne-Rechner - Angebot'!$G21="OFFER_READY_FOR_POLICY"),"",
  IF(AND('Sterne-Rechner - Angebot'!$G19="OFFER_DECLINED",'Sterne-Rechner - Angebot'!$G20="OFFER_DECLINED",'Sterne-Rechner - Angebot'!$G21="OFFER_DECLINED"),"","FEHLER!")))</f>
        <v/>
      </c>
      <c r="O172" t="str">
        <f>IF(AND('Sterne-Rechner - Angebot'!$G19="OFFER_DECLINED",'Sterne-Rechner - Angebot'!$G20="OFFER_DECLINED",'Sterne-Rechner - Angebot'!$G21="OFFER_DECLINED"),'Sterne-Rechner - Angebot'!$G$44,
 IF(AND('Sterne-Rechner - Angebot'!$G19="OFFER_READY_FOR_POLICY",'Sterne-Rechner - Angebot'!$G20="OFFER_READY_FOR_POLICY",'Sterne-Rechner - Angebot'!$G21="OFFER_READY_FOR_POLICY"),"",
  IF(AND('Sterne-Rechner - Angebot'!$G19="OFFER_REFERRAL",'Sterne-Rechner - Angebot'!$G20="OFFER_REFERRAL",'Sterne-Rechner - Angebot'!$G21="OFFER_REFERRAL"),"","FEHLER!")))</f>
        <v/>
      </c>
      <c r="P172" s="170" t="str">
        <f>IF(AND('Sterne-Rechner - Angebot'!$G22="OFFER_REFERRAL",'Sterne-Rechner - Angebot'!$G23="OFFER_REFERRAL",'Sterne-Rechner - Angebot'!$G24="OFFER_REFERRAL"),'Sterne-Rechner - Angebot'!$G$44,
 IF(AND('Sterne-Rechner - Angebot'!$G22="OFFER_READY_FOR_POLICY",'Sterne-Rechner - Angebot'!$G23="OFFER_READY_FOR_POLICY",'Sterne-Rechner - Angebot'!$G24="OFFER_READY_FOR_POLICY"),"",
  IF(AND('Sterne-Rechner - Angebot'!$G22="OFFER_DECLINED",'Sterne-Rechner - Angebot'!$G23="OFFER_DECLINED",'Sterne-Rechner - Angebot'!$G24="OFFER_DECLINED"),"","FEHLER!")))</f>
        <v/>
      </c>
      <c r="Q172" t="str">
        <f>IF(AND('Sterne-Rechner - Angebot'!$G22="OFFER_DECLINED",'Sterne-Rechner - Angebot'!$G23="OFFER_DECLINED",'Sterne-Rechner - Angebot'!$G24="OFFER_DECLINED"),'Sterne-Rechner - Angebot'!$G$44,
 IF(AND('Sterne-Rechner - Angebot'!$G22="OFFER_READY_FOR_POLICY",'Sterne-Rechner - Angebot'!$G23="OFFER_READY_FOR_POLICY",'Sterne-Rechner - Angebot'!$G24="OFFER_READY_FOR_POLICY"),"",
  IF(AND('Sterne-Rechner - Angebot'!$G22="OFFER_REFERRAL",'Sterne-Rechner - Angebot'!$G23="OFFER_REFERRAL",'Sterne-Rechner - Angebot'!$G24="OFFER_REFERRAL"),"","FEHLER!")))</f>
        <v/>
      </c>
      <c r="R172" s="170" t="str">
        <f>IF(AND('Sterne-Rechner - Angebot'!$G25="OFFER_REFERRAL",'Sterne-Rechner - Angebot'!$G26="OFFER_REFERRAL",'Sterne-Rechner - Angebot'!$G27="OFFER_REFERRAL"),'Sterne-Rechner - Angebot'!$G$44,
 IF(AND('Sterne-Rechner - Angebot'!$G25="OFFER_READY_FOR_POLICY",'Sterne-Rechner - Angebot'!$G26="OFFER_READY_FOR_POLICY",'Sterne-Rechner - Angebot'!$G27="OFFER_READY_FOR_POLICY"),"",
  IF(AND('Sterne-Rechner - Angebot'!$G25="OFFER_DECLINED",'Sterne-Rechner - Angebot'!$G26="OFFER_DECLINED",'Sterne-Rechner - Angebot'!$G27="OFFER_DECLINED"),"","FEHLER!")))</f>
        <v/>
      </c>
      <c r="S172" t="str">
        <f>IF(AND('Sterne-Rechner - Angebot'!$G25="OFFER_DECLINED",'Sterne-Rechner - Angebot'!$G26="OFFER_DECLINED",'Sterne-Rechner - Angebot'!$G27="OFFER_DECLINED"),'Sterne-Rechner - Angebot'!$G$44,
 IF(AND('Sterne-Rechner - Angebot'!$G25="OFFER_READY_FOR_POLICY",'Sterne-Rechner - Angebot'!$G26="OFFER_READY_FOR_POLICY",'Sterne-Rechner - Angebot'!$G27="OFFER_READY_FOR_POLICY"),"",
  IF(AND('Sterne-Rechner - Angebot'!$G25="OFFER_REFERRAL",'Sterne-Rechner - Angebot'!$G26="OFFER_REFERRAL",'Sterne-Rechner - Angebot'!$G27="OFFER_REFERRAL"),"","FEHLER!")))</f>
        <v/>
      </c>
      <c r="T172" t="str">
        <f>IF(AND('Sterne-Rechner - Angebot'!$G28="OFFER_REFERRAL",'Sterne-Rechner - Angebot'!$G29="OFFER_REFERRAL",'Sterne-Rechner - Angebot'!$G30="OFFER_REFERRAL"),'Sterne-Rechner - Angebot'!$G$44,
 IF(AND('Sterne-Rechner - Angebot'!$G28="OFFER_READY_FOR_POLICY",'Sterne-Rechner - Angebot'!$G29="OFFER_READY_FOR_POLICY",'Sterne-Rechner - Angebot'!$G30="OFFER_READY_FOR_POLICY"),"",
  IF(AND('Sterne-Rechner - Angebot'!$G28="OFFER_DECLINED",'Sterne-Rechner - Angebot'!$G29="OFFER_DECLINED",'Sterne-Rechner - Angebot'!$G30="OFFER_DECLINED"),"","FEHLER!")))</f>
        <v/>
      </c>
      <c r="U172" t="str">
        <f>IF(AND('Sterne-Rechner - Angebot'!$G28="OFFER_DECLINED",'Sterne-Rechner - Angebot'!$G29="OFFER_DECLINED",'Sterne-Rechner - Angebot'!$G30="OFFER_DECLINED"),'Sterne-Rechner - Angebot'!$G$44,
 IF(AND('Sterne-Rechner - Angebot'!$G28="OFFER_READY_FOR_POLICY",'Sterne-Rechner - Angebot'!$G29="OFFER_READY_FOR_POLICY",'Sterne-Rechner - Angebot'!$G30="OFFER_READY_FOR_POLICY"),"",
  IF(AND('Sterne-Rechner - Angebot'!$G28="OFFER_REFERRAL",'Sterne-Rechner - Angebot'!$G29="OFFER_REFERRAL",'Sterne-Rechner - Angebot'!$G30="OFFER_REFERRAL"),"","FEHLER!")))</f>
        <v/>
      </c>
      <c r="V172" t="str">
        <f>IF(AND('Sterne-Rechner - Angebot'!$G31="OFFER_REFERRAL",'Sterne-Rechner - Angebot'!$G32="OFFER_REFERRAL",'Sterne-Rechner - Angebot'!$G33="OFFER_REFERRAL"),'Sterne-Rechner - Angebot'!$G$44,
 IF(AND('Sterne-Rechner - Angebot'!$G31="OFFER_READY_FOR_POLICY",'Sterne-Rechner - Angebot'!$G32="OFFER_READY_FOR_POLICY",'Sterne-Rechner - Angebot'!$G33="OFFER_READY_FOR_POLICY"),"",
  IF(AND('Sterne-Rechner - Angebot'!$G31="OFFER_DECLINED",'Sterne-Rechner - Angebot'!$G32="OFFER_DECLINED",'Sterne-Rechner - Angebot'!$G33="OFFER_DECLINED"),"","FEHLER!")))</f>
        <v/>
      </c>
      <c r="W172" t="str">
        <f>IF(AND('Sterne-Rechner - Angebot'!$G31="OFFER_DECLINED",'Sterne-Rechner - Angebot'!$G32="OFFER_DECLINED",'Sterne-Rechner - Angebot'!$G33="OFFER_DECLINED"),'Sterne-Rechner - Angebot'!$G$44,
 IF(AND('Sterne-Rechner - Angebot'!$G31="OFFER_READY_FOR_POLICY",'Sterne-Rechner - Angebot'!$G32="OFFER_READY_FOR_POLICY",'Sterne-Rechner - Angebot'!$G33="OFFER_READY_FOR_POLICY"),"",
  IF(AND('Sterne-Rechner - Angebot'!$G31="OFFER_REFERRAL",'Sterne-Rechner - Angebot'!$G32="OFFER_REFERRAL",'Sterne-Rechner - Angebot'!$G33="OFFER_REFERRAL"),"","FEHLER!")))</f>
        <v/>
      </c>
    </row>
    <row r="173" spans="1:23" ht="20.25" customHeight="1">
      <c r="A173" s="168" t="s">
        <v>3107</v>
      </c>
      <c r="D173" s="170" t="str">
        <f>IF(Deckungssumme1&gt;0,IF('Sterne-Rechner - Angebot'!$H4="OFFER_REFERRAL","Deckungssumme 1 außerhalb des Tarifs",""),"")</f>
        <v/>
      </c>
      <c r="E173" t="str">
        <f>IF(Deckungssumme1&gt;0,IF('Sterne-Rechner - Angebot'!$H4="OFFER_DECLINED","Deckungssumme 1 außerhalb des Tarifs",""),"")</f>
        <v/>
      </c>
      <c r="F173" s="170" t="str">
        <f>IF(Deckungssumme1&gt;0,IF('Sterne-Rechner - Angebot'!$H7="OFFER_REFERRAL","Deckungssumme 1 außerhalb des Tarifs",""),"")</f>
        <v/>
      </c>
      <c r="G173" t="str">
        <f>IF(Deckungssumme1&gt;0,IF('Sterne-Rechner - Angebot'!$H7="OFFER_DECLINED","Deckungssumme 1 außerhalb des Tarifs",""),"")</f>
        <v/>
      </c>
      <c r="H173" s="170"/>
      <c r="J173" s="170"/>
      <c r="L173" s="170" t="str">
        <f>IF(Deckungssumme1&gt;0,IF('Sterne-Rechner - Angebot'!$H16="OFFER_REFERRAL","Deckungssumme 1 außerhalb des Tarifs",""),"")</f>
        <v/>
      </c>
      <c r="M173" t="str">
        <f>IF(Deckungssumme1&gt;0,IF('Sterne-Rechner - Angebot'!$H16="OFFER_DECLINED","Deckungssumme 1 außerhalb des Tarifs",""),"")</f>
        <v/>
      </c>
      <c r="N173" s="170" t="str">
        <f>IF(Deckungssumme1&gt;0,IF('Sterne-Rechner - Angebot'!$H19="OFFER_REFERRAL","Deckungssumme 1 außerhalb des Tarifs",""),"")</f>
        <v/>
      </c>
      <c r="O173" t="str">
        <f>IF(Deckungssumme1&gt;0,IF('Sterne-Rechner - Angebot'!$H19="OFFER_DECLINED","Deckungssumme 1 außerhalb des Tarifs",""),"")</f>
        <v/>
      </c>
      <c r="P173" s="170" t="str">
        <f>IF(Deckungssumme1&gt;0,IF('Sterne-Rechner - Angebot'!$H22="OFFER_REFERRAL","Deckungssumme 1 außerhalb des Tarifs",""),"")</f>
        <v/>
      </c>
      <c r="Q173" t="str">
        <f>IF(Deckungssumme1&gt;0,IF('Sterne-Rechner - Angebot'!$H22="OFFER_DECLINED","Deckungssumme 1 außerhalb des Tarifs",""),"")</f>
        <v/>
      </c>
      <c r="R173" s="170" t="str">
        <f>IF(Deckungssumme1&gt;0,IF('Sterne-Rechner - Angebot'!$H25="OFFER_REFERRAL","Deckungssumme 1 außerhalb des Tarifs",""),"")</f>
        <v/>
      </c>
      <c r="S173" t="str">
        <f>IF(Deckungssumme1&gt;0,IF('Sterne-Rechner - Angebot'!$H25="OFFER_DECLINED","Deckungssumme 1 außerhalb des Tarifs",""),"")</f>
        <v/>
      </c>
      <c r="T173" t="str">
        <f>IF(Deckungssumme1&gt;0,IF('Sterne-Rechner - Angebot'!$H28="OFFER_REFERRAL","Deckungssumme 1 außerhalb des Tarifs",""),"")</f>
        <v/>
      </c>
      <c r="U173" t="str">
        <f>IF(Deckungssumme1&gt;0,IF('Sterne-Rechner - Angebot'!$H28="OFFER_DECLINED","Deckungssumme 1 außerhalb des Tarifs",""),"")</f>
        <v/>
      </c>
      <c r="V173" t="str">
        <f>IF(Deckungssumme1&gt;0,IF('Sterne-Rechner - Angebot'!$H31="OFFER_REFERRAL","Deckungssumme 1 außerhalb des Tarifs",""),"")</f>
        <v/>
      </c>
      <c r="W173" t="str">
        <f>IF(Deckungssumme1&gt;0,IF('Sterne-Rechner - Angebot'!$H31="OFFER_DECLINED","Deckungssumme 1 außerhalb des Tarifs",""),"")</f>
        <v/>
      </c>
    </row>
    <row r="174" spans="1:23" ht="20.25" customHeight="1">
      <c r="A174" s="168" t="s">
        <v>3108</v>
      </c>
      <c r="D174" s="170" t="str">
        <f>IF(Deckungssumme2&gt;0,IF('Sterne-Rechner - Angebot'!$H5="OFFER_REFERRAL","Deckungssumme 2 außerhalb des Tarifs",""),"")</f>
        <v/>
      </c>
      <c r="E174" t="str">
        <f>IF(Deckungssumme2&gt;0,IF('Sterne-Rechner - Angebot'!$H5="OFFER_DECLINED","Deckungssumme 2 außerhalb des Tarifs",""),"")</f>
        <v/>
      </c>
      <c r="F174" s="170" t="str">
        <f>IF(Deckungssumme2&gt;0,IF('Sterne-Rechner - Angebot'!$H8="OFFER_REFERRAL","Deckungssumme 2 außerhalb des Tarifs",""),"")</f>
        <v/>
      </c>
      <c r="G174" t="str">
        <f>IF(Deckungssumme2&gt;0,IF('Sterne-Rechner - Angebot'!$H8="OFFER_DECLINED","Deckungssumme 2 außerhalb des Tarifs",""),"")</f>
        <v/>
      </c>
      <c r="H174" s="170"/>
      <c r="J174" s="170"/>
      <c r="L174" s="170" t="str">
        <f>IF(Deckungssumme2&gt;0,IF('Sterne-Rechner - Angebot'!$H17="OFFER_REFERRAL","Deckungssumme 2 außerhalb des Tarifs",""),"")</f>
        <v/>
      </c>
      <c r="M174" t="str">
        <f>IF(Deckungssumme2&gt;0,IF('Sterne-Rechner - Angebot'!$H17="OFFER_DECLINED","Deckungssumme 2 außerhalb des Tarifs",""),"")</f>
        <v/>
      </c>
      <c r="N174" s="170" t="str">
        <f>IF(Deckungssumme2&gt;0,IF('Sterne-Rechner - Angebot'!$H20="OFFER_REFERRAL","Deckungssumme 2 außerhalb des Tarifs",""),"")</f>
        <v/>
      </c>
      <c r="O174" t="str">
        <f>IF(Deckungssumme2&gt;0,IF('Sterne-Rechner - Angebot'!$H20="OFFER_DECLINED","Deckungssumme 2 außerhalb des Tarifs",""),"")</f>
        <v/>
      </c>
      <c r="P174" s="170" t="str">
        <f>IF(Deckungssumme2&gt;0,IF('Sterne-Rechner - Angebot'!$H23="OFFER_REFERRAL","Deckungssumme 2 außerhalb des Tarifs",""),"")</f>
        <v/>
      </c>
      <c r="Q174" t="str">
        <f>IF(Deckungssumme2&gt;0,IF('Sterne-Rechner - Angebot'!$H23="OFFER_DECLINED","Deckungssumme 2 außerhalb des Tarifs",""),"")</f>
        <v/>
      </c>
      <c r="R174" s="170" t="str">
        <f>IF(Deckungssumme2&gt;0,IF('Sterne-Rechner - Angebot'!$H26="OFFER_REFERRAL","Deckungssumme 2 außerhalb des Tarifs",""),"")</f>
        <v/>
      </c>
      <c r="S174" t="str">
        <f>IF(Deckungssumme2&gt;0,IF('Sterne-Rechner - Angebot'!$H26="OFFER_DECLINED","Deckungssumme 2 außerhalb des Tarifs",""),"")</f>
        <v/>
      </c>
      <c r="T174" t="str">
        <f>IF(Deckungssumme2&gt;0,IF('Sterne-Rechner - Angebot'!$H29="OFFER_REFERRAL","Deckungssumme 2 außerhalb des Tarifs",""),"")</f>
        <v/>
      </c>
      <c r="U174" t="str">
        <f>IF(Deckungssumme2&gt;0,IF('Sterne-Rechner - Angebot'!$H29="OFFER_DECLINED","Deckungssumme 2 außerhalb des Tarifs",""),"")</f>
        <v/>
      </c>
      <c r="V174" t="str">
        <f>IF(Deckungssumme2&gt;0,IF('Sterne-Rechner - Angebot'!$H32="OFFER_REFERRAL","Deckungssumme 2 außerhalb des Tarifs",""),"")</f>
        <v/>
      </c>
      <c r="W174" t="str">
        <f>IF(Deckungssumme2&gt;0,IF('Sterne-Rechner - Angebot'!$H32="OFFER_DECLINED","Deckungssumme 2 außerhalb des Tarifs",""),"")</f>
        <v/>
      </c>
    </row>
    <row r="175" spans="1:23" ht="20.25" customHeight="1">
      <c r="A175" s="168" t="s">
        <v>3109</v>
      </c>
      <c r="D175" s="170" t="str">
        <f>IF(Deckungssumme3&gt;0,IF('Sterne-Rechner - Angebot'!$H6="OFFER_REFERRAL","Deckungssumme 3 außerhalb des Tarifs",""),"")</f>
        <v/>
      </c>
      <c r="E175" t="str">
        <f>IF(Deckungssumme3&gt;0,IF('Sterne-Rechner - Angebot'!$H6="OFFER_DECLINED","Deckungssumme 3 außerhalb des Tarifs",""),"")</f>
        <v/>
      </c>
      <c r="F175" s="170" t="str">
        <f>IF(Deckungssumme3&gt;0,IF('Sterne-Rechner - Angebot'!$H9="OFFER_REFERRAL","Deckungssumme 3 außerhalb des Tarifs",""),"")</f>
        <v/>
      </c>
      <c r="G175" t="str">
        <f>IF(Deckungssumme3&gt;0,IF('Sterne-Rechner - Angebot'!$H9="OFFER_DECLINED","Deckungssumme 3 außerhalb des Tarifs",""),"")</f>
        <v/>
      </c>
      <c r="H175" s="170"/>
      <c r="J175" s="170"/>
      <c r="L175" s="170" t="str">
        <f>IF(Deckungssumme3&gt;0,IF('Sterne-Rechner - Angebot'!$H18="OFFER_REFERRAL","Deckungssumme 3 außerhalb des Tarifs",""),"")</f>
        <v/>
      </c>
      <c r="M175" t="str">
        <f>IF(Deckungssumme3&gt;0,IF('Sterne-Rechner - Angebot'!$H18="OFFER_DECLINED","Deckungssumme 3 außerhalb des Tarifs",""),"")</f>
        <v/>
      </c>
      <c r="N175" s="170" t="str">
        <f>IF(Deckungssumme3&gt;0,IF('Sterne-Rechner - Angebot'!$H21="OFFER_REFERRAL",'Sterne-Rechner - Angebot'!$H$44,""),"")</f>
        <v/>
      </c>
      <c r="O175" t="str">
        <f>IF(Deckungssumme3&gt;0,IF('Sterne-Rechner - Angebot'!$H21="OFFER_DECLINED","Deckungssumme 3 außerhalb des Tarifs",""),"")</f>
        <v/>
      </c>
      <c r="P175" s="170" t="str">
        <f>IF(Deckungssumme3&gt;0,IF('Sterne-Rechner - Angebot'!$H24="OFFER_REFERRAL","Deckungssumme 3 außerhalb des Tarifs",""),"")</f>
        <v/>
      </c>
      <c r="Q175" t="str">
        <f>IF(Deckungssumme3&gt;0,IF('Sterne-Rechner - Angebot'!$H24="OFFER_DECLINED","Deckungssumme 3 außerhalb des Tarifs",""),"")</f>
        <v/>
      </c>
      <c r="R175" s="170" t="str">
        <f>IF(Deckungssumme3&gt;0,IF('Sterne-Rechner - Angebot'!$H27="OFFER_REFERRAL","Deckungssumme 3 außerhalb des Tarifs",""),"")</f>
        <v/>
      </c>
      <c r="S175" t="str">
        <f>IF(Deckungssumme3&gt;0,IF('Sterne-Rechner - Angebot'!$H27="OFFER_DECLINED","Deckungssumme 3 außerhalb des Tarifs",""),"")</f>
        <v/>
      </c>
      <c r="T175" t="str">
        <f>IF(Deckungssumme3&gt;0,IF('Sterne-Rechner - Angebot'!$H30="OFFER_REFERRAL","Deckungssumme 3 außerhalb des Tarifs",""),"")</f>
        <v/>
      </c>
      <c r="U175" t="str">
        <f>IF(Deckungssumme3&gt;0,IF('Sterne-Rechner - Angebot'!$H30="OFFER_DECLINED","Deckungssumme 3 außerhalb des Tarifs",""),"")</f>
        <v/>
      </c>
      <c r="V175" t="str">
        <f>IF(Deckungssumme3&gt;0,IF('Sterne-Rechner - Angebot'!$H33="OFFER_REFERRAL","Deckungssumme 3 außerhalb des Tarifs",""),"")</f>
        <v/>
      </c>
      <c r="W175" t="str">
        <f>IF(Deckungssumme3&gt;0,IF('Sterne-Rechner - Angebot'!$H33="OFFER_DECLINED","Deckungssumme 3 außerhalb des Tarifs",""),"")</f>
        <v/>
      </c>
    </row>
    <row r="176" spans="1:23" ht="20.25" customHeight="1">
      <c r="A176" s="168" t="s">
        <v>3777</v>
      </c>
      <c r="D176" s="170" t="str">
        <f>IF(AND('Sterne-Rechner - Angebot'!$I4="OFFER_REFERRAL",'Sterne-Rechner - Angebot'!$I5="OFFER_REFERRAL",'Sterne-Rechner - Angebot'!$I6="OFFER_REFERRAL"),'Sterne-Rechner - Angebot'!$I$44,
 IF(AND('Sterne-Rechner - Angebot'!$I4="OFFER_READY_FOR_POLICY",'Sterne-Rechner - Angebot'!$I5="OFFER_READY_FOR_POLICY",'Sterne-Rechner - Angebot'!$I6="OFFER_READY_FOR_POLICY"),"",
  IF(AND('Sterne-Rechner - Angebot'!$I4="OFFER_DECLINED",'Sterne-Rechner - Angebot'!$I5="OFFER_DECLINED",'Sterne-Rechner - Angebot'!$I6="OFFER_DECLINED"),"","FEHLER!")))</f>
        <v/>
      </c>
      <c r="E176" t="str">
        <f>IF(AND('Sterne-Rechner - Angebot'!$I4="OFFER_DECLINED",'Sterne-Rechner - Angebot'!$I5="OFFER_DECLINED",'Sterne-Rechner - Angebot'!$I6="OFFER_DECLINED"),'Sterne-Rechner - Angebot'!$I$44,
 IF(AND('Sterne-Rechner - Angebot'!$I4="OFFER_READY_FOR_POLICY",'Sterne-Rechner - Angebot'!$I5="OFFER_READY_FOR_POLICY",'Sterne-Rechner - Angebot'!$I6="OFFER_READY_FOR_POLICY"),"",
  IF(AND('Sterne-Rechner - Angebot'!$I4="OFFER_REFERRAL",'Sterne-Rechner - Angebot'!$I5="OFFER_REFERRAL",'Sterne-Rechner - Angebot'!$I6="OFFER_REFERRAL"),"","FEHLER!")))</f>
        <v/>
      </c>
      <c r="F176" s="170" t="str">
        <f>IF(AND('Sterne-Rechner - Angebot'!$I7="OFFER_REFERRAL",'Sterne-Rechner - Angebot'!$I8="OFFER_REFERRAL",'Sterne-Rechner - Angebot'!$I9="OFFER_REFERRAL"),'Sterne-Rechner - Angebot'!$I$44,
 IF(AND('Sterne-Rechner - Angebot'!$I7="OFFER_READY_FOR_POLICY",'Sterne-Rechner - Angebot'!$I8="OFFER_READY_FOR_POLICY",'Sterne-Rechner - Angebot'!$I9="OFFER_READY_FOR_POLICY"),"",
  IF(AND('Sterne-Rechner - Angebot'!$I7="OFFER_DECLINED",'Sterne-Rechner - Angebot'!$I8="OFFER_DECLINED",'Sterne-Rechner - Angebot'!$I9="OFFER_DECLINED"),"","FEHLER!")))</f>
        <v/>
      </c>
      <c r="G176" t="str">
        <f>IF(AND('Sterne-Rechner - Angebot'!$I7="OFFER_DECLINED",'Sterne-Rechner - Angebot'!$I8="OFFER_DECLINED",'Sterne-Rechner - Angebot'!$I9="OFFER_DECLINED"),'Sterne-Rechner - Angebot'!$I$44,
 IF(AND('Sterne-Rechner - Angebot'!$I7="OFFER_READY_FOR_POLICY",'Sterne-Rechner - Angebot'!$I8="OFFER_READY_FOR_POLICY",'Sterne-Rechner - Angebot'!$I9="OFFER_READY_FOR_POLICY"),"",
  IF(AND('Sterne-Rechner - Angebot'!$I7="OFFER_REFERRAL",'Sterne-Rechner - Angebot'!$I8="OFFER_REFERRAL",'Sterne-Rechner - Angebot'!$I9="OFFER_REFERRAL"),"","FEHLER!")))</f>
        <v/>
      </c>
      <c r="H176" s="170"/>
      <c r="J176" s="170"/>
      <c r="L176" s="170" t="str">
        <f>IF(AND('Sterne-Rechner - Angebot'!$I16="OFFER_REFERRAL",'Sterne-Rechner - Angebot'!$I17="OFFER_REFERRAL",'Sterne-Rechner - Angebot'!$I18="OFFER_REFERRAL"),'Sterne-Rechner - Angebot'!$I$44,
 IF(AND('Sterne-Rechner - Angebot'!$I16="OFFER_READY_FOR_POLICY",'Sterne-Rechner - Angebot'!$I17="OFFER_READY_FOR_POLICY",'Sterne-Rechner - Angebot'!$I18="OFFER_READY_FOR_POLICY"),"",
  IF(AND('Sterne-Rechner - Angebot'!$I16="OFFER_DECLINED",'Sterne-Rechner - Angebot'!$I17="OFFER_DECLINED",'Sterne-Rechner - Angebot'!$I18="OFFER_DECLINED"),"","FEHLER!")))</f>
        <v/>
      </c>
      <c r="M176" t="str">
        <f>IF(AND('Sterne-Rechner - Angebot'!$I16="OFFER_DECLINED",'Sterne-Rechner - Angebot'!$I17="OFFER_DECLINED",'Sterne-Rechner - Angebot'!$I18="OFFER_DECLINED"),'Sterne-Rechner - Angebot'!$I$44,
 IF(AND('Sterne-Rechner - Angebot'!$I16="OFFER_READY_FOR_POLICY",'Sterne-Rechner - Angebot'!$I17="OFFER_READY_FOR_POLICY",'Sterne-Rechner - Angebot'!$I18="OFFER_READY_FOR_POLICY"),"",
  IF(AND('Sterne-Rechner - Angebot'!$I16="OFFER_REFERRAL",'Sterne-Rechner - Angebot'!$I17="OFFER_REFERRAL",'Sterne-Rechner - Angebot'!$I18="OFFER_REFERRAL"),"","FEHLER!")))</f>
        <v/>
      </c>
      <c r="N176" s="170" t="str">
        <f>IF(AND('Sterne-Rechner - Angebot'!$I19="OFFER_REFERRAL",'Sterne-Rechner - Angebot'!$I20="OFFER_REFERRAL",'Sterne-Rechner - Angebot'!$I21="OFFER_REFERRAL"),'Sterne-Rechner - Angebot'!$I$44,
 IF(AND('Sterne-Rechner - Angebot'!$I19="OFFER_READY_FOR_POLICY",'Sterne-Rechner - Angebot'!$I20="OFFER_READY_FOR_POLICY",'Sterne-Rechner - Angebot'!$I21="OFFER_READY_FOR_POLICY"),"",
  IF(AND('Sterne-Rechner - Angebot'!$I19="OFFER_DECLINED",'Sterne-Rechner - Angebot'!$I20="OFFER_DECLINED",'Sterne-Rechner - Angebot'!$I21="OFFER_DECLINED"),"","FEHLER!")))</f>
        <v/>
      </c>
      <c r="O176" t="str">
        <f>IF(AND('Sterne-Rechner - Angebot'!$I19="OFFER_DECLINED",'Sterne-Rechner - Angebot'!$I20="OFFER_DECLINED",'Sterne-Rechner - Angebot'!$I21="OFFER_DECLINED"),'Sterne-Rechner - Angebot'!$I$44,
 IF(AND('Sterne-Rechner - Angebot'!$I19="OFFER_READY_FOR_POLICY",'Sterne-Rechner - Angebot'!$I20="OFFER_READY_FOR_POLICY",'Sterne-Rechner - Angebot'!$I21="OFFER_READY_FOR_POLICY"),"",
  IF(AND('Sterne-Rechner - Angebot'!$I19="OFFER_REFERRAL",'Sterne-Rechner - Angebot'!$I20="OFFER_REFERRAL",'Sterne-Rechner - Angebot'!$I21="OFFER_REFERRAL"),"","FEHLER!")))</f>
        <v/>
      </c>
      <c r="P176" s="170" t="str">
        <f>IF(AND('Sterne-Rechner - Angebot'!$I22="OFFER_REFERRAL",'Sterne-Rechner - Angebot'!$I23="OFFER_REFERRAL",'Sterne-Rechner - Angebot'!$I24="OFFER_REFERRAL"),'Sterne-Rechner - Angebot'!$I$44,
 IF(AND('Sterne-Rechner - Angebot'!$I22="OFFER_READY_FOR_POLICY",'Sterne-Rechner - Angebot'!$I23="OFFER_READY_FOR_POLICY",'Sterne-Rechner - Angebot'!$I24="OFFER_READY_FOR_POLICY"),"",
  IF(AND('Sterne-Rechner - Angebot'!$I22="OFFER_DECLINED",'Sterne-Rechner - Angebot'!$I23="OFFER_DECLINED",'Sterne-Rechner - Angebot'!$I24="OFFER_DECLINED"),"","FEHLER!")))</f>
        <v/>
      </c>
      <c r="Q176" t="str">
        <f>IF(AND('Sterne-Rechner - Angebot'!$I22="OFFER_DECLINED",'Sterne-Rechner - Angebot'!$I23="OFFER_DECLINED",'Sterne-Rechner - Angebot'!$I24="OFFER_DECLINED"),'Sterne-Rechner - Angebot'!$I$44,
 IF(AND('Sterne-Rechner - Angebot'!$I22="OFFER_READY_FOR_POLICY",'Sterne-Rechner - Angebot'!$I23="OFFER_READY_FOR_POLICY",'Sterne-Rechner - Angebot'!$I24="OFFER_READY_FOR_POLICY"),"",
  IF(AND('Sterne-Rechner - Angebot'!$I22="OFFER_REFERRAL",'Sterne-Rechner - Angebot'!$I23="OFFER_REFERRAL",'Sterne-Rechner - Angebot'!$I24="OFFER_REFERRAL"),"","FEHLER!")))</f>
        <v/>
      </c>
      <c r="R176" s="170" t="str">
        <f>IF(AND('Sterne-Rechner - Angebot'!$I25="OFFER_REFERRAL",'Sterne-Rechner - Angebot'!$I26="OFFER_REFERRAL",'Sterne-Rechner - Angebot'!$I27="OFFER_REFERRAL"),'Sterne-Rechner - Angebot'!$I$44,
 IF(AND('Sterne-Rechner - Angebot'!$I25="OFFER_READY_FOR_POLICY",'Sterne-Rechner - Angebot'!$I26="OFFER_READY_FOR_POLICY",'Sterne-Rechner - Angebot'!$I27="OFFER_READY_FOR_POLICY"),"",
  IF(AND('Sterne-Rechner - Angebot'!$I25="OFFER_DECLINED",'Sterne-Rechner - Angebot'!$I26="OFFER_DECLINED",'Sterne-Rechner - Angebot'!$I27="OFFER_DECLINED"),"","FEHLER!")))</f>
        <v/>
      </c>
      <c r="S176" t="str">
        <f>IF(AND('Sterne-Rechner - Angebot'!$I25="OFFER_DECLINED",'Sterne-Rechner - Angebot'!$I26="OFFER_DECLINED",'Sterne-Rechner - Angebot'!$I27="OFFER_DECLINED"),'Sterne-Rechner - Angebot'!$I$44,
 IF(AND('Sterne-Rechner - Angebot'!$I25="OFFER_READY_FOR_POLICY",'Sterne-Rechner - Angebot'!$I26="OFFER_READY_FOR_POLICY",'Sterne-Rechner - Angebot'!$I27="OFFER_READY_FOR_POLICY"),"",
  IF(AND('Sterne-Rechner - Angebot'!$I25="OFFER_REFERRAL",'Sterne-Rechner - Angebot'!$I26="OFFER_REFERRAL",'Sterne-Rechner - Angebot'!$I27="OFFER_REFERRAL"),"","FEHLER!")))</f>
        <v/>
      </c>
      <c r="T176" t="str">
        <f>IF(AND('Sterne-Rechner - Angebot'!$I28="OFFER_REFERRAL",'Sterne-Rechner - Angebot'!$I29="OFFER_REFERRAL",'Sterne-Rechner - Angebot'!$I30="OFFER_REFERRAL"),'Sterne-Rechner - Angebot'!$I$44,
 IF(AND('Sterne-Rechner - Angebot'!$I28="OFFER_READY_FOR_POLICY",'Sterne-Rechner - Angebot'!$I29="OFFER_READY_FOR_POLICY",'Sterne-Rechner - Angebot'!$I30="OFFER_READY_FOR_POLICY"),"",
  IF(AND('Sterne-Rechner - Angebot'!$I28="OFFER_DECLINED",'Sterne-Rechner - Angebot'!$I29="OFFER_DECLINED",'Sterne-Rechner - Angebot'!$I30="OFFER_DECLINED"),"","FEHLER!")))</f>
        <v/>
      </c>
      <c r="U176" t="str">
        <f>IF(AND('Sterne-Rechner - Angebot'!$I28="OFFER_DECLINED",'Sterne-Rechner - Angebot'!$I29="OFFER_DECLINED",'Sterne-Rechner - Angebot'!$I30="OFFER_DECLINED"),'Sterne-Rechner - Angebot'!$I$44,
 IF(AND('Sterne-Rechner - Angebot'!$I28="OFFER_READY_FOR_POLICY",'Sterne-Rechner - Angebot'!$I29="OFFER_READY_FOR_POLICY",'Sterne-Rechner - Angebot'!$I30="OFFER_READY_FOR_POLICY"),"",
  IF(AND('Sterne-Rechner - Angebot'!$I28="OFFER_REFERRAL",'Sterne-Rechner - Angebot'!$I29="OFFER_REFERRAL",'Sterne-Rechner - Angebot'!$I30="OFFER_REFERRAL"),"","FEHLER!")))</f>
        <v/>
      </c>
      <c r="V176" t="str">
        <f>IF(AND('Sterne-Rechner - Angebot'!$I31="OFFER_REFERRAL",'Sterne-Rechner - Angebot'!$I32="OFFER_REFERRAL",'Sterne-Rechner - Angebot'!$I33="OFFER_REFERRAL"),'Sterne-Rechner - Angebot'!$I$44,
 IF(AND('Sterne-Rechner - Angebot'!$I31="OFFER_READY_FOR_POLICY",'Sterne-Rechner - Angebot'!$I32="OFFER_READY_FOR_POLICY",'Sterne-Rechner - Angebot'!$I33="OFFER_READY_FOR_POLICY"),"",
  IF(AND('Sterne-Rechner - Angebot'!$I31="OFFER_DECLINED",'Sterne-Rechner - Angebot'!$I32="OFFER_DECLINED",'Sterne-Rechner - Angebot'!$I33="OFFER_DECLINED"),"","FEHLER!")))</f>
        <v/>
      </c>
      <c r="W176" t="str">
        <f>IF(AND('Sterne-Rechner - Angebot'!$I31="OFFER_DECLINED",'Sterne-Rechner - Angebot'!$I32="OFFER_DECLINED",'Sterne-Rechner - Angebot'!$I33="OFFER_DECLINED"),'Sterne-Rechner - Angebot'!$I$44,
 IF(AND('Sterne-Rechner - Angebot'!$I31="OFFER_READY_FOR_POLICY",'Sterne-Rechner - Angebot'!$I32="OFFER_READY_FOR_POLICY",'Sterne-Rechner - Angebot'!$I33="OFFER_READY_FOR_POLICY"),"",
  IF(AND('Sterne-Rechner - Angebot'!$I31="OFFER_REFERRAL",'Sterne-Rechner - Angebot'!$I32="OFFER_REFERRAL",'Sterne-Rechner - Angebot'!$I33="OFFER_REFERRAL"),"","FEHLER!")))</f>
        <v/>
      </c>
    </row>
    <row r="177" spans="1:23" ht="20.25" customHeight="1">
      <c r="A177" s="168" t="s">
        <v>3778</v>
      </c>
      <c r="D177" s="170" t="str">
        <f>IF(AND('Sterne-Rechner - Angebot'!$J4="OFFER_REFERRAL",'Sterne-Rechner - Angebot'!$J5="OFFER_REFERRAL",'Sterne-Rechner - Angebot'!$J6="OFFER_REFERRAL"),'Sterne-Rechner - Angebot'!$J$44,
 IF(AND('Sterne-Rechner - Angebot'!$J4="OFFER_READY_FOR_POLICY",'Sterne-Rechner - Angebot'!$J5="OFFER_READY_FOR_POLICY",'Sterne-Rechner - Angebot'!$J6="OFFER_READY_FOR_POLICY"),"",
  IF(AND('Sterne-Rechner - Angebot'!$J4="OFFER_DECLINED",'Sterne-Rechner - Angebot'!$J5="OFFER_DECLINED",'Sterne-Rechner - Angebot'!$J6="OFFER_DECLINED"),"","FEHLER!")))</f>
        <v/>
      </c>
      <c r="E177" s="170" t="str">
        <f>IF(AND('Sterne-Rechner - Angebot'!$J4="OFFER_DECLINED",'Sterne-Rechner - Angebot'!$J5="OFFER_DECLINED",'Sterne-Rechner - Angebot'!$J6="OFFER_DECLINED"),'Sterne-Rechner - Angebot'!$J$44,
 IF(AND('Sterne-Rechner - Angebot'!$J4="OFFER_READY_FOR_POLICY",'Sterne-Rechner - Angebot'!$J5="OFFER_READY_FOR_POLICY",'Sterne-Rechner - Angebot'!$J6="OFFER_READY_FOR_POLICY"),"",
  IF(AND('Sterne-Rechner - Angebot'!$J4="OFFER_REFERRAL",'Sterne-Rechner - Angebot'!$J5="OFFER_REFERRAL",'Sterne-Rechner - Angebot'!$J6="OFFER_REFERRAL"),"","FEHLER!")))</f>
        <v/>
      </c>
      <c r="F177" s="170" t="str">
        <f>IF(AND('Sterne-Rechner - Angebot'!$J7="OFFER_REFERRAL",'Sterne-Rechner - Angebot'!$J8="OFFER_REFERRAL",'Sterne-Rechner - Angebot'!$J9="OFFER_REFERRAL"),'Sterne-Rechner - Angebot'!$J$44,
 IF(AND('Sterne-Rechner - Angebot'!$J7="OFFER_READY_FOR_POLICY",'Sterne-Rechner - Angebot'!$J8="OFFER_READY_FOR_POLICY",'Sterne-Rechner - Angebot'!$J9="OFFER_READY_FOR_POLICY"),"",
  IF(AND('Sterne-Rechner - Angebot'!$J7="OFFER_DECLINED",'Sterne-Rechner - Angebot'!$J8="OFFER_DECLINED",'Sterne-Rechner - Angebot'!$J9="OFFER_DECLINED"),"","FEHLER!")))</f>
        <v/>
      </c>
      <c r="G177" t="str">
        <f>IF(AND('Sterne-Rechner - Angebot'!$J7="OFFER_DECLINED",'Sterne-Rechner - Angebot'!$J8="OFFER_DECLINED",'Sterne-Rechner - Angebot'!$J9="OFFER_DECLINED"),'Sterne-Rechner - Angebot'!$J$44,
 IF(AND('Sterne-Rechner - Angebot'!$J7="OFFER_READY_FOR_POLICY",'Sterne-Rechner - Angebot'!$J8="OFFER_READY_FOR_POLICY",'Sterne-Rechner - Angebot'!$J9="OFFER_READY_FOR_POLICY"),"",
  IF(AND('Sterne-Rechner - Angebot'!$J7="OFFER_REFERRAL",'Sterne-Rechner - Angebot'!$J8="OFFER_REFERRAL",'Sterne-Rechner - Angebot'!$J9="OFFER_REFERRAL"),"","FEHLER!")))</f>
        <v/>
      </c>
      <c r="H177" s="170"/>
      <c r="J177" s="170"/>
      <c r="L177" s="170" t="str">
        <f>IF(AND('Sterne-Rechner - Angebot'!$J16="OFFER_REFERRAL",'Sterne-Rechner - Angebot'!$J17="OFFER_REFERRAL",'Sterne-Rechner - Angebot'!$J18="OFFER_REFERRAL"),'Sterne-Rechner - Angebot'!$J$44,
 IF(AND('Sterne-Rechner - Angebot'!$J16="OFFER_READY_FOR_POLICY",'Sterne-Rechner - Angebot'!$J17="OFFER_READY_FOR_POLICY",'Sterne-Rechner - Angebot'!$J18="OFFER_READY_FOR_POLICY"),"",
  IF(AND('Sterne-Rechner - Angebot'!$J16="OFFER_DECLINED",'Sterne-Rechner - Angebot'!$J17="OFFER_DECLINED",'Sterne-Rechner - Angebot'!$J18="OFFER_DECLINED"),"","FEHLER!")))</f>
        <v/>
      </c>
      <c r="M177" t="str">
        <f>IF(AND('Sterne-Rechner - Angebot'!$J16="OFFER_DECLINED",'Sterne-Rechner - Angebot'!$J17="OFFER_DECLINED",'Sterne-Rechner - Angebot'!$J18="OFFER_DECLINED"),'Sterne-Rechner - Angebot'!$J$44,
IF(AND('Sterne-Rechner - Angebot'!$J16="OFFER_READY_FOR_POLICY",'Sterne-Rechner - Angebot'!$J17="OFFER_READY_FOR_POLICY",'Sterne-Rechner - Angebot'!$J18="OFFER_READY_FOR_POLICY"),"",
IF(AND('Sterne-Rechner - Angebot'!$J16="OFFER_REFERRAL",'Sterne-Rechner - Angebot'!$J17="OFFER_REFERRAL",'Sterne-Rechner - Angebot'!$J18="OFFER_REFERRAL"),"","FEHLER!")))</f>
        <v>Manueller Backstop</v>
      </c>
      <c r="N177" s="170" t="str">
        <f>IF(AND('Sterne-Rechner - Angebot'!$J19="OFFER_REFERRAL",'Sterne-Rechner - Angebot'!$J20="OFFER_REFERRAL",'Sterne-Rechner - Angebot'!$J21="OFFER_REFERRAL"),'Sterne-Rechner - Angebot'!$J$44,
 IF(AND('Sterne-Rechner - Angebot'!$J19="OFFER_READY_FOR_POLICY",'Sterne-Rechner - Angebot'!$J20="OFFER_READY_FOR_POLICY",'Sterne-Rechner - Angebot'!$J21="OFFER_READY_FOR_POLICY"),"",
  IF(AND('Sterne-Rechner - Angebot'!$J19="OFFER_DECLINED",'Sterne-Rechner - Angebot'!$J20="OFFER_DECLINED",'Sterne-Rechner - Angebot'!$J21="OFFER_DECLINED"),"","FEHLER!")))</f>
        <v>Manueller Backstop</v>
      </c>
      <c r="O177" t="str">
        <f>IF(AND('Sterne-Rechner - Angebot'!$J19="OFFER_DECLINED",'Sterne-Rechner - Angebot'!$J20="OFFER_DECLINED",'Sterne-Rechner - Angebot'!$J21="OFFER_DECLINED"),'Sterne-Rechner - Angebot'!$J$44,
 IF(AND('Sterne-Rechner - Angebot'!$J19="OFFER_READY_FOR_POLICY",'Sterne-Rechner - Angebot'!$J20="OFFER_READY_FOR_POLICY",'Sterne-Rechner - Angebot'!$J21="OFFER_READY_FOR_POLICY"),"",
  IF(AND('Sterne-Rechner - Angebot'!$J19="OFFER_REFERRAL",'Sterne-Rechner - Angebot'!$J20="OFFER_REFERRAL",'Sterne-Rechner - Angebot'!$J21="OFFER_REFERRAL"),"","FEHLER!")))</f>
        <v/>
      </c>
      <c r="P177" s="170" t="str">
        <f>IF(AND('Sterne-Rechner - Angebot'!$J22="OFFER_REFERRAL",'Sterne-Rechner - Angebot'!$J23="OFFER_REFERRAL",'Sterne-Rechner - Angebot'!$J24="OFFER_REFERRAL"),'Sterne-Rechner - Angebot'!$J$44,
 IF(AND('Sterne-Rechner - Angebot'!$J22="OFFER_READY_FOR_POLICY",'Sterne-Rechner - Angebot'!$J23="OFFER_READY_FOR_POLICY",'Sterne-Rechner - Angebot'!$J24="OFFER_READY_FOR_POLICY"),"",
  IF(AND('Sterne-Rechner - Angebot'!$J22="OFFER_DECLINED",'Sterne-Rechner - Angebot'!$J23="OFFER_DECLINED",'Sterne-Rechner - Angebot'!$J24="OFFER_DECLINED"),"","FEHLER!")))</f>
        <v/>
      </c>
      <c r="Q177" t="str">
        <f>IF(AND('Sterne-Rechner - Angebot'!$J22="OFFER_DECLINED",'Sterne-Rechner - Angebot'!$J23="OFFER_DECLINED",'Sterne-Rechner - Angebot'!$J24="OFFER_DECLINED"),'Sterne-Rechner - Angebot'!$J$44,
 IF(AND('Sterne-Rechner - Angebot'!$J22="OFFER_READY_FOR_POLICY",'Sterne-Rechner - Angebot'!$J23="OFFER_READY_FOR_POLICY",'Sterne-Rechner - Angebot'!$J24="OFFER_READY_FOR_POLICY"),"",
  IF(AND('Sterne-Rechner - Angebot'!$J22="OFFER_REFERRAL",'Sterne-Rechner - Angebot'!$J23="OFFER_REFERRAL",'Sterne-Rechner - Angebot'!$J24="OFFER_REFERRAL"),"","FEHLER!")))</f>
        <v/>
      </c>
      <c r="R177" s="170" t="str">
        <f>IF(AND('Sterne-Rechner - Angebot'!$J25="OFFER_REFERRAL",'Sterne-Rechner - Angebot'!$J26="OFFER_REFERRAL",'Sterne-Rechner - Angebot'!$J27="OFFER_REFERRAL"),'Sterne-Rechner - Angebot'!$J$44,
 IF(AND('Sterne-Rechner - Angebot'!$J25="OFFER_READY_FOR_POLICY",'Sterne-Rechner - Angebot'!$J26="OFFER_READY_FOR_POLICY",'Sterne-Rechner - Angebot'!$J27="OFFER_READY_FOR_POLICY"),"",
  IF(AND('Sterne-Rechner - Angebot'!$J25="OFFER_DECLINED",'Sterne-Rechner - Angebot'!$J26="OFFER_DECLINED",'Sterne-Rechner - Angebot'!$J27="OFFER_DECLINED"),"","FEHLER!")))</f>
        <v/>
      </c>
      <c r="S177" t="str">
        <f>IF(AND('Sterne-Rechner - Angebot'!$J25="OFFER_DECLINED",'Sterne-Rechner - Angebot'!$J26="OFFER_DECLINED",'Sterne-Rechner - Angebot'!$J27="OFFER_DECLINED"),'Sterne-Rechner - Angebot'!$J$44,
 IF(AND('Sterne-Rechner - Angebot'!$J25="OFFER_READY_FOR_POLICY",'Sterne-Rechner - Angebot'!$J26="OFFER_READY_FOR_POLICY",'Sterne-Rechner - Angebot'!$J27="OFFER_READY_FOR_POLICY"),"",
  IF(AND('Sterne-Rechner - Angebot'!$J25="OFFER_REFERRAL",'Sterne-Rechner - Angebot'!$J26="OFFER_REFERRAL",'Sterne-Rechner - Angebot'!$J27="OFFER_REFERRAL"),"","FEHLER!")))</f>
        <v/>
      </c>
      <c r="T177" t="str">
        <f>IF(AND('Sterne-Rechner - Angebot'!$J28="OFFER_REFERRAL",'Sterne-Rechner - Angebot'!$J29="OFFER_REFERRAL",'Sterne-Rechner - Angebot'!$J30="OFFER_REFERRAL"),'Sterne-Rechner - Angebot'!$J$44,
 IF(AND('Sterne-Rechner - Angebot'!$J28="OFFER_READY_FOR_POLICY",'Sterne-Rechner - Angebot'!$J29="OFFER_READY_FOR_POLICY",'Sterne-Rechner - Angebot'!$J30="OFFER_READY_FOR_POLICY"),"",
  IF(AND('Sterne-Rechner - Angebot'!$J28="OFFER_DECLINED",'Sterne-Rechner - Angebot'!$J29="OFFER_DECLINED",'Sterne-Rechner - Angebot'!$J30="OFFER_DECLINED"),"","FEHLER!")))</f>
        <v/>
      </c>
      <c r="U177" t="str">
        <f>IF(AND('Sterne-Rechner - Angebot'!$J28="OFFER_DECLINED",'Sterne-Rechner - Angebot'!$J29="OFFER_DECLINED",'Sterne-Rechner - Angebot'!$J30="OFFER_DECLINED"),'Sterne-Rechner - Angebot'!$J$44,
 IF(AND('Sterne-Rechner - Angebot'!$J28="OFFER_READY_FOR_POLICY",'Sterne-Rechner - Angebot'!$J29="OFFER_READY_FOR_POLICY",'Sterne-Rechner - Angebot'!$J30="OFFER_READY_FOR_POLICY"),"",
  IF(AND('Sterne-Rechner - Angebot'!$J28="OFFER_REFERRAL",'Sterne-Rechner - Angebot'!$J29="OFFER_REFERRAL",'Sterne-Rechner - Angebot'!$J30="OFFER_REFERRAL"),"","FEHLER!")))</f>
        <v/>
      </c>
      <c r="V177" t="str">
        <f>IF(AND('Sterne-Rechner - Angebot'!$J31="OFFER_REFERRAL",'Sterne-Rechner - Angebot'!$J32="OFFER_REFERRAL",'Sterne-Rechner - Angebot'!$J33="OFFER_REFERRAL"),'Sterne-Rechner - Angebot'!$J$44,
 IF(AND('Sterne-Rechner - Angebot'!$J31="OFFER_READY_FOR_POLICY",'Sterne-Rechner - Angebot'!$J32="OFFER_READY_FOR_POLICY",'Sterne-Rechner - Angebot'!$J33="OFFER_READY_FOR_POLICY"),"",
  IF(AND('Sterne-Rechner - Angebot'!$J31="OFFER_DECLINED",'Sterne-Rechner - Angebot'!$J32="OFFER_DECLINED",'Sterne-Rechner - Angebot'!$J33="OFFER_DECLINED"),"","FEHLER!")))</f>
        <v/>
      </c>
      <c r="W177" t="str">
        <f>IF(AND('Sterne-Rechner - Angebot'!$J31="OFFER_DECLINED",'Sterne-Rechner - Angebot'!$J32="OFFER_DECLINED",'Sterne-Rechner - Angebot'!$J33="OFFER_DECLINED"),'Sterne-Rechner - Angebot'!$J$44,
 IF(AND('Sterne-Rechner - Angebot'!$J31="OFFER_READY_FOR_POLICY",'Sterne-Rechner - Angebot'!$J32="OFFER_READY_FOR_POLICY",'Sterne-Rechner - Angebot'!$J33="OFFER_READY_FOR_POLICY"),"",
  IF(AND('Sterne-Rechner - Angebot'!$J31="OFFER_REFERRAL",'Sterne-Rechner - Angebot'!$J32="OFFER_REFERRAL",'Sterne-Rechner - Angebot'!$J33="OFFER_REFERRAL"),"","FEHLER!")))</f>
        <v/>
      </c>
    </row>
    <row r="178" spans="1:23" ht="20.25" customHeight="1"/>
    <row r="179" spans="1:23" ht="20.25" customHeight="1"/>
    <row r="180" spans="1:23" ht="20.25" customHeight="1"/>
    <row r="181" spans="1:23" ht="20.25" customHeight="1"/>
    <row r="182" spans="1:23" ht="20.25" customHeight="1"/>
    <row r="183" spans="1:23" ht="20.25" customHeight="1"/>
    <row r="184" spans="1:23" ht="20.25" customHeight="1"/>
    <row r="185" spans="1:23" ht="20.25" customHeight="1"/>
    <row r="186" spans="1:23" ht="20.25" customHeight="1"/>
    <row r="187" spans="1:23" ht="20.25" customHeight="1"/>
    <row r="188" spans="1:23" ht="20.25" customHeight="1"/>
    <row r="189" spans="1:23" ht="20.25" customHeight="1"/>
    <row r="190" spans="1:23" ht="20.25" customHeight="1"/>
    <row r="191" spans="1:23" ht="20.25" customHeight="1"/>
    <row r="192" spans="1:23" ht="20.25" customHeight="1"/>
    <row r="193" ht="20.25" customHeight="1"/>
    <row r="194" ht="20.25" customHeight="1"/>
    <row r="195" ht="20.25" customHeight="1"/>
    <row r="196" ht="20.25" customHeight="1"/>
    <row r="197" ht="20.25" customHeight="1"/>
    <row r="198" ht="20.25" customHeight="1"/>
    <row r="199" ht="20.25" customHeight="1"/>
    <row r="200" ht="20.25" customHeight="1"/>
    <row r="201" ht="20.25" customHeight="1"/>
    <row r="202" ht="20.25" customHeight="1"/>
    <row r="203" ht="20.25" customHeight="1"/>
    <row r="204" ht="20.25" customHeight="1"/>
    <row r="205" ht="20.25" customHeight="1"/>
    <row r="206" ht="20.25" customHeight="1"/>
    <row r="207" ht="20.25" customHeight="1"/>
    <row r="208" ht="20.25" customHeight="1"/>
    <row r="209" spans="6:17" ht="20.25" customHeight="1"/>
    <row r="210" spans="6:17" ht="20.25" customHeight="1"/>
    <row r="211" spans="6:17" ht="20.25" customHeight="1"/>
    <row r="212" spans="6:17" ht="20.25" customHeight="1"/>
    <row r="213" spans="6:17" ht="20.25" customHeight="1"/>
    <row r="214" spans="6:17" ht="20.25" customHeight="1"/>
    <row r="215" spans="6:17" ht="20.25" customHeight="1"/>
    <row r="216" spans="6:17" ht="20.25" customHeight="1">
      <c r="F216" t="str">
        <f>IFERROR(INDEX(Fragenkatalog!#REF!,MATCH('Referral Stati'!$J$19,Fragenkatalog!#REF!,0)),"")</f>
        <v/>
      </c>
      <c r="G216" t="str">
        <f>IFERROR(INDEX(Fragenkatalog!#REF!,MATCH('Referral Stati'!$K$19,Fragenkatalog!#REF!,0)),"")</f>
        <v/>
      </c>
      <c r="J216" t="str">
        <f>IFERROR(INDEX(Fragenkatalog!#REF!,MATCH('Referral Stati'!$J$19,Fragenkatalog!#REF!,0)),"")</f>
        <v/>
      </c>
      <c r="K216" t="str">
        <f>IFERROR(INDEX(Fragenkatalog!#REF!,MATCH('Referral Stati'!$K$19,Fragenkatalog!#REF!,0)),"")</f>
        <v/>
      </c>
      <c r="L216" t="str">
        <f>IFERROR(INDEX(Fragenkatalog!#REF!,MATCH('Referral Stati'!$J$19,Fragenkatalog!#REF!,0)),"")</f>
        <v/>
      </c>
      <c r="M216" t="str">
        <f>IFERROR(INDEX(Fragenkatalog!#REF!,MATCH('Referral Stati'!$M$19,Fragenkatalog!#REF!,0)),"")</f>
        <v/>
      </c>
      <c r="N216" t="str">
        <f>IFERROR(INDEX(Fragenkatalog!#REF!,MATCH('Referral Stati'!$J$19,Fragenkatalog!#REF!,0)),"")</f>
        <v/>
      </c>
      <c r="O216" t="str">
        <f>IFERROR(INDEX(Fragenkatalog!#REF!,MATCH('Referral Stati'!$O$19,Fragenkatalog!#REF!,0)),"")</f>
        <v/>
      </c>
      <c r="P216" t="str">
        <f>IFERROR(INDEX(Fragenkatalog!#REF!,MATCH('Referral Stati'!$J$19,Fragenkatalog!#REF!,0)),"")</f>
        <v/>
      </c>
      <c r="Q216" t="str">
        <f>IFERROR(INDEX(Fragenkatalog!#REF!,MATCH('Referral Stati'!$Q$19,Fragenkatalog!#REF!,0)),"")</f>
        <v/>
      </c>
    </row>
    <row r="217" spans="6:17" ht="20.25" customHeight="1">
      <c r="F217" t="str">
        <f>IFERROR(INDEX(Fragenkatalog!#REF!,MATCH('Referral Stati'!$J$19,Fragenkatalog!#REF!,0)),"")</f>
        <v/>
      </c>
      <c r="G217" t="str">
        <f>IFERROR(INDEX(Fragenkatalog!#REF!,MATCH('Referral Stati'!$K$19,Fragenkatalog!#REF!,0)),"")</f>
        <v/>
      </c>
      <c r="J217" t="str">
        <f>IFERROR(INDEX(Fragenkatalog!#REF!,MATCH('Referral Stati'!$J$19,Fragenkatalog!#REF!,0)),"")</f>
        <v/>
      </c>
      <c r="K217" t="str">
        <f>IFERROR(INDEX(Fragenkatalog!#REF!,MATCH('Referral Stati'!$K$19,Fragenkatalog!#REF!,0)),"")</f>
        <v/>
      </c>
      <c r="L217" t="str">
        <f>IFERROR(INDEX(Fragenkatalog!#REF!,MATCH('Referral Stati'!$J$19,Fragenkatalog!#REF!,0)),"")</f>
        <v/>
      </c>
      <c r="M217" t="str">
        <f>IFERROR(INDEX(Fragenkatalog!#REF!,MATCH('Referral Stati'!$M$19,Fragenkatalog!#REF!,0)),"")</f>
        <v/>
      </c>
      <c r="N217" t="str">
        <f>IFERROR(INDEX(Fragenkatalog!#REF!,MATCH('Referral Stati'!$J$19,Fragenkatalog!#REF!,0)),"")</f>
        <v/>
      </c>
      <c r="O217" t="str">
        <f>IFERROR(INDEX(Fragenkatalog!#REF!,MATCH('Referral Stati'!$O$19,Fragenkatalog!#REF!,0)),"")</f>
        <v/>
      </c>
      <c r="P217" t="str">
        <f>IFERROR(INDEX(Fragenkatalog!#REF!,MATCH('Referral Stati'!$J$19,Fragenkatalog!#REF!,0)),"")</f>
        <v/>
      </c>
      <c r="Q217" t="str">
        <f>IFERROR(INDEX(Fragenkatalog!#REF!,MATCH('Referral Stati'!$Q$19,Fragenkatalog!#REF!,0)),"")</f>
        <v/>
      </c>
    </row>
    <row r="218" spans="6:17" ht="20.25" customHeight="1">
      <c r="F218" t="str">
        <f>IFERROR(INDEX(Fragenkatalog!#REF!,MATCH('Referral Stati'!$J$19,Fragenkatalog!#REF!,0)),"")</f>
        <v/>
      </c>
      <c r="G218" t="str">
        <f>IFERROR(INDEX(Fragenkatalog!#REF!,MATCH('Referral Stati'!$K$19,Fragenkatalog!#REF!,0)),"")</f>
        <v/>
      </c>
      <c r="J218" t="str">
        <f>IFERROR(INDEX(Fragenkatalog!#REF!,MATCH('Referral Stati'!$J$19,Fragenkatalog!#REF!,0)),"")</f>
        <v/>
      </c>
      <c r="K218" t="str">
        <f>IFERROR(INDEX(Fragenkatalog!#REF!,MATCH('Referral Stati'!$K$19,Fragenkatalog!#REF!,0)),"")</f>
        <v/>
      </c>
      <c r="L218" t="str">
        <f>IFERROR(INDEX(Fragenkatalog!#REF!,MATCH('Referral Stati'!$J$19,Fragenkatalog!#REF!,0)),"")</f>
        <v/>
      </c>
      <c r="M218" t="str">
        <f>IFERROR(INDEX(Fragenkatalog!#REF!,MATCH('Referral Stati'!$M$19,Fragenkatalog!#REF!,0)),"")</f>
        <v/>
      </c>
      <c r="N218" t="str">
        <f>IFERROR(INDEX(Fragenkatalog!#REF!,MATCH('Referral Stati'!$J$19,Fragenkatalog!#REF!,0)),"")</f>
        <v/>
      </c>
      <c r="O218" t="str">
        <f>IFERROR(INDEX(Fragenkatalog!#REF!,MATCH('Referral Stati'!$O$19,Fragenkatalog!#REF!,0)),"")</f>
        <v/>
      </c>
      <c r="P218" t="str">
        <f>IFERROR(INDEX(Fragenkatalog!#REF!,MATCH('Referral Stati'!$J$19,Fragenkatalog!#REF!,0)),"")</f>
        <v/>
      </c>
      <c r="Q218" t="str">
        <f>IFERROR(INDEX(Fragenkatalog!#REF!,MATCH('Referral Stati'!$Q$19,Fragenkatalog!#REF!,0)),"")</f>
        <v/>
      </c>
    </row>
    <row r="219" spans="6:17" ht="20.25" customHeight="1">
      <c r="F219" t="str">
        <f>IFERROR(INDEX(Fragenkatalog!#REF!,MATCH('Referral Stati'!$J$19,Fragenkatalog!#REF!,0)),"")</f>
        <v/>
      </c>
      <c r="G219" t="str">
        <f>IFERROR(INDEX(Fragenkatalog!#REF!,MATCH('Referral Stati'!$K$19,Fragenkatalog!#REF!,0)),"")</f>
        <v/>
      </c>
      <c r="J219" t="str">
        <f>IFERROR(INDEX(Fragenkatalog!#REF!,MATCH('Referral Stati'!$J$19,Fragenkatalog!#REF!,0)),"")</f>
        <v/>
      </c>
      <c r="K219" t="str">
        <f>IFERROR(INDEX(Fragenkatalog!#REF!,MATCH('Referral Stati'!$K$19,Fragenkatalog!#REF!,0)),"")</f>
        <v/>
      </c>
      <c r="L219" t="str">
        <f>IFERROR(INDEX(Fragenkatalog!#REF!,MATCH('Referral Stati'!$J$19,Fragenkatalog!#REF!,0)),"")</f>
        <v/>
      </c>
      <c r="M219" t="str">
        <f>IFERROR(INDEX(Fragenkatalog!#REF!,MATCH('Referral Stati'!$M$19,Fragenkatalog!#REF!,0)),"")</f>
        <v/>
      </c>
      <c r="N219" t="str">
        <f>IFERROR(INDEX(Fragenkatalog!#REF!,MATCH('Referral Stati'!$J$19,Fragenkatalog!#REF!,0)),"")</f>
        <v/>
      </c>
      <c r="O219" t="str">
        <f>IFERROR(INDEX(Fragenkatalog!#REF!,MATCH('Referral Stati'!$O$19,Fragenkatalog!#REF!,0)),"")</f>
        <v/>
      </c>
      <c r="P219" t="str">
        <f>IFERROR(INDEX(Fragenkatalog!#REF!,MATCH('Referral Stati'!$J$19,Fragenkatalog!#REF!,0)),"")</f>
        <v/>
      </c>
      <c r="Q219" t="str">
        <f>IFERROR(INDEX(Fragenkatalog!#REF!,MATCH('Referral Stati'!$Q$19,Fragenkatalog!#REF!,0)),"")</f>
        <v/>
      </c>
    </row>
    <row r="220" spans="6:17" ht="20.25" customHeight="1">
      <c r="F220" t="str">
        <f>IFERROR(INDEX(Fragenkatalog!#REF!,MATCH('Referral Stati'!$J$19,Fragenkatalog!#REF!,0)),"")</f>
        <v/>
      </c>
      <c r="G220" t="str">
        <f>IFERROR(INDEX(Fragenkatalog!#REF!,MATCH('Referral Stati'!$K$19,Fragenkatalog!#REF!,0)),"")</f>
        <v/>
      </c>
      <c r="J220" t="str">
        <f>IFERROR(INDEX(Fragenkatalog!#REF!,MATCH('Referral Stati'!$J$19,Fragenkatalog!#REF!,0)),"")</f>
        <v/>
      </c>
      <c r="K220" t="str">
        <f>IFERROR(INDEX(Fragenkatalog!#REF!,MATCH('Referral Stati'!$K$19,Fragenkatalog!#REF!,0)),"")</f>
        <v/>
      </c>
      <c r="L220" t="str">
        <f>IFERROR(INDEX(Fragenkatalog!#REF!,MATCH('Referral Stati'!$J$19,Fragenkatalog!#REF!,0)),"")</f>
        <v/>
      </c>
      <c r="M220" t="str">
        <f>IFERROR(INDEX(Fragenkatalog!#REF!,MATCH('Referral Stati'!$M$19,Fragenkatalog!#REF!,0)),"")</f>
        <v/>
      </c>
      <c r="N220" t="str">
        <f>IFERROR(INDEX(Fragenkatalog!#REF!,MATCH('Referral Stati'!$J$19,Fragenkatalog!#REF!,0)),"")</f>
        <v/>
      </c>
      <c r="O220" t="str">
        <f>IFERROR(INDEX(Fragenkatalog!#REF!,MATCH('Referral Stati'!$O$19,Fragenkatalog!#REF!,0)),"")</f>
        <v/>
      </c>
      <c r="P220" t="str">
        <f>IFERROR(INDEX(Fragenkatalog!#REF!,MATCH('Referral Stati'!$J$19,Fragenkatalog!#REF!,0)),"")</f>
        <v/>
      </c>
      <c r="Q220" t="str">
        <f>IFERROR(INDEX(Fragenkatalog!#REF!,MATCH('Referral Stati'!$Q$19,Fragenkatalog!#REF!,0)),"")</f>
        <v/>
      </c>
    </row>
    <row r="221" spans="6:17" ht="20.25" customHeight="1">
      <c r="F221" t="str">
        <f>IFERROR(INDEX(Fragenkatalog!#REF!,MATCH('Referral Stati'!$J$19,Fragenkatalog!#REF!,0)),"")</f>
        <v/>
      </c>
      <c r="G221" t="str">
        <f>IFERROR(INDEX(Fragenkatalog!#REF!,MATCH('Referral Stati'!$K$19,Fragenkatalog!#REF!,0)),"")</f>
        <v/>
      </c>
      <c r="J221" t="str">
        <f>IFERROR(INDEX(Fragenkatalog!#REF!,MATCH('Referral Stati'!$J$19,Fragenkatalog!#REF!,0)),"")</f>
        <v/>
      </c>
      <c r="K221" t="str">
        <f>IFERROR(INDEX(Fragenkatalog!#REF!,MATCH('Referral Stati'!$K$19,Fragenkatalog!#REF!,0)),"")</f>
        <v/>
      </c>
      <c r="L221" t="str">
        <f>IFERROR(INDEX(Fragenkatalog!#REF!,MATCH('Referral Stati'!$J$19,Fragenkatalog!#REF!,0)),"")</f>
        <v/>
      </c>
      <c r="M221" t="str">
        <f>IFERROR(INDEX(Fragenkatalog!#REF!,MATCH('Referral Stati'!$M$19,Fragenkatalog!#REF!,0)),"")</f>
        <v/>
      </c>
      <c r="N221" t="str">
        <f>IFERROR(INDEX(Fragenkatalog!#REF!,MATCH('Referral Stati'!$J$19,Fragenkatalog!#REF!,0)),"")</f>
        <v/>
      </c>
      <c r="O221" t="str">
        <f>IFERROR(INDEX(Fragenkatalog!#REF!,MATCH('Referral Stati'!$O$19,Fragenkatalog!#REF!,0)),"")</f>
        <v/>
      </c>
      <c r="P221" t="str">
        <f>IFERROR(INDEX(Fragenkatalog!#REF!,MATCH('Referral Stati'!$J$19,Fragenkatalog!#REF!,0)),"")</f>
        <v/>
      </c>
      <c r="Q221" t="str">
        <f>IFERROR(INDEX(Fragenkatalog!#REF!,MATCH('Referral Stati'!$Q$19,Fragenkatalog!#REF!,0)),"")</f>
        <v/>
      </c>
    </row>
    <row r="222" spans="6:17" ht="20.25" customHeight="1">
      <c r="F222" t="str">
        <f>IFERROR(INDEX(Fragenkatalog!#REF!,MATCH('Referral Stati'!$J$19,Fragenkatalog!#REF!,0)),"")</f>
        <v/>
      </c>
      <c r="G222" t="str">
        <f>IFERROR(INDEX(Fragenkatalog!#REF!,MATCH('Referral Stati'!$K$19,Fragenkatalog!#REF!,0)),"")</f>
        <v/>
      </c>
      <c r="J222" t="str">
        <f>IFERROR(INDEX(Fragenkatalog!#REF!,MATCH('Referral Stati'!$J$19,Fragenkatalog!#REF!,0)),"")</f>
        <v/>
      </c>
      <c r="K222" t="str">
        <f>IFERROR(INDEX(Fragenkatalog!#REF!,MATCH('Referral Stati'!$K$19,Fragenkatalog!#REF!,0)),"")</f>
        <v/>
      </c>
      <c r="L222" t="str">
        <f>IFERROR(INDEX(Fragenkatalog!#REF!,MATCH('Referral Stati'!$J$19,Fragenkatalog!#REF!,0)),"")</f>
        <v/>
      </c>
      <c r="M222" t="str">
        <f>IFERROR(INDEX(Fragenkatalog!#REF!,MATCH('Referral Stati'!$M$19,Fragenkatalog!#REF!,0)),"")</f>
        <v/>
      </c>
      <c r="N222" t="str">
        <f>IFERROR(INDEX(Fragenkatalog!#REF!,MATCH('Referral Stati'!$J$19,Fragenkatalog!#REF!,0)),"")</f>
        <v/>
      </c>
      <c r="O222" t="str">
        <f>IFERROR(INDEX(Fragenkatalog!#REF!,MATCH('Referral Stati'!$O$19,Fragenkatalog!#REF!,0)),"")</f>
        <v/>
      </c>
      <c r="P222" t="str">
        <f>IFERROR(INDEX(Fragenkatalog!#REF!,MATCH('Referral Stati'!$J$19,Fragenkatalog!#REF!,0)),"")</f>
        <v/>
      </c>
      <c r="Q222" t="str">
        <f>IFERROR(INDEX(Fragenkatalog!#REF!,MATCH('Referral Stati'!$Q$19,Fragenkatalog!#REF!,0)),"")</f>
        <v/>
      </c>
    </row>
    <row r="223" spans="6:17" ht="20.25" customHeight="1">
      <c r="F223" t="str">
        <f>IFERROR(INDEX(Fragenkatalog!#REF!,MATCH('Referral Stati'!$J$19,Fragenkatalog!#REF!,0)),"")</f>
        <v/>
      </c>
      <c r="G223" t="str">
        <f>IFERROR(INDEX(Fragenkatalog!#REF!,MATCH('Referral Stati'!$K$19,Fragenkatalog!#REF!,0)),"")</f>
        <v/>
      </c>
      <c r="J223" t="str">
        <f>IFERROR(INDEX(Fragenkatalog!#REF!,MATCH('Referral Stati'!$J$19,Fragenkatalog!#REF!,0)),"")</f>
        <v/>
      </c>
      <c r="K223" t="str">
        <f>IFERROR(INDEX(Fragenkatalog!#REF!,MATCH('Referral Stati'!$K$19,Fragenkatalog!#REF!,0)),"")</f>
        <v/>
      </c>
      <c r="L223" t="str">
        <f>IFERROR(INDEX(Fragenkatalog!#REF!,MATCH('Referral Stati'!$J$19,Fragenkatalog!#REF!,0)),"")</f>
        <v/>
      </c>
      <c r="M223" t="str">
        <f>IFERROR(INDEX(Fragenkatalog!#REF!,MATCH('Referral Stati'!$M$19,Fragenkatalog!#REF!,0)),"")</f>
        <v/>
      </c>
      <c r="N223" t="str">
        <f>IFERROR(INDEX(Fragenkatalog!#REF!,MATCH('Referral Stati'!$J$19,Fragenkatalog!#REF!,0)),"")</f>
        <v/>
      </c>
      <c r="O223" t="str">
        <f>IFERROR(INDEX(Fragenkatalog!#REF!,MATCH('Referral Stati'!$O$19,Fragenkatalog!#REF!,0)),"")</f>
        <v/>
      </c>
      <c r="P223" t="str">
        <f>IFERROR(INDEX(Fragenkatalog!#REF!,MATCH('Referral Stati'!$J$19,Fragenkatalog!#REF!,0)),"")</f>
        <v/>
      </c>
      <c r="Q223" t="str">
        <f>IFERROR(INDEX(Fragenkatalog!#REF!,MATCH('Referral Stati'!$Q$19,Fragenkatalog!#REF!,0)),"")</f>
        <v/>
      </c>
    </row>
    <row r="224" spans="6:17" ht="20.25" customHeight="1">
      <c r="F224" t="str">
        <f>IFERROR(INDEX(Fragenkatalog!#REF!,MATCH('Referral Stati'!$J$19,Fragenkatalog!#REF!,0)),"")</f>
        <v/>
      </c>
      <c r="G224" t="str">
        <f>IFERROR(INDEX(Fragenkatalog!#REF!,MATCH('Referral Stati'!$K$19,Fragenkatalog!#REF!,0)),"")</f>
        <v/>
      </c>
      <c r="J224" t="str">
        <f>IFERROR(INDEX(Fragenkatalog!#REF!,MATCH('Referral Stati'!$J$19,Fragenkatalog!#REF!,0)),"")</f>
        <v/>
      </c>
      <c r="K224" t="str">
        <f>IFERROR(INDEX(Fragenkatalog!#REF!,MATCH('Referral Stati'!$K$19,Fragenkatalog!#REF!,0)),"")</f>
        <v/>
      </c>
      <c r="L224" t="str">
        <f>IFERROR(INDEX(Fragenkatalog!#REF!,MATCH('Referral Stati'!$J$19,Fragenkatalog!#REF!,0)),"")</f>
        <v/>
      </c>
      <c r="M224" t="str">
        <f>IFERROR(INDEX(Fragenkatalog!#REF!,MATCH('Referral Stati'!$M$19,Fragenkatalog!#REF!,0)),"")</f>
        <v/>
      </c>
      <c r="N224" t="str">
        <f>IFERROR(INDEX(Fragenkatalog!#REF!,MATCH('Referral Stati'!$J$19,Fragenkatalog!#REF!,0)),"")</f>
        <v/>
      </c>
      <c r="O224" t="str">
        <f>IFERROR(INDEX(Fragenkatalog!#REF!,MATCH('Referral Stati'!$O$19,Fragenkatalog!#REF!,0)),"")</f>
        <v/>
      </c>
      <c r="P224" t="str">
        <f>IFERROR(INDEX(Fragenkatalog!#REF!,MATCH('Referral Stati'!$J$19,Fragenkatalog!#REF!,0)),"")</f>
        <v/>
      </c>
      <c r="Q224" t="str">
        <f>IFERROR(INDEX(Fragenkatalog!#REF!,MATCH('Referral Stati'!$Q$19,Fragenkatalog!#REF!,0)),"")</f>
        <v/>
      </c>
    </row>
    <row r="225" ht="20.25" customHeight="1"/>
    <row r="226" ht="20.25" customHeight="1"/>
    <row r="227" ht="20.25" customHeight="1"/>
    <row r="228" ht="20.25" customHeight="1"/>
    <row r="229" ht="20.25" customHeight="1"/>
    <row r="230" ht="20.25" customHeight="1"/>
    <row r="231" ht="20.25" customHeight="1"/>
    <row r="232" ht="20.25" customHeight="1"/>
    <row r="233" ht="20.25" customHeight="1"/>
    <row r="234" ht="20.25" customHeight="1"/>
    <row r="235" ht="20.25" customHeight="1"/>
    <row r="236" ht="20.25" customHeight="1"/>
    <row r="237" ht="20.25" customHeight="1"/>
    <row r="238" ht="20.25" customHeight="1"/>
    <row r="239" ht="20.25" customHeight="1"/>
    <row r="240" ht="20.25" customHeight="1"/>
    <row r="241" ht="20.25" customHeight="1"/>
    <row r="242" ht="20.25" customHeight="1"/>
    <row r="243" ht="20.25" customHeight="1"/>
    <row r="244" ht="20.25" customHeight="1"/>
    <row r="245" ht="20.25" customHeight="1"/>
    <row r="246" ht="20.25" customHeight="1"/>
    <row r="247" ht="20.25" customHeight="1"/>
    <row r="248" ht="20.25" customHeight="1"/>
    <row r="249" ht="20.25" customHeight="1"/>
    <row r="250" ht="20.25" customHeight="1"/>
    <row r="251" ht="20.25" customHeight="1"/>
    <row r="252" ht="20.25" customHeight="1"/>
    <row r="253" ht="20.25" customHeight="1"/>
    <row r="254" ht="20.25" customHeight="1"/>
    <row r="255" ht="20.25" customHeight="1"/>
    <row r="256" ht="20.25" customHeight="1"/>
    <row r="257" ht="20.25" customHeight="1"/>
    <row r="258" ht="20.25" customHeight="1"/>
    <row r="259" ht="20.25" customHeight="1"/>
    <row r="260" ht="20.25" customHeight="1"/>
    <row r="261" ht="20.25" customHeight="1"/>
    <row r="262" ht="20.25" customHeight="1"/>
    <row r="263" ht="20.25" customHeight="1"/>
    <row r="264" ht="20.25" customHeight="1"/>
    <row r="265" ht="20.25" customHeight="1"/>
    <row r="266" ht="20.25" customHeight="1"/>
    <row r="267" ht="20.25" customHeight="1"/>
    <row r="268" ht="20.25" customHeight="1"/>
    <row r="269" ht="20.25" customHeight="1"/>
    <row r="270" ht="20.25" customHeight="1"/>
    <row r="271" ht="20.25" customHeight="1"/>
    <row r="272" ht="20.25" customHeight="1"/>
    <row r="273" ht="20.25" customHeight="1"/>
    <row r="274" ht="20.25" customHeight="1"/>
    <row r="275" ht="20.25" customHeight="1"/>
    <row r="276" ht="20.25" customHeight="1"/>
    <row r="277" ht="20.25" customHeight="1"/>
    <row r="278" ht="20.25" customHeight="1"/>
    <row r="279" ht="20.25" customHeight="1"/>
    <row r="280" ht="20.25" customHeight="1"/>
    <row r="281" ht="20.25" customHeight="1"/>
    <row r="282" ht="20.25" customHeight="1"/>
    <row r="283" ht="20.25" customHeight="1"/>
    <row r="284" ht="20.25" customHeight="1"/>
    <row r="285" ht="20.25" customHeight="1"/>
    <row r="286" ht="20.25" customHeight="1"/>
    <row r="287" ht="20.25" customHeight="1"/>
    <row r="288" ht="20.25" customHeight="1"/>
    <row r="289" ht="20.25" customHeight="1"/>
    <row r="290" ht="20.25" customHeight="1"/>
    <row r="291" ht="20.25" customHeight="1"/>
    <row r="292" ht="20.25" customHeight="1"/>
    <row r="293" ht="20.25" customHeight="1"/>
    <row r="294" ht="20.25" customHeight="1"/>
    <row r="295" ht="20.25" customHeight="1"/>
    <row r="296" ht="20.25" customHeight="1"/>
    <row r="297" ht="20.25" customHeight="1"/>
    <row r="298" ht="20.25" customHeight="1"/>
    <row r="299" ht="20.25" customHeight="1"/>
    <row r="300" ht="20.25" customHeight="1"/>
    <row r="301" ht="20.25" customHeight="1"/>
    <row r="302" ht="20.25" customHeight="1"/>
    <row r="303" ht="20.25" customHeight="1"/>
    <row r="304" ht="20.25" customHeight="1"/>
    <row r="305" ht="20.25" customHeight="1"/>
    <row r="306" ht="20.25" customHeight="1"/>
    <row r="307" ht="20.25" customHeight="1"/>
    <row r="308" ht="20.25" customHeight="1"/>
    <row r="309" ht="20.25" customHeight="1"/>
    <row r="310" ht="20.25" customHeight="1"/>
    <row r="311" ht="20.25" customHeight="1"/>
    <row r="312" ht="20.25" customHeight="1"/>
    <row r="313" ht="20.25" customHeight="1"/>
    <row r="314" ht="20.25" customHeight="1"/>
    <row r="315" ht="20.25" customHeight="1"/>
    <row r="316" ht="20.25" customHeight="1"/>
    <row r="317" ht="20.25" customHeight="1"/>
    <row r="318" ht="20.25" customHeight="1"/>
    <row r="319" ht="20.25" customHeight="1"/>
    <row r="320" ht="20.25" customHeight="1"/>
    <row r="321" ht="20.25" customHeight="1"/>
    <row r="322" ht="20.25" customHeight="1"/>
    <row r="323" ht="20.25" customHeight="1"/>
    <row r="324" ht="20.25" customHeight="1"/>
    <row r="325" ht="20.25" customHeight="1"/>
    <row r="326" ht="20.25" customHeight="1"/>
    <row r="327" ht="20.25" customHeight="1"/>
    <row r="328" ht="20.25" customHeight="1"/>
    <row r="329" ht="20.25" customHeight="1"/>
    <row r="330" ht="20.25" customHeight="1"/>
    <row r="331" ht="20.25" customHeight="1"/>
    <row r="332" ht="20.25" customHeight="1"/>
    <row r="333" ht="20.25" customHeight="1"/>
    <row r="334" ht="20.25" customHeight="1"/>
    <row r="335" ht="20.25" customHeight="1"/>
    <row r="336" ht="20.25" customHeight="1"/>
    <row r="337" ht="20.25" customHeight="1"/>
    <row r="338" ht="20.25" customHeight="1"/>
    <row r="339" ht="20.25" customHeight="1"/>
    <row r="340" ht="20.25" customHeight="1"/>
    <row r="341" ht="20.25" customHeight="1"/>
    <row r="342" ht="20.25" customHeight="1"/>
    <row r="343" ht="20.25" customHeight="1"/>
    <row r="344" ht="20.25" customHeight="1"/>
    <row r="345" ht="20.25" customHeight="1"/>
    <row r="346" ht="20.25" customHeight="1"/>
    <row r="347" ht="20.25" customHeight="1"/>
    <row r="348" ht="20.25" customHeight="1"/>
    <row r="349" ht="20.25" customHeight="1"/>
    <row r="350" ht="20.25" customHeight="1"/>
    <row r="351" ht="20.25" customHeight="1"/>
    <row r="352" ht="20.25" customHeight="1"/>
    <row r="353" ht="20.25" customHeight="1"/>
    <row r="354" ht="20.25" customHeight="1"/>
    <row r="355" ht="20.25" customHeight="1"/>
    <row r="356" ht="20.25" customHeight="1"/>
    <row r="357" ht="20.25" customHeight="1"/>
    <row r="358" ht="20.25" customHeight="1"/>
    <row r="359" ht="20.25" customHeight="1"/>
    <row r="360" ht="20.25" customHeight="1"/>
    <row r="361" ht="20.25" customHeight="1"/>
    <row r="362" ht="20.25" customHeight="1"/>
    <row r="363" ht="20.25" customHeight="1"/>
    <row r="364" ht="20.25" customHeight="1"/>
    <row r="365" ht="20.25" customHeight="1"/>
    <row r="366" ht="20.25" customHeight="1"/>
    <row r="367" ht="20.25" customHeight="1"/>
    <row r="368" ht="20.25" customHeight="1"/>
    <row r="369" ht="20.25" customHeight="1"/>
    <row r="370" ht="20.25" customHeight="1"/>
    <row r="371" ht="20.25" customHeight="1"/>
    <row r="372" ht="20.25" customHeight="1"/>
    <row r="373" ht="20.25" customHeight="1"/>
    <row r="374" ht="20.25" customHeight="1"/>
    <row r="375" ht="20.25" customHeight="1"/>
    <row r="376" ht="20.25" customHeight="1"/>
    <row r="377" ht="20.25" customHeight="1"/>
    <row r="378" ht="20.25" customHeight="1"/>
    <row r="379" ht="20.25" customHeight="1"/>
    <row r="380" ht="20.25" customHeight="1"/>
    <row r="381" ht="20.25" customHeight="1"/>
    <row r="382" ht="20.25" customHeight="1"/>
    <row r="383" ht="20.25" customHeight="1"/>
    <row r="384" ht="20.25" customHeight="1"/>
    <row r="385" ht="20.25" customHeight="1"/>
    <row r="386" ht="20.25" customHeight="1"/>
    <row r="387" ht="20.25" customHeight="1"/>
    <row r="388" ht="20.25" customHeight="1"/>
    <row r="389" ht="20.25" customHeight="1"/>
    <row r="390" ht="20.25" customHeight="1"/>
    <row r="391" ht="20.25" customHeight="1"/>
    <row r="392" ht="20.25" customHeight="1"/>
    <row r="393" ht="20.25" customHeight="1"/>
    <row r="394" ht="20.25" customHeight="1"/>
    <row r="395" ht="20.25" customHeight="1"/>
    <row r="396" ht="20.25" customHeight="1"/>
    <row r="397" ht="20.25" customHeight="1"/>
    <row r="398" ht="20.25" customHeight="1"/>
    <row r="399" ht="20.25" customHeight="1"/>
    <row r="400" ht="20.25" customHeight="1"/>
    <row r="401" ht="20.25" customHeight="1"/>
    <row r="402" ht="20.25" customHeight="1"/>
    <row r="403" ht="20.25" customHeight="1"/>
    <row r="404" ht="20.25" customHeight="1"/>
    <row r="405" ht="20.25" customHeight="1"/>
    <row r="406" ht="20.25" customHeight="1"/>
    <row r="407" ht="20.25" customHeight="1"/>
    <row r="408" ht="20.25" customHeight="1"/>
    <row r="409" ht="20.25" customHeight="1"/>
    <row r="410" ht="20.25" customHeight="1"/>
    <row r="411" ht="20.25" customHeight="1"/>
    <row r="412" ht="20.25" customHeight="1"/>
    <row r="413" ht="20.25" customHeight="1"/>
    <row r="414" ht="20.25" customHeight="1"/>
    <row r="415" ht="20.25" customHeight="1"/>
    <row r="416" ht="20.25" customHeight="1"/>
    <row r="417" ht="20.25" customHeight="1"/>
    <row r="418" ht="20.25" customHeight="1"/>
    <row r="419" ht="20.25" customHeight="1"/>
    <row r="420" ht="20.25" customHeight="1"/>
    <row r="421" ht="20.25" customHeight="1"/>
    <row r="422" ht="20.25" customHeight="1"/>
    <row r="423" ht="20.25" customHeight="1"/>
    <row r="424" ht="20.2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sheetData>
  <autoFilter ref="A2:Q224"/>
  <mergeCells count="11">
    <mergeCell ref="V1:W1"/>
    <mergeCell ref="B1:C1"/>
    <mergeCell ref="D1:E1"/>
    <mergeCell ref="F1:G1"/>
    <mergeCell ref="H1:I1"/>
    <mergeCell ref="J1:K1"/>
    <mergeCell ref="T1:U1"/>
    <mergeCell ref="R1:S1"/>
    <mergeCell ref="L1:M1"/>
    <mergeCell ref="N1:O1"/>
    <mergeCell ref="P1:Q1"/>
  </mergeCells>
  <pageMargins left="0.7" right="0.7" top="0.78740157499999996" bottom="0.78740157499999996"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2EFD9"/>
  </sheetPr>
  <dimension ref="A1:BI1014"/>
  <sheetViews>
    <sheetView zoomScaleNormal="100" workbookViewId="0">
      <pane xSplit="2" topLeftCell="L1" activePane="topRight" state="frozen"/>
      <selection pane="topRight" activeCell="AA4" sqref="AA4"/>
    </sheetView>
  </sheetViews>
  <sheetFormatPr baseColWidth="10" defaultColWidth="14.33203125" defaultRowHeight="15" customHeight="1"/>
  <cols>
    <col min="1" max="1" width="11.33203125" customWidth="1"/>
    <col min="2" max="2" width="41.5546875" customWidth="1"/>
    <col min="3" max="3" width="28.33203125" customWidth="1"/>
    <col min="4" max="12" width="19.33203125" customWidth="1"/>
    <col min="13" max="13" width="13.6640625" customWidth="1"/>
    <col min="14" max="14" width="18" customWidth="1"/>
    <col min="15" max="15" width="17.33203125" customWidth="1"/>
    <col min="16" max="16" width="22.5546875" customWidth="1"/>
    <col min="17" max="17" width="17.6640625" customWidth="1"/>
    <col min="18" max="18" width="24.33203125" customWidth="1"/>
    <col min="19" max="19" width="38.33203125" customWidth="1"/>
    <col min="20" max="25" width="25.6640625" customWidth="1"/>
    <col min="26" max="26" width="22.5546875" customWidth="1"/>
    <col min="27" max="61" width="11.33203125" customWidth="1"/>
  </cols>
  <sheetData>
    <row r="1" spans="1:26" ht="14.25" customHeight="1">
      <c r="A1" s="1063" t="s">
        <v>3780</v>
      </c>
      <c r="B1" s="1063"/>
      <c r="C1" s="23"/>
      <c r="D1" s="800"/>
      <c r="E1" s="801"/>
      <c r="F1" s="800"/>
      <c r="H1" s="800"/>
      <c r="T1" s="800"/>
    </row>
    <row r="2" spans="1:26" ht="30" customHeight="1">
      <c r="A2" s="1063"/>
      <c r="B2" s="1063"/>
      <c r="C2" s="23"/>
      <c r="D2" s="800"/>
      <c r="E2" s="801"/>
      <c r="F2" s="800"/>
      <c r="H2" s="800"/>
      <c r="T2" s="972">
        <f>IF(libertyde_MinEquityRatio="",libertyde_Referral,IF(LibertyEigenkapitalquote&gt;=libertyde_MinEquityRatio,OfferReady,libertyde_Referral))</f>
        <v>0</v>
      </c>
      <c r="U2" s="973">
        <f>IF(libertyde_MinEquityRatio="",libertyde_PremiumAdjustment,IF(LibertyEigenkapitalquote&gt;=libertyde_MinEquityRatio,libertyde_MinEquityRatio_PremiumAdjustment+libertyde_PremiumAdjustment,libertyde_PremiumAdjustment))</f>
        <v>0</v>
      </c>
    </row>
    <row r="3" spans="1:26" ht="14.25" customHeight="1">
      <c r="B3" s="23"/>
      <c r="C3" s="23"/>
      <c r="D3" s="802"/>
      <c r="E3" s="803"/>
      <c r="F3" s="802"/>
      <c r="G3" s="803"/>
      <c r="H3" s="802"/>
      <c r="I3" s="803"/>
      <c r="J3" s="802"/>
      <c r="K3" s="803"/>
      <c r="L3" s="802"/>
      <c r="M3" s="803"/>
      <c r="N3" s="153"/>
      <c r="O3" s="153"/>
      <c r="P3" s="153"/>
      <c r="Q3" s="153"/>
      <c r="R3" s="802"/>
      <c r="S3" s="803"/>
      <c r="T3" s="802"/>
      <c r="U3" s="803"/>
      <c r="V3" s="803"/>
      <c r="W3" s="803"/>
      <c r="X3" s="802"/>
      <c r="Y3" s="803"/>
      <c r="Z3" s="859"/>
    </row>
    <row r="4" spans="1:26" ht="33.75" customHeight="1">
      <c r="A4" s="804" t="s">
        <v>3085</v>
      </c>
      <c r="B4" s="804" t="s">
        <v>3086</v>
      </c>
      <c r="C4" s="804" t="s">
        <v>3087</v>
      </c>
      <c r="D4" s="805"/>
      <c r="E4" s="806"/>
      <c r="F4" s="806"/>
      <c r="G4" s="806"/>
      <c r="H4" s="806"/>
      <c r="I4" s="806"/>
      <c r="J4" s="806"/>
      <c r="K4" s="806"/>
      <c r="L4" s="806"/>
      <c r="M4" s="806"/>
      <c r="N4" s="806"/>
      <c r="O4" s="806"/>
      <c r="P4" s="806"/>
      <c r="Q4" s="806"/>
      <c r="R4" s="806"/>
      <c r="S4" s="806"/>
      <c r="T4" s="806"/>
      <c r="U4" s="806"/>
      <c r="V4" s="806"/>
      <c r="W4" s="806"/>
      <c r="X4" s="806"/>
      <c r="Y4" s="806"/>
      <c r="Z4" s="860"/>
    </row>
    <row r="5" spans="1:26" ht="33.75" customHeight="1">
      <c r="B5" s="154"/>
      <c r="C5" s="154"/>
      <c r="D5" s="1061" t="s">
        <v>2400</v>
      </c>
      <c r="E5" s="1064"/>
      <c r="F5" s="1061" t="s">
        <v>2401</v>
      </c>
      <c r="G5" s="1064"/>
      <c r="H5" s="1061" t="s">
        <v>2392</v>
      </c>
      <c r="I5" s="1039"/>
      <c r="J5" s="1061" t="s">
        <v>2393</v>
      </c>
      <c r="K5" s="1039"/>
      <c r="L5" s="1061" t="s">
        <v>2402</v>
      </c>
      <c r="M5" s="1039"/>
      <c r="N5" s="974" t="s">
        <v>3088</v>
      </c>
      <c r="O5" s="974"/>
      <c r="P5" s="974"/>
      <c r="Q5" s="155"/>
      <c r="R5" s="1061" t="s">
        <v>3727</v>
      </c>
      <c r="S5" s="1039"/>
      <c r="T5" s="1061" t="s">
        <v>3747</v>
      </c>
      <c r="U5" s="1062"/>
      <c r="V5" s="1062"/>
      <c r="W5" s="1065"/>
      <c r="X5" s="1061" t="s">
        <v>3797</v>
      </c>
      <c r="Y5" s="1062"/>
      <c r="Z5" s="1062"/>
    </row>
    <row r="6" spans="1:26" ht="33.75" customHeight="1">
      <c r="B6" s="154"/>
      <c r="C6" s="154"/>
      <c r="D6" s="586" t="s">
        <v>2420</v>
      </c>
      <c r="E6" s="587" t="s">
        <v>3089</v>
      </c>
      <c r="F6" s="586" t="s">
        <v>3090</v>
      </c>
      <c r="G6" s="587" t="s">
        <v>3091</v>
      </c>
      <c r="H6" s="586" t="s">
        <v>3090</v>
      </c>
      <c r="I6" s="587" t="s">
        <v>3091</v>
      </c>
      <c r="J6" s="586" t="s">
        <v>3090</v>
      </c>
      <c r="K6" s="587" t="s">
        <v>3091</v>
      </c>
      <c r="L6" s="586" t="s">
        <v>3090</v>
      </c>
      <c r="M6" s="587" t="s">
        <v>3091</v>
      </c>
      <c r="N6" s="156" t="s">
        <v>3739</v>
      </c>
      <c r="O6" s="156" t="s">
        <v>3743</v>
      </c>
      <c r="P6" s="156" t="s">
        <v>3740</v>
      </c>
      <c r="Q6" s="156" t="s">
        <v>3744</v>
      </c>
      <c r="R6" s="586" t="s">
        <v>3090</v>
      </c>
      <c r="S6" s="587" t="s">
        <v>3091</v>
      </c>
      <c r="T6" s="586" t="s">
        <v>3090</v>
      </c>
      <c r="U6" s="587" t="s">
        <v>3091</v>
      </c>
      <c r="V6" s="587" t="s">
        <v>4093</v>
      </c>
      <c r="W6" s="587" t="s">
        <v>4092</v>
      </c>
      <c r="X6" s="586" t="s">
        <v>3090</v>
      </c>
      <c r="Y6" s="587" t="s">
        <v>3091</v>
      </c>
      <c r="Z6" s="156" t="s">
        <v>3739</v>
      </c>
    </row>
    <row r="7" spans="1:26" s="658" customFormat="1" ht="14.25" customHeight="1">
      <c r="A7" t="str">
        <f t="shared" ref="A7:A261" si="0">LEFT(B7,4)</f>
        <v>0111</v>
      </c>
      <c r="B7" s="812" t="s">
        <v>105</v>
      </c>
      <c r="C7" s="812"/>
      <c r="N7" s="807"/>
      <c r="O7" s="808"/>
      <c r="P7" s="807"/>
      <c r="Q7" s="808"/>
      <c r="S7" s="809"/>
    </row>
    <row r="8" spans="1:26" s="658" customFormat="1" ht="14.25" customHeight="1">
      <c r="A8" t="str">
        <f t="shared" si="0"/>
        <v>0112</v>
      </c>
      <c r="B8" s="812" t="s">
        <v>111</v>
      </c>
      <c r="C8" s="812"/>
      <c r="N8" s="807"/>
      <c r="O8" s="808"/>
      <c r="P8" s="807"/>
      <c r="Q8" s="808"/>
      <c r="S8" s="809"/>
    </row>
    <row r="9" spans="1:26" s="658" customFormat="1" ht="14.25" customHeight="1">
      <c r="A9" t="str">
        <f t="shared" si="0"/>
        <v>0115</v>
      </c>
      <c r="B9" s="812" t="s">
        <v>117</v>
      </c>
      <c r="C9" s="812"/>
      <c r="N9" s="807"/>
      <c r="O9" s="808"/>
      <c r="P9" s="807"/>
      <c r="Q9" s="808"/>
      <c r="S9" s="809"/>
    </row>
    <row r="10" spans="1:26" s="658" customFormat="1" ht="14.25" customHeight="1">
      <c r="A10" t="str">
        <f t="shared" si="0"/>
        <v>0116</v>
      </c>
      <c r="B10" s="812" t="s">
        <v>121</v>
      </c>
      <c r="C10" s="812"/>
      <c r="N10" s="807"/>
      <c r="O10" s="808"/>
      <c r="P10" s="807"/>
      <c r="Q10" s="808"/>
      <c r="S10" s="809"/>
    </row>
    <row r="11" spans="1:26" s="658" customFormat="1" ht="14.25" customHeight="1">
      <c r="A11" t="str">
        <f t="shared" si="0"/>
        <v>0119</v>
      </c>
      <c r="B11" s="812" t="s">
        <v>125</v>
      </c>
      <c r="C11" s="812"/>
      <c r="N11" s="807"/>
      <c r="O11" s="808"/>
      <c r="P11" s="807"/>
      <c r="Q11" s="808"/>
      <c r="S11" s="809"/>
    </row>
    <row r="12" spans="1:26" s="658" customFormat="1" ht="14.25" customHeight="1">
      <c r="A12" t="str">
        <f t="shared" si="0"/>
        <v>0131</v>
      </c>
      <c r="B12" s="812" t="s">
        <v>129</v>
      </c>
      <c r="C12" s="812"/>
      <c r="N12" s="807"/>
      <c r="O12" s="808"/>
      <c r="P12" s="807"/>
      <c r="Q12" s="808"/>
      <c r="S12" s="809"/>
    </row>
    <row r="13" spans="1:26" s="658" customFormat="1" ht="14.25" customHeight="1">
      <c r="A13" t="str">
        <f t="shared" si="0"/>
        <v>0132</v>
      </c>
      <c r="B13" s="812" t="s">
        <v>133</v>
      </c>
      <c r="C13" s="812"/>
      <c r="N13" s="807"/>
      <c r="O13" s="808"/>
      <c r="P13" s="807"/>
      <c r="Q13" s="808"/>
      <c r="S13" s="809"/>
    </row>
    <row r="14" spans="1:26" s="658" customFormat="1" ht="14.25" customHeight="1">
      <c r="A14" t="str">
        <f t="shared" si="0"/>
        <v>0133</v>
      </c>
      <c r="B14" s="812" t="s">
        <v>137</v>
      </c>
      <c r="C14" s="812"/>
      <c r="N14" s="807"/>
      <c r="O14" s="808"/>
      <c r="P14" s="807"/>
      <c r="Q14" s="808"/>
      <c r="S14" s="809"/>
    </row>
    <row r="15" spans="1:26" s="658" customFormat="1" ht="14.25" customHeight="1">
      <c r="A15" t="str">
        <f t="shared" si="0"/>
        <v>0134</v>
      </c>
      <c r="B15" s="812" t="s">
        <v>141</v>
      </c>
      <c r="C15" s="812"/>
      <c r="N15" s="807"/>
      <c r="O15" s="808"/>
      <c r="P15" s="807"/>
      <c r="Q15" s="808"/>
      <c r="S15" s="809"/>
    </row>
    <row r="16" spans="1:26" s="658" customFormat="1" ht="14.25" customHeight="1">
      <c r="A16" t="str">
        <f t="shared" si="0"/>
        <v>0139</v>
      </c>
      <c r="B16" s="812" t="s">
        <v>145</v>
      </c>
      <c r="C16" s="812"/>
      <c r="N16" s="807"/>
      <c r="O16" s="808"/>
      <c r="P16" s="807"/>
      <c r="Q16" s="808"/>
      <c r="S16" s="809"/>
    </row>
    <row r="17" spans="1:61" s="658" customFormat="1" ht="14.25" customHeight="1">
      <c r="A17" t="str">
        <f t="shared" si="0"/>
        <v>0161</v>
      </c>
      <c r="B17" s="812" t="s">
        <v>149</v>
      </c>
      <c r="C17" s="812"/>
      <c r="N17" s="807"/>
      <c r="O17" s="808"/>
      <c r="P17" s="807"/>
      <c r="Q17" s="808"/>
      <c r="S17" s="809"/>
    </row>
    <row r="18" spans="1:61" s="658" customFormat="1" ht="14.25" customHeight="1">
      <c r="A18" t="str">
        <f t="shared" si="0"/>
        <v>0171</v>
      </c>
      <c r="B18" s="812" t="s">
        <v>153</v>
      </c>
      <c r="C18" s="812"/>
      <c r="N18" s="807"/>
      <c r="O18" s="808"/>
      <c r="P18" s="807"/>
      <c r="Q18" s="808"/>
      <c r="S18" s="809"/>
    </row>
    <row r="19" spans="1:61" s="658" customFormat="1" ht="14.25" customHeight="1">
      <c r="A19" t="str">
        <f t="shared" si="0"/>
        <v>0172</v>
      </c>
      <c r="B19" s="812" t="s">
        <v>157</v>
      </c>
      <c r="C19" s="812"/>
      <c r="N19" s="807"/>
      <c r="O19" s="808"/>
      <c r="P19" s="807"/>
      <c r="Q19" s="808"/>
      <c r="S19" s="809"/>
    </row>
    <row r="20" spans="1:61" s="658" customFormat="1" ht="14.25" customHeight="1">
      <c r="A20" t="str">
        <f t="shared" si="0"/>
        <v>0173</v>
      </c>
      <c r="B20" s="812" t="s">
        <v>161</v>
      </c>
      <c r="C20" s="812"/>
      <c r="N20" s="807"/>
      <c r="O20" s="808"/>
      <c r="P20" s="807"/>
      <c r="Q20" s="808"/>
      <c r="S20" s="809"/>
    </row>
    <row r="21" spans="1:61" s="658" customFormat="1" ht="14.25" customHeight="1">
      <c r="A21" t="str">
        <f t="shared" si="0"/>
        <v>0174</v>
      </c>
      <c r="B21" s="812" t="s">
        <v>165</v>
      </c>
      <c r="C21" s="812"/>
      <c r="N21" s="807"/>
      <c r="O21" s="808"/>
      <c r="P21" s="807"/>
      <c r="Q21" s="808"/>
      <c r="S21" s="809"/>
    </row>
    <row r="22" spans="1:61" s="658" customFormat="1" ht="14.25" customHeight="1">
      <c r="A22" t="str">
        <f t="shared" si="0"/>
        <v>0175</v>
      </c>
      <c r="B22" s="812" t="s">
        <v>169</v>
      </c>
      <c r="C22" s="812"/>
      <c r="N22" s="807"/>
      <c r="O22" s="808"/>
      <c r="P22" s="807"/>
      <c r="Q22" s="808"/>
      <c r="S22" s="809"/>
    </row>
    <row r="23" spans="1:61" s="658" customFormat="1" ht="14.25" customHeight="1">
      <c r="A23" t="str">
        <f t="shared" si="0"/>
        <v>0179</v>
      </c>
      <c r="B23" s="812" t="s">
        <v>173</v>
      </c>
      <c r="C23" s="812"/>
      <c r="N23" s="807"/>
      <c r="O23" s="808"/>
      <c r="P23" s="807"/>
      <c r="Q23" s="808"/>
      <c r="S23" s="809"/>
    </row>
    <row r="24" spans="1:61" s="658" customFormat="1" ht="14.25" customHeight="1">
      <c r="A24" t="str">
        <f t="shared" si="0"/>
        <v>0181</v>
      </c>
      <c r="B24" s="812" t="s">
        <v>177</v>
      </c>
      <c r="C24" s="812"/>
      <c r="E24" s="810"/>
      <c r="N24" s="807"/>
      <c r="O24" s="808"/>
      <c r="P24" s="807"/>
      <c r="Q24" s="808"/>
      <c r="S24" s="809"/>
    </row>
    <row r="25" spans="1:61" s="658" customFormat="1" ht="14.25" customHeight="1">
      <c r="A25" t="str">
        <f t="shared" si="0"/>
        <v>0182</v>
      </c>
      <c r="B25" s="812" t="s">
        <v>181</v>
      </c>
      <c r="C25" s="812"/>
      <c r="N25" s="807"/>
      <c r="O25" s="808"/>
      <c r="P25" s="807"/>
      <c r="Q25" s="808"/>
      <c r="S25" s="809"/>
    </row>
    <row r="26" spans="1:61" s="658" customFormat="1" ht="14.25" customHeight="1">
      <c r="A26" t="str">
        <f t="shared" si="0"/>
        <v>0191</v>
      </c>
      <c r="B26" s="812" t="s">
        <v>185</v>
      </c>
      <c r="C26" s="812"/>
      <c r="N26" s="807"/>
      <c r="O26" s="808"/>
      <c r="P26" s="807"/>
      <c r="Q26" s="808"/>
      <c r="S26" s="809"/>
      <c r="BI26" s="811"/>
    </row>
    <row r="27" spans="1:61" s="658" customFormat="1" ht="14.25" customHeight="1">
      <c r="A27" t="str">
        <f t="shared" si="0"/>
        <v>0192</v>
      </c>
      <c r="B27" s="812" t="s">
        <v>189</v>
      </c>
      <c r="C27" s="812"/>
      <c r="E27" s="810"/>
      <c r="N27" s="807"/>
      <c r="O27" s="808"/>
      <c r="P27" s="807"/>
      <c r="Q27" s="808"/>
      <c r="S27" s="809"/>
    </row>
    <row r="28" spans="1:61" s="658" customFormat="1" ht="14.25" customHeight="1">
      <c r="A28" t="str">
        <f t="shared" si="0"/>
        <v>0211</v>
      </c>
      <c r="B28" s="812" t="s">
        <v>197</v>
      </c>
      <c r="C28" s="812"/>
      <c r="K28" s="810"/>
      <c r="M28" s="810"/>
      <c r="N28" s="807"/>
      <c r="O28" s="808"/>
      <c r="P28" s="807"/>
      <c r="Q28" s="808"/>
      <c r="S28" s="809"/>
    </row>
    <row r="29" spans="1:61" s="658" customFormat="1" ht="14.25" customHeight="1">
      <c r="A29" t="str">
        <f t="shared" si="0"/>
        <v>0212</v>
      </c>
      <c r="B29" s="812" t="s">
        <v>201</v>
      </c>
      <c r="C29" s="812"/>
      <c r="K29" s="810"/>
      <c r="M29" s="810"/>
      <c r="N29" s="807"/>
      <c r="O29" s="808"/>
      <c r="P29" s="807"/>
      <c r="Q29" s="808"/>
      <c r="S29" s="809"/>
    </row>
    <row r="30" spans="1:61" s="658" customFormat="1" ht="14.25" customHeight="1">
      <c r="A30" t="str">
        <f t="shared" si="0"/>
        <v>0213</v>
      </c>
      <c r="B30" s="812" t="s">
        <v>205</v>
      </c>
      <c r="C30" s="812"/>
      <c r="K30" s="810"/>
      <c r="M30" s="810"/>
      <c r="N30" s="807"/>
      <c r="O30" s="808"/>
      <c r="P30" s="807"/>
      <c r="Q30" s="808"/>
      <c r="S30" s="809"/>
    </row>
    <row r="31" spans="1:61" s="658" customFormat="1" ht="14.25" customHeight="1">
      <c r="A31" t="str">
        <f t="shared" si="0"/>
        <v>0214</v>
      </c>
      <c r="B31" s="812" t="s">
        <v>209</v>
      </c>
      <c r="C31" s="812"/>
      <c r="K31" s="810"/>
      <c r="M31" s="810"/>
      <c r="N31" s="807"/>
      <c r="O31" s="808"/>
      <c r="P31" s="807"/>
      <c r="Q31" s="808"/>
      <c r="S31" s="809"/>
    </row>
    <row r="32" spans="1:61" s="658" customFormat="1" ht="14.25" customHeight="1">
      <c r="A32" t="str">
        <f t="shared" si="0"/>
        <v>0219</v>
      </c>
      <c r="B32" s="812" t="s">
        <v>213</v>
      </c>
      <c r="C32" s="812"/>
      <c r="K32" s="810"/>
      <c r="M32" s="810"/>
      <c r="N32" s="807"/>
      <c r="O32" s="808"/>
      <c r="P32" s="807"/>
      <c r="Q32" s="808"/>
      <c r="S32" s="809"/>
    </row>
    <row r="33" spans="1:19" s="658" customFormat="1" ht="14.25" customHeight="1">
      <c r="A33" t="str">
        <f t="shared" si="0"/>
        <v>0241</v>
      </c>
      <c r="B33" s="812" t="s">
        <v>217</v>
      </c>
      <c r="C33" s="812"/>
      <c r="K33" s="810"/>
      <c r="M33" s="810"/>
      <c r="N33" s="807"/>
      <c r="O33" s="808"/>
      <c r="P33" s="807"/>
      <c r="Q33" s="808"/>
      <c r="S33" s="809"/>
    </row>
    <row r="34" spans="1:19" s="658" customFormat="1" ht="14.25" customHeight="1">
      <c r="A34" t="str">
        <f t="shared" si="0"/>
        <v>0251</v>
      </c>
      <c r="B34" s="812" t="s">
        <v>221</v>
      </c>
      <c r="C34" s="812"/>
      <c r="K34" s="810"/>
      <c r="M34" s="810"/>
      <c r="N34" s="807"/>
      <c r="O34" s="808"/>
      <c r="P34" s="807"/>
      <c r="Q34" s="808"/>
      <c r="S34" s="809"/>
    </row>
    <row r="35" spans="1:19" s="658" customFormat="1" ht="14.25" customHeight="1">
      <c r="A35" t="str">
        <f t="shared" si="0"/>
        <v>0252</v>
      </c>
      <c r="B35" s="812" t="s">
        <v>225</v>
      </c>
      <c r="C35" s="812"/>
      <c r="K35" s="810"/>
      <c r="M35" s="810"/>
      <c r="N35" s="807"/>
      <c r="O35" s="808"/>
      <c r="P35" s="807"/>
      <c r="Q35" s="808"/>
      <c r="S35" s="809"/>
    </row>
    <row r="36" spans="1:19" s="658" customFormat="1" ht="14.25" customHeight="1">
      <c r="A36" t="str">
        <f t="shared" si="0"/>
        <v>0253</v>
      </c>
      <c r="B36" s="812" t="s">
        <v>229</v>
      </c>
      <c r="C36" s="812"/>
      <c r="K36" s="810"/>
      <c r="M36" s="810"/>
      <c r="N36" s="807"/>
      <c r="O36" s="808"/>
      <c r="P36" s="807"/>
      <c r="Q36" s="808"/>
      <c r="S36" s="809"/>
    </row>
    <row r="37" spans="1:19" s="658" customFormat="1" ht="14.25" customHeight="1">
      <c r="A37" t="str">
        <f t="shared" si="0"/>
        <v>0254</v>
      </c>
      <c r="B37" s="812" t="s">
        <v>233</v>
      </c>
      <c r="C37" s="812"/>
      <c r="K37" s="810"/>
      <c r="M37" s="810"/>
      <c r="N37" s="807"/>
      <c r="O37" s="808"/>
      <c r="P37" s="807"/>
      <c r="Q37" s="808"/>
      <c r="S37" s="809"/>
    </row>
    <row r="38" spans="1:19" s="658" customFormat="1" ht="14.25" customHeight="1">
      <c r="A38" t="str">
        <f t="shared" si="0"/>
        <v>0259</v>
      </c>
      <c r="B38" s="812" t="s">
        <v>237</v>
      </c>
      <c r="C38" s="812"/>
      <c r="K38" s="810"/>
      <c r="M38" s="810"/>
      <c r="N38" s="807"/>
      <c r="O38" s="808"/>
      <c r="P38" s="807"/>
      <c r="Q38" s="808"/>
      <c r="S38" s="809"/>
    </row>
    <row r="39" spans="1:19" s="658" customFormat="1" ht="14.25" customHeight="1">
      <c r="A39" t="str">
        <f t="shared" si="0"/>
        <v>0271</v>
      </c>
      <c r="B39" s="812" t="s">
        <v>241</v>
      </c>
      <c r="C39" s="812"/>
      <c r="K39" s="810"/>
      <c r="M39" s="810"/>
      <c r="N39" s="807"/>
      <c r="O39" s="808"/>
      <c r="P39" s="807"/>
      <c r="Q39" s="808"/>
      <c r="S39" s="809"/>
    </row>
    <row r="40" spans="1:19" s="658" customFormat="1" ht="14.25" customHeight="1">
      <c r="A40" t="str">
        <f t="shared" si="0"/>
        <v>0272</v>
      </c>
      <c r="B40" s="812" t="s">
        <v>245</v>
      </c>
      <c r="C40" s="812"/>
      <c r="K40" s="810"/>
      <c r="M40" s="810"/>
      <c r="N40" s="807"/>
      <c r="O40" s="808"/>
      <c r="P40" s="807"/>
      <c r="Q40" s="808"/>
      <c r="S40" s="809"/>
    </row>
    <row r="41" spans="1:19" s="658" customFormat="1" ht="14.25" customHeight="1">
      <c r="A41" t="str">
        <f t="shared" si="0"/>
        <v>0273</v>
      </c>
      <c r="B41" s="812" t="s">
        <v>249</v>
      </c>
      <c r="C41" s="812"/>
      <c r="K41" s="810"/>
      <c r="M41" s="810"/>
      <c r="N41" s="807"/>
      <c r="O41" s="808"/>
      <c r="P41" s="807"/>
      <c r="Q41" s="808"/>
      <c r="S41" s="809"/>
    </row>
    <row r="42" spans="1:19" s="658" customFormat="1" ht="14.25" customHeight="1">
      <c r="A42" t="str">
        <f t="shared" si="0"/>
        <v>0279</v>
      </c>
      <c r="B42" s="812" t="s">
        <v>253</v>
      </c>
      <c r="C42" s="812"/>
      <c r="K42" s="810"/>
      <c r="M42" s="810"/>
      <c r="N42" s="807"/>
      <c r="O42" s="808"/>
      <c r="P42" s="807"/>
      <c r="Q42" s="808"/>
      <c r="S42" s="809"/>
    </row>
    <row r="43" spans="1:19" s="658" customFormat="1" ht="14.25" customHeight="1">
      <c r="A43" t="str">
        <f t="shared" si="0"/>
        <v>0291</v>
      </c>
      <c r="B43" s="812" t="s">
        <v>257</v>
      </c>
      <c r="C43" s="812"/>
      <c r="K43" s="810"/>
      <c r="M43" s="810"/>
      <c r="N43" s="807"/>
      <c r="O43" s="808"/>
      <c r="P43" s="807"/>
      <c r="Q43" s="808"/>
      <c r="S43" s="809"/>
    </row>
    <row r="44" spans="1:19" s="658" customFormat="1" ht="14.25" customHeight="1">
      <c r="A44" t="str">
        <f t="shared" si="0"/>
        <v>0711</v>
      </c>
      <c r="B44" s="812" t="s">
        <v>261</v>
      </c>
      <c r="C44" s="812"/>
      <c r="N44" s="807"/>
      <c r="O44" s="808"/>
      <c r="P44" s="807"/>
      <c r="Q44" s="808"/>
      <c r="S44" s="809"/>
    </row>
    <row r="45" spans="1:19" s="658" customFormat="1" ht="14.25" customHeight="1">
      <c r="A45" t="str">
        <f t="shared" si="0"/>
        <v>0721</v>
      </c>
      <c r="B45" s="812" t="s">
        <v>263</v>
      </c>
      <c r="C45" s="812"/>
      <c r="N45" s="807"/>
      <c r="O45" s="808"/>
      <c r="P45" s="807"/>
      <c r="Q45" s="808"/>
      <c r="S45" s="809"/>
    </row>
    <row r="46" spans="1:19" s="658" customFormat="1" ht="14.25" customHeight="1">
      <c r="A46" t="str">
        <f t="shared" si="0"/>
        <v>0722</v>
      </c>
      <c r="B46" s="812" t="s">
        <v>265</v>
      </c>
      <c r="C46" s="812"/>
      <c r="N46" s="807"/>
      <c r="O46" s="808"/>
      <c r="P46" s="807"/>
      <c r="Q46" s="808"/>
      <c r="S46" s="809"/>
    </row>
    <row r="47" spans="1:19" s="658" customFormat="1" ht="14.25" customHeight="1">
      <c r="A47" t="str">
        <f t="shared" si="0"/>
        <v>0723</v>
      </c>
      <c r="B47" s="812" t="s">
        <v>267</v>
      </c>
      <c r="C47" s="812"/>
      <c r="N47" s="807"/>
      <c r="O47" s="808"/>
      <c r="P47" s="807"/>
      <c r="Q47" s="808"/>
      <c r="S47" s="809"/>
    </row>
    <row r="48" spans="1:19" s="658" customFormat="1" ht="14.25" customHeight="1">
      <c r="A48" t="str">
        <f t="shared" si="0"/>
        <v>0724</v>
      </c>
      <c r="B48" s="812" t="s">
        <v>269</v>
      </c>
      <c r="C48" s="812"/>
      <c r="N48" s="807"/>
      <c r="O48" s="808"/>
      <c r="P48" s="807"/>
      <c r="Q48" s="808"/>
      <c r="S48" s="809"/>
    </row>
    <row r="49" spans="1:19" s="658" customFormat="1" ht="14.25" customHeight="1">
      <c r="A49" t="str">
        <f t="shared" si="0"/>
        <v>0741</v>
      </c>
      <c r="B49" s="812" t="s">
        <v>271</v>
      </c>
      <c r="C49" s="812"/>
      <c r="N49" s="807"/>
      <c r="O49" s="808"/>
      <c r="P49" s="807"/>
      <c r="Q49" s="808"/>
      <c r="S49" s="809"/>
    </row>
    <row r="50" spans="1:19" s="658" customFormat="1" ht="14.25" customHeight="1">
      <c r="A50" t="str">
        <f t="shared" si="0"/>
        <v>0742</v>
      </c>
      <c r="B50" s="812" t="s">
        <v>273</v>
      </c>
      <c r="C50" s="812"/>
      <c r="N50" s="807"/>
      <c r="O50" s="808"/>
      <c r="P50" s="807"/>
      <c r="Q50" s="808"/>
      <c r="S50" s="809"/>
    </row>
    <row r="51" spans="1:19" s="658" customFormat="1" ht="14.25" customHeight="1">
      <c r="A51" t="str">
        <f t="shared" si="0"/>
        <v>0751</v>
      </c>
      <c r="B51" s="812" t="s">
        <v>275</v>
      </c>
      <c r="C51" s="812"/>
      <c r="N51" s="807"/>
      <c r="O51" s="808"/>
      <c r="P51" s="807"/>
      <c r="Q51" s="808"/>
      <c r="S51" s="809"/>
    </row>
    <row r="52" spans="1:19" s="658" customFormat="1" ht="14.25" customHeight="1">
      <c r="A52" t="str">
        <f t="shared" si="0"/>
        <v>0752</v>
      </c>
      <c r="B52" s="812" t="s">
        <v>3781</v>
      </c>
      <c r="C52" s="812"/>
      <c r="N52" s="807"/>
      <c r="O52" s="808"/>
      <c r="P52" s="807"/>
      <c r="Q52" s="808"/>
      <c r="S52" s="809"/>
    </row>
    <row r="53" spans="1:19" s="658" customFormat="1" ht="14.25" customHeight="1">
      <c r="A53" t="str">
        <f t="shared" si="0"/>
        <v>0761</v>
      </c>
      <c r="B53" s="812" t="s">
        <v>277</v>
      </c>
      <c r="C53" s="812"/>
      <c r="N53" s="807"/>
      <c r="O53" s="808"/>
      <c r="P53" s="807"/>
      <c r="Q53" s="808"/>
      <c r="S53" s="809"/>
    </row>
    <row r="54" spans="1:19" s="658" customFormat="1" ht="14.25" customHeight="1">
      <c r="A54" t="str">
        <f t="shared" si="0"/>
        <v>0762</v>
      </c>
      <c r="B54" s="812" t="s">
        <v>279</v>
      </c>
      <c r="C54" s="812"/>
      <c r="N54" s="807"/>
      <c r="O54" s="808"/>
      <c r="P54" s="807"/>
      <c r="Q54" s="808"/>
      <c r="S54" s="809"/>
    </row>
    <row r="55" spans="1:19" s="658" customFormat="1" ht="14.25" customHeight="1">
      <c r="A55" t="str">
        <f t="shared" si="0"/>
        <v>0781</v>
      </c>
      <c r="B55" s="812" t="s">
        <v>281</v>
      </c>
      <c r="C55" s="812"/>
      <c r="N55" s="807"/>
      <c r="O55" s="808"/>
      <c r="P55" s="807"/>
      <c r="Q55" s="808"/>
      <c r="S55" s="809"/>
    </row>
    <row r="56" spans="1:19" s="658" customFormat="1" ht="14.25" customHeight="1">
      <c r="A56" t="str">
        <f t="shared" si="0"/>
        <v>0782</v>
      </c>
      <c r="B56" s="812" t="s">
        <v>283</v>
      </c>
      <c r="C56" s="812"/>
      <c r="N56" s="807"/>
      <c r="O56" s="808"/>
      <c r="P56" s="807"/>
      <c r="Q56" s="808"/>
      <c r="S56" s="809"/>
    </row>
    <row r="57" spans="1:19" s="658" customFormat="1" ht="14.25" customHeight="1">
      <c r="A57" t="str">
        <f t="shared" si="0"/>
        <v>0783</v>
      </c>
      <c r="B57" s="812" t="s">
        <v>285</v>
      </c>
      <c r="C57" s="812"/>
      <c r="N57" s="807"/>
      <c r="O57" s="808"/>
      <c r="P57" s="807"/>
      <c r="Q57" s="808"/>
      <c r="S57" s="809"/>
    </row>
    <row r="58" spans="1:19" s="658" customFormat="1" ht="14.25" customHeight="1">
      <c r="A58" t="str">
        <f t="shared" si="0"/>
        <v>0811</v>
      </c>
      <c r="B58" s="812" t="s">
        <v>289</v>
      </c>
      <c r="C58" s="812"/>
      <c r="N58" s="807"/>
      <c r="O58" s="808"/>
      <c r="P58" s="807"/>
      <c r="Q58" s="808"/>
      <c r="S58" s="809"/>
    </row>
    <row r="59" spans="1:19" s="658" customFormat="1" ht="14.25" customHeight="1">
      <c r="A59" t="str">
        <f t="shared" si="0"/>
        <v>0831</v>
      </c>
      <c r="B59" s="812" t="s">
        <v>291</v>
      </c>
      <c r="C59" s="812"/>
      <c r="N59" s="807"/>
      <c r="O59" s="808"/>
      <c r="P59" s="807"/>
      <c r="Q59" s="808"/>
      <c r="S59" s="809"/>
    </row>
    <row r="60" spans="1:19" s="658" customFormat="1" ht="14.25" customHeight="1">
      <c r="A60" t="str">
        <f t="shared" si="0"/>
        <v>0851</v>
      </c>
      <c r="B60" s="812" t="s">
        <v>293</v>
      </c>
      <c r="C60" s="812"/>
      <c r="N60" s="807"/>
      <c r="O60" s="808"/>
      <c r="P60" s="807"/>
      <c r="Q60" s="808"/>
      <c r="S60" s="809"/>
    </row>
    <row r="61" spans="1:19" s="658" customFormat="1" ht="14.25" customHeight="1">
      <c r="A61" t="str">
        <f t="shared" si="0"/>
        <v>0912</v>
      </c>
      <c r="B61" s="812" t="s">
        <v>297</v>
      </c>
      <c r="C61" s="812"/>
      <c r="N61" s="807"/>
      <c r="O61" s="808"/>
      <c r="P61" s="807"/>
      <c r="Q61" s="808"/>
      <c r="S61" s="809"/>
    </row>
    <row r="62" spans="1:19" s="658" customFormat="1" ht="14.25" customHeight="1">
      <c r="A62" t="str">
        <f t="shared" si="0"/>
        <v>0913</v>
      </c>
      <c r="B62" s="812" t="s">
        <v>299</v>
      </c>
      <c r="C62" s="812"/>
      <c r="N62" s="807"/>
      <c r="O62" s="808"/>
      <c r="P62" s="807"/>
      <c r="Q62" s="808"/>
      <c r="S62" s="809"/>
    </row>
    <row r="63" spans="1:19" s="658" customFormat="1" ht="14.25" customHeight="1">
      <c r="A63" t="str">
        <f t="shared" si="0"/>
        <v>0919</v>
      </c>
      <c r="B63" s="812" t="s">
        <v>301</v>
      </c>
      <c r="C63" s="812"/>
      <c r="N63" s="807"/>
      <c r="O63" s="808"/>
      <c r="P63" s="807"/>
      <c r="Q63" s="808"/>
      <c r="S63" s="809"/>
    </row>
    <row r="64" spans="1:19" s="658" customFormat="1" ht="14.25" customHeight="1">
      <c r="A64" t="str">
        <f t="shared" si="0"/>
        <v>0921</v>
      </c>
      <c r="B64" s="812" t="s">
        <v>303</v>
      </c>
      <c r="C64" s="812"/>
      <c r="N64" s="807"/>
      <c r="O64" s="808"/>
      <c r="P64" s="807"/>
      <c r="Q64" s="808"/>
      <c r="S64" s="809"/>
    </row>
    <row r="65" spans="1:19" s="658" customFormat="1" ht="14.25" customHeight="1">
      <c r="A65" t="str">
        <f t="shared" si="0"/>
        <v>0971</v>
      </c>
      <c r="B65" s="812" t="s">
        <v>305</v>
      </c>
      <c r="C65" s="812"/>
      <c r="N65" s="807"/>
      <c r="O65" s="808"/>
      <c r="P65" s="807"/>
      <c r="Q65" s="808"/>
      <c r="S65" s="809"/>
    </row>
    <row r="66" spans="1:19" s="658" customFormat="1" ht="14.25" customHeight="1">
      <c r="A66" t="str">
        <f t="shared" si="0"/>
        <v>1011</v>
      </c>
      <c r="B66" s="812" t="s">
        <v>310</v>
      </c>
      <c r="C66" s="812"/>
      <c r="N66" s="807"/>
      <c r="O66" s="808"/>
      <c r="P66" s="807"/>
      <c r="Q66" s="808"/>
      <c r="S66" s="809"/>
    </row>
    <row r="67" spans="1:19" s="658" customFormat="1" ht="14.25" customHeight="1">
      <c r="A67" t="str">
        <f t="shared" si="0"/>
        <v>1021</v>
      </c>
      <c r="B67" s="812" t="s">
        <v>312</v>
      </c>
      <c r="C67" s="812"/>
      <c r="N67" s="807"/>
      <c r="O67" s="808"/>
      <c r="P67" s="807"/>
      <c r="Q67" s="808"/>
      <c r="S67" s="809"/>
    </row>
    <row r="68" spans="1:19" s="658" customFormat="1" ht="14.25" customHeight="1">
      <c r="A68" t="str">
        <f t="shared" si="0"/>
        <v>1031</v>
      </c>
      <c r="B68" s="812" t="s">
        <v>314</v>
      </c>
      <c r="C68" s="812"/>
      <c r="N68" s="807"/>
      <c r="O68" s="808"/>
      <c r="P68" s="807"/>
      <c r="Q68" s="808"/>
      <c r="S68" s="809"/>
    </row>
    <row r="69" spans="1:19" s="658" customFormat="1" ht="14.25" customHeight="1">
      <c r="A69" t="str">
        <f t="shared" si="0"/>
        <v>1041</v>
      </c>
      <c r="B69" s="812" t="s">
        <v>316</v>
      </c>
      <c r="C69" s="812"/>
      <c r="N69" s="807"/>
      <c r="O69" s="808"/>
      <c r="P69" s="807"/>
      <c r="Q69" s="808"/>
      <c r="S69" s="809"/>
    </row>
    <row r="70" spans="1:19" s="658" customFormat="1" ht="14.25" customHeight="1">
      <c r="A70" t="str">
        <f t="shared" si="0"/>
        <v>1044</v>
      </c>
      <c r="B70" s="812" t="s">
        <v>318</v>
      </c>
      <c r="C70" s="812"/>
      <c r="N70" s="807"/>
      <c r="O70" s="808"/>
      <c r="P70" s="807"/>
      <c r="Q70" s="808"/>
      <c r="S70" s="809"/>
    </row>
    <row r="71" spans="1:19" s="658" customFormat="1" ht="14.25" customHeight="1">
      <c r="A71" t="str">
        <f t="shared" si="0"/>
        <v>1061</v>
      </c>
      <c r="B71" s="812" t="s">
        <v>320</v>
      </c>
      <c r="C71" s="812"/>
      <c r="N71" s="807"/>
      <c r="O71" s="808"/>
      <c r="P71" s="807"/>
      <c r="Q71" s="808"/>
      <c r="S71" s="809"/>
    </row>
    <row r="72" spans="1:19" s="658" customFormat="1" ht="14.25" customHeight="1">
      <c r="A72" t="str">
        <f t="shared" si="0"/>
        <v>1081</v>
      </c>
      <c r="B72" s="812" t="s">
        <v>322</v>
      </c>
      <c r="C72" s="812"/>
      <c r="N72" s="807"/>
      <c r="O72" s="808"/>
      <c r="P72" s="807"/>
      <c r="Q72" s="808"/>
      <c r="S72" s="809"/>
    </row>
    <row r="73" spans="1:19" s="658" customFormat="1" ht="14.25" customHeight="1">
      <c r="A73" t="str">
        <f t="shared" si="0"/>
        <v>1094</v>
      </c>
      <c r="B73" s="812" t="s">
        <v>324</v>
      </c>
      <c r="C73" s="812"/>
      <c r="N73" s="807"/>
      <c r="O73" s="808"/>
      <c r="P73" s="807"/>
      <c r="Q73" s="808"/>
      <c r="S73" s="809"/>
    </row>
    <row r="74" spans="1:19" s="658" customFormat="1" ht="14.25" customHeight="1">
      <c r="A74" t="str">
        <f t="shared" si="0"/>
        <v>1099</v>
      </c>
      <c r="B74" s="812" t="s">
        <v>326</v>
      </c>
      <c r="C74" s="812"/>
      <c r="N74" s="807"/>
      <c r="O74" s="808"/>
      <c r="P74" s="807"/>
      <c r="Q74" s="808"/>
      <c r="S74" s="809"/>
    </row>
    <row r="75" spans="1:19" s="658" customFormat="1" ht="14.25" customHeight="1">
      <c r="A75" t="str">
        <f t="shared" si="0"/>
        <v>1221</v>
      </c>
      <c r="B75" s="812" t="s">
        <v>330</v>
      </c>
      <c r="C75" s="812"/>
      <c r="N75" s="807"/>
      <c r="O75" s="808"/>
      <c r="P75" s="807"/>
      <c r="Q75" s="808"/>
      <c r="S75" s="809"/>
    </row>
    <row r="76" spans="1:19" s="658" customFormat="1" ht="14.25" customHeight="1">
      <c r="A76" t="str">
        <f t="shared" si="0"/>
        <v>1222</v>
      </c>
      <c r="B76" s="812" t="s">
        <v>332</v>
      </c>
      <c r="C76" s="812"/>
      <c r="N76" s="807"/>
      <c r="O76" s="808"/>
      <c r="P76" s="807"/>
      <c r="Q76" s="808"/>
      <c r="S76" s="809"/>
    </row>
    <row r="77" spans="1:19" s="658" customFormat="1" ht="14.25" customHeight="1">
      <c r="A77" t="str">
        <f t="shared" si="0"/>
        <v>1231</v>
      </c>
      <c r="B77" s="812" t="s">
        <v>334</v>
      </c>
      <c r="C77" s="812"/>
      <c r="N77" s="807"/>
      <c r="O77" s="808"/>
      <c r="P77" s="807"/>
      <c r="Q77" s="808"/>
      <c r="S77" s="809"/>
    </row>
    <row r="78" spans="1:19" s="658" customFormat="1" ht="14.25" customHeight="1">
      <c r="A78" t="str">
        <f t="shared" si="0"/>
        <v>1241</v>
      </c>
      <c r="B78" s="813" t="s">
        <v>336</v>
      </c>
      <c r="C78" s="813"/>
      <c r="N78" s="807"/>
      <c r="O78" s="808"/>
      <c r="P78" s="807"/>
      <c r="Q78" s="808"/>
      <c r="S78" s="809"/>
    </row>
    <row r="79" spans="1:19" s="658" customFormat="1" ht="14.25" customHeight="1">
      <c r="A79" t="str">
        <f t="shared" si="0"/>
        <v>1311</v>
      </c>
      <c r="B79" s="812" t="s">
        <v>340</v>
      </c>
      <c r="C79" s="812"/>
      <c r="N79" s="807"/>
      <c r="O79" s="808"/>
      <c r="P79" s="807"/>
      <c r="Q79" s="808"/>
      <c r="S79" s="809"/>
    </row>
    <row r="80" spans="1:19" s="658" customFormat="1" ht="14.25" customHeight="1">
      <c r="A80" t="str">
        <f t="shared" si="0"/>
        <v>1321</v>
      </c>
      <c r="B80" s="812" t="s">
        <v>342</v>
      </c>
      <c r="C80" s="812"/>
      <c r="N80" s="807"/>
      <c r="O80" s="808"/>
      <c r="P80" s="807"/>
      <c r="Q80" s="808"/>
      <c r="S80" s="809"/>
    </row>
    <row r="81" spans="1:19" s="658" customFormat="1" ht="14.25" customHeight="1">
      <c r="A81" t="str">
        <f t="shared" si="0"/>
        <v>1381</v>
      </c>
      <c r="B81" s="812" t="s">
        <v>344</v>
      </c>
      <c r="C81" s="812"/>
      <c r="N81" s="807"/>
      <c r="O81" s="808"/>
      <c r="P81" s="807"/>
      <c r="Q81" s="808"/>
      <c r="S81" s="809"/>
    </row>
    <row r="82" spans="1:19" s="658" customFormat="1" ht="14.25" customHeight="1">
      <c r="A82" t="str">
        <f t="shared" si="0"/>
        <v>1382</v>
      </c>
      <c r="B82" s="812" t="s">
        <v>346</v>
      </c>
      <c r="C82" s="812"/>
      <c r="N82" s="807"/>
      <c r="O82" s="808"/>
      <c r="P82" s="807"/>
      <c r="Q82" s="808"/>
      <c r="S82" s="809"/>
    </row>
    <row r="83" spans="1:19" s="658" customFormat="1" ht="14.25" customHeight="1">
      <c r="A83" t="str">
        <f t="shared" si="0"/>
        <v>1389</v>
      </c>
      <c r="B83" s="812" t="s">
        <v>348</v>
      </c>
      <c r="C83" s="812"/>
      <c r="N83" s="807"/>
      <c r="O83" s="808"/>
      <c r="P83" s="807"/>
      <c r="Q83" s="808"/>
      <c r="S83" s="809"/>
    </row>
    <row r="84" spans="1:19" s="658" customFormat="1" ht="14.25" customHeight="1">
      <c r="A84" t="str">
        <f t="shared" si="0"/>
        <v>1411</v>
      </c>
      <c r="B84" s="812" t="s">
        <v>352</v>
      </c>
      <c r="C84" s="812"/>
      <c r="N84" s="807"/>
      <c r="O84" s="808"/>
      <c r="P84" s="807"/>
      <c r="Q84" s="808"/>
      <c r="S84" s="809"/>
    </row>
    <row r="85" spans="1:19" s="658" customFormat="1" ht="14.25" customHeight="1">
      <c r="A85" t="str">
        <f t="shared" si="0"/>
        <v>1422</v>
      </c>
      <c r="B85" s="812" t="s">
        <v>354</v>
      </c>
      <c r="C85" s="812"/>
      <c r="N85" s="807"/>
      <c r="O85" s="808"/>
      <c r="P85" s="807"/>
      <c r="Q85" s="808"/>
      <c r="S85" s="809"/>
    </row>
    <row r="86" spans="1:19" s="658" customFormat="1" ht="14.25" customHeight="1">
      <c r="A86" t="str">
        <f t="shared" si="0"/>
        <v>1423</v>
      </c>
      <c r="B86" s="812" t="s">
        <v>356</v>
      </c>
      <c r="C86" s="812"/>
      <c r="N86" s="807"/>
      <c r="O86" s="808"/>
      <c r="P86" s="807"/>
      <c r="Q86" s="808"/>
      <c r="S86" s="809"/>
    </row>
    <row r="87" spans="1:19" s="658" customFormat="1" ht="14.25" customHeight="1">
      <c r="A87" t="str">
        <f t="shared" si="0"/>
        <v>1429</v>
      </c>
      <c r="B87" s="812" t="s">
        <v>358</v>
      </c>
      <c r="C87" s="812"/>
      <c r="N87" s="807"/>
      <c r="O87" s="808"/>
      <c r="P87" s="807"/>
      <c r="Q87" s="808"/>
      <c r="S87" s="809"/>
    </row>
    <row r="88" spans="1:19" s="658" customFormat="1" ht="14.25" customHeight="1">
      <c r="A88" t="str">
        <f t="shared" si="0"/>
        <v>1442</v>
      </c>
      <c r="B88" s="812" t="s">
        <v>360</v>
      </c>
      <c r="C88" s="812"/>
      <c r="N88" s="807"/>
      <c r="O88" s="808"/>
      <c r="P88" s="807"/>
      <c r="Q88" s="808"/>
      <c r="S88" s="809"/>
    </row>
    <row r="89" spans="1:19" s="658" customFormat="1" ht="14.25" customHeight="1">
      <c r="A89" t="str">
        <f t="shared" si="0"/>
        <v>1446</v>
      </c>
      <c r="B89" s="812" t="s">
        <v>362</v>
      </c>
      <c r="C89" s="812"/>
      <c r="N89" s="807"/>
      <c r="O89" s="808"/>
      <c r="P89" s="807"/>
      <c r="Q89" s="808"/>
      <c r="S89" s="809"/>
    </row>
    <row r="90" spans="1:19" s="658" customFormat="1" ht="14.25" customHeight="1">
      <c r="A90" t="str">
        <f t="shared" si="0"/>
        <v>1455</v>
      </c>
      <c r="B90" s="812" t="s">
        <v>364</v>
      </c>
      <c r="C90" s="812"/>
      <c r="N90" s="807"/>
      <c r="O90" s="808"/>
      <c r="P90" s="807"/>
      <c r="Q90" s="808"/>
      <c r="S90" s="809"/>
    </row>
    <row r="91" spans="1:19" s="658" customFormat="1" ht="14.25" customHeight="1">
      <c r="A91" t="str">
        <f t="shared" si="0"/>
        <v>1459</v>
      </c>
      <c r="B91" s="812" t="s">
        <v>366</v>
      </c>
      <c r="C91" s="812"/>
      <c r="N91" s="807"/>
      <c r="O91" s="808"/>
      <c r="P91" s="807"/>
      <c r="Q91" s="808"/>
      <c r="S91" s="809"/>
    </row>
    <row r="92" spans="1:19" s="658" customFormat="1" ht="14.25" customHeight="1">
      <c r="A92" t="str">
        <f t="shared" si="0"/>
        <v>1474</v>
      </c>
      <c r="B92" s="812" t="s">
        <v>368</v>
      </c>
      <c r="C92" s="812"/>
      <c r="N92" s="807"/>
      <c r="O92" s="808"/>
      <c r="P92" s="807"/>
      <c r="Q92" s="808"/>
      <c r="S92" s="809"/>
    </row>
    <row r="93" spans="1:19" s="658" customFormat="1" ht="14.25" customHeight="1">
      <c r="A93" t="str">
        <f t="shared" si="0"/>
        <v>1475</v>
      </c>
      <c r="B93" s="812" t="s">
        <v>370</v>
      </c>
      <c r="C93" s="812"/>
      <c r="N93" s="807"/>
      <c r="O93" s="808"/>
      <c r="P93" s="807"/>
      <c r="Q93" s="808"/>
      <c r="S93" s="809"/>
    </row>
    <row r="94" spans="1:19" s="658" customFormat="1" ht="14.25" customHeight="1">
      <c r="A94" t="str">
        <f t="shared" si="0"/>
        <v>1479</v>
      </c>
      <c r="B94" s="812" t="s">
        <v>372</v>
      </c>
      <c r="C94" s="812"/>
      <c r="N94" s="807"/>
      <c r="O94" s="808"/>
      <c r="P94" s="807"/>
      <c r="Q94" s="808"/>
      <c r="S94" s="809"/>
    </row>
    <row r="95" spans="1:19" s="658" customFormat="1" ht="14.25" customHeight="1">
      <c r="A95" t="str">
        <f t="shared" si="0"/>
        <v>1481</v>
      </c>
      <c r="B95" s="812" t="s">
        <v>374</v>
      </c>
      <c r="C95" s="812"/>
      <c r="N95" s="807"/>
      <c r="O95" s="808"/>
      <c r="P95" s="807"/>
      <c r="Q95" s="808"/>
      <c r="S95" s="809"/>
    </row>
    <row r="96" spans="1:19" s="658" customFormat="1" ht="14.25" customHeight="1">
      <c r="A96" t="str">
        <f t="shared" si="0"/>
        <v>1499</v>
      </c>
      <c r="B96" s="812" t="s">
        <v>376</v>
      </c>
      <c r="C96" s="812"/>
      <c r="N96" s="807"/>
      <c r="O96" s="808"/>
      <c r="P96" s="807"/>
      <c r="Q96" s="808"/>
      <c r="S96" s="809"/>
    </row>
    <row r="97" spans="1:19" s="658" customFormat="1" ht="14.25" customHeight="1">
      <c r="A97" t="str">
        <f t="shared" si="0"/>
        <v>1521</v>
      </c>
      <c r="B97" s="812" t="s">
        <v>381</v>
      </c>
      <c r="C97" s="812"/>
      <c r="E97" s="810"/>
      <c r="N97" s="807"/>
      <c r="O97" s="808"/>
      <c r="P97" s="807"/>
      <c r="Q97" s="808"/>
      <c r="S97" s="808"/>
    </row>
    <row r="98" spans="1:19" s="658" customFormat="1" ht="14.25" customHeight="1">
      <c r="A98" t="str">
        <f t="shared" si="0"/>
        <v>1522</v>
      </c>
      <c r="B98" s="812" t="s">
        <v>383</v>
      </c>
      <c r="C98" s="812"/>
      <c r="E98" s="810"/>
      <c r="N98" s="807"/>
      <c r="O98" s="808"/>
      <c r="P98" s="807"/>
      <c r="Q98" s="808"/>
      <c r="S98" s="808"/>
    </row>
    <row r="99" spans="1:19" s="658" customFormat="1" ht="14.25" customHeight="1">
      <c r="A99" t="str">
        <f t="shared" si="0"/>
        <v>1531</v>
      </c>
      <c r="B99" s="812" t="s">
        <v>385</v>
      </c>
      <c r="C99" s="812"/>
      <c r="E99" s="810"/>
      <c r="N99" s="807"/>
      <c r="O99" s="808"/>
      <c r="P99" s="807"/>
      <c r="Q99" s="808"/>
      <c r="S99" s="808"/>
    </row>
    <row r="100" spans="1:19" s="658" customFormat="1" ht="14.25" customHeight="1">
      <c r="A100" t="str">
        <f t="shared" si="0"/>
        <v>1541</v>
      </c>
      <c r="B100" s="812" t="s">
        <v>387</v>
      </c>
      <c r="C100" s="812"/>
      <c r="E100" s="810"/>
      <c r="N100" s="807"/>
      <c r="O100" s="808"/>
      <c r="P100" s="807"/>
      <c r="Q100" s="808"/>
      <c r="S100" s="808"/>
    </row>
    <row r="101" spans="1:19" s="658" customFormat="1" ht="14.25" customHeight="1">
      <c r="A101" t="str">
        <f t="shared" si="0"/>
        <v>1542</v>
      </c>
      <c r="B101" s="812" t="s">
        <v>389</v>
      </c>
      <c r="C101" s="812"/>
      <c r="E101" s="810"/>
      <c r="N101" s="807"/>
      <c r="O101" s="808"/>
      <c r="P101" s="807"/>
      <c r="Q101" s="808"/>
      <c r="S101" s="808"/>
    </row>
    <row r="102" spans="1:19" s="658" customFormat="1" ht="14.25" customHeight="1">
      <c r="A102" t="str">
        <f t="shared" si="0"/>
        <v>1611</v>
      </c>
      <c r="B102" s="812" t="s">
        <v>393</v>
      </c>
      <c r="C102" s="812"/>
      <c r="E102" s="810"/>
      <c r="N102" s="807"/>
      <c r="O102" s="808"/>
      <c r="P102" s="807"/>
      <c r="Q102" s="808"/>
      <c r="S102" s="808"/>
    </row>
    <row r="103" spans="1:19" s="658" customFormat="1" ht="14.25" customHeight="1">
      <c r="A103" t="str">
        <f t="shared" si="0"/>
        <v>1622</v>
      </c>
      <c r="B103" s="812" t="s">
        <v>395</v>
      </c>
      <c r="C103" s="812"/>
      <c r="E103" s="810"/>
      <c r="N103" s="807"/>
      <c r="O103" s="808"/>
      <c r="P103" s="807"/>
      <c r="Q103" s="808"/>
      <c r="S103" s="808"/>
    </row>
    <row r="104" spans="1:19" s="658" customFormat="1" ht="14.25" customHeight="1">
      <c r="A104" t="str">
        <f t="shared" si="0"/>
        <v>1623</v>
      </c>
      <c r="B104" s="812" t="s">
        <v>397</v>
      </c>
      <c r="C104" s="812"/>
      <c r="E104" s="810"/>
      <c r="N104" s="807"/>
      <c r="O104" s="808"/>
      <c r="P104" s="807"/>
      <c r="Q104" s="808"/>
      <c r="S104" s="808"/>
    </row>
    <row r="105" spans="1:19" s="658" customFormat="1" ht="14.25" customHeight="1">
      <c r="A105" t="str">
        <f t="shared" si="0"/>
        <v>1629</v>
      </c>
      <c r="B105" s="812" t="s">
        <v>399</v>
      </c>
      <c r="C105" s="812"/>
      <c r="E105" s="810"/>
      <c r="N105" s="807"/>
      <c r="O105" s="808"/>
      <c r="P105" s="807"/>
      <c r="Q105" s="808"/>
      <c r="S105" s="808"/>
    </row>
    <row r="106" spans="1:19" s="658" customFormat="1" ht="14.25" customHeight="1">
      <c r="A106" t="str">
        <f t="shared" si="0"/>
        <v>1711</v>
      </c>
      <c r="B106" s="812" t="s">
        <v>403</v>
      </c>
      <c r="C106" s="812"/>
      <c r="E106" s="810"/>
      <c r="N106" s="807"/>
      <c r="O106" s="808"/>
      <c r="P106" s="807"/>
      <c r="Q106" s="808"/>
    </row>
    <row r="107" spans="1:19" s="658" customFormat="1" ht="14.25" customHeight="1">
      <c r="A107" t="str">
        <f t="shared" si="0"/>
        <v>1721</v>
      </c>
      <c r="B107" s="812" t="s">
        <v>405</v>
      </c>
      <c r="C107" s="812"/>
      <c r="E107" s="810"/>
      <c r="N107" s="807"/>
      <c r="O107" s="808"/>
      <c r="P107" s="807"/>
      <c r="Q107" s="808"/>
    </row>
    <row r="108" spans="1:19" s="658" customFormat="1" ht="14.25" customHeight="1">
      <c r="A108" t="str">
        <f t="shared" si="0"/>
        <v>1731</v>
      </c>
      <c r="B108" s="812" t="s">
        <v>407</v>
      </c>
      <c r="C108" s="812"/>
      <c r="E108" s="810"/>
      <c r="N108" s="807"/>
      <c r="O108" s="808"/>
      <c r="P108" s="807"/>
      <c r="Q108" s="808"/>
    </row>
    <row r="109" spans="1:19" s="658" customFormat="1" ht="14.25" customHeight="1">
      <c r="A109" t="str">
        <f t="shared" si="0"/>
        <v>1741</v>
      </c>
      <c r="B109" s="812" t="s">
        <v>409</v>
      </c>
      <c r="C109" s="812"/>
      <c r="E109" s="810"/>
      <c r="N109" s="807"/>
      <c r="O109" s="808"/>
      <c r="P109" s="807"/>
      <c r="Q109" s="808"/>
    </row>
    <row r="110" spans="1:19" s="658" customFormat="1" ht="14.25" customHeight="1">
      <c r="A110" t="str">
        <f t="shared" si="0"/>
        <v>1742</v>
      </c>
      <c r="B110" s="812" t="s">
        <v>411</v>
      </c>
      <c r="C110" s="812"/>
      <c r="E110" s="810"/>
      <c r="N110" s="807"/>
      <c r="O110" s="808"/>
      <c r="P110" s="807"/>
      <c r="Q110" s="808"/>
    </row>
    <row r="111" spans="1:19" s="658" customFormat="1" ht="14.25" customHeight="1">
      <c r="A111" t="str">
        <f t="shared" si="0"/>
        <v>1743</v>
      </c>
      <c r="B111" s="812" t="s">
        <v>413</v>
      </c>
      <c r="C111" s="812"/>
      <c r="E111" s="810"/>
      <c r="N111" s="807"/>
      <c r="O111" s="808"/>
      <c r="P111" s="807"/>
      <c r="Q111" s="808"/>
    </row>
    <row r="112" spans="1:19" s="658" customFormat="1" ht="14.25" customHeight="1">
      <c r="A112" t="str">
        <f t="shared" si="0"/>
        <v>1751</v>
      </c>
      <c r="B112" s="812" t="s">
        <v>415</v>
      </c>
      <c r="C112" s="812"/>
      <c r="E112" s="810"/>
      <c r="N112" s="807"/>
      <c r="O112" s="808"/>
      <c r="P112" s="807"/>
      <c r="Q112" s="808"/>
    </row>
    <row r="113" spans="1:19" s="658" customFormat="1" ht="14.25" customHeight="1">
      <c r="A113" t="str">
        <f t="shared" si="0"/>
        <v>1752</v>
      </c>
      <c r="B113" s="812" t="s">
        <v>417</v>
      </c>
      <c r="C113" s="812"/>
      <c r="E113" s="810"/>
      <c r="N113" s="807"/>
      <c r="O113" s="808"/>
      <c r="P113" s="807"/>
      <c r="Q113" s="808"/>
    </row>
    <row r="114" spans="1:19" s="658" customFormat="1" ht="14.25" customHeight="1">
      <c r="A114" t="str">
        <f t="shared" si="0"/>
        <v>1761</v>
      </c>
      <c r="B114" s="812" t="s">
        <v>419</v>
      </c>
      <c r="C114" s="812"/>
      <c r="E114" s="810"/>
      <c r="N114" s="807"/>
      <c r="O114" s="808"/>
      <c r="P114" s="807"/>
      <c r="Q114" s="808"/>
    </row>
    <row r="115" spans="1:19" s="658" customFormat="1" ht="14.25" customHeight="1">
      <c r="A115" t="str">
        <f t="shared" si="0"/>
        <v>1771</v>
      </c>
      <c r="B115" s="812" t="s">
        <v>421</v>
      </c>
      <c r="C115" s="812"/>
      <c r="E115" s="810"/>
      <c r="N115" s="807"/>
      <c r="O115" s="808"/>
      <c r="P115" s="807"/>
      <c r="Q115" s="808"/>
    </row>
    <row r="116" spans="1:19" s="658" customFormat="1" ht="14.25" customHeight="1">
      <c r="A116" t="str">
        <f t="shared" si="0"/>
        <v>1781</v>
      </c>
      <c r="B116" s="812" t="s">
        <v>423</v>
      </c>
      <c r="C116" s="812"/>
      <c r="E116" s="810"/>
      <c r="N116" s="807"/>
      <c r="O116" s="808"/>
      <c r="P116" s="807"/>
      <c r="Q116" s="808"/>
      <c r="S116" s="808"/>
    </row>
    <row r="117" spans="1:19" s="658" customFormat="1" ht="14.25" customHeight="1">
      <c r="A117" t="str">
        <f t="shared" si="0"/>
        <v>1791</v>
      </c>
      <c r="B117" s="812" t="s">
        <v>425</v>
      </c>
      <c r="C117" s="812"/>
      <c r="E117" s="810"/>
      <c r="N117" s="807"/>
      <c r="O117" s="808"/>
      <c r="P117" s="807"/>
      <c r="Q117" s="808"/>
    </row>
    <row r="118" spans="1:19" s="658" customFormat="1" ht="14.25" customHeight="1">
      <c r="A118" t="str">
        <f t="shared" si="0"/>
        <v>1793</v>
      </c>
      <c r="B118" s="812" t="s">
        <v>427</v>
      </c>
      <c r="C118" s="812"/>
      <c r="E118" s="810"/>
      <c r="N118" s="807"/>
      <c r="O118" s="808"/>
      <c r="P118" s="807"/>
      <c r="Q118" s="808"/>
    </row>
    <row r="119" spans="1:19" s="658" customFormat="1" ht="14.25" customHeight="1">
      <c r="A119" t="str">
        <f t="shared" si="0"/>
        <v>1794</v>
      </c>
      <c r="B119" s="812" t="s">
        <v>429</v>
      </c>
      <c r="C119" s="812"/>
      <c r="E119" s="810"/>
      <c r="N119" s="807"/>
      <c r="O119" s="808"/>
      <c r="P119" s="807"/>
      <c r="Q119" s="808"/>
      <c r="S119" s="808"/>
    </row>
    <row r="120" spans="1:19" s="658" customFormat="1" ht="14.25" customHeight="1">
      <c r="A120" t="str">
        <f t="shared" si="0"/>
        <v>1795</v>
      </c>
      <c r="B120" s="812" t="s">
        <v>431</v>
      </c>
      <c r="C120" s="812"/>
      <c r="E120" s="810"/>
      <c r="N120" s="807"/>
      <c r="O120" s="808"/>
      <c r="P120" s="807"/>
      <c r="Q120" s="808"/>
    </row>
    <row r="121" spans="1:19" s="658" customFormat="1" ht="14.25" customHeight="1">
      <c r="A121" t="str">
        <f t="shared" si="0"/>
        <v>1796</v>
      </c>
      <c r="B121" s="812" t="s">
        <v>433</v>
      </c>
      <c r="C121" s="812"/>
      <c r="E121" s="810"/>
      <c r="N121" s="807"/>
      <c r="O121" s="808"/>
      <c r="P121" s="807"/>
      <c r="Q121" s="808"/>
    </row>
    <row r="122" spans="1:19" s="658" customFormat="1" ht="14.25" customHeight="1">
      <c r="A122" t="str">
        <f t="shared" si="0"/>
        <v>1799</v>
      </c>
      <c r="B122" s="812" t="s">
        <v>435</v>
      </c>
      <c r="C122" s="812"/>
      <c r="E122" s="810"/>
      <c r="N122" s="807"/>
      <c r="O122" s="808"/>
      <c r="P122" s="807"/>
      <c r="Q122" s="808"/>
    </row>
    <row r="123" spans="1:19" s="658" customFormat="1" ht="14.25" customHeight="1">
      <c r="A123" t="str">
        <f t="shared" si="0"/>
        <v>2011</v>
      </c>
      <c r="B123" s="812" t="s">
        <v>440</v>
      </c>
      <c r="C123" s="812"/>
      <c r="N123" s="807"/>
      <c r="O123" s="808"/>
      <c r="P123" s="807"/>
      <c r="Q123" s="808"/>
    </row>
    <row r="124" spans="1:19" s="658" customFormat="1" ht="14.25" customHeight="1">
      <c r="A124" t="str">
        <f t="shared" si="0"/>
        <v>2013</v>
      </c>
      <c r="B124" s="812" t="s">
        <v>442</v>
      </c>
      <c r="C124" s="812"/>
      <c r="N124" s="807"/>
      <c r="O124" s="808"/>
      <c r="P124" s="807"/>
      <c r="Q124" s="808"/>
    </row>
    <row r="125" spans="1:19" s="658" customFormat="1" ht="14.25" customHeight="1">
      <c r="A125" t="str">
        <f t="shared" si="0"/>
        <v>2015</v>
      </c>
      <c r="B125" s="812" t="s">
        <v>444</v>
      </c>
      <c r="C125" s="812"/>
      <c r="N125" s="807"/>
      <c r="O125" s="808"/>
      <c r="P125" s="807"/>
      <c r="Q125" s="808"/>
    </row>
    <row r="126" spans="1:19" s="658" customFormat="1" ht="14.25" customHeight="1">
      <c r="A126" t="str">
        <f t="shared" si="0"/>
        <v>2021</v>
      </c>
      <c r="B126" s="812" t="s">
        <v>446</v>
      </c>
      <c r="C126" s="812"/>
      <c r="N126" s="807"/>
      <c r="O126" s="808"/>
      <c r="P126" s="807"/>
      <c r="Q126" s="808"/>
    </row>
    <row r="127" spans="1:19" s="658" customFormat="1" ht="14.25" customHeight="1">
      <c r="A127" t="str">
        <f t="shared" si="0"/>
        <v>2022</v>
      </c>
      <c r="B127" s="812" t="s">
        <v>448</v>
      </c>
      <c r="C127" s="812"/>
      <c r="N127" s="807"/>
      <c r="O127" s="808"/>
      <c r="P127" s="807"/>
      <c r="Q127" s="808"/>
    </row>
    <row r="128" spans="1:19" s="658" customFormat="1" ht="14.25" customHeight="1">
      <c r="A128" t="str">
        <f t="shared" si="0"/>
        <v>2023</v>
      </c>
      <c r="B128" s="812" t="s">
        <v>450</v>
      </c>
      <c r="C128" s="812"/>
      <c r="N128" s="807"/>
      <c r="O128" s="808"/>
      <c r="P128" s="807"/>
      <c r="Q128" s="808"/>
    </row>
    <row r="129" spans="1:17" s="658" customFormat="1" ht="14.25" customHeight="1">
      <c r="A129" t="str">
        <f t="shared" si="0"/>
        <v>2024</v>
      </c>
      <c r="B129" s="812" t="s">
        <v>452</v>
      </c>
      <c r="C129" s="812"/>
      <c r="N129" s="807"/>
      <c r="O129" s="808"/>
      <c r="P129" s="807"/>
      <c r="Q129" s="808"/>
    </row>
    <row r="130" spans="1:17" s="658" customFormat="1" ht="14.25" customHeight="1">
      <c r="A130" t="str">
        <f t="shared" si="0"/>
        <v>2026</v>
      </c>
      <c r="B130" s="812" t="s">
        <v>454</v>
      </c>
      <c r="C130" s="812"/>
      <c r="N130" s="807"/>
      <c r="O130" s="808"/>
      <c r="P130" s="807"/>
      <c r="Q130" s="808"/>
    </row>
    <row r="131" spans="1:17" s="658" customFormat="1" ht="14.25" customHeight="1">
      <c r="A131" t="str">
        <f t="shared" si="0"/>
        <v>2032</v>
      </c>
      <c r="B131" s="812" t="s">
        <v>456</v>
      </c>
      <c r="C131" s="812"/>
      <c r="N131" s="807"/>
      <c r="O131" s="808"/>
      <c r="P131" s="807"/>
      <c r="Q131" s="808"/>
    </row>
    <row r="132" spans="1:17" s="658" customFormat="1" ht="14.25" customHeight="1">
      <c r="A132" t="str">
        <f t="shared" si="0"/>
        <v>2033</v>
      </c>
      <c r="B132" s="812" t="s">
        <v>458</v>
      </c>
      <c r="C132" s="812"/>
      <c r="N132" s="807"/>
      <c r="O132" s="808"/>
      <c r="P132" s="807"/>
      <c r="Q132" s="808"/>
    </row>
    <row r="133" spans="1:17" s="658" customFormat="1" ht="14.25" customHeight="1">
      <c r="A133" t="str">
        <f t="shared" si="0"/>
        <v>2034</v>
      </c>
      <c r="B133" s="812" t="s">
        <v>460</v>
      </c>
      <c r="C133" s="812"/>
      <c r="N133" s="807"/>
      <c r="O133" s="808"/>
      <c r="P133" s="807"/>
      <c r="Q133" s="808"/>
    </row>
    <row r="134" spans="1:17" s="658" customFormat="1" ht="14.25" customHeight="1">
      <c r="A134" t="str">
        <f t="shared" si="0"/>
        <v>2035</v>
      </c>
      <c r="B134" s="812" t="s">
        <v>462</v>
      </c>
      <c r="C134" s="812"/>
      <c r="N134" s="807"/>
      <c r="O134" s="808"/>
      <c r="P134" s="807"/>
      <c r="Q134" s="808"/>
    </row>
    <row r="135" spans="1:17" s="658" customFormat="1" ht="14.25" customHeight="1">
      <c r="A135" t="str">
        <f t="shared" si="0"/>
        <v>2037</v>
      </c>
      <c r="B135" s="812" t="s">
        <v>464</v>
      </c>
      <c r="C135" s="812"/>
      <c r="N135" s="807"/>
      <c r="O135" s="808"/>
      <c r="P135" s="807"/>
      <c r="Q135" s="808"/>
    </row>
    <row r="136" spans="1:17" s="658" customFormat="1" ht="14.25" customHeight="1">
      <c r="A136" t="str">
        <f t="shared" si="0"/>
        <v>2038</v>
      </c>
      <c r="B136" s="812" t="s">
        <v>466</v>
      </c>
      <c r="C136" s="812"/>
      <c r="N136" s="807"/>
      <c r="O136" s="808"/>
      <c r="P136" s="807"/>
      <c r="Q136" s="808"/>
    </row>
    <row r="137" spans="1:17" s="658" customFormat="1" ht="14.25" customHeight="1">
      <c r="A137" t="str">
        <f t="shared" si="0"/>
        <v>2041</v>
      </c>
      <c r="B137" s="812" t="s">
        <v>468</v>
      </c>
      <c r="C137" s="812"/>
      <c r="N137" s="807"/>
      <c r="O137" s="808"/>
      <c r="P137" s="807"/>
      <c r="Q137" s="808"/>
    </row>
    <row r="138" spans="1:17" s="658" customFormat="1" ht="14.25" customHeight="1">
      <c r="A138" t="str">
        <f t="shared" si="0"/>
        <v>2043</v>
      </c>
      <c r="B138" s="812" t="s">
        <v>470</v>
      </c>
      <c r="C138" s="812"/>
      <c r="N138" s="807"/>
      <c r="O138" s="808"/>
      <c r="P138" s="807"/>
      <c r="Q138" s="808"/>
    </row>
    <row r="139" spans="1:17" s="658" customFormat="1" ht="14.25" customHeight="1">
      <c r="A139" t="str">
        <f t="shared" si="0"/>
        <v>2044</v>
      </c>
      <c r="B139" s="812" t="s">
        <v>472</v>
      </c>
      <c r="C139" s="812"/>
      <c r="N139" s="807"/>
      <c r="O139" s="808"/>
      <c r="P139" s="807"/>
      <c r="Q139" s="808"/>
    </row>
    <row r="140" spans="1:17" s="658" customFormat="1" ht="14.25" customHeight="1">
      <c r="A140" t="str">
        <f t="shared" si="0"/>
        <v>2045</v>
      </c>
      <c r="B140" s="812" t="s">
        <v>474</v>
      </c>
      <c r="C140" s="812"/>
      <c r="N140" s="807"/>
      <c r="O140" s="808"/>
      <c r="P140" s="807"/>
      <c r="Q140" s="808"/>
    </row>
    <row r="141" spans="1:17" s="658" customFormat="1" ht="14.25" customHeight="1">
      <c r="A141" t="str">
        <f t="shared" si="0"/>
        <v>2046</v>
      </c>
      <c r="B141" s="812" t="s">
        <v>476</v>
      </c>
      <c r="C141" s="812"/>
      <c r="N141" s="807"/>
      <c r="O141" s="808"/>
      <c r="P141" s="807"/>
      <c r="Q141" s="808"/>
    </row>
    <row r="142" spans="1:17" s="658" customFormat="1" ht="14.25" customHeight="1">
      <c r="A142" t="str">
        <f t="shared" si="0"/>
        <v>2047</v>
      </c>
      <c r="B142" s="812" t="s">
        <v>478</v>
      </c>
      <c r="C142" s="812"/>
      <c r="N142" s="807"/>
      <c r="O142" s="808"/>
      <c r="P142" s="807"/>
      <c r="Q142" s="808"/>
    </row>
    <row r="143" spans="1:17" s="658" customFormat="1" ht="14.25" customHeight="1">
      <c r="A143" t="str">
        <f t="shared" si="0"/>
        <v>2048</v>
      </c>
      <c r="B143" s="812" t="s">
        <v>480</v>
      </c>
      <c r="C143" s="812"/>
      <c r="N143" s="807"/>
      <c r="O143" s="808"/>
      <c r="P143" s="807"/>
      <c r="Q143" s="808"/>
    </row>
    <row r="144" spans="1:17" s="658" customFormat="1" ht="14.25" customHeight="1">
      <c r="A144" t="str">
        <f t="shared" si="0"/>
        <v>2051</v>
      </c>
      <c r="B144" s="812" t="s">
        <v>482</v>
      </c>
      <c r="C144" s="812"/>
      <c r="N144" s="807"/>
      <c r="O144" s="808"/>
      <c r="P144" s="807"/>
      <c r="Q144" s="808"/>
    </row>
    <row r="145" spans="1:23" s="658" customFormat="1" ht="14.25" customHeight="1">
      <c r="A145" t="str">
        <f t="shared" si="0"/>
        <v>2052</v>
      </c>
      <c r="B145" s="812" t="s">
        <v>484</v>
      </c>
      <c r="C145" s="812"/>
      <c r="N145" s="807"/>
      <c r="O145" s="808"/>
      <c r="P145" s="807"/>
      <c r="Q145" s="808"/>
    </row>
    <row r="146" spans="1:23" s="658" customFormat="1" ht="14.25" customHeight="1">
      <c r="A146" t="str">
        <f t="shared" si="0"/>
        <v>2053</v>
      </c>
      <c r="B146" s="812" t="s">
        <v>486</v>
      </c>
      <c r="C146" s="812"/>
      <c r="N146" s="807"/>
      <c r="O146" s="808"/>
      <c r="P146" s="807"/>
      <c r="Q146" s="808"/>
    </row>
    <row r="147" spans="1:23" s="658" customFormat="1" ht="14.25" customHeight="1">
      <c r="A147" t="str">
        <f t="shared" si="0"/>
        <v>2061</v>
      </c>
      <c r="B147" s="812" t="s">
        <v>488</v>
      </c>
      <c r="C147" s="812"/>
      <c r="N147" s="807"/>
      <c r="O147" s="808"/>
      <c r="P147" s="807"/>
      <c r="Q147" s="808"/>
    </row>
    <row r="148" spans="1:23" s="658" customFormat="1" ht="14.25" customHeight="1">
      <c r="A148" t="str">
        <f t="shared" si="0"/>
        <v>2062</v>
      </c>
      <c r="B148" s="812" t="s">
        <v>490</v>
      </c>
      <c r="C148" s="812"/>
      <c r="N148" s="807"/>
      <c r="O148" s="808"/>
      <c r="P148" s="807"/>
      <c r="Q148" s="808"/>
    </row>
    <row r="149" spans="1:23" s="658" customFormat="1" ht="14.25" customHeight="1">
      <c r="A149" t="str">
        <f t="shared" si="0"/>
        <v>2063</v>
      </c>
      <c r="B149" s="812" t="s">
        <v>492</v>
      </c>
      <c r="C149" s="812"/>
      <c r="N149" s="807"/>
      <c r="O149" s="808"/>
      <c r="P149" s="807"/>
      <c r="Q149" s="808"/>
    </row>
    <row r="150" spans="1:23" s="658" customFormat="1" ht="14.25" customHeight="1">
      <c r="A150" t="str">
        <f t="shared" si="0"/>
        <v>2064</v>
      </c>
      <c r="B150" s="812" t="s">
        <v>494</v>
      </c>
      <c r="C150" s="812"/>
      <c r="N150" s="807"/>
      <c r="O150" s="808"/>
      <c r="P150" s="807"/>
      <c r="Q150" s="808"/>
    </row>
    <row r="151" spans="1:23" s="658" customFormat="1" ht="14.25" customHeight="1">
      <c r="A151" t="str">
        <f t="shared" si="0"/>
        <v>2066</v>
      </c>
      <c r="B151" s="812" t="s">
        <v>496</v>
      </c>
      <c r="C151" s="812"/>
      <c r="N151" s="807"/>
      <c r="O151" s="808"/>
      <c r="P151" s="807"/>
      <c r="Q151" s="808"/>
    </row>
    <row r="152" spans="1:23" s="658" customFormat="1" ht="14.25" customHeight="1">
      <c r="A152" t="str">
        <f t="shared" si="0"/>
        <v>2067</v>
      </c>
      <c r="B152" s="812" t="s">
        <v>498</v>
      </c>
      <c r="C152" s="812"/>
      <c r="N152" s="807"/>
      <c r="O152" s="808"/>
      <c r="P152" s="807"/>
      <c r="Q152" s="808"/>
    </row>
    <row r="153" spans="1:23" s="658" customFormat="1" ht="14.25" customHeight="1">
      <c r="A153" t="str">
        <f t="shared" si="0"/>
        <v>2068</v>
      </c>
      <c r="B153" s="812" t="s">
        <v>500</v>
      </c>
      <c r="C153" s="812"/>
      <c r="N153" s="807"/>
      <c r="O153" s="808"/>
      <c r="P153" s="807"/>
      <c r="Q153" s="808"/>
    </row>
    <row r="154" spans="1:23" s="658" customFormat="1" ht="14.25" customHeight="1">
      <c r="A154" t="str">
        <f t="shared" si="0"/>
        <v>2074</v>
      </c>
      <c r="B154" s="812" t="s">
        <v>502</v>
      </c>
      <c r="C154" s="812"/>
      <c r="N154" s="807"/>
      <c r="O154" s="808"/>
      <c r="P154" s="807"/>
      <c r="Q154" s="808"/>
    </row>
    <row r="155" spans="1:23" s="658" customFormat="1" ht="14.25" customHeight="1">
      <c r="A155" t="str">
        <f t="shared" si="0"/>
        <v>2075</v>
      </c>
      <c r="B155" s="812" t="s">
        <v>504</v>
      </c>
      <c r="C155" s="812"/>
      <c r="N155" s="807"/>
      <c r="O155" s="808"/>
      <c r="P155" s="807"/>
      <c r="Q155" s="808"/>
    </row>
    <row r="156" spans="1:23" s="658" customFormat="1" ht="14.25" customHeight="1">
      <c r="A156" t="str">
        <f t="shared" si="0"/>
        <v>2076</v>
      </c>
      <c r="B156" s="812" t="s">
        <v>506</v>
      </c>
      <c r="C156" s="812"/>
      <c r="N156" s="807"/>
      <c r="O156" s="808"/>
      <c r="P156" s="807"/>
      <c r="Q156" s="808"/>
    </row>
    <row r="157" spans="1:23" s="658" customFormat="1" ht="14.25" customHeight="1">
      <c r="A157" t="str">
        <f t="shared" si="0"/>
        <v>2077</v>
      </c>
      <c r="B157" s="812" t="s">
        <v>508</v>
      </c>
      <c r="C157" s="812"/>
      <c r="N157" s="807"/>
      <c r="O157" s="808"/>
      <c r="P157" s="807"/>
      <c r="Q157" s="808"/>
    </row>
    <row r="158" spans="1:23" s="658" customFormat="1" ht="14.25" customHeight="1">
      <c r="A158" t="str">
        <f t="shared" si="0"/>
        <v>2079</v>
      </c>
      <c r="B158" s="812" t="s">
        <v>510</v>
      </c>
      <c r="C158" s="812"/>
      <c r="N158" s="807"/>
      <c r="O158" s="808"/>
      <c r="P158" s="807"/>
      <c r="Q158" s="808"/>
    </row>
    <row r="159" spans="1:23" s="658" customFormat="1" ht="14.25" customHeight="1">
      <c r="A159" t="str">
        <f t="shared" si="0"/>
        <v>2082</v>
      </c>
      <c r="B159" s="812" t="s">
        <v>512</v>
      </c>
      <c r="C159" s="812"/>
      <c r="I159" s="808"/>
      <c r="N159" s="807"/>
      <c r="O159" s="808"/>
      <c r="P159" s="807"/>
      <c r="Q159" s="808"/>
      <c r="U159" s="808"/>
      <c r="V159" s="808"/>
      <c r="W159" s="808"/>
    </row>
    <row r="160" spans="1:23" s="658" customFormat="1" ht="14.25" customHeight="1">
      <c r="A160" t="str">
        <f t="shared" si="0"/>
        <v>2083</v>
      </c>
      <c r="B160" s="812" t="s">
        <v>514</v>
      </c>
      <c r="C160" s="812"/>
      <c r="N160" s="807"/>
      <c r="O160" s="808"/>
      <c r="P160" s="807"/>
      <c r="Q160" s="808"/>
    </row>
    <row r="161" spans="1:23" s="658" customFormat="1" ht="14.25" customHeight="1">
      <c r="A161" t="str">
        <f t="shared" si="0"/>
        <v>2084</v>
      </c>
      <c r="B161" s="812" t="s">
        <v>516</v>
      </c>
      <c r="C161" s="812"/>
      <c r="I161" s="808"/>
      <c r="N161" s="807"/>
      <c r="O161" s="808"/>
      <c r="P161" s="807"/>
      <c r="Q161" s="808"/>
      <c r="U161" s="808"/>
      <c r="V161" s="808"/>
      <c r="W161" s="808"/>
    </row>
    <row r="162" spans="1:23" s="658" customFormat="1" ht="14.25" customHeight="1">
      <c r="A162" t="str">
        <f t="shared" si="0"/>
        <v>2085</v>
      </c>
      <c r="B162" s="812" t="s">
        <v>518</v>
      </c>
      <c r="C162" s="812"/>
      <c r="I162" s="808"/>
      <c r="N162" s="807"/>
      <c r="O162" s="808"/>
      <c r="P162" s="807"/>
      <c r="Q162" s="808"/>
      <c r="U162" s="808"/>
      <c r="V162" s="808"/>
      <c r="W162" s="808"/>
    </row>
    <row r="163" spans="1:23" s="658" customFormat="1" ht="14.25" customHeight="1">
      <c r="A163" t="str">
        <f t="shared" si="0"/>
        <v>2086</v>
      </c>
      <c r="B163" s="812" t="s">
        <v>520</v>
      </c>
      <c r="C163" s="812"/>
      <c r="N163" s="807"/>
      <c r="O163" s="808"/>
      <c r="P163" s="807"/>
      <c r="Q163" s="808"/>
    </row>
    <row r="164" spans="1:23" s="658" customFormat="1" ht="14.25" customHeight="1">
      <c r="A164" t="str">
        <f t="shared" si="0"/>
        <v>2087</v>
      </c>
      <c r="B164" s="812" t="s">
        <v>522</v>
      </c>
      <c r="C164" s="812"/>
      <c r="N164" s="807"/>
      <c r="O164" s="808"/>
      <c r="P164" s="807"/>
      <c r="Q164" s="808"/>
    </row>
    <row r="165" spans="1:23" s="658" customFormat="1" ht="14.25" customHeight="1">
      <c r="A165" t="str">
        <f t="shared" si="0"/>
        <v>2091</v>
      </c>
      <c r="B165" s="812" t="s">
        <v>524</v>
      </c>
      <c r="C165" s="812"/>
      <c r="N165" s="807"/>
      <c r="O165" s="808"/>
      <c r="P165" s="807"/>
      <c r="Q165" s="808"/>
    </row>
    <row r="166" spans="1:23" s="658" customFormat="1" ht="14.25" customHeight="1">
      <c r="A166" t="str">
        <f t="shared" si="0"/>
        <v>2092</v>
      </c>
      <c r="B166" s="812" t="s">
        <v>526</v>
      </c>
      <c r="C166" s="812"/>
      <c r="N166" s="807"/>
      <c r="O166" s="808"/>
      <c r="P166" s="807"/>
      <c r="Q166" s="808"/>
    </row>
    <row r="167" spans="1:23" s="658" customFormat="1" ht="14.25" customHeight="1">
      <c r="A167" t="str">
        <f t="shared" si="0"/>
        <v>2095</v>
      </c>
      <c r="B167" s="812" t="s">
        <v>528</v>
      </c>
      <c r="C167" s="812"/>
      <c r="N167" s="807"/>
      <c r="O167" s="808"/>
      <c r="P167" s="807"/>
      <c r="Q167" s="808"/>
    </row>
    <row r="168" spans="1:23" s="658" customFormat="1" ht="14.25" customHeight="1">
      <c r="A168" t="str">
        <f t="shared" si="0"/>
        <v>2096</v>
      </c>
      <c r="B168" s="812" t="s">
        <v>530</v>
      </c>
      <c r="C168" s="812"/>
      <c r="N168" s="807"/>
      <c r="O168" s="808"/>
      <c r="P168" s="807"/>
      <c r="Q168" s="808"/>
    </row>
    <row r="169" spans="1:23" s="658" customFormat="1" ht="14.25" customHeight="1">
      <c r="A169" t="str">
        <f t="shared" si="0"/>
        <v>2097</v>
      </c>
      <c r="B169" s="812" t="s">
        <v>532</v>
      </c>
      <c r="C169" s="812"/>
      <c r="N169" s="807"/>
      <c r="O169" s="808"/>
      <c r="P169" s="807"/>
      <c r="Q169" s="808"/>
    </row>
    <row r="170" spans="1:23" s="658" customFormat="1" ht="14.25" customHeight="1">
      <c r="A170" t="str">
        <f t="shared" si="0"/>
        <v>2098</v>
      </c>
      <c r="B170" s="812" t="s">
        <v>534</v>
      </c>
      <c r="C170" s="812"/>
      <c r="N170" s="807"/>
      <c r="O170" s="808"/>
      <c r="P170" s="807"/>
      <c r="Q170" s="808"/>
    </row>
    <row r="171" spans="1:23" s="658" customFormat="1" ht="14.25" customHeight="1">
      <c r="A171" t="str">
        <f t="shared" si="0"/>
        <v>2099</v>
      </c>
      <c r="B171" s="812" t="s">
        <v>536</v>
      </c>
      <c r="C171" s="812"/>
      <c r="N171" s="807"/>
      <c r="O171" s="808"/>
      <c r="P171" s="807"/>
      <c r="Q171" s="808"/>
    </row>
    <row r="172" spans="1:23" s="658" customFormat="1" ht="14.25" customHeight="1">
      <c r="A172" t="str">
        <f t="shared" si="0"/>
        <v>2111</v>
      </c>
      <c r="B172" s="812" t="s">
        <v>540</v>
      </c>
      <c r="C172" s="812"/>
      <c r="I172" s="808"/>
      <c r="N172" s="807"/>
      <c r="O172" s="808"/>
      <c r="P172" s="807"/>
      <c r="Q172" s="808"/>
      <c r="U172" s="808"/>
      <c r="V172" s="808"/>
      <c r="W172" s="808"/>
    </row>
    <row r="173" spans="1:23" s="658" customFormat="1" ht="14.25" customHeight="1">
      <c r="A173" t="str">
        <f t="shared" si="0"/>
        <v>2121</v>
      </c>
      <c r="B173" s="812" t="s">
        <v>542</v>
      </c>
      <c r="C173" s="812"/>
      <c r="I173" s="808"/>
      <c r="N173" s="807"/>
      <c r="O173" s="808"/>
      <c r="P173" s="807"/>
      <c r="Q173" s="808"/>
      <c r="U173" s="808"/>
      <c r="V173" s="808"/>
      <c r="W173" s="808"/>
    </row>
    <row r="174" spans="1:23" s="658" customFormat="1" ht="14.25" customHeight="1">
      <c r="A174" t="str">
        <f t="shared" si="0"/>
        <v>2131</v>
      </c>
      <c r="B174" s="812" t="s">
        <v>544</v>
      </c>
      <c r="C174" s="812"/>
      <c r="I174" s="808"/>
      <c r="N174" s="807"/>
      <c r="O174" s="808"/>
      <c r="P174" s="807"/>
      <c r="Q174" s="808"/>
      <c r="U174" s="808"/>
      <c r="V174" s="808"/>
      <c r="W174" s="808"/>
    </row>
    <row r="175" spans="1:23" s="658" customFormat="1" ht="14.25" customHeight="1">
      <c r="A175" t="str">
        <f t="shared" si="0"/>
        <v>2141</v>
      </c>
      <c r="B175" s="812" t="s">
        <v>546</v>
      </c>
      <c r="C175" s="812"/>
      <c r="I175" s="808"/>
      <c r="N175" s="807"/>
      <c r="O175" s="808"/>
      <c r="P175" s="807"/>
      <c r="Q175" s="808"/>
      <c r="U175" s="808"/>
      <c r="V175" s="808"/>
      <c r="W175" s="808"/>
    </row>
    <row r="176" spans="1:23" s="658" customFormat="1" ht="14.25" customHeight="1">
      <c r="A176" t="str">
        <f t="shared" si="0"/>
        <v>2211</v>
      </c>
      <c r="B176" s="812" t="s">
        <v>550</v>
      </c>
      <c r="C176" s="812"/>
      <c r="N176" s="807"/>
      <c r="O176" s="808"/>
      <c r="P176" s="807"/>
      <c r="Q176" s="808"/>
    </row>
    <row r="177" spans="1:17" s="658" customFormat="1" ht="14.25" customHeight="1">
      <c r="A177" t="str">
        <f t="shared" si="0"/>
        <v>2221</v>
      </c>
      <c r="B177" s="812" t="s">
        <v>552</v>
      </c>
      <c r="C177" s="812"/>
      <c r="N177" s="807"/>
      <c r="O177" s="808"/>
      <c r="P177" s="807"/>
      <c r="Q177" s="808"/>
    </row>
    <row r="178" spans="1:17" s="658" customFormat="1" ht="14.25" customHeight="1">
      <c r="A178" t="str">
        <f t="shared" si="0"/>
        <v>2231</v>
      </c>
      <c r="B178" s="812" t="s">
        <v>554</v>
      </c>
      <c r="C178" s="812"/>
      <c r="N178" s="807"/>
      <c r="O178" s="808"/>
      <c r="P178" s="807"/>
      <c r="Q178" s="808"/>
    </row>
    <row r="179" spans="1:17" s="658" customFormat="1" ht="14.25" customHeight="1">
      <c r="A179" t="str">
        <f t="shared" si="0"/>
        <v>2241</v>
      </c>
      <c r="B179" s="812" t="s">
        <v>556</v>
      </c>
      <c r="C179" s="812"/>
      <c r="N179" s="807"/>
      <c r="O179" s="808"/>
      <c r="P179" s="807"/>
      <c r="Q179" s="808"/>
    </row>
    <row r="180" spans="1:17" s="658" customFormat="1" ht="14.25" customHeight="1">
      <c r="A180" t="str">
        <f t="shared" si="0"/>
        <v>2251</v>
      </c>
      <c r="B180" s="812" t="s">
        <v>558</v>
      </c>
      <c r="C180" s="812"/>
      <c r="N180" s="807"/>
      <c r="O180" s="808"/>
      <c r="P180" s="807"/>
      <c r="Q180" s="808"/>
    </row>
    <row r="181" spans="1:17" s="658" customFormat="1" ht="14.25" customHeight="1">
      <c r="A181" t="str">
        <f t="shared" si="0"/>
        <v>2252</v>
      </c>
      <c r="B181" s="812" t="s">
        <v>560</v>
      </c>
      <c r="C181" s="812"/>
      <c r="N181" s="807"/>
      <c r="O181" s="808"/>
      <c r="P181" s="807"/>
      <c r="Q181" s="808"/>
    </row>
    <row r="182" spans="1:17" s="658" customFormat="1" ht="14.25" customHeight="1">
      <c r="A182" t="str">
        <f t="shared" si="0"/>
        <v>2253</v>
      </c>
      <c r="B182" s="812" t="s">
        <v>562</v>
      </c>
      <c r="C182" s="812"/>
      <c r="N182" s="807"/>
      <c r="O182" s="808"/>
      <c r="P182" s="807"/>
      <c r="Q182" s="808"/>
    </row>
    <row r="183" spans="1:17" s="658" customFormat="1" ht="14.25" customHeight="1">
      <c r="A183" t="str">
        <f t="shared" si="0"/>
        <v>2254</v>
      </c>
      <c r="B183" s="812" t="s">
        <v>564</v>
      </c>
      <c r="C183" s="812"/>
      <c r="N183" s="807"/>
      <c r="O183" s="808"/>
      <c r="P183" s="807"/>
      <c r="Q183" s="808"/>
    </row>
    <row r="184" spans="1:17" s="658" customFormat="1" ht="14.25" customHeight="1">
      <c r="A184" t="str">
        <f t="shared" si="0"/>
        <v>2257</v>
      </c>
      <c r="B184" s="812" t="s">
        <v>566</v>
      </c>
      <c r="C184" s="812"/>
      <c r="N184" s="807"/>
      <c r="O184" s="808"/>
      <c r="P184" s="807"/>
      <c r="Q184" s="808"/>
    </row>
    <row r="185" spans="1:17" s="658" customFormat="1" ht="14.25" customHeight="1">
      <c r="A185" t="str">
        <f t="shared" si="0"/>
        <v>2258</v>
      </c>
      <c r="B185" s="812" t="s">
        <v>568</v>
      </c>
      <c r="C185" s="812"/>
      <c r="N185" s="807"/>
      <c r="O185" s="808"/>
      <c r="P185" s="807"/>
      <c r="Q185" s="808"/>
    </row>
    <row r="186" spans="1:17" s="658" customFormat="1" ht="14.25" customHeight="1">
      <c r="A186" t="str">
        <f t="shared" si="0"/>
        <v>2259</v>
      </c>
      <c r="B186" s="812" t="s">
        <v>570</v>
      </c>
      <c r="C186" s="812"/>
      <c r="N186" s="807"/>
      <c r="O186" s="808"/>
      <c r="P186" s="807"/>
      <c r="Q186" s="808"/>
    </row>
    <row r="187" spans="1:17" s="658" customFormat="1" ht="14.25" customHeight="1">
      <c r="A187" t="str">
        <f t="shared" si="0"/>
        <v>2261</v>
      </c>
      <c r="B187" s="812" t="s">
        <v>572</v>
      </c>
      <c r="C187" s="812"/>
      <c r="N187" s="807"/>
      <c r="O187" s="808"/>
      <c r="P187" s="807"/>
      <c r="Q187" s="808"/>
    </row>
    <row r="188" spans="1:17" s="658" customFormat="1" ht="14.25" customHeight="1">
      <c r="A188" t="str">
        <f t="shared" si="0"/>
        <v>2262</v>
      </c>
      <c r="B188" s="812" t="s">
        <v>574</v>
      </c>
      <c r="C188" s="812"/>
      <c r="N188" s="807"/>
      <c r="O188" s="808"/>
      <c r="P188" s="807"/>
      <c r="Q188" s="808"/>
    </row>
    <row r="189" spans="1:17" s="658" customFormat="1" ht="14.25" customHeight="1">
      <c r="A189" t="str">
        <f t="shared" si="0"/>
        <v>2269</v>
      </c>
      <c r="B189" s="812" t="s">
        <v>576</v>
      </c>
      <c r="C189" s="812"/>
      <c r="N189" s="807"/>
      <c r="O189" s="808"/>
      <c r="P189" s="807"/>
      <c r="Q189" s="808"/>
    </row>
    <row r="190" spans="1:17" s="658" customFormat="1" ht="14.25" customHeight="1">
      <c r="A190" t="str">
        <f t="shared" si="0"/>
        <v>2273</v>
      </c>
      <c r="B190" s="812" t="s">
        <v>578</v>
      </c>
      <c r="C190" s="812"/>
      <c r="N190" s="807"/>
      <c r="O190" s="808"/>
      <c r="P190" s="807"/>
      <c r="Q190" s="808"/>
    </row>
    <row r="191" spans="1:17" s="658" customFormat="1" ht="14.25" customHeight="1">
      <c r="A191" t="str">
        <f t="shared" si="0"/>
        <v>2281</v>
      </c>
      <c r="B191" s="812" t="s">
        <v>580</v>
      </c>
      <c r="C191" s="812"/>
      <c r="N191" s="807"/>
      <c r="O191" s="808"/>
      <c r="P191" s="807"/>
      <c r="Q191" s="808"/>
    </row>
    <row r="192" spans="1:17" s="658" customFormat="1" ht="14.25" customHeight="1">
      <c r="A192" t="str">
        <f t="shared" si="0"/>
        <v>2282</v>
      </c>
      <c r="B192" s="812" t="s">
        <v>582</v>
      </c>
      <c r="C192" s="812"/>
      <c r="N192" s="807"/>
      <c r="O192" s="808"/>
      <c r="P192" s="807"/>
      <c r="Q192" s="808"/>
    </row>
    <row r="193" spans="1:17" s="658" customFormat="1" ht="14.25" customHeight="1">
      <c r="A193" t="str">
        <f t="shared" si="0"/>
        <v>2284</v>
      </c>
      <c r="B193" s="812" t="s">
        <v>584</v>
      </c>
      <c r="C193" s="812"/>
      <c r="N193" s="807"/>
      <c r="O193" s="808"/>
      <c r="P193" s="807"/>
      <c r="Q193" s="808"/>
    </row>
    <row r="194" spans="1:17" s="658" customFormat="1" ht="14.25" customHeight="1">
      <c r="A194" t="str">
        <f t="shared" si="0"/>
        <v>2295</v>
      </c>
      <c r="B194" s="812" t="s">
        <v>586</v>
      </c>
      <c r="C194" s="812"/>
      <c r="N194" s="807"/>
      <c r="O194" s="808"/>
      <c r="P194" s="807"/>
      <c r="Q194" s="808"/>
    </row>
    <row r="195" spans="1:17" s="658" customFormat="1" ht="14.25" customHeight="1">
      <c r="A195" t="str">
        <f t="shared" si="0"/>
        <v>2296</v>
      </c>
      <c r="B195" s="812" t="s">
        <v>588</v>
      </c>
      <c r="C195" s="812"/>
      <c r="N195" s="807"/>
      <c r="O195" s="808"/>
      <c r="P195" s="807"/>
      <c r="Q195" s="808"/>
    </row>
    <row r="196" spans="1:17" s="658" customFormat="1" ht="14.25" customHeight="1">
      <c r="A196" t="str">
        <f t="shared" si="0"/>
        <v>2297</v>
      </c>
      <c r="B196" s="812" t="s">
        <v>590</v>
      </c>
      <c r="C196" s="812"/>
      <c r="N196" s="807"/>
      <c r="O196" s="808"/>
      <c r="P196" s="807"/>
      <c r="Q196" s="808"/>
    </row>
    <row r="197" spans="1:17" s="658" customFormat="1" ht="14.25" customHeight="1">
      <c r="A197" t="str">
        <f t="shared" si="0"/>
        <v>2298</v>
      </c>
      <c r="B197" s="812" t="s">
        <v>592</v>
      </c>
      <c r="C197" s="812"/>
      <c r="N197" s="807"/>
      <c r="O197" s="808"/>
      <c r="P197" s="807"/>
      <c r="Q197" s="808"/>
    </row>
    <row r="198" spans="1:17" s="658" customFormat="1" ht="14.25" customHeight="1">
      <c r="A198" t="str">
        <f t="shared" si="0"/>
        <v>2299</v>
      </c>
      <c r="B198" s="812" t="s">
        <v>594</v>
      </c>
      <c r="C198" s="812"/>
      <c r="N198" s="807"/>
      <c r="O198" s="808"/>
      <c r="P198" s="807"/>
      <c r="Q198" s="808"/>
    </row>
    <row r="199" spans="1:17" s="658" customFormat="1" ht="14.25" customHeight="1">
      <c r="A199" t="str">
        <f t="shared" si="0"/>
        <v>2311</v>
      </c>
      <c r="B199" s="812" t="s">
        <v>598</v>
      </c>
      <c r="C199" s="812"/>
      <c r="N199" s="807"/>
      <c r="O199" s="808"/>
      <c r="P199" s="807"/>
      <c r="Q199" s="808"/>
    </row>
    <row r="200" spans="1:17" s="658" customFormat="1" ht="14.25" customHeight="1">
      <c r="A200" t="str">
        <f t="shared" si="0"/>
        <v>2321</v>
      </c>
      <c r="B200" s="812" t="s">
        <v>600</v>
      </c>
      <c r="C200" s="812"/>
      <c r="N200" s="807"/>
      <c r="O200" s="808"/>
      <c r="P200" s="807"/>
      <c r="Q200" s="808"/>
    </row>
    <row r="201" spans="1:17" s="658" customFormat="1" ht="14.25" customHeight="1">
      <c r="A201" t="str">
        <f t="shared" si="0"/>
        <v>2322</v>
      </c>
      <c r="B201" s="812" t="s">
        <v>602</v>
      </c>
      <c r="C201" s="812"/>
      <c r="N201" s="807"/>
      <c r="O201" s="808"/>
      <c r="P201" s="807"/>
      <c r="Q201" s="808"/>
    </row>
    <row r="202" spans="1:17" s="658" customFormat="1" ht="14.25" customHeight="1">
      <c r="A202" t="str">
        <f t="shared" si="0"/>
        <v>2323</v>
      </c>
      <c r="B202" s="812" t="s">
        <v>604</v>
      </c>
      <c r="C202" s="812"/>
      <c r="N202" s="807"/>
      <c r="O202" s="808"/>
      <c r="P202" s="807"/>
      <c r="Q202" s="808"/>
    </row>
    <row r="203" spans="1:17" s="658" customFormat="1" ht="14.25" customHeight="1">
      <c r="A203" t="str">
        <f t="shared" si="0"/>
        <v>2325</v>
      </c>
      <c r="B203" s="812" t="s">
        <v>606</v>
      </c>
      <c r="C203" s="812"/>
      <c r="N203" s="807"/>
      <c r="O203" s="808"/>
      <c r="P203" s="807"/>
      <c r="Q203" s="808"/>
    </row>
    <row r="204" spans="1:17" s="658" customFormat="1" ht="14.25" customHeight="1">
      <c r="A204" t="str">
        <f t="shared" si="0"/>
        <v>2326</v>
      </c>
      <c r="B204" s="812" t="s">
        <v>608</v>
      </c>
      <c r="C204" s="812"/>
      <c r="N204" s="807"/>
      <c r="O204" s="808"/>
      <c r="P204" s="807"/>
      <c r="Q204" s="808"/>
    </row>
    <row r="205" spans="1:17" s="658" customFormat="1" ht="14.25" customHeight="1">
      <c r="A205" t="str">
        <f t="shared" si="0"/>
        <v>2329</v>
      </c>
      <c r="B205" s="812" t="s">
        <v>610</v>
      </c>
      <c r="C205" s="812"/>
      <c r="N205" s="807"/>
      <c r="O205" s="808"/>
      <c r="P205" s="807"/>
      <c r="Q205" s="808"/>
    </row>
    <row r="206" spans="1:17" s="658" customFormat="1" ht="14.25" customHeight="1">
      <c r="A206" t="str">
        <f t="shared" si="0"/>
        <v>2331</v>
      </c>
      <c r="B206" s="812" t="s">
        <v>612</v>
      </c>
      <c r="C206" s="812"/>
      <c r="N206" s="807"/>
      <c r="O206" s="808"/>
      <c r="P206" s="807"/>
      <c r="Q206" s="808"/>
    </row>
    <row r="207" spans="1:17" s="658" customFormat="1" ht="14.25" customHeight="1">
      <c r="A207" t="str">
        <f t="shared" si="0"/>
        <v>2335</v>
      </c>
      <c r="B207" s="812" t="s">
        <v>614</v>
      </c>
      <c r="C207" s="812"/>
      <c r="N207" s="807"/>
      <c r="O207" s="808"/>
      <c r="P207" s="807"/>
      <c r="Q207" s="808"/>
    </row>
    <row r="208" spans="1:17" s="658" customFormat="1" ht="14.25" customHeight="1">
      <c r="A208" t="str">
        <f t="shared" si="0"/>
        <v>2337</v>
      </c>
      <c r="B208" s="812" t="s">
        <v>616</v>
      </c>
      <c r="C208" s="812"/>
      <c r="N208" s="807"/>
      <c r="O208" s="808"/>
      <c r="P208" s="807"/>
      <c r="Q208" s="808"/>
    </row>
    <row r="209" spans="1:23" s="658" customFormat="1" ht="14.25" customHeight="1">
      <c r="A209" t="str">
        <f t="shared" si="0"/>
        <v>2339</v>
      </c>
      <c r="B209" s="812" t="s">
        <v>618</v>
      </c>
      <c r="C209" s="812"/>
      <c r="N209" s="807"/>
      <c r="O209" s="808"/>
      <c r="P209" s="807"/>
      <c r="Q209" s="808"/>
    </row>
    <row r="210" spans="1:23" s="658" customFormat="1" ht="14.25" customHeight="1">
      <c r="A210" t="str">
        <f t="shared" si="0"/>
        <v>2341</v>
      </c>
      <c r="B210" s="812" t="s">
        <v>620</v>
      </c>
      <c r="C210" s="812"/>
      <c r="N210" s="807"/>
      <c r="O210" s="808"/>
      <c r="P210" s="807"/>
      <c r="Q210" s="808"/>
    </row>
    <row r="211" spans="1:23" s="658" customFormat="1" ht="14.25" customHeight="1">
      <c r="A211" t="str">
        <f t="shared" si="0"/>
        <v>2342</v>
      </c>
      <c r="B211" s="812" t="s">
        <v>622</v>
      </c>
      <c r="C211" s="812"/>
      <c r="N211" s="807"/>
      <c r="O211" s="808"/>
      <c r="P211" s="807"/>
      <c r="Q211" s="808"/>
    </row>
    <row r="212" spans="1:23" s="658" customFormat="1" ht="14.25" customHeight="1">
      <c r="A212" t="str">
        <f t="shared" si="0"/>
        <v>2353</v>
      </c>
      <c r="B212" s="812" t="s">
        <v>624</v>
      </c>
      <c r="C212" s="812"/>
      <c r="N212" s="807"/>
      <c r="O212" s="808"/>
      <c r="P212" s="807"/>
      <c r="Q212" s="808"/>
    </row>
    <row r="213" spans="1:23" s="658" customFormat="1" ht="14.25" customHeight="1">
      <c r="A213" t="str">
        <f t="shared" si="0"/>
        <v>2361</v>
      </c>
      <c r="B213" s="812" t="s">
        <v>626</v>
      </c>
      <c r="C213" s="812"/>
      <c r="N213" s="807"/>
      <c r="O213" s="808"/>
      <c r="P213" s="807"/>
      <c r="Q213" s="808"/>
    </row>
    <row r="214" spans="1:23" s="658" customFormat="1" ht="14.25" customHeight="1">
      <c r="A214" t="str">
        <f t="shared" si="0"/>
        <v>2369</v>
      </c>
      <c r="B214" s="812" t="s">
        <v>628</v>
      </c>
      <c r="C214" s="812"/>
      <c r="N214" s="807"/>
      <c r="O214" s="808"/>
      <c r="P214" s="807"/>
      <c r="Q214" s="808"/>
    </row>
    <row r="215" spans="1:23" s="658" customFormat="1" ht="14.25" customHeight="1">
      <c r="A215" t="str">
        <f t="shared" si="0"/>
        <v>2371</v>
      </c>
      <c r="B215" s="812" t="s">
        <v>630</v>
      </c>
      <c r="C215" s="812"/>
      <c r="I215" s="808"/>
      <c r="N215" s="807"/>
      <c r="O215" s="808"/>
      <c r="P215" s="807"/>
      <c r="Q215" s="808"/>
      <c r="U215" s="808"/>
      <c r="V215" s="808"/>
      <c r="W215" s="808"/>
    </row>
    <row r="216" spans="1:23" s="658" customFormat="1" ht="14.25" customHeight="1">
      <c r="A216" t="str">
        <f t="shared" si="0"/>
        <v>2381</v>
      </c>
      <c r="B216" s="812" t="s">
        <v>632</v>
      </c>
      <c r="C216" s="812"/>
      <c r="N216" s="807"/>
      <c r="O216" s="808"/>
      <c r="P216" s="807"/>
      <c r="Q216" s="808"/>
    </row>
    <row r="217" spans="1:23" s="658" customFormat="1" ht="14.25" customHeight="1">
      <c r="A217" t="str">
        <f t="shared" si="0"/>
        <v>2384</v>
      </c>
      <c r="B217" s="812" t="s">
        <v>634</v>
      </c>
      <c r="C217" s="812"/>
      <c r="N217" s="807"/>
      <c r="O217" s="808"/>
      <c r="P217" s="807"/>
      <c r="Q217" s="808"/>
    </row>
    <row r="218" spans="1:23" s="658" customFormat="1" ht="14.25" customHeight="1">
      <c r="A218" t="str">
        <f t="shared" si="0"/>
        <v>2385</v>
      </c>
      <c r="B218" s="812" t="s">
        <v>636</v>
      </c>
      <c r="C218" s="812"/>
      <c r="N218" s="807"/>
      <c r="O218" s="808"/>
      <c r="P218" s="807"/>
      <c r="Q218" s="808"/>
    </row>
    <row r="219" spans="1:23" s="658" customFormat="1" ht="14.25" customHeight="1">
      <c r="A219" t="str">
        <f t="shared" si="0"/>
        <v>2386</v>
      </c>
      <c r="B219" s="812" t="s">
        <v>638</v>
      </c>
      <c r="C219" s="812"/>
      <c r="N219" s="807"/>
      <c r="O219" s="808"/>
      <c r="P219" s="807"/>
      <c r="Q219" s="808"/>
    </row>
    <row r="220" spans="1:23" s="658" customFormat="1" ht="14.25" customHeight="1">
      <c r="A220" t="str">
        <f t="shared" si="0"/>
        <v>2387</v>
      </c>
      <c r="B220" s="812" t="s">
        <v>640</v>
      </c>
      <c r="C220" s="812"/>
      <c r="N220" s="807"/>
      <c r="O220" s="808"/>
      <c r="P220" s="807"/>
      <c r="Q220" s="808"/>
    </row>
    <row r="221" spans="1:23" s="658" customFormat="1" ht="14.25" customHeight="1">
      <c r="A221" t="str">
        <f t="shared" si="0"/>
        <v>2389</v>
      </c>
      <c r="B221" s="812" t="s">
        <v>642</v>
      </c>
      <c r="C221" s="812"/>
      <c r="N221" s="807"/>
      <c r="O221" s="808"/>
      <c r="P221" s="807"/>
      <c r="Q221" s="808"/>
    </row>
    <row r="222" spans="1:23" s="658" customFormat="1" ht="14.25" customHeight="1">
      <c r="A222" t="str">
        <f t="shared" si="0"/>
        <v>2391</v>
      </c>
      <c r="B222" s="812" t="s">
        <v>644</v>
      </c>
      <c r="C222" s="812"/>
      <c r="N222" s="807"/>
      <c r="O222" s="808"/>
      <c r="P222" s="807"/>
      <c r="Q222" s="808"/>
    </row>
    <row r="223" spans="1:23" s="658" customFormat="1" ht="14.25" customHeight="1">
      <c r="A223" t="str">
        <f t="shared" si="0"/>
        <v>2392</v>
      </c>
      <c r="B223" s="812" t="s">
        <v>646</v>
      </c>
      <c r="C223" s="812"/>
      <c r="N223" s="807"/>
      <c r="O223" s="808"/>
      <c r="P223" s="807"/>
      <c r="Q223" s="808"/>
    </row>
    <row r="224" spans="1:23" s="658" customFormat="1" ht="14.25" customHeight="1">
      <c r="A224" t="str">
        <f t="shared" si="0"/>
        <v>2393</v>
      </c>
      <c r="B224" s="812" t="s">
        <v>648</v>
      </c>
      <c r="C224" s="812"/>
      <c r="N224" s="807"/>
      <c r="O224" s="808"/>
      <c r="P224" s="807"/>
      <c r="Q224" s="808"/>
    </row>
    <row r="225" spans="1:23" s="658" customFormat="1" ht="14.25" customHeight="1">
      <c r="A225" t="str">
        <f t="shared" si="0"/>
        <v>2394</v>
      </c>
      <c r="B225" s="812" t="s">
        <v>650</v>
      </c>
      <c r="C225" s="812"/>
      <c r="N225" s="807"/>
      <c r="O225" s="808"/>
      <c r="P225" s="807"/>
      <c r="Q225" s="808"/>
    </row>
    <row r="226" spans="1:23" s="658" customFormat="1" ht="14.25" customHeight="1">
      <c r="A226" t="str">
        <f t="shared" si="0"/>
        <v>2395</v>
      </c>
      <c r="B226" s="812" t="s">
        <v>652</v>
      </c>
      <c r="C226" s="812"/>
      <c r="N226" s="807"/>
      <c r="O226" s="808"/>
      <c r="P226" s="807"/>
      <c r="Q226" s="808"/>
    </row>
    <row r="227" spans="1:23" s="658" customFormat="1" ht="14.25" customHeight="1">
      <c r="A227" t="str">
        <f t="shared" si="0"/>
        <v>2396</v>
      </c>
      <c r="B227" s="812" t="s">
        <v>654</v>
      </c>
      <c r="C227" s="812"/>
      <c r="N227" s="807"/>
      <c r="O227" s="808"/>
      <c r="P227" s="807"/>
      <c r="Q227" s="808"/>
    </row>
    <row r="228" spans="1:23" s="658" customFormat="1" ht="14.25" customHeight="1">
      <c r="A228" t="str">
        <f t="shared" si="0"/>
        <v>2397</v>
      </c>
      <c r="B228" s="812" t="s">
        <v>656</v>
      </c>
      <c r="C228" s="812"/>
      <c r="N228" s="807"/>
      <c r="O228" s="808"/>
      <c r="P228" s="807"/>
      <c r="Q228" s="808"/>
    </row>
    <row r="229" spans="1:23" s="658" customFormat="1" ht="14.25" customHeight="1">
      <c r="A229" t="str">
        <f t="shared" si="0"/>
        <v>2399</v>
      </c>
      <c r="B229" s="812" t="s">
        <v>658</v>
      </c>
      <c r="C229" s="812"/>
      <c r="N229" s="807"/>
      <c r="O229" s="808"/>
      <c r="P229" s="807"/>
      <c r="Q229" s="808"/>
    </row>
    <row r="230" spans="1:23" s="658" customFormat="1" ht="14.25" customHeight="1">
      <c r="A230" t="str">
        <f t="shared" si="0"/>
        <v>2411</v>
      </c>
      <c r="B230" s="812" t="s">
        <v>662</v>
      </c>
      <c r="C230" s="812"/>
      <c r="I230" s="808"/>
      <c r="N230" s="807"/>
      <c r="O230" s="808"/>
      <c r="P230" s="807"/>
      <c r="Q230" s="808"/>
      <c r="U230" s="808"/>
      <c r="V230" s="808"/>
      <c r="W230" s="808"/>
    </row>
    <row r="231" spans="1:23" s="658" customFormat="1" ht="14.25" customHeight="1">
      <c r="A231" t="str">
        <f t="shared" si="0"/>
        <v>2421</v>
      </c>
      <c r="B231" s="812" t="s">
        <v>664</v>
      </c>
      <c r="C231" s="812"/>
      <c r="I231" s="808"/>
      <c r="N231" s="807"/>
      <c r="O231" s="808"/>
      <c r="P231" s="807"/>
      <c r="Q231" s="808"/>
      <c r="U231" s="808"/>
      <c r="V231" s="808"/>
      <c r="W231" s="808"/>
    </row>
    <row r="232" spans="1:23" s="658" customFormat="1" ht="14.25" customHeight="1">
      <c r="A232" t="str">
        <f t="shared" si="0"/>
        <v>2426</v>
      </c>
      <c r="B232" s="812" t="s">
        <v>666</v>
      </c>
      <c r="C232" s="812"/>
      <c r="I232" s="808"/>
      <c r="N232" s="807"/>
      <c r="O232" s="808"/>
      <c r="P232" s="807"/>
      <c r="Q232" s="808"/>
      <c r="U232" s="808"/>
      <c r="V232" s="808"/>
      <c r="W232" s="808"/>
    </row>
    <row r="233" spans="1:23" s="658" customFormat="1" ht="14.25" customHeight="1">
      <c r="A233" t="str">
        <f t="shared" si="0"/>
        <v>2429</v>
      </c>
      <c r="B233" s="812" t="s">
        <v>668</v>
      </c>
      <c r="C233" s="812"/>
      <c r="I233" s="808"/>
      <c r="N233" s="807"/>
      <c r="O233" s="808"/>
      <c r="P233" s="807"/>
      <c r="Q233" s="808"/>
      <c r="U233" s="808"/>
      <c r="V233" s="808"/>
      <c r="W233" s="808"/>
    </row>
    <row r="234" spans="1:23" s="658" customFormat="1" ht="14.25" customHeight="1">
      <c r="A234" t="str">
        <f t="shared" si="0"/>
        <v>2431</v>
      </c>
      <c r="B234" s="812" t="s">
        <v>670</v>
      </c>
      <c r="C234" s="812"/>
      <c r="I234" s="808"/>
      <c r="N234" s="807"/>
      <c r="O234" s="808"/>
      <c r="P234" s="807"/>
      <c r="Q234" s="808"/>
      <c r="U234" s="808"/>
      <c r="V234" s="808"/>
      <c r="W234" s="808"/>
    </row>
    <row r="235" spans="1:23" s="658" customFormat="1" ht="14.25" customHeight="1">
      <c r="A235" t="str">
        <f t="shared" si="0"/>
        <v>2434</v>
      </c>
      <c r="B235" s="812" t="s">
        <v>672</v>
      </c>
      <c r="C235" s="812"/>
      <c r="I235" s="808"/>
      <c r="N235" s="807"/>
      <c r="O235" s="808"/>
      <c r="P235" s="807"/>
      <c r="Q235" s="808"/>
      <c r="U235" s="808"/>
      <c r="V235" s="808"/>
      <c r="W235" s="808"/>
    </row>
    <row r="236" spans="1:23" s="658" customFormat="1" ht="14.25" customHeight="1">
      <c r="A236" t="str">
        <f t="shared" si="0"/>
        <v>2435</v>
      </c>
      <c r="B236" s="812" t="s">
        <v>674</v>
      </c>
      <c r="C236" s="812"/>
      <c r="I236" s="808"/>
      <c r="N236" s="807"/>
      <c r="O236" s="808"/>
      <c r="P236" s="807"/>
      <c r="Q236" s="808"/>
      <c r="U236" s="808"/>
      <c r="V236" s="808"/>
      <c r="W236" s="808"/>
    </row>
    <row r="237" spans="1:23" s="658" customFormat="1" ht="14.25" customHeight="1">
      <c r="A237" t="str">
        <f t="shared" si="0"/>
        <v>2436</v>
      </c>
      <c r="B237" s="812" t="s">
        <v>676</v>
      </c>
      <c r="C237" s="812"/>
      <c r="I237" s="808"/>
      <c r="N237" s="807"/>
      <c r="O237" s="808"/>
      <c r="P237" s="807"/>
      <c r="Q237" s="808"/>
      <c r="U237" s="808"/>
      <c r="V237" s="808"/>
      <c r="W237" s="808"/>
    </row>
    <row r="238" spans="1:23" s="658" customFormat="1" ht="14.25" customHeight="1">
      <c r="A238" t="str">
        <f t="shared" si="0"/>
        <v>2439</v>
      </c>
      <c r="B238" s="812" t="s">
        <v>678</v>
      </c>
      <c r="C238" s="812"/>
      <c r="I238" s="808"/>
      <c r="N238" s="807"/>
      <c r="O238" s="808"/>
      <c r="P238" s="807"/>
      <c r="Q238" s="808"/>
      <c r="U238" s="808"/>
      <c r="V238" s="808"/>
      <c r="W238" s="808"/>
    </row>
    <row r="239" spans="1:23" s="658" customFormat="1" ht="14.25" customHeight="1">
      <c r="A239" t="str">
        <f t="shared" si="0"/>
        <v>2441</v>
      </c>
      <c r="B239" s="812" t="s">
        <v>680</v>
      </c>
      <c r="C239" s="812"/>
      <c r="I239" s="808"/>
      <c r="N239" s="807"/>
      <c r="O239" s="808"/>
      <c r="P239" s="807"/>
      <c r="Q239" s="808"/>
      <c r="U239" s="808"/>
      <c r="V239" s="808"/>
      <c r="W239" s="808"/>
    </row>
    <row r="240" spans="1:23" s="658" customFormat="1" ht="14.25" customHeight="1">
      <c r="A240" t="str">
        <f t="shared" si="0"/>
        <v>2448</v>
      </c>
      <c r="B240" s="812" t="s">
        <v>682</v>
      </c>
      <c r="C240" s="812"/>
      <c r="I240" s="808"/>
      <c r="N240" s="807"/>
      <c r="O240" s="808"/>
      <c r="P240" s="807"/>
      <c r="Q240" s="808"/>
      <c r="U240" s="808"/>
      <c r="V240" s="808"/>
      <c r="W240" s="808"/>
    </row>
    <row r="241" spans="1:23" s="658" customFormat="1" ht="14.25" customHeight="1">
      <c r="A241" t="str">
        <f t="shared" si="0"/>
        <v>2449</v>
      </c>
      <c r="B241" s="812" t="s">
        <v>684</v>
      </c>
      <c r="C241" s="812"/>
      <c r="I241" s="808"/>
      <c r="N241" s="807"/>
      <c r="O241" s="808"/>
      <c r="P241" s="807"/>
      <c r="Q241" s="808"/>
      <c r="U241" s="808"/>
      <c r="V241" s="808"/>
      <c r="W241" s="808"/>
    </row>
    <row r="242" spans="1:23" s="658" customFormat="1" ht="14.25" customHeight="1">
      <c r="A242" t="str">
        <f t="shared" si="0"/>
        <v>2451</v>
      </c>
      <c r="B242" s="812" t="s">
        <v>686</v>
      </c>
      <c r="C242" s="812"/>
      <c r="I242" s="808"/>
      <c r="N242" s="807"/>
      <c r="O242" s="808"/>
      <c r="P242" s="807"/>
      <c r="Q242" s="808"/>
      <c r="U242" s="808"/>
      <c r="V242" s="808"/>
      <c r="W242" s="808"/>
    </row>
    <row r="243" spans="1:23" s="658" customFormat="1" ht="14.25" customHeight="1">
      <c r="A243" t="str">
        <f t="shared" si="0"/>
        <v>2452</v>
      </c>
      <c r="B243" s="812" t="s">
        <v>688</v>
      </c>
      <c r="C243" s="812"/>
      <c r="I243" s="808"/>
      <c r="N243" s="807"/>
      <c r="O243" s="808"/>
      <c r="P243" s="807"/>
      <c r="Q243" s="808"/>
      <c r="U243" s="808"/>
      <c r="V243" s="808"/>
      <c r="W243" s="808"/>
    </row>
    <row r="244" spans="1:23" s="658" customFormat="1" ht="14.25" customHeight="1">
      <c r="A244" t="str">
        <f t="shared" si="0"/>
        <v>2491</v>
      </c>
      <c r="B244" s="812" t="s">
        <v>690</v>
      </c>
      <c r="C244" s="812"/>
      <c r="I244" s="808"/>
      <c r="N244" s="807"/>
      <c r="O244" s="808"/>
      <c r="P244" s="807"/>
      <c r="Q244" s="808"/>
      <c r="U244" s="808"/>
      <c r="V244" s="808"/>
      <c r="W244" s="808"/>
    </row>
    <row r="245" spans="1:23" s="658" customFormat="1" ht="14.25" customHeight="1">
      <c r="A245" t="str">
        <f t="shared" si="0"/>
        <v>2493</v>
      </c>
      <c r="B245" s="812" t="s">
        <v>692</v>
      </c>
      <c r="C245" s="812"/>
      <c r="I245" s="808"/>
      <c r="N245" s="807"/>
      <c r="O245" s="808"/>
      <c r="P245" s="807"/>
      <c r="Q245" s="808"/>
      <c r="U245" s="808"/>
      <c r="V245" s="808"/>
      <c r="W245" s="808"/>
    </row>
    <row r="246" spans="1:23" s="658" customFormat="1" ht="14.25" customHeight="1">
      <c r="A246" t="str">
        <f t="shared" si="0"/>
        <v>2499</v>
      </c>
      <c r="B246" s="812" t="s">
        <v>694</v>
      </c>
      <c r="C246" s="812"/>
      <c r="I246" s="808"/>
      <c r="N246" s="807"/>
      <c r="O246" s="808"/>
      <c r="P246" s="807"/>
      <c r="Q246" s="808"/>
      <c r="U246" s="808"/>
      <c r="V246" s="808"/>
      <c r="W246" s="808"/>
    </row>
    <row r="247" spans="1:23" s="658" customFormat="1" ht="14.25" customHeight="1">
      <c r="A247" t="str">
        <f t="shared" si="0"/>
        <v>2511</v>
      </c>
      <c r="B247" s="812" t="s">
        <v>698</v>
      </c>
      <c r="C247" s="812"/>
      <c r="I247" s="808"/>
      <c r="N247" s="807"/>
      <c r="O247" s="808"/>
      <c r="P247" s="807"/>
      <c r="Q247" s="808"/>
      <c r="U247" s="808"/>
      <c r="V247" s="808"/>
      <c r="W247" s="808"/>
    </row>
    <row r="248" spans="1:23" s="658" customFormat="1" ht="14.25" customHeight="1">
      <c r="A248" t="str">
        <f t="shared" si="0"/>
        <v>2512</v>
      </c>
      <c r="B248" s="812" t="s">
        <v>700</v>
      </c>
      <c r="C248" s="812"/>
      <c r="I248" s="808"/>
      <c r="N248" s="807"/>
      <c r="O248" s="808"/>
      <c r="P248" s="807"/>
      <c r="Q248" s="808"/>
      <c r="U248" s="808"/>
      <c r="V248" s="808"/>
      <c r="W248" s="808"/>
    </row>
    <row r="249" spans="1:23" s="658" customFormat="1" ht="14.25" customHeight="1">
      <c r="A249" t="str">
        <f t="shared" si="0"/>
        <v>2514</v>
      </c>
      <c r="B249" s="812" t="s">
        <v>702</v>
      </c>
      <c r="C249" s="812"/>
      <c r="N249" s="807"/>
      <c r="O249" s="808"/>
      <c r="P249" s="807"/>
      <c r="Q249" s="808"/>
    </row>
    <row r="250" spans="1:23" s="658" customFormat="1" ht="14.25" customHeight="1">
      <c r="A250" t="str">
        <f t="shared" si="0"/>
        <v>2515</v>
      </c>
      <c r="B250" s="812" t="s">
        <v>704</v>
      </c>
      <c r="C250" s="812"/>
      <c r="N250" s="807"/>
      <c r="O250" s="808"/>
      <c r="P250" s="807"/>
      <c r="Q250" s="808"/>
    </row>
    <row r="251" spans="1:23" s="658" customFormat="1" ht="14.25" customHeight="1">
      <c r="A251" t="str">
        <f t="shared" si="0"/>
        <v>2517</v>
      </c>
      <c r="B251" s="812" t="s">
        <v>706</v>
      </c>
      <c r="C251" s="812"/>
      <c r="N251" s="807"/>
      <c r="O251" s="808"/>
      <c r="P251" s="807"/>
      <c r="Q251" s="808"/>
    </row>
    <row r="252" spans="1:23" s="658" customFormat="1" ht="14.25" customHeight="1">
      <c r="A252" t="str">
        <f t="shared" si="0"/>
        <v>2519</v>
      </c>
      <c r="B252" s="812" t="s">
        <v>708</v>
      </c>
      <c r="C252" s="812"/>
      <c r="N252" s="807"/>
      <c r="O252" s="808"/>
      <c r="P252" s="807"/>
      <c r="Q252" s="808"/>
    </row>
    <row r="253" spans="1:23" s="658" customFormat="1" ht="14.25" customHeight="1">
      <c r="A253" t="str">
        <f t="shared" si="0"/>
        <v>2521</v>
      </c>
      <c r="B253" s="812" t="s">
        <v>710</v>
      </c>
      <c r="C253" s="812"/>
      <c r="N253" s="807"/>
      <c r="O253" s="808"/>
      <c r="P253" s="807"/>
      <c r="Q253" s="808"/>
    </row>
    <row r="254" spans="1:23" s="658" customFormat="1" ht="14.25" customHeight="1">
      <c r="A254" t="str">
        <f t="shared" si="0"/>
        <v>2522</v>
      </c>
      <c r="B254" s="812" t="s">
        <v>712</v>
      </c>
      <c r="C254" s="812"/>
      <c r="N254" s="807"/>
      <c r="O254" s="808"/>
      <c r="P254" s="807"/>
      <c r="Q254" s="808"/>
    </row>
    <row r="255" spans="1:23" s="658" customFormat="1" ht="14.25" customHeight="1">
      <c r="A255" t="str">
        <f t="shared" si="0"/>
        <v>2531</v>
      </c>
      <c r="B255" s="812" t="s">
        <v>714</v>
      </c>
      <c r="C255" s="812"/>
      <c r="N255" s="807"/>
      <c r="O255" s="808"/>
      <c r="P255" s="807"/>
      <c r="Q255" s="808"/>
    </row>
    <row r="256" spans="1:23" s="658" customFormat="1" ht="14.25" customHeight="1">
      <c r="A256" t="str">
        <f t="shared" si="0"/>
        <v>2541</v>
      </c>
      <c r="B256" s="812" t="s">
        <v>716</v>
      </c>
      <c r="C256" s="812"/>
      <c r="N256" s="807"/>
      <c r="O256" s="808"/>
      <c r="P256" s="807"/>
      <c r="Q256" s="808"/>
    </row>
    <row r="257" spans="1:17" s="658" customFormat="1" ht="14.25" customHeight="1">
      <c r="A257" t="str">
        <f t="shared" si="0"/>
        <v>2542</v>
      </c>
      <c r="B257" s="812" t="s">
        <v>718</v>
      </c>
      <c r="C257" s="812"/>
      <c r="N257" s="807"/>
      <c r="O257" s="808"/>
      <c r="P257" s="807"/>
      <c r="Q257" s="808"/>
    </row>
    <row r="258" spans="1:17" s="658" customFormat="1" ht="14.25" customHeight="1">
      <c r="A258" t="str">
        <f t="shared" si="0"/>
        <v>2591</v>
      </c>
      <c r="B258" s="812" t="s">
        <v>720</v>
      </c>
      <c r="C258" s="812"/>
      <c r="N258" s="807"/>
      <c r="O258" s="808"/>
      <c r="P258" s="807"/>
      <c r="Q258" s="808"/>
    </row>
    <row r="259" spans="1:17" s="658" customFormat="1" ht="14.25" customHeight="1">
      <c r="A259" t="str">
        <f t="shared" si="0"/>
        <v>2599</v>
      </c>
      <c r="B259" s="812" t="s">
        <v>722</v>
      </c>
      <c r="C259" s="812"/>
      <c r="N259" s="807"/>
      <c r="O259" s="808"/>
      <c r="P259" s="807"/>
      <c r="Q259" s="808"/>
    </row>
    <row r="260" spans="1:17" s="658" customFormat="1" ht="14.25" customHeight="1">
      <c r="A260" t="str">
        <f t="shared" si="0"/>
        <v>2611</v>
      </c>
      <c r="B260" s="812" t="s">
        <v>726</v>
      </c>
      <c r="C260" s="812"/>
      <c r="N260" s="807"/>
      <c r="O260" s="808"/>
      <c r="P260" s="807"/>
      <c r="Q260" s="808"/>
    </row>
    <row r="261" spans="1:17" s="658" customFormat="1" ht="14.25" customHeight="1">
      <c r="A261" t="str">
        <f t="shared" si="0"/>
        <v>2621</v>
      </c>
      <c r="B261" s="812" t="s">
        <v>728</v>
      </c>
      <c r="C261" s="812"/>
      <c r="N261" s="807"/>
      <c r="O261" s="808"/>
      <c r="P261" s="807"/>
      <c r="Q261" s="808"/>
    </row>
    <row r="262" spans="1:17" s="658" customFormat="1" ht="14.25" customHeight="1">
      <c r="A262" t="str">
        <f t="shared" ref="A262:A516" si="1">LEFT(B262,4)</f>
        <v>2631</v>
      </c>
      <c r="B262" s="812" t="s">
        <v>730</v>
      </c>
      <c r="C262" s="812"/>
      <c r="N262" s="807"/>
      <c r="O262" s="808"/>
      <c r="P262" s="807"/>
      <c r="Q262" s="808"/>
    </row>
    <row r="263" spans="1:17" s="658" customFormat="1" ht="14.25" customHeight="1">
      <c r="A263" t="str">
        <f t="shared" si="1"/>
        <v>2652</v>
      </c>
      <c r="B263" s="812" t="s">
        <v>732</v>
      </c>
      <c r="C263" s="812"/>
      <c r="N263" s="807"/>
      <c r="O263" s="808"/>
      <c r="P263" s="807"/>
      <c r="Q263" s="808"/>
    </row>
    <row r="264" spans="1:17" s="658" customFormat="1" ht="14.25" customHeight="1">
      <c r="A264" t="str">
        <f t="shared" si="1"/>
        <v>2653</v>
      </c>
      <c r="B264" s="812" t="s">
        <v>734</v>
      </c>
      <c r="C264" s="812"/>
      <c r="N264" s="807"/>
      <c r="O264" s="808"/>
      <c r="P264" s="807"/>
      <c r="Q264" s="808"/>
    </row>
    <row r="265" spans="1:17" s="658" customFormat="1" ht="14.25" customHeight="1">
      <c r="A265" t="str">
        <f t="shared" si="1"/>
        <v>2655</v>
      </c>
      <c r="B265" s="812" t="s">
        <v>736</v>
      </c>
      <c r="C265" s="812"/>
      <c r="N265" s="807"/>
      <c r="O265" s="808"/>
      <c r="P265" s="807"/>
      <c r="Q265" s="808"/>
    </row>
    <row r="266" spans="1:17" s="658" customFormat="1" ht="14.25" customHeight="1">
      <c r="A266" t="str">
        <f t="shared" si="1"/>
        <v>2656</v>
      </c>
      <c r="B266" s="812" t="s">
        <v>738</v>
      </c>
      <c r="C266" s="812"/>
      <c r="N266" s="807"/>
      <c r="O266" s="808"/>
      <c r="P266" s="807"/>
      <c r="Q266" s="808"/>
    </row>
    <row r="267" spans="1:17" s="658" customFormat="1" ht="14.25" customHeight="1">
      <c r="A267" t="str">
        <f t="shared" si="1"/>
        <v>2657</v>
      </c>
      <c r="B267" s="812" t="s">
        <v>740</v>
      </c>
      <c r="C267" s="812"/>
      <c r="N267" s="807"/>
      <c r="O267" s="808"/>
      <c r="P267" s="807"/>
      <c r="Q267" s="808"/>
    </row>
    <row r="268" spans="1:17" s="658" customFormat="1" ht="14.25" customHeight="1">
      <c r="A268" t="str">
        <f t="shared" si="1"/>
        <v>2671</v>
      </c>
      <c r="B268" s="812" t="s">
        <v>742</v>
      </c>
      <c r="C268" s="812"/>
      <c r="N268" s="807"/>
      <c r="O268" s="808"/>
      <c r="P268" s="807"/>
      <c r="Q268" s="808"/>
    </row>
    <row r="269" spans="1:17" s="658" customFormat="1" ht="14.25" customHeight="1">
      <c r="A269" t="str">
        <f t="shared" si="1"/>
        <v>2672</v>
      </c>
      <c r="B269" s="812" t="s">
        <v>744</v>
      </c>
      <c r="C269" s="812"/>
      <c r="N269" s="807"/>
      <c r="O269" s="808"/>
      <c r="P269" s="807"/>
      <c r="Q269" s="808"/>
    </row>
    <row r="270" spans="1:17" s="658" customFormat="1" ht="14.25" customHeight="1">
      <c r="A270" t="str">
        <f t="shared" si="1"/>
        <v>2673</v>
      </c>
      <c r="B270" s="812" t="s">
        <v>746</v>
      </c>
      <c r="C270" s="812"/>
      <c r="N270" s="807"/>
      <c r="O270" s="808"/>
      <c r="P270" s="807"/>
      <c r="Q270" s="808"/>
    </row>
    <row r="271" spans="1:17" s="658" customFormat="1" ht="14.25" customHeight="1">
      <c r="A271" t="str">
        <f t="shared" si="1"/>
        <v>2674</v>
      </c>
      <c r="B271" s="812" t="s">
        <v>748</v>
      </c>
      <c r="C271" s="812"/>
      <c r="N271" s="807"/>
      <c r="O271" s="808"/>
      <c r="P271" s="807"/>
      <c r="Q271" s="808"/>
    </row>
    <row r="272" spans="1:17" s="658" customFormat="1" ht="14.25" customHeight="1">
      <c r="A272" t="str">
        <f t="shared" si="1"/>
        <v>2675</v>
      </c>
      <c r="B272" s="812" t="s">
        <v>750</v>
      </c>
      <c r="C272" s="812"/>
      <c r="N272" s="807"/>
      <c r="O272" s="808"/>
      <c r="P272" s="807"/>
      <c r="Q272" s="808"/>
    </row>
    <row r="273" spans="1:17" s="658" customFormat="1" ht="14.25" customHeight="1">
      <c r="A273" t="str">
        <f t="shared" si="1"/>
        <v>2676</v>
      </c>
      <c r="B273" s="812" t="s">
        <v>752</v>
      </c>
      <c r="C273" s="812"/>
      <c r="N273" s="807"/>
      <c r="O273" s="808"/>
      <c r="P273" s="807"/>
      <c r="Q273" s="808"/>
    </row>
    <row r="274" spans="1:17" s="658" customFormat="1" ht="14.25" customHeight="1">
      <c r="A274" t="str">
        <f t="shared" si="1"/>
        <v>2677</v>
      </c>
      <c r="B274" s="812" t="s">
        <v>754</v>
      </c>
      <c r="C274" s="812"/>
      <c r="N274" s="807"/>
      <c r="O274" s="808"/>
      <c r="P274" s="807"/>
      <c r="Q274" s="808"/>
    </row>
    <row r="275" spans="1:17" s="658" customFormat="1" ht="14.25" customHeight="1">
      <c r="A275" t="str">
        <f t="shared" si="1"/>
        <v>2678</v>
      </c>
      <c r="B275" s="812" t="s">
        <v>756</v>
      </c>
      <c r="C275" s="812"/>
      <c r="N275" s="807"/>
      <c r="O275" s="808"/>
      <c r="P275" s="807"/>
      <c r="Q275" s="808"/>
    </row>
    <row r="276" spans="1:17" s="658" customFormat="1" ht="14.25" customHeight="1">
      <c r="A276" t="str">
        <f t="shared" si="1"/>
        <v>2679</v>
      </c>
      <c r="B276" s="812" t="s">
        <v>758</v>
      </c>
      <c r="C276" s="812"/>
      <c r="N276" s="807"/>
      <c r="O276" s="808"/>
      <c r="P276" s="807"/>
      <c r="Q276" s="808"/>
    </row>
    <row r="277" spans="1:17" s="658" customFormat="1" ht="14.25" customHeight="1">
      <c r="A277" t="str">
        <f t="shared" si="1"/>
        <v>2711</v>
      </c>
      <c r="B277" s="812" t="s">
        <v>762</v>
      </c>
      <c r="C277" s="812"/>
      <c r="N277" s="807"/>
      <c r="O277" s="808"/>
      <c r="P277" s="807"/>
      <c r="Q277" s="808"/>
    </row>
    <row r="278" spans="1:17" s="658" customFormat="1" ht="14.25" customHeight="1">
      <c r="A278" t="str">
        <f t="shared" si="1"/>
        <v>2721</v>
      </c>
      <c r="B278" s="812" t="s">
        <v>764</v>
      </c>
      <c r="C278" s="812"/>
      <c r="N278" s="807"/>
      <c r="O278" s="808"/>
      <c r="P278" s="807"/>
      <c r="Q278" s="808"/>
    </row>
    <row r="279" spans="1:17" s="658" customFormat="1" ht="14.25" customHeight="1">
      <c r="A279" t="str">
        <f t="shared" si="1"/>
        <v>2731</v>
      </c>
      <c r="B279" s="812" t="s">
        <v>766</v>
      </c>
      <c r="C279" s="812"/>
      <c r="N279" s="807"/>
      <c r="O279" s="808"/>
      <c r="P279" s="807"/>
      <c r="Q279" s="808"/>
    </row>
    <row r="280" spans="1:17" s="658" customFormat="1" ht="14.25" customHeight="1">
      <c r="A280" t="str">
        <f t="shared" si="1"/>
        <v>2732</v>
      </c>
      <c r="B280" s="812" t="s">
        <v>768</v>
      </c>
      <c r="C280" s="812"/>
      <c r="N280" s="807"/>
      <c r="O280" s="808"/>
      <c r="P280" s="807"/>
      <c r="Q280" s="808"/>
    </row>
    <row r="281" spans="1:17" s="658" customFormat="1" ht="14.25" customHeight="1">
      <c r="A281" t="str">
        <f t="shared" si="1"/>
        <v>2741</v>
      </c>
      <c r="B281" s="812" t="s">
        <v>770</v>
      </c>
      <c r="C281" s="812"/>
      <c r="N281" s="807"/>
      <c r="O281" s="808"/>
      <c r="P281" s="807"/>
      <c r="Q281" s="808"/>
    </row>
    <row r="282" spans="1:17" s="658" customFormat="1" ht="14.25" customHeight="1">
      <c r="A282" t="str">
        <f t="shared" si="1"/>
        <v>2752</v>
      </c>
      <c r="B282" s="812" t="s">
        <v>772</v>
      </c>
      <c r="C282" s="812"/>
      <c r="N282" s="807"/>
      <c r="O282" s="808"/>
      <c r="P282" s="807"/>
      <c r="Q282" s="808"/>
    </row>
    <row r="283" spans="1:17" s="658" customFormat="1" ht="14.25" customHeight="1">
      <c r="A283" t="str">
        <f t="shared" si="1"/>
        <v>2754</v>
      </c>
      <c r="B283" s="812" t="s">
        <v>774</v>
      </c>
      <c r="C283" s="812"/>
      <c r="N283" s="807"/>
      <c r="O283" s="808"/>
      <c r="P283" s="807"/>
      <c r="Q283" s="808"/>
    </row>
    <row r="284" spans="1:17" s="658" customFormat="1" ht="14.25" customHeight="1">
      <c r="A284" t="str">
        <f t="shared" si="1"/>
        <v>2759</v>
      </c>
      <c r="B284" s="812" t="s">
        <v>776</v>
      </c>
      <c r="C284" s="812"/>
      <c r="N284" s="807"/>
      <c r="O284" s="808"/>
      <c r="P284" s="807"/>
      <c r="Q284" s="808"/>
    </row>
    <row r="285" spans="1:17" s="658" customFormat="1" ht="14.25" customHeight="1">
      <c r="A285" t="str">
        <f t="shared" si="1"/>
        <v>2761</v>
      </c>
      <c r="B285" s="812" t="s">
        <v>778</v>
      </c>
      <c r="C285" s="812"/>
      <c r="N285" s="807"/>
      <c r="O285" s="808"/>
      <c r="P285" s="807"/>
      <c r="Q285" s="808"/>
    </row>
    <row r="286" spans="1:17" s="658" customFormat="1" ht="14.25" customHeight="1">
      <c r="A286" t="str">
        <f t="shared" si="1"/>
        <v>2771</v>
      </c>
      <c r="B286" s="812" t="s">
        <v>780</v>
      </c>
      <c r="C286" s="812"/>
      <c r="N286" s="807"/>
      <c r="O286" s="808"/>
      <c r="P286" s="807"/>
      <c r="Q286" s="808"/>
    </row>
    <row r="287" spans="1:17" s="658" customFormat="1" ht="14.25" customHeight="1">
      <c r="A287" t="str">
        <f t="shared" si="1"/>
        <v>2782</v>
      </c>
      <c r="B287" s="812" t="s">
        <v>782</v>
      </c>
      <c r="C287" s="812"/>
      <c r="N287" s="807"/>
      <c r="O287" s="808"/>
      <c r="P287" s="807"/>
      <c r="Q287" s="808"/>
    </row>
    <row r="288" spans="1:17" s="658" customFormat="1" ht="14.25" customHeight="1">
      <c r="A288" t="str">
        <f t="shared" si="1"/>
        <v>2789</v>
      </c>
      <c r="B288" s="812" t="s">
        <v>784</v>
      </c>
      <c r="C288" s="812"/>
      <c r="N288" s="807"/>
      <c r="O288" s="808"/>
      <c r="P288" s="807"/>
      <c r="Q288" s="808"/>
    </row>
    <row r="289" spans="1:23" s="658" customFormat="1" ht="14.25" customHeight="1">
      <c r="A289" t="str">
        <f t="shared" si="1"/>
        <v>2791</v>
      </c>
      <c r="B289" s="812" t="s">
        <v>786</v>
      </c>
      <c r="C289" s="812"/>
      <c r="N289" s="807"/>
      <c r="O289" s="808"/>
      <c r="P289" s="807"/>
      <c r="Q289" s="808"/>
    </row>
    <row r="290" spans="1:23" s="658" customFormat="1" ht="14.25" customHeight="1">
      <c r="A290" t="str">
        <f t="shared" si="1"/>
        <v>2796</v>
      </c>
      <c r="B290" s="812" t="s">
        <v>788</v>
      </c>
      <c r="C290" s="812"/>
      <c r="N290" s="807"/>
      <c r="O290" s="808"/>
      <c r="P290" s="807"/>
      <c r="Q290" s="808"/>
    </row>
    <row r="291" spans="1:23" s="658" customFormat="1" ht="14.25" customHeight="1">
      <c r="A291" t="str">
        <f t="shared" si="1"/>
        <v>2812</v>
      </c>
      <c r="B291" s="812" t="s">
        <v>792</v>
      </c>
      <c r="C291" s="812"/>
      <c r="E291" s="810"/>
      <c r="I291" s="808"/>
      <c r="N291" s="807"/>
      <c r="O291" s="808"/>
      <c r="P291" s="807"/>
      <c r="Q291" s="808"/>
      <c r="S291" s="808"/>
      <c r="U291" s="808"/>
      <c r="V291" s="808"/>
      <c r="W291" s="808"/>
    </row>
    <row r="292" spans="1:23" s="658" customFormat="1" ht="14.25" customHeight="1">
      <c r="A292" t="str">
        <f t="shared" si="1"/>
        <v>2813</v>
      </c>
      <c r="B292" s="812" t="s">
        <v>794</v>
      </c>
      <c r="C292" s="812"/>
      <c r="E292" s="810"/>
      <c r="I292" s="808"/>
      <c r="N292" s="807"/>
      <c r="O292" s="808"/>
      <c r="P292" s="807"/>
      <c r="Q292" s="808"/>
      <c r="S292" s="808"/>
      <c r="U292" s="808"/>
      <c r="V292" s="808"/>
      <c r="W292" s="808"/>
    </row>
    <row r="293" spans="1:23" s="658" customFormat="1" ht="14.25" customHeight="1">
      <c r="A293" t="str">
        <f t="shared" si="1"/>
        <v>2816</v>
      </c>
      <c r="B293" s="812" t="s">
        <v>796</v>
      </c>
      <c r="C293" s="812"/>
      <c r="E293" s="810"/>
      <c r="I293" s="808"/>
      <c r="N293" s="807"/>
      <c r="O293" s="808"/>
      <c r="P293" s="807"/>
      <c r="Q293" s="808"/>
      <c r="S293" s="808"/>
      <c r="U293" s="808"/>
      <c r="V293" s="808"/>
      <c r="W293" s="808"/>
    </row>
    <row r="294" spans="1:23" s="658" customFormat="1" ht="14.25" customHeight="1">
      <c r="A294" t="str">
        <f t="shared" si="1"/>
        <v>2819</v>
      </c>
      <c r="B294" s="812" t="s">
        <v>798</v>
      </c>
      <c r="C294" s="812"/>
      <c r="E294" s="810"/>
      <c r="I294" s="808"/>
      <c r="N294" s="807"/>
      <c r="O294" s="808"/>
      <c r="P294" s="807"/>
      <c r="Q294" s="808"/>
      <c r="S294" s="808"/>
      <c r="U294" s="808"/>
      <c r="V294" s="808"/>
      <c r="W294" s="808"/>
    </row>
    <row r="295" spans="1:23" s="658" customFormat="1" ht="14.25" customHeight="1">
      <c r="A295" t="str">
        <f t="shared" si="1"/>
        <v>2821</v>
      </c>
      <c r="B295" s="812" t="s">
        <v>800</v>
      </c>
      <c r="C295" s="812"/>
      <c r="E295" s="810"/>
      <c r="I295" s="808"/>
      <c r="N295" s="807"/>
      <c r="O295" s="808"/>
      <c r="P295" s="807"/>
      <c r="Q295" s="808"/>
      <c r="S295" s="808"/>
      <c r="U295" s="808"/>
      <c r="V295" s="808"/>
      <c r="W295" s="808"/>
    </row>
    <row r="296" spans="1:23" s="658" customFormat="1" ht="14.25" customHeight="1">
      <c r="A296" t="str">
        <f t="shared" si="1"/>
        <v>2822</v>
      </c>
      <c r="B296" s="812" t="s">
        <v>802</v>
      </c>
      <c r="C296" s="812"/>
      <c r="E296" s="810"/>
      <c r="I296" s="808"/>
      <c r="N296" s="807"/>
      <c r="O296" s="808"/>
      <c r="P296" s="807"/>
      <c r="Q296" s="808"/>
      <c r="S296" s="808"/>
      <c r="U296" s="808"/>
      <c r="V296" s="808"/>
      <c r="W296" s="808"/>
    </row>
    <row r="297" spans="1:23" s="658" customFormat="1" ht="14.25" customHeight="1">
      <c r="A297" t="str">
        <f t="shared" si="1"/>
        <v>2823</v>
      </c>
      <c r="B297" s="812" t="s">
        <v>804</v>
      </c>
      <c r="C297" s="812"/>
      <c r="E297" s="810"/>
      <c r="I297" s="808"/>
      <c r="N297" s="807"/>
      <c r="O297" s="808"/>
      <c r="P297" s="807"/>
      <c r="Q297" s="808"/>
      <c r="S297" s="808"/>
      <c r="U297" s="808"/>
      <c r="V297" s="808"/>
      <c r="W297" s="808"/>
    </row>
    <row r="298" spans="1:23" s="658" customFormat="1" ht="14.25" customHeight="1">
      <c r="A298" t="str">
        <f t="shared" si="1"/>
        <v>2824</v>
      </c>
      <c r="B298" s="812" t="s">
        <v>806</v>
      </c>
      <c r="C298" s="812"/>
      <c r="E298" s="810"/>
      <c r="I298" s="808"/>
      <c r="N298" s="807"/>
      <c r="O298" s="808"/>
      <c r="P298" s="807"/>
      <c r="Q298" s="808"/>
      <c r="S298" s="808"/>
      <c r="U298" s="808"/>
      <c r="V298" s="808"/>
      <c r="W298" s="808"/>
    </row>
    <row r="299" spans="1:23" s="658" customFormat="1" ht="14.25" customHeight="1">
      <c r="A299" t="str">
        <f t="shared" si="1"/>
        <v>2833</v>
      </c>
      <c r="B299" s="812" t="s">
        <v>808</v>
      </c>
      <c r="C299" s="812"/>
      <c r="E299" s="810"/>
      <c r="I299" s="808"/>
      <c r="N299" s="807"/>
      <c r="O299" s="808"/>
      <c r="P299" s="807"/>
      <c r="Q299" s="808"/>
      <c r="S299" s="808"/>
      <c r="U299" s="808"/>
      <c r="V299" s="808"/>
      <c r="W299" s="808"/>
    </row>
    <row r="300" spans="1:23" s="658" customFormat="1" ht="14.25" customHeight="1">
      <c r="A300" t="str">
        <f t="shared" si="1"/>
        <v>2834</v>
      </c>
      <c r="B300" s="812" t="s">
        <v>810</v>
      </c>
      <c r="C300" s="812"/>
      <c r="E300" s="810"/>
      <c r="I300" s="808"/>
      <c r="N300" s="807"/>
      <c r="O300" s="808"/>
      <c r="P300" s="807"/>
      <c r="Q300" s="808"/>
      <c r="S300" s="808"/>
      <c r="U300" s="808"/>
      <c r="V300" s="808"/>
      <c r="W300" s="808"/>
    </row>
    <row r="301" spans="1:23" s="658" customFormat="1" ht="14.25" customHeight="1">
      <c r="A301" t="str">
        <f t="shared" si="1"/>
        <v>2835</v>
      </c>
      <c r="B301" s="812" t="s">
        <v>812</v>
      </c>
      <c r="C301" s="812"/>
      <c r="E301" s="810"/>
      <c r="I301" s="808"/>
      <c r="N301" s="807"/>
      <c r="O301" s="808"/>
      <c r="P301" s="807"/>
      <c r="Q301" s="808"/>
      <c r="S301" s="808"/>
      <c r="U301" s="808"/>
      <c r="V301" s="808"/>
      <c r="W301" s="808"/>
    </row>
    <row r="302" spans="1:23" s="658" customFormat="1" ht="14.25" customHeight="1">
      <c r="A302" t="str">
        <f t="shared" si="1"/>
        <v>2836</v>
      </c>
      <c r="B302" s="812" t="s">
        <v>814</v>
      </c>
      <c r="C302" s="812"/>
      <c r="E302" s="810"/>
      <c r="I302" s="808"/>
      <c r="N302" s="807"/>
      <c r="O302" s="808"/>
      <c r="P302" s="807"/>
      <c r="Q302" s="808"/>
      <c r="S302" s="808"/>
      <c r="U302" s="808"/>
      <c r="V302" s="808"/>
      <c r="W302" s="808"/>
    </row>
    <row r="303" spans="1:23" s="658" customFormat="1" ht="14.25" customHeight="1">
      <c r="A303" t="str">
        <f t="shared" si="1"/>
        <v>2841</v>
      </c>
      <c r="B303" s="812" t="s">
        <v>816</v>
      </c>
      <c r="C303" s="812"/>
      <c r="E303" s="810"/>
      <c r="I303" s="808"/>
      <c r="N303" s="807"/>
      <c r="O303" s="808"/>
      <c r="P303" s="807"/>
      <c r="Q303" s="808"/>
      <c r="S303" s="808"/>
      <c r="U303" s="808"/>
      <c r="V303" s="808"/>
      <c r="W303" s="808"/>
    </row>
    <row r="304" spans="1:23" s="658" customFormat="1" ht="14.25" customHeight="1">
      <c r="A304" t="str">
        <f t="shared" si="1"/>
        <v>2842</v>
      </c>
      <c r="B304" s="812" t="s">
        <v>818</v>
      </c>
      <c r="C304" s="812"/>
      <c r="E304" s="810"/>
      <c r="I304" s="808"/>
      <c r="N304" s="807"/>
      <c r="O304" s="808"/>
      <c r="P304" s="807"/>
      <c r="Q304" s="808"/>
      <c r="S304" s="808"/>
      <c r="U304" s="808"/>
      <c r="V304" s="808"/>
      <c r="W304" s="808"/>
    </row>
    <row r="305" spans="1:23" s="658" customFormat="1" ht="14.25" customHeight="1">
      <c r="A305" t="str">
        <f t="shared" si="1"/>
        <v>2843</v>
      </c>
      <c r="B305" s="812" t="s">
        <v>820</v>
      </c>
      <c r="C305" s="812"/>
      <c r="E305" s="810"/>
      <c r="I305" s="808"/>
      <c r="N305" s="807"/>
      <c r="O305" s="808"/>
      <c r="P305" s="807"/>
      <c r="Q305" s="808"/>
      <c r="S305" s="808"/>
      <c r="U305" s="808"/>
      <c r="V305" s="808"/>
      <c r="W305" s="808"/>
    </row>
    <row r="306" spans="1:23" s="658" customFormat="1" ht="14.25" customHeight="1">
      <c r="A306" t="str">
        <f t="shared" si="1"/>
        <v>2844</v>
      </c>
      <c r="B306" s="812" t="s">
        <v>822</v>
      </c>
      <c r="C306" s="812"/>
      <c r="E306" s="810"/>
      <c r="I306" s="808"/>
      <c r="N306" s="807"/>
      <c r="O306" s="808"/>
      <c r="P306" s="807"/>
      <c r="Q306" s="808"/>
      <c r="S306" s="808"/>
      <c r="U306" s="808"/>
      <c r="V306" s="808"/>
      <c r="W306" s="808"/>
    </row>
    <row r="307" spans="1:23" s="658" customFormat="1" ht="14.25" customHeight="1">
      <c r="A307" t="str">
        <f t="shared" si="1"/>
        <v>2851</v>
      </c>
      <c r="B307" s="812" t="s">
        <v>824</v>
      </c>
      <c r="C307" s="812"/>
      <c r="E307" s="810"/>
      <c r="I307" s="808"/>
      <c r="N307" s="807"/>
      <c r="O307" s="808"/>
      <c r="P307" s="807"/>
      <c r="Q307" s="808"/>
      <c r="S307" s="808"/>
      <c r="U307" s="808"/>
      <c r="V307" s="808"/>
      <c r="W307" s="808"/>
    </row>
    <row r="308" spans="1:23" s="658" customFormat="1" ht="14.25" customHeight="1">
      <c r="A308" t="str">
        <f t="shared" si="1"/>
        <v>2861</v>
      </c>
      <c r="B308" s="812" t="s">
        <v>826</v>
      </c>
      <c r="C308" s="812"/>
      <c r="E308" s="810"/>
      <c r="I308" s="808"/>
      <c r="N308" s="807"/>
      <c r="O308" s="808"/>
      <c r="P308" s="807"/>
      <c r="Q308" s="808"/>
      <c r="S308" s="808"/>
      <c r="U308" s="808"/>
      <c r="V308" s="808"/>
      <c r="W308" s="808"/>
    </row>
    <row r="309" spans="1:23" s="658" customFormat="1" ht="14.25" customHeight="1">
      <c r="A309" t="str">
        <f t="shared" si="1"/>
        <v>2865</v>
      </c>
      <c r="B309" s="812" t="s">
        <v>828</v>
      </c>
      <c r="C309" s="812"/>
      <c r="E309" s="810"/>
      <c r="I309" s="808"/>
      <c r="N309" s="807"/>
      <c r="O309" s="808"/>
      <c r="P309" s="807"/>
      <c r="Q309" s="808"/>
      <c r="S309" s="808"/>
      <c r="U309" s="808"/>
      <c r="V309" s="808"/>
      <c r="W309" s="808"/>
    </row>
    <row r="310" spans="1:23" s="658" customFormat="1" ht="14.25" customHeight="1">
      <c r="A310" t="str">
        <f t="shared" si="1"/>
        <v>2869</v>
      </c>
      <c r="B310" s="812" t="s">
        <v>830</v>
      </c>
      <c r="C310" s="812"/>
      <c r="E310" s="810"/>
      <c r="I310" s="808"/>
      <c r="N310" s="807"/>
      <c r="O310" s="808"/>
      <c r="P310" s="807"/>
      <c r="Q310" s="808"/>
      <c r="S310" s="808"/>
      <c r="U310" s="808"/>
      <c r="V310" s="808"/>
      <c r="W310" s="808"/>
    </row>
    <row r="311" spans="1:23" s="658" customFormat="1" ht="14.25" customHeight="1">
      <c r="A311" t="str">
        <f t="shared" si="1"/>
        <v>2873</v>
      </c>
      <c r="B311" s="812" t="s">
        <v>832</v>
      </c>
      <c r="C311" s="812"/>
      <c r="E311" s="810"/>
      <c r="I311" s="808"/>
      <c r="N311" s="807"/>
      <c r="O311" s="808"/>
      <c r="P311" s="807"/>
      <c r="Q311" s="808"/>
      <c r="S311" s="808"/>
      <c r="U311" s="808"/>
      <c r="V311" s="808"/>
      <c r="W311" s="808"/>
    </row>
    <row r="312" spans="1:23" s="658" customFormat="1" ht="14.25" customHeight="1">
      <c r="A312" t="str">
        <f t="shared" si="1"/>
        <v>2874</v>
      </c>
      <c r="B312" s="812" t="s">
        <v>834</v>
      </c>
      <c r="C312" s="812"/>
      <c r="E312" s="810"/>
      <c r="I312" s="808"/>
      <c r="N312" s="807"/>
      <c r="O312" s="808"/>
      <c r="P312" s="807"/>
      <c r="Q312" s="808"/>
      <c r="S312" s="808"/>
      <c r="U312" s="808"/>
      <c r="V312" s="808"/>
      <c r="W312" s="808"/>
    </row>
    <row r="313" spans="1:23" s="658" customFormat="1" ht="14.25" customHeight="1">
      <c r="A313" t="str">
        <f t="shared" si="1"/>
        <v>2875</v>
      </c>
      <c r="B313" s="812" t="s">
        <v>836</v>
      </c>
      <c r="C313" s="812"/>
      <c r="E313" s="810"/>
      <c r="I313" s="808"/>
      <c r="N313" s="807"/>
      <c r="O313" s="808"/>
      <c r="P313" s="807"/>
      <c r="Q313" s="808"/>
      <c r="S313" s="808"/>
      <c r="U313" s="808"/>
      <c r="V313" s="808"/>
      <c r="W313" s="808"/>
    </row>
    <row r="314" spans="1:23" s="658" customFormat="1" ht="14.25" customHeight="1">
      <c r="A314" t="str">
        <f t="shared" si="1"/>
        <v>2879</v>
      </c>
      <c r="B314" s="812" t="s">
        <v>838</v>
      </c>
      <c r="C314" s="812"/>
      <c r="E314" s="810"/>
      <c r="I314" s="808"/>
      <c r="N314" s="807"/>
      <c r="O314" s="808"/>
      <c r="P314" s="807"/>
      <c r="Q314" s="808"/>
      <c r="S314" s="808"/>
      <c r="U314" s="808"/>
      <c r="V314" s="808"/>
      <c r="W314" s="808"/>
    </row>
    <row r="315" spans="1:23" s="658" customFormat="1" ht="14.25" customHeight="1">
      <c r="A315" t="str">
        <f t="shared" si="1"/>
        <v>2891</v>
      </c>
      <c r="B315" s="812" t="s">
        <v>840</v>
      </c>
      <c r="C315" s="812"/>
      <c r="E315" s="810"/>
      <c r="I315" s="808"/>
      <c r="N315" s="807"/>
      <c r="O315" s="808"/>
      <c r="P315" s="807"/>
      <c r="Q315" s="808"/>
      <c r="S315" s="808"/>
      <c r="U315" s="808"/>
      <c r="V315" s="808"/>
      <c r="W315" s="808"/>
    </row>
    <row r="316" spans="1:23" s="658" customFormat="1" ht="14.25" customHeight="1">
      <c r="A316" t="str">
        <f t="shared" si="1"/>
        <v>2892</v>
      </c>
      <c r="B316" s="812" t="s">
        <v>842</v>
      </c>
      <c r="C316" s="812"/>
      <c r="E316" s="810"/>
      <c r="I316" s="810"/>
      <c r="N316" s="807"/>
      <c r="O316" s="808"/>
      <c r="P316" s="807"/>
      <c r="Q316" s="808"/>
      <c r="S316" s="808"/>
      <c r="U316" s="810"/>
      <c r="V316" s="810"/>
      <c r="W316" s="810"/>
    </row>
    <row r="317" spans="1:23" s="658" customFormat="1" ht="14.25" customHeight="1">
      <c r="A317" t="str">
        <f t="shared" si="1"/>
        <v>2893</v>
      </c>
      <c r="B317" s="812" t="s">
        <v>844</v>
      </c>
      <c r="C317" s="812"/>
      <c r="E317" s="810"/>
      <c r="I317" s="808"/>
      <c r="N317" s="807"/>
      <c r="O317" s="808"/>
      <c r="P317" s="807"/>
      <c r="Q317" s="808"/>
      <c r="S317" s="808"/>
      <c r="U317" s="808"/>
      <c r="V317" s="808"/>
      <c r="W317" s="808"/>
    </row>
    <row r="318" spans="1:23" s="658" customFormat="1" ht="14.25" customHeight="1">
      <c r="A318" t="str">
        <f t="shared" si="1"/>
        <v>2895</v>
      </c>
      <c r="B318" s="812" t="s">
        <v>846</v>
      </c>
      <c r="C318" s="812"/>
      <c r="E318" s="810"/>
      <c r="I318" s="808"/>
      <c r="N318" s="807"/>
      <c r="O318" s="808"/>
      <c r="P318" s="807"/>
      <c r="Q318" s="808"/>
      <c r="S318" s="808"/>
      <c r="U318" s="808"/>
      <c r="V318" s="808"/>
      <c r="W318" s="808"/>
    </row>
    <row r="319" spans="1:23" s="658" customFormat="1" ht="14.25" customHeight="1">
      <c r="A319" t="str">
        <f t="shared" si="1"/>
        <v>2899</v>
      </c>
      <c r="B319" s="812" t="s">
        <v>848</v>
      </c>
      <c r="C319" s="812"/>
      <c r="E319" s="810"/>
      <c r="I319" s="810"/>
      <c r="N319" s="807"/>
      <c r="O319" s="808"/>
      <c r="P319" s="807"/>
      <c r="Q319" s="808"/>
      <c r="S319" s="808"/>
      <c r="U319" s="810"/>
      <c r="V319" s="810"/>
      <c r="W319" s="810"/>
    </row>
    <row r="320" spans="1:23" s="658" customFormat="1" ht="14.25" customHeight="1">
      <c r="A320" t="str">
        <f t="shared" si="1"/>
        <v>2911</v>
      </c>
      <c r="B320" s="812" t="s">
        <v>852</v>
      </c>
      <c r="C320" s="812"/>
      <c r="E320" s="810"/>
      <c r="I320" s="810"/>
      <c r="N320" s="807"/>
      <c r="O320" s="808"/>
      <c r="P320" s="807"/>
      <c r="Q320" s="808"/>
      <c r="U320" s="810"/>
      <c r="V320" s="810"/>
      <c r="W320" s="810"/>
    </row>
    <row r="321" spans="1:23" s="658" customFormat="1" ht="14.25" customHeight="1">
      <c r="A321" t="str">
        <f t="shared" si="1"/>
        <v>2951</v>
      </c>
      <c r="B321" s="812" t="s">
        <v>854</v>
      </c>
      <c r="C321" s="812"/>
      <c r="E321" s="810"/>
      <c r="I321" s="808"/>
      <c r="N321" s="807"/>
      <c r="O321" s="808"/>
      <c r="P321" s="807"/>
      <c r="Q321" s="808"/>
      <c r="U321" s="808"/>
      <c r="V321" s="808"/>
      <c r="W321" s="808"/>
    </row>
    <row r="322" spans="1:23" s="658" customFormat="1" ht="14.25" customHeight="1">
      <c r="A322" t="str">
        <f t="shared" si="1"/>
        <v>2952</v>
      </c>
      <c r="B322" s="812" t="s">
        <v>856</v>
      </c>
      <c r="C322" s="812"/>
      <c r="E322" s="810"/>
      <c r="I322" s="808"/>
      <c r="N322" s="807"/>
      <c r="O322" s="808"/>
      <c r="P322" s="807"/>
      <c r="Q322" s="808"/>
      <c r="U322" s="808"/>
      <c r="V322" s="808"/>
      <c r="W322" s="808"/>
    </row>
    <row r="323" spans="1:23" s="658" customFormat="1" ht="14.25" customHeight="1">
      <c r="A323" t="str">
        <f t="shared" si="1"/>
        <v>2992</v>
      </c>
      <c r="B323" s="812" t="s">
        <v>858</v>
      </c>
      <c r="C323" s="812"/>
      <c r="E323" s="810"/>
      <c r="I323" s="808"/>
      <c r="N323" s="807"/>
      <c r="O323" s="808"/>
      <c r="P323" s="807"/>
      <c r="Q323" s="808"/>
      <c r="U323" s="808"/>
      <c r="V323" s="808"/>
      <c r="W323" s="808"/>
    </row>
    <row r="324" spans="1:23" s="658" customFormat="1" ht="14.25" customHeight="1">
      <c r="A324" t="str">
        <f t="shared" si="1"/>
        <v>2999</v>
      </c>
      <c r="B324" s="812" t="s">
        <v>860</v>
      </c>
      <c r="C324" s="812"/>
      <c r="E324" s="810"/>
      <c r="I324" s="808"/>
      <c r="N324" s="807"/>
      <c r="O324" s="808"/>
      <c r="P324" s="807"/>
      <c r="Q324" s="808"/>
      <c r="U324" s="808"/>
      <c r="V324" s="808"/>
      <c r="W324" s="808"/>
    </row>
    <row r="325" spans="1:23" s="658" customFormat="1" ht="14.25" customHeight="1">
      <c r="A325" t="str">
        <f t="shared" si="1"/>
        <v>3011</v>
      </c>
      <c r="B325" s="812" t="s">
        <v>865</v>
      </c>
      <c r="C325" s="812"/>
      <c r="N325" s="807"/>
      <c r="O325" s="808"/>
      <c r="P325" s="807"/>
      <c r="Q325" s="808"/>
    </row>
    <row r="326" spans="1:23" s="658" customFormat="1" ht="14.25" customHeight="1">
      <c r="A326" t="str">
        <f t="shared" si="1"/>
        <v>3021</v>
      </c>
      <c r="B326" s="812" t="s">
        <v>867</v>
      </c>
      <c r="C326" s="812"/>
      <c r="N326" s="807"/>
      <c r="O326" s="808"/>
      <c r="P326" s="807"/>
      <c r="Q326" s="808"/>
    </row>
    <row r="327" spans="1:23" s="658" customFormat="1" ht="14.25" customHeight="1">
      <c r="A327" t="str">
        <f t="shared" si="1"/>
        <v>3052</v>
      </c>
      <c r="B327" s="812" t="s">
        <v>869</v>
      </c>
      <c r="C327" s="812"/>
      <c r="N327" s="807"/>
      <c r="O327" s="808"/>
      <c r="P327" s="807"/>
      <c r="Q327" s="808"/>
    </row>
    <row r="328" spans="1:23" s="658" customFormat="1" ht="14.25" customHeight="1">
      <c r="A328" t="str">
        <f t="shared" si="1"/>
        <v>3053</v>
      </c>
      <c r="B328" s="812" t="s">
        <v>871</v>
      </c>
      <c r="C328" s="812"/>
      <c r="N328" s="807"/>
      <c r="O328" s="808"/>
      <c r="P328" s="807"/>
      <c r="Q328" s="808"/>
    </row>
    <row r="329" spans="1:23" s="658" customFormat="1" ht="14.25" customHeight="1">
      <c r="A329" t="str">
        <f t="shared" si="1"/>
        <v>3061</v>
      </c>
      <c r="B329" s="812" t="s">
        <v>873</v>
      </c>
      <c r="C329" s="812"/>
      <c r="N329" s="807"/>
      <c r="O329" s="808"/>
      <c r="P329" s="807"/>
      <c r="Q329" s="808"/>
    </row>
    <row r="330" spans="1:23" s="658" customFormat="1" ht="14.25" customHeight="1">
      <c r="A330" t="str">
        <f t="shared" si="1"/>
        <v>3069</v>
      </c>
      <c r="B330" s="812" t="s">
        <v>875</v>
      </c>
      <c r="C330" s="812"/>
      <c r="N330" s="807"/>
      <c r="O330" s="808"/>
      <c r="P330" s="807"/>
      <c r="Q330" s="808"/>
    </row>
    <row r="331" spans="1:23" s="658" customFormat="1" ht="14.25" customHeight="1">
      <c r="A331" t="str">
        <f t="shared" si="1"/>
        <v>3081</v>
      </c>
      <c r="B331" s="812" t="s">
        <v>877</v>
      </c>
      <c r="C331" s="812"/>
      <c r="N331" s="807"/>
      <c r="O331" s="808"/>
      <c r="P331" s="807"/>
      <c r="Q331" s="808"/>
    </row>
    <row r="332" spans="1:23" s="658" customFormat="1" ht="14.25" customHeight="1">
      <c r="A332" t="str">
        <f t="shared" si="1"/>
        <v>3082</v>
      </c>
      <c r="B332" s="812" t="s">
        <v>879</v>
      </c>
      <c r="C332" s="812"/>
      <c r="N332" s="807"/>
      <c r="O332" s="808"/>
      <c r="P332" s="807"/>
      <c r="Q332" s="808"/>
    </row>
    <row r="333" spans="1:23" s="658" customFormat="1" ht="14.25" customHeight="1">
      <c r="A333" t="str">
        <f t="shared" si="1"/>
        <v>3083</v>
      </c>
      <c r="B333" s="812" t="s">
        <v>881</v>
      </c>
      <c r="C333" s="812"/>
      <c r="N333" s="807"/>
      <c r="O333" s="808"/>
      <c r="P333" s="807"/>
      <c r="Q333" s="808"/>
    </row>
    <row r="334" spans="1:23" s="658" customFormat="1" ht="14.25" customHeight="1">
      <c r="A334" t="str">
        <f t="shared" si="1"/>
        <v>3084</v>
      </c>
      <c r="B334" s="812" t="s">
        <v>883</v>
      </c>
      <c r="C334" s="812"/>
      <c r="N334" s="807"/>
      <c r="O334" s="808"/>
      <c r="P334" s="807"/>
      <c r="Q334" s="808"/>
    </row>
    <row r="335" spans="1:23" s="658" customFormat="1" ht="14.25" customHeight="1">
      <c r="A335" t="str">
        <f t="shared" si="1"/>
        <v>3085</v>
      </c>
      <c r="B335" s="812" t="s">
        <v>885</v>
      </c>
      <c r="C335" s="812"/>
      <c r="N335" s="807"/>
      <c r="O335" s="808"/>
      <c r="P335" s="807"/>
      <c r="Q335" s="808"/>
    </row>
    <row r="336" spans="1:23" s="658" customFormat="1" ht="14.25" customHeight="1">
      <c r="A336" t="str">
        <f t="shared" si="1"/>
        <v>3086</v>
      </c>
      <c r="B336" s="812" t="s">
        <v>887</v>
      </c>
      <c r="C336" s="812"/>
      <c r="N336" s="807"/>
      <c r="O336" s="808"/>
      <c r="P336" s="807"/>
      <c r="Q336" s="808"/>
    </row>
    <row r="337" spans="1:17" s="658" customFormat="1" ht="14.25" customHeight="1">
      <c r="A337" t="str">
        <f t="shared" si="1"/>
        <v>3087</v>
      </c>
      <c r="B337" s="812" t="s">
        <v>889</v>
      </c>
      <c r="C337" s="812"/>
      <c r="N337" s="807"/>
      <c r="O337" s="808"/>
      <c r="P337" s="807"/>
      <c r="Q337" s="808"/>
    </row>
    <row r="338" spans="1:17" s="658" customFormat="1" ht="14.25" customHeight="1">
      <c r="A338" t="str">
        <f t="shared" si="1"/>
        <v>3088</v>
      </c>
      <c r="B338" s="812" t="s">
        <v>891</v>
      </c>
      <c r="C338" s="812"/>
      <c r="N338" s="807"/>
      <c r="O338" s="808"/>
      <c r="P338" s="807"/>
      <c r="Q338" s="808"/>
    </row>
    <row r="339" spans="1:17" s="658" customFormat="1" ht="14.25" customHeight="1">
      <c r="A339" t="str">
        <f t="shared" si="1"/>
        <v>3089</v>
      </c>
      <c r="B339" s="812" t="s">
        <v>893</v>
      </c>
      <c r="C339" s="812"/>
      <c r="N339" s="807"/>
      <c r="O339" s="808"/>
      <c r="P339" s="807"/>
      <c r="Q339" s="808"/>
    </row>
    <row r="340" spans="1:17" s="658" customFormat="1" ht="14.25" customHeight="1">
      <c r="A340" t="str">
        <f t="shared" si="1"/>
        <v>3111</v>
      </c>
      <c r="B340" s="812" t="s">
        <v>897</v>
      </c>
      <c r="C340" s="812"/>
      <c r="N340" s="807"/>
      <c r="O340" s="808"/>
      <c r="P340" s="807"/>
      <c r="Q340" s="808"/>
    </row>
    <row r="341" spans="1:17" s="658" customFormat="1" ht="14.25" customHeight="1">
      <c r="A341" t="str">
        <f t="shared" si="1"/>
        <v>3131</v>
      </c>
      <c r="B341" s="812" t="s">
        <v>899</v>
      </c>
      <c r="C341" s="812"/>
      <c r="N341" s="807"/>
      <c r="O341" s="808"/>
      <c r="P341" s="807"/>
      <c r="Q341" s="808"/>
    </row>
    <row r="342" spans="1:17" s="658" customFormat="1" ht="14.25" customHeight="1">
      <c r="A342" t="str">
        <f t="shared" si="1"/>
        <v>3142</v>
      </c>
      <c r="B342" s="812" t="s">
        <v>901</v>
      </c>
      <c r="C342" s="812"/>
      <c r="N342" s="807"/>
      <c r="O342" s="808"/>
      <c r="P342" s="807"/>
      <c r="Q342" s="808"/>
    </row>
    <row r="343" spans="1:17" s="658" customFormat="1" ht="14.25" customHeight="1">
      <c r="A343" t="str">
        <f t="shared" si="1"/>
        <v>3143</v>
      </c>
      <c r="B343" s="812" t="s">
        <v>903</v>
      </c>
      <c r="C343" s="812"/>
      <c r="N343" s="807"/>
      <c r="O343" s="808"/>
      <c r="P343" s="807"/>
      <c r="Q343" s="808"/>
    </row>
    <row r="344" spans="1:17" s="658" customFormat="1" ht="14.25" customHeight="1">
      <c r="A344" t="str">
        <f t="shared" si="1"/>
        <v>3144</v>
      </c>
      <c r="B344" s="812" t="s">
        <v>905</v>
      </c>
      <c r="C344" s="812"/>
      <c r="N344" s="807"/>
      <c r="O344" s="808"/>
      <c r="P344" s="807"/>
      <c r="Q344" s="808"/>
    </row>
    <row r="345" spans="1:17" s="658" customFormat="1" ht="14.25" customHeight="1">
      <c r="A345" t="str">
        <f t="shared" si="1"/>
        <v>3149</v>
      </c>
      <c r="B345" s="812" t="s">
        <v>907</v>
      </c>
      <c r="C345" s="812"/>
      <c r="N345" s="807"/>
      <c r="O345" s="808"/>
      <c r="P345" s="807"/>
      <c r="Q345" s="808"/>
    </row>
    <row r="346" spans="1:17" s="658" customFormat="1" ht="14.25" customHeight="1">
      <c r="A346" t="str">
        <f t="shared" si="1"/>
        <v>3151</v>
      </c>
      <c r="B346" s="812" t="s">
        <v>909</v>
      </c>
      <c r="C346" s="812"/>
      <c r="N346" s="807"/>
      <c r="O346" s="808"/>
      <c r="P346" s="807"/>
      <c r="Q346" s="808"/>
    </row>
    <row r="347" spans="1:17" s="658" customFormat="1" ht="14.25" customHeight="1">
      <c r="A347" t="str">
        <f t="shared" si="1"/>
        <v>3161</v>
      </c>
      <c r="B347" s="812" t="s">
        <v>911</v>
      </c>
      <c r="C347" s="812"/>
      <c r="N347" s="807"/>
      <c r="O347" s="808"/>
      <c r="P347" s="807"/>
      <c r="Q347" s="808"/>
    </row>
    <row r="348" spans="1:17" s="658" customFormat="1" ht="14.25" customHeight="1">
      <c r="A348" t="str">
        <f t="shared" si="1"/>
        <v>3171</v>
      </c>
      <c r="B348" s="812" t="s">
        <v>913</v>
      </c>
      <c r="C348" s="812"/>
      <c r="N348" s="807"/>
      <c r="O348" s="808"/>
      <c r="P348" s="807"/>
      <c r="Q348" s="808"/>
    </row>
    <row r="349" spans="1:17" s="658" customFormat="1" ht="14.25" customHeight="1">
      <c r="A349" t="str">
        <f t="shared" si="1"/>
        <v>3172</v>
      </c>
      <c r="B349" s="812" t="s">
        <v>915</v>
      </c>
      <c r="C349" s="812"/>
      <c r="N349" s="807"/>
      <c r="O349" s="808"/>
      <c r="P349" s="807"/>
      <c r="Q349" s="808"/>
    </row>
    <row r="350" spans="1:17" s="658" customFormat="1" ht="14.25" customHeight="1">
      <c r="A350" t="str">
        <f t="shared" si="1"/>
        <v>3199</v>
      </c>
      <c r="B350" s="812" t="s">
        <v>917</v>
      </c>
      <c r="C350" s="812"/>
      <c r="N350" s="807"/>
      <c r="O350" s="808"/>
      <c r="P350" s="807"/>
      <c r="Q350" s="808"/>
    </row>
    <row r="351" spans="1:17" s="658" customFormat="1" ht="14.25" customHeight="1">
      <c r="A351" t="str">
        <f t="shared" si="1"/>
        <v>3211</v>
      </c>
      <c r="B351" s="812" t="s">
        <v>921</v>
      </c>
      <c r="C351" s="812"/>
      <c r="N351" s="807"/>
      <c r="O351" s="808"/>
      <c r="P351" s="807"/>
      <c r="Q351" s="808"/>
    </row>
    <row r="352" spans="1:17" s="658" customFormat="1" ht="14.25" customHeight="1">
      <c r="A352" t="str">
        <f t="shared" si="1"/>
        <v>3221</v>
      </c>
      <c r="B352" s="812" t="s">
        <v>923</v>
      </c>
      <c r="C352" s="812"/>
      <c r="N352" s="807"/>
      <c r="O352" s="808"/>
      <c r="P352" s="807"/>
      <c r="Q352" s="808"/>
    </row>
    <row r="353" spans="1:17" s="658" customFormat="1" ht="14.25" customHeight="1">
      <c r="A353" t="str">
        <f t="shared" si="1"/>
        <v>3229</v>
      </c>
      <c r="B353" s="812" t="s">
        <v>925</v>
      </c>
      <c r="C353" s="812"/>
      <c r="N353" s="807"/>
      <c r="O353" s="808"/>
      <c r="P353" s="807"/>
      <c r="Q353" s="808"/>
    </row>
    <row r="354" spans="1:17" s="658" customFormat="1" ht="14.25" customHeight="1">
      <c r="A354" t="str">
        <f t="shared" si="1"/>
        <v>3231</v>
      </c>
      <c r="B354" s="812" t="s">
        <v>927</v>
      </c>
      <c r="C354" s="812"/>
      <c r="N354" s="807"/>
      <c r="O354" s="808"/>
      <c r="P354" s="807"/>
      <c r="Q354" s="808"/>
    </row>
    <row r="355" spans="1:17" s="658" customFormat="1" ht="14.25" customHeight="1">
      <c r="A355" t="str">
        <f t="shared" si="1"/>
        <v>3241</v>
      </c>
      <c r="B355" s="812" t="s">
        <v>929</v>
      </c>
      <c r="C355" s="812"/>
      <c r="N355" s="807"/>
      <c r="O355" s="808"/>
      <c r="P355" s="807"/>
      <c r="Q355" s="808"/>
    </row>
    <row r="356" spans="1:17" s="658" customFormat="1" ht="14.25" customHeight="1">
      <c r="A356" t="str">
        <f t="shared" si="1"/>
        <v>3251</v>
      </c>
      <c r="B356" s="812" t="s">
        <v>931</v>
      </c>
      <c r="C356" s="812"/>
      <c r="N356" s="807"/>
      <c r="O356" s="808"/>
      <c r="P356" s="807"/>
      <c r="Q356" s="808"/>
    </row>
    <row r="357" spans="1:17" s="658" customFormat="1" ht="14.25" customHeight="1">
      <c r="A357" t="str">
        <f t="shared" si="1"/>
        <v>3253</v>
      </c>
      <c r="B357" s="812" t="s">
        <v>933</v>
      </c>
      <c r="C357" s="812"/>
      <c r="N357" s="807"/>
      <c r="O357" s="808"/>
      <c r="P357" s="807"/>
      <c r="Q357" s="808"/>
    </row>
    <row r="358" spans="1:17" s="658" customFormat="1" ht="14.25" customHeight="1">
      <c r="A358" t="str">
        <f t="shared" si="1"/>
        <v>3255</v>
      </c>
      <c r="B358" s="812" t="s">
        <v>935</v>
      </c>
      <c r="C358" s="812"/>
      <c r="N358" s="807"/>
      <c r="O358" s="808"/>
      <c r="P358" s="807"/>
      <c r="Q358" s="808"/>
    </row>
    <row r="359" spans="1:17" s="658" customFormat="1" ht="14.25" customHeight="1">
      <c r="A359" t="str">
        <f t="shared" si="1"/>
        <v>3259</v>
      </c>
      <c r="B359" s="812" t="s">
        <v>937</v>
      </c>
      <c r="C359" s="812"/>
      <c r="N359" s="807"/>
      <c r="O359" s="808"/>
      <c r="P359" s="807"/>
      <c r="Q359" s="808"/>
    </row>
    <row r="360" spans="1:17" s="658" customFormat="1" ht="14.25" customHeight="1">
      <c r="A360" t="str">
        <f t="shared" si="1"/>
        <v>3261</v>
      </c>
      <c r="B360" s="812" t="s">
        <v>939</v>
      </c>
      <c r="C360" s="812"/>
      <c r="N360" s="807"/>
      <c r="O360" s="808"/>
      <c r="P360" s="807"/>
      <c r="Q360" s="808"/>
    </row>
    <row r="361" spans="1:17" s="658" customFormat="1" ht="14.25" customHeight="1">
      <c r="A361" t="str">
        <f t="shared" si="1"/>
        <v>3262</v>
      </c>
      <c r="B361" s="812" t="s">
        <v>941</v>
      </c>
      <c r="C361" s="812"/>
      <c r="N361" s="807"/>
      <c r="O361" s="808"/>
      <c r="P361" s="807"/>
      <c r="Q361" s="808"/>
    </row>
    <row r="362" spans="1:17" s="658" customFormat="1" ht="14.25" customHeight="1">
      <c r="A362" t="str">
        <f t="shared" si="1"/>
        <v>3263</v>
      </c>
      <c r="B362" s="812" t="s">
        <v>943</v>
      </c>
      <c r="C362" s="812"/>
      <c r="N362" s="807"/>
      <c r="O362" s="808"/>
      <c r="P362" s="807"/>
      <c r="Q362" s="808"/>
    </row>
    <row r="363" spans="1:17" s="658" customFormat="1" ht="14.25" customHeight="1">
      <c r="A363" t="str">
        <f t="shared" si="1"/>
        <v>3264</v>
      </c>
      <c r="B363" s="812" t="s">
        <v>945</v>
      </c>
      <c r="C363" s="812"/>
      <c r="N363" s="807"/>
      <c r="O363" s="808"/>
      <c r="P363" s="807"/>
      <c r="Q363" s="808"/>
    </row>
    <row r="364" spans="1:17" s="658" customFormat="1" ht="14.25" customHeight="1">
      <c r="A364" t="str">
        <f t="shared" si="1"/>
        <v>3269</v>
      </c>
      <c r="B364" s="812" t="s">
        <v>947</v>
      </c>
      <c r="C364" s="812"/>
      <c r="N364" s="807"/>
      <c r="O364" s="808"/>
      <c r="P364" s="807"/>
      <c r="Q364" s="808"/>
    </row>
    <row r="365" spans="1:17" s="658" customFormat="1" ht="14.25" customHeight="1">
      <c r="A365" t="str">
        <f t="shared" si="1"/>
        <v>3271</v>
      </c>
      <c r="B365" s="812" t="s">
        <v>949</v>
      </c>
      <c r="C365" s="812"/>
      <c r="N365" s="807"/>
      <c r="O365" s="808"/>
      <c r="P365" s="807"/>
      <c r="Q365" s="808"/>
    </row>
    <row r="366" spans="1:17" s="658" customFormat="1" ht="14.25" customHeight="1">
      <c r="A366" t="str">
        <f t="shared" si="1"/>
        <v>3272</v>
      </c>
      <c r="B366" s="812" t="s">
        <v>951</v>
      </c>
      <c r="C366" s="812"/>
      <c r="N366" s="807"/>
      <c r="O366" s="808"/>
      <c r="P366" s="807"/>
      <c r="Q366" s="808"/>
    </row>
    <row r="367" spans="1:17" s="658" customFormat="1" ht="14.25" customHeight="1">
      <c r="A367" t="str">
        <f t="shared" si="1"/>
        <v>3273</v>
      </c>
      <c r="B367" s="812" t="s">
        <v>953</v>
      </c>
      <c r="C367" s="812"/>
      <c r="N367" s="807"/>
      <c r="O367" s="808"/>
      <c r="P367" s="807"/>
      <c r="Q367" s="808"/>
    </row>
    <row r="368" spans="1:17" s="658" customFormat="1" ht="14.25" customHeight="1">
      <c r="A368" t="str">
        <f t="shared" si="1"/>
        <v>3274</v>
      </c>
      <c r="B368" s="812" t="s">
        <v>955</v>
      </c>
      <c r="C368" s="812"/>
      <c r="N368" s="807"/>
      <c r="O368" s="808"/>
      <c r="P368" s="807"/>
      <c r="Q368" s="808"/>
    </row>
    <row r="369" spans="1:17" s="658" customFormat="1" ht="14.25" customHeight="1">
      <c r="A369" t="str">
        <f t="shared" si="1"/>
        <v>3275</v>
      </c>
      <c r="B369" s="812" t="s">
        <v>957</v>
      </c>
      <c r="C369" s="812"/>
      <c r="N369" s="807"/>
      <c r="O369" s="808"/>
      <c r="P369" s="807"/>
      <c r="Q369" s="808"/>
    </row>
    <row r="370" spans="1:17" s="658" customFormat="1" ht="14.25" customHeight="1">
      <c r="A370" t="str">
        <f t="shared" si="1"/>
        <v>3281</v>
      </c>
      <c r="B370" s="812" t="s">
        <v>959</v>
      </c>
      <c r="C370" s="812"/>
      <c r="N370" s="807"/>
      <c r="O370" s="808"/>
      <c r="P370" s="807"/>
      <c r="Q370" s="808"/>
    </row>
    <row r="371" spans="1:17" s="658" customFormat="1" ht="14.25" customHeight="1">
      <c r="A371" t="str">
        <f t="shared" si="1"/>
        <v>3291</v>
      </c>
      <c r="B371" s="812" t="s">
        <v>961</v>
      </c>
      <c r="C371" s="812"/>
      <c r="N371" s="807"/>
      <c r="O371" s="808"/>
      <c r="P371" s="807"/>
      <c r="Q371" s="808"/>
    </row>
    <row r="372" spans="1:17" s="658" customFormat="1" ht="14.25" customHeight="1">
      <c r="A372" t="str">
        <f t="shared" si="1"/>
        <v>3292</v>
      </c>
      <c r="B372" s="812" t="s">
        <v>963</v>
      </c>
      <c r="C372" s="812"/>
      <c r="N372" s="807"/>
      <c r="O372" s="808"/>
      <c r="P372" s="807"/>
      <c r="Q372" s="808"/>
    </row>
    <row r="373" spans="1:17" s="658" customFormat="1" ht="14.25" customHeight="1">
      <c r="A373" t="str">
        <f t="shared" si="1"/>
        <v>3295</v>
      </c>
      <c r="B373" s="812" t="s">
        <v>965</v>
      </c>
      <c r="C373" s="812"/>
      <c r="N373" s="807"/>
      <c r="O373" s="808"/>
      <c r="P373" s="807"/>
      <c r="Q373" s="808"/>
    </row>
    <row r="374" spans="1:17" s="658" customFormat="1" ht="14.25" customHeight="1">
      <c r="A374" t="str">
        <f t="shared" si="1"/>
        <v>3296</v>
      </c>
      <c r="B374" s="812" t="s">
        <v>967</v>
      </c>
      <c r="C374" s="812"/>
      <c r="N374" s="807"/>
      <c r="O374" s="808"/>
      <c r="P374" s="807"/>
      <c r="Q374" s="808"/>
    </row>
    <row r="375" spans="1:17" s="658" customFormat="1" ht="14.25" customHeight="1">
      <c r="A375" t="str">
        <f t="shared" si="1"/>
        <v>3297</v>
      </c>
      <c r="B375" s="812" t="s">
        <v>969</v>
      </c>
      <c r="C375" s="812"/>
      <c r="N375" s="807"/>
      <c r="O375" s="808"/>
      <c r="P375" s="807"/>
      <c r="Q375" s="808"/>
    </row>
    <row r="376" spans="1:17" s="658" customFormat="1" ht="14.25" customHeight="1">
      <c r="A376" t="str">
        <f t="shared" si="1"/>
        <v>3299</v>
      </c>
      <c r="B376" s="812" t="s">
        <v>971</v>
      </c>
      <c r="C376" s="812"/>
      <c r="N376" s="807"/>
      <c r="O376" s="808"/>
      <c r="P376" s="807"/>
      <c r="Q376" s="808"/>
    </row>
    <row r="377" spans="1:17" s="658" customFormat="1" ht="14.25" customHeight="1">
      <c r="A377" t="str">
        <f t="shared" si="1"/>
        <v>3312</v>
      </c>
      <c r="B377" s="812" t="s">
        <v>975</v>
      </c>
      <c r="C377" s="812"/>
      <c r="N377" s="807"/>
      <c r="O377" s="808"/>
      <c r="P377" s="807"/>
      <c r="Q377" s="808"/>
    </row>
    <row r="378" spans="1:17" s="658" customFormat="1" ht="14.25" customHeight="1">
      <c r="A378" t="str">
        <f t="shared" si="1"/>
        <v>3313</v>
      </c>
      <c r="B378" s="812" t="s">
        <v>977</v>
      </c>
      <c r="C378" s="812"/>
      <c r="N378" s="807"/>
      <c r="O378" s="808"/>
      <c r="P378" s="807"/>
      <c r="Q378" s="808"/>
    </row>
    <row r="379" spans="1:17" s="658" customFormat="1" ht="14.25" customHeight="1">
      <c r="A379" t="str">
        <f t="shared" si="1"/>
        <v>3315</v>
      </c>
      <c r="B379" s="812" t="s">
        <v>979</v>
      </c>
      <c r="C379" s="812"/>
      <c r="N379" s="807"/>
      <c r="O379" s="808"/>
      <c r="P379" s="807"/>
      <c r="Q379" s="808"/>
    </row>
    <row r="380" spans="1:17" s="658" customFormat="1" ht="14.25" customHeight="1">
      <c r="A380" t="str">
        <f t="shared" si="1"/>
        <v>3316</v>
      </c>
      <c r="B380" s="812" t="s">
        <v>981</v>
      </c>
      <c r="C380" s="812"/>
      <c r="N380" s="807"/>
      <c r="O380" s="808"/>
      <c r="P380" s="807"/>
      <c r="Q380" s="808"/>
    </row>
    <row r="381" spans="1:17" s="658" customFormat="1" ht="14.25" customHeight="1">
      <c r="A381" t="str">
        <f t="shared" si="1"/>
        <v>3317</v>
      </c>
      <c r="B381" s="812" t="s">
        <v>983</v>
      </c>
      <c r="C381" s="812"/>
      <c r="N381" s="807"/>
      <c r="O381" s="808"/>
      <c r="P381" s="807"/>
      <c r="Q381" s="808"/>
    </row>
    <row r="382" spans="1:17" s="658" customFormat="1" ht="14.25" customHeight="1">
      <c r="A382" t="str">
        <f t="shared" si="1"/>
        <v>3321</v>
      </c>
      <c r="B382" s="812" t="s">
        <v>985</v>
      </c>
      <c r="C382" s="812"/>
      <c r="N382" s="807"/>
      <c r="O382" s="808"/>
      <c r="P382" s="807"/>
      <c r="Q382" s="808"/>
    </row>
    <row r="383" spans="1:17" s="658" customFormat="1" ht="14.25" customHeight="1">
      <c r="A383" t="str">
        <f t="shared" si="1"/>
        <v>3322</v>
      </c>
      <c r="B383" s="812" t="s">
        <v>987</v>
      </c>
      <c r="C383" s="812"/>
      <c r="N383" s="807"/>
      <c r="O383" s="808"/>
      <c r="P383" s="807"/>
      <c r="Q383" s="808"/>
    </row>
    <row r="384" spans="1:17" s="658" customFormat="1" ht="14.25" customHeight="1">
      <c r="A384" t="str">
        <f t="shared" si="1"/>
        <v>3324</v>
      </c>
      <c r="B384" s="812" t="s">
        <v>989</v>
      </c>
      <c r="C384" s="812"/>
      <c r="N384" s="807"/>
      <c r="O384" s="808"/>
      <c r="P384" s="807"/>
      <c r="Q384" s="808"/>
    </row>
    <row r="385" spans="1:17" s="658" customFormat="1" ht="14.25" customHeight="1">
      <c r="A385" t="str">
        <f t="shared" si="1"/>
        <v>3325</v>
      </c>
      <c r="B385" s="812" t="s">
        <v>991</v>
      </c>
      <c r="C385" s="812"/>
      <c r="N385" s="807"/>
      <c r="O385" s="808"/>
      <c r="P385" s="807"/>
      <c r="Q385" s="808"/>
    </row>
    <row r="386" spans="1:17" s="658" customFormat="1" ht="14.25" customHeight="1">
      <c r="A386" t="str">
        <f t="shared" si="1"/>
        <v>3331</v>
      </c>
      <c r="B386" s="812" t="s">
        <v>993</v>
      </c>
      <c r="C386" s="812"/>
      <c r="N386" s="807"/>
      <c r="O386" s="808"/>
      <c r="P386" s="807"/>
      <c r="Q386" s="808"/>
    </row>
    <row r="387" spans="1:17" s="658" customFormat="1" ht="14.25" customHeight="1">
      <c r="A387" t="str">
        <f t="shared" si="1"/>
        <v>3334</v>
      </c>
      <c r="B387" s="812" t="s">
        <v>995</v>
      </c>
      <c r="C387" s="812"/>
      <c r="N387" s="807"/>
      <c r="O387" s="808"/>
      <c r="P387" s="807"/>
      <c r="Q387" s="808"/>
    </row>
    <row r="388" spans="1:17" s="658" customFormat="1" ht="14.25" customHeight="1">
      <c r="A388" t="str">
        <f t="shared" si="1"/>
        <v>3339</v>
      </c>
      <c r="B388" s="812" t="s">
        <v>997</v>
      </c>
      <c r="C388" s="812"/>
      <c r="N388" s="807"/>
      <c r="O388" s="808"/>
      <c r="P388" s="807"/>
      <c r="Q388" s="808"/>
    </row>
    <row r="389" spans="1:17" s="658" customFormat="1" ht="14.25" customHeight="1">
      <c r="A389" t="str">
        <f t="shared" si="1"/>
        <v>3341</v>
      </c>
      <c r="B389" s="812" t="s">
        <v>999</v>
      </c>
      <c r="C389" s="812"/>
      <c r="N389" s="807"/>
      <c r="O389" s="808"/>
      <c r="P389" s="807"/>
      <c r="Q389" s="808"/>
    </row>
    <row r="390" spans="1:17" s="658" customFormat="1" ht="14.25" customHeight="1">
      <c r="A390" t="str">
        <f t="shared" si="1"/>
        <v>3351</v>
      </c>
      <c r="B390" s="812" t="s">
        <v>1001</v>
      </c>
      <c r="C390" s="812"/>
      <c r="N390" s="807"/>
      <c r="O390" s="808"/>
      <c r="P390" s="807"/>
      <c r="Q390" s="808"/>
    </row>
    <row r="391" spans="1:17" s="658" customFormat="1" ht="14.25" customHeight="1">
      <c r="A391" t="str">
        <f t="shared" si="1"/>
        <v>3353</v>
      </c>
      <c r="B391" s="812" t="s">
        <v>1003</v>
      </c>
      <c r="C391" s="812"/>
      <c r="N391" s="807"/>
      <c r="O391" s="808"/>
      <c r="P391" s="807"/>
      <c r="Q391" s="808"/>
    </row>
    <row r="392" spans="1:17" s="658" customFormat="1" ht="14.25" customHeight="1">
      <c r="A392" t="str">
        <f t="shared" si="1"/>
        <v>3354</v>
      </c>
      <c r="B392" s="812" t="s">
        <v>1005</v>
      </c>
      <c r="C392" s="812"/>
      <c r="N392" s="807"/>
      <c r="O392" s="808"/>
      <c r="P392" s="807"/>
      <c r="Q392" s="808"/>
    </row>
    <row r="393" spans="1:17" s="658" customFormat="1" ht="14.25" customHeight="1">
      <c r="A393" t="str">
        <f t="shared" si="1"/>
        <v>3355</v>
      </c>
      <c r="B393" s="812" t="s">
        <v>1007</v>
      </c>
      <c r="C393" s="812"/>
      <c r="N393" s="807"/>
      <c r="O393" s="808"/>
      <c r="P393" s="807"/>
      <c r="Q393" s="808"/>
    </row>
    <row r="394" spans="1:17" s="658" customFormat="1" ht="14.25" customHeight="1">
      <c r="A394" t="str">
        <f t="shared" si="1"/>
        <v>3356</v>
      </c>
      <c r="B394" s="812" t="s">
        <v>1009</v>
      </c>
      <c r="C394" s="812"/>
      <c r="N394" s="807"/>
      <c r="O394" s="808"/>
      <c r="P394" s="807"/>
      <c r="Q394" s="808"/>
    </row>
    <row r="395" spans="1:17" s="658" customFormat="1" ht="14.25" customHeight="1">
      <c r="A395" t="str">
        <f t="shared" si="1"/>
        <v>3357</v>
      </c>
      <c r="B395" s="812" t="s">
        <v>1011</v>
      </c>
      <c r="C395" s="812"/>
      <c r="N395" s="807"/>
      <c r="O395" s="808"/>
      <c r="P395" s="807"/>
      <c r="Q395" s="808"/>
    </row>
    <row r="396" spans="1:17" s="658" customFormat="1" ht="14.25" customHeight="1">
      <c r="A396" t="str">
        <f t="shared" si="1"/>
        <v>3363</v>
      </c>
      <c r="B396" s="812" t="s">
        <v>1013</v>
      </c>
      <c r="C396" s="812"/>
      <c r="N396" s="807"/>
      <c r="O396" s="808"/>
      <c r="P396" s="807"/>
      <c r="Q396" s="808"/>
    </row>
    <row r="397" spans="1:17" s="658" customFormat="1" ht="14.25" customHeight="1">
      <c r="A397" t="str">
        <f t="shared" si="1"/>
        <v>3365</v>
      </c>
      <c r="B397" s="812" t="s">
        <v>1015</v>
      </c>
      <c r="C397" s="812"/>
      <c r="N397" s="807"/>
      <c r="O397" s="808"/>
      <c r="P397" s="807"/>
      <c r="Q397" s="808"/>
    </row>
    <row r="398" spans="1:17" s="658" customFormat="1" ht="14.25" customHeight="1">
      <c r="A398" t="str">
        <f t="shared" si="1"/>
        <v>3366</v>
      </c>
      <c r="B398" s="812" t="s">
        <v>1017</v>
      </c>
      <c r="C398" s="812"/>
      <c r="N398" s="807"/>
      <c r="O398" s="808"/>
      <c r="P398" s="807"/>
      <c r="Q398" s="808"/>
    </row>
    <row r="399" spans="1:17" s="658" customFormat="1" ht="14.25" customHeight="1">
      <c r="A399" t="str">
        <f t="shared" si="1"/>
        <v>3369</v>
      </c>
      <c r="B399" s="812" t="s">
        <v>1019</v>
      </c>
      <c r="C399" s="812"/>
      <c r="N399" s="807"/>
      <c r="O399" s="808"/>
      <c r="P399" s="807"/>
      <c r="Q399" s="808"/>
    </row>
    <row r="400" spans="1:17" s="658" customFormat="1" ht="14.25" customHeight="1">
      <c r="A400" t="str">
        <f t="shared" si="1"/>
        <v>3398</v>
      </c>
      <c r="B400" s="812" t="s">
        <v>1021</v>
      </c>
      <c r="C400" s="812"/>
      <c r="N400" s="807"/>
      <c r="O400" s="808"/>
      <c r="P400" s="807"/>
      <c r="Q400" s="808"/>
    </row>
    <row r="401" spans="1:17" s="658" customFormat="1" ht="14.25" customHeight="1">
      <c r="A401" t="str">
        <f t="shared" si="1"/>
        <v>3399</v>
      </c>
      <c r="B401" s="812" t="s">
        <v>1023</v>
      </c>
      <c r="C401" s="812"/>
      <c r="N401" s="807"/>
      <c r="O401" s="808"/>
      <c r="P401" s="807"/>
      <c r="Q401" s="808"/>
    </row>
    <row r="402" spans="1:17" s="658" customFormat="1" ht="14.25" customHeight="1">
      <c r="A402" t="str">
        <f t="shared" si="1"/>
        <v>3411</v>
      </c>
      <c r="B402" s="812" t="s">
        <v>1027</v>
      </c>
      <c r="C402" s="812"/>
      <c r="N402" s="807"/>
      <c r="O402" s="808"/>
      <c r="P402" s="807"/>
      <c r="Q402" s="808"/>
    </row>
    <row r="403" spans="1:17" s="658" customFormat="1" ht="14.25" customHeight="1">
      <c r="A403" t="str">
        <f t="shared" si="1"/>
        <v>3412</v>
      </c>
      <c r="B403" s="812" t="s">
        <v>1029</v>
      </c>
      <c r="C403" s="812"/>
      <c r="N403" s="807"/>
      <c r="O403" s="808"/>
      <c r="P403" s="807"/>
      <c r="Q403" s="808"/>
    </row>
    <row r="404" spans="1:17" s="658" customFormat="1" ht="14.25" customHeight="1">
      <c r="A404" t="str">
        <f t="shared" si="1"/>
        <v>3421</v>
      </c>
      <c r="B404" s="812" t="s">
        <v>1031</v>
      </c>
      <c r="C404" s="812"/>
      <c r="N404" s="807"/>
      <c r="O404" s="808"/>
      <c r="P404" s="807"/>
      <c r="Q404" s="808"/>
    </row>
    <row r="405" spans="1:17" s="658" customFormat="1" ht="14.25" customHeight="1">
      <c r="A405" t="str">
        <f t="shared" si="1"/>
        <v>3423</v>
      </c>
      <c r="B405" s="812" t="s">
        <v>1033</v>
      </c>
      <c r="C405" s="812"/>
      <c r="N405" s="807"/>
      <c r="O405" s="808"/>
      <c r="P405" s="807"/>
      <c r="Q405" s="808"/>
    </row>
    <row r="406" spans="1:17" s="658" customFormat="1" ht="14.25" customHeight="1">
      <c r="A406" t="str">
        <f t="shared" si="1"/>
        <v>3425</v>
      </c>
      <c r="B406" s="812" t="s">
        <v>1035</v>
      </c>
      <c r="C406" s="812"/>
      <c r="N406" s="807"/>
      <c r="O406" s="808"/>
      <c r="P406" s="807"/>
      <c r="Q406" s="808"/>
    </row>
    <row r="407" spans="1:17" s="658" customFormat="1" ht="14.25" customHeight="1">
      <c r="A407" t="str">
        <f t="shared" si="1"/>
        <v>3429</v>
      </c>
      <c r="B407" s="812" t="s">
        <v>1037</v>
      </c>
      <c r="C407" s="812"/>
      <c r="N407" s="807"/>
      <c r="O407" s="808"/>
      <c r="P407" s="807"/>
      <c r="Q407" s="808"/>
    </row>
    <row r="408" spans="1:17" s="658" customFormat="1" ht="14.25" customHeight="1">
      <c r="A408" t="str">
        <f t="shared" si="1"/>
        <v>3431</v>
      </c>
      <c r="B408" s="812" t="s">
        <v>1039</v>
      </c>
      <c r="C408" s="812"/>
      <c r="N408" s="807"/>
      <c r="O408" s="808"/>
      <c r="P408" s="807"/>
      <c r="Q408" s="808"/>
    </row>
    <row r="409" spans="1:17" s="658" customFormat="1" ht="14.25" customHeight="1">
      <c r="A409" t="str">
        <f t="shared" si="1"/>
        <v>3432</v>
      </c>
      <c r="B409" s="812" t="s">
        <v>1041</v>
      </c>
      <c r="C409" s="812"/>
      <c r="N409" s="807"/>
      <c r="O409" s="808"/>
      <c r="P409" s="807"/>
      <c r="Q409" s="808"/>
    </row>
    <row r="410" spans="1:17" s="658" customFormat="1" ht="14.25" customHeight="1">
      <c r="A410" t="str">
        <f t="shared" si="1"/>
        <v>3433</v>
      </c>
      <c r="B410" s="812" t="s">
        <v>1043</v>
      </c>
      <c r="C410" s="812"/>
      <c r="N410" s="807"/>
      <c r="O410" s="808"/>
      <c r="P410" s="807"/>
      <c r="Q410" s="808"/>
    </row>
    <row r="411" spans="1:17" s="658" customFormat="1" ht="14.25" customHeight="1">
      <c r="A411" t="str">
        <f t="shared" si="1"/>
        <v>3441</v>
      </c>
      <c r="B411" s="812" t="s">
        <v>1045</v>
      </c>
      <c r="C411" s="812"/>
      <c r="N411" s="807"/>
      <c r="O411" s="808"/>
      <c r="P411" s="807"/>
      <c r="Q411" s="808"/>
    </row>
    <row r="412" spans="1:17" s="658" customFormat="1" ht="14.25" customHeight="1">
      <c r="A412" t="str">
        <f t="shared" si="1"/>
        <v>3442</v>
      </c>
      <c r="B412" s="812" t="s">
        <v>1047</v>
      </c>
      <c r="C412" s="812"/>
      <c r="N412" s="807"/>
      <c r="O412" s="808"/>
      <c r="P412" s="807"/>
      <c r="Q412" s="808"/>
    </row>
    <row r="413" spans="1:17" s="658" customFormat="1" ht="14.25" customHeight="1">
      <c r="A413" t="str">
        <f t="shared" si="1"/>
        <v>3443</v>
      </c>
      <c r="B413" s="812" t="s">
        <v>1049</v>
      </c>
      <c r="C413" s="812"/>
      <c r="N413" s="807"/>
      <c r="O413" s="808"/>
      <c r="P413" s="807"/>
      <c r="Q413" s="808"/>
    </row>
    <row r="414" spans="1:17" s="658" customFormat="1" ht="14.25" customHeight="1">
      <c r="A414" t="str">
        <f t="shared" si="1"/>
        <v>3444</v>
      </c>
      <c r="B414" s="812" t="s">
        <v>1051</v>
      </c>
      <c r="C414" s="812"/>
      <c r="N414" s="807"/>
      <c r="O414" s="808"/>
      <c r="P414" s="807"/>
      <c r="Q414" s="808"/>
    </row>
    <row r="415" spans="1:17" s="658" customFormat="1" ht="14.25" customHeight="1">
      <c r="A415" t="str">
        <f t="shared" si="1"/>
        <v>3446</v>
      </c>
      <c r="B415" s="812" t="s">
        <v>1053</v>
      </c>
      <c r="C415" s="812"/>
      <c r="N415" s="807"/>
      <c r="O415" s="808"/>
      <c r="P415" s="807"/>
      <c r="Q415" s="808"/>
    </row>
    <row r="416" spans="1:17" s="658" customFormat="1" ht="14.25" customHeight="1">
      <c r="A416" t="str">
        <f t="shared" si="1"/>
        <v>3448</v>
      </c>
      <c r="B416" s="812" t="s">
        <v>1055</v>
      </c>
      <c r="C416" s="812"/>
      <c r="N416" s="807"/>
      <c r="O416" s="808"/>
      <c r="P416" s="807"/>
      <c r="Q416" s="808"/>
    </row>
    <row r="417" spans="1:17" s="658" customFormat="1" ht="14.25" customHeight="1">
      <c r="A417" t="str">
        <f t="shared" si="1"/>
        <v>3449</v>
      </c>
      <c r="B417" s="812" t="s">
        <v>1057</v>
      </c>
      <c r="C417" s="812"/>
      <c r="N417" s="807"/>
      <c r="O417" s="808"/>
      <c r="P417" s="807"/>
      <c r="Q417" s="808"/>
    </row>
    <row r="418" spans="1:17" s="658" customFormat="1" ht="14.25" customHeight="1">
      <c r="A418" t="str">
        <f t="shared" si="1"/>
        <v>3451</v>
      </c>
      <c r="B418" s="812" t="s">
        <v>1059</v>
      </c>
      <c r="C418" s="812"/>
      <c r="N418" s="807"/>
      <c r="O418" s="808"/>
      <c r="P418" s="807"/>
      <c r="Q418" s="808"/>
    </row>
    <row r="419" spans="1:17" s="658" customFormat="1" ht="14.25" customHeight="1">
      <c r="A419" t="str">
        <f t="shared" si="1"/>
        <v>3452</v>
      </c>
      <c r="B419" s="812" t="s">
        <v>1061</v>
      </c>
      <c r="C419" s="812"/>
      <c r="N419" s="807"/>
      <c r="O419" s="808"/>
      <c r="P419" s="807"/>
      <c r="Q419" s="808"/>
    </row>
    <row r="420" spans="1:17" s="658" customFormat="1" ht="14.25" customHeight="1">
      <c r="A420" t="str">
        <f t="shared" si="1"/>
        <v>3462</v>
      </c>
      <c r="B420" s="812" t="s">
        <v>1063</v>
      </c>
      <c r="C420" s="812"/>
      <c r="N420" s="807"/>
      <c r="O420" s="808"/>
      <c r="P420" s="807"/>
      <c r="Q420" s="808"/>
    </row>
    <row r="421" spans="1:17" s="658" customFormat="1" ht="14.25" customHeight="1">
      <c r="A421" t="str">
        <f t="shared" si="1"/>
        <v>3463</v>
      </c>
      <c r="B421" s="812" t="s">
        <v>1065</v>
      </c>
      <c r="C421" s="812"/>
      <c r="N421" s="807"/>
      <c r="O421" s="808"/>
      <c r="P421" s="807"/>
      <c r="Q421" s="808"/>
    </row>
    <row r="422" spans="1:17" s="658" customFormat="1" ht="14.25" customHeight="1">
      <c r="A422" t="str">
        <f t="shared" si="1"/>
        <v>3465</v>
      </c>
      <c r="B422" s="812" t="s">
        <v>1067</v>
      </c>
      <c r="C422" s="812"/>
      <c r="N422" s="807"/>
      <c r="O422" s="808"/>
      <c r="P422" s="807"/>
      <c r="Q422" s="808"/>
    </row>
    <row r="423" spans="1:17" s="658" customFormat="1" ht="14.25" customHeight="1">
      <c r="A423" t="str">
        <f t="shared" si="1"/>
        <v>3466</v>
      </c>
      <c r="B423" s="812" t="s">
        <v>1069</v>
      </c>
      <c r="C423" s="812"/>
      <c r="N423" s="807"/>
      <c r="O423" s="808"/>
      <c r="P423" s="807"/>
      <c r="Q423" s="808"/>
    </row>
    <row r="424" spans="1:17" s="658" customFormat="1" ht="14.25" customHeight="1">
      <c r="A424" t="str">
        <f t="shared" si="1"/>
        <v>3469</v>
      </c>
      <c r="B424" s="812" t="s">
        <v>1071</v>
      </c>
      <c r="C424" s="812"/>
      <c r="N424" s="807"/>
      <c r="O424" s="808"/>
      <c r="P424" s="807"/>
      <c r="Q424" s="808"/>
    </row>
    <row r="425" spans="1:17" s="658" customFormat="1" ht="14.25" customHeight="1">
      <c r="A425" t="str">
        <f t="shared" si="1"/>
        <v>3471</v>
      </c>
      <c r="B425" s="812" t="s">
        <v>1073</v>
      </c>
      <c r="C425" s="812"/>
      <c r="N425" s="807"/>
      <c r="O425" s="808"/>
      <c r="P425" s="807"/>
      <c r="Q425" s="808"/>
    </row>
    <row r="426" spans="1:17" s="658" customFormat="1" ht="14.25" customHeight="1">
      <c r="A426" t="str">
        <f t="shared" si="1"/>
        <v>3479</v>
      </c>
      <c r="B426" s="812" t="s">
        <v>1075</v>
      </c>
      <c r="C426" s="812"/>
      <c r="N426" s="807"/>
      <c r="O426" s="808"/>
      <c r="P426" s="807"/>
      <c r="Q426" s="808"/>
    </row>
    <row r="427" spans="1:17" s="658" customFormat="1" ht="14.25" customHeight="1">
      <c r="A427" t="str">
        <f t="shared" si="1"/>
        <v>3482</v>
      </c>
      <c r="B427" s="812" t="s">
        <v>1077</v>
      </c>
      <c r="C427" s="812"/>
      <c r="N427" s="807"/>
      <c r="O427" s="808"/>
      <c r="P427" s="807"/>
      <c r="Q427" s="808"/>
    </row>
    <row r="428" spans="1:17" s="658" customFormat="1" ht="14.25" customHeight="1">
      <c r="A428" t="str">
        <f t="shared" si="1"/>
        <v>3483</v>
      </c>
      <c r="B428" s="812" t="s">
        <v>1079</v>
      </c>
      <c r="C428" s="812"/>
      <c r="N428" s="807"/>
      <c r="O428" s="808"/>
      <c r="P428" s="807"/>
      <c r="Q428" s="808"/>
    </row>
    <row r="429" spans="1:17" s="658" customFormat="1" ht="14.25" customHeight="1">
      <c r="A429" t="str">
        <f t="shared" si="1"/>
        <v>3484</v>
      </c>
      <c r="B429" s="812" t="s">
        <v>1081</v>
      </c>
      <c r="C429" s="812"/>
      <c r="N429" s="807"/>
      <c r="O429" s="808"/>
      <c r="P429" s="807"/>
      <c r="Q429" s="808"/>
    </row>
    <row r="430" spans="1:17" s="658" customFormat="1" ht="14.25" customHeight="1">
      <c r="A430" t="str">
        <f t="shared" si="1"/>
        <v>3489</v>
      </c>
      <c r="B430" s="812" t="s">
        <v>1083</v>
      </c>
      <c r="C430" s="812"/>
      <c r="N430" s="807"/>
      <c r="O430" s="808"/>
      <c r="P430" s="807"/>
      <c r="Q430" s="808"/>
    </row>
    <row r="431" spans="1:17" s="658" customFormat="1" ht="14.25" customHeight="1">
      <c r="A431" t="str">
        <f t="shared" si="1"/>
        <v>3491</v>
      </c>
      <c r="B431" s="812" t="s">
        <v>1085</v>
      </c>
      <c r="C431" s="812"/>
      <c r="N431" s="807"/>
      <c r="O431" s="808"/>
      <c r="P431" s="807"/>
      <c r="Q431" s="808"/>
    </row>
    <row r="432" spans="1:17" s="658" customFormat="1" ht="14.25" customHeight="1">
      <c r="A432" t="str">
        <f t="shared" si="1"/>
        <v>3492</v>
      </c>
      <c r="B432" s="812" t="s">
        <v>1087</v>
      </c>
      <c r="C432" s="812"/>
      <c r="N432" s="807"/>
      <c r="O432" s="808"/>
      <c r="P432" s="807"/>
      <c r="Q432" s="808"/>
    </row>
    <row r="433" spans="1:17" s="658" customFormat="1" ht="14.25" customHeight="1">
      <c r="A433" t="str">
        <f t="shared" si="1"/>
        <v>3493</v>
      </c>
      <c r="B433" s="812" t="s">
        <v>1089</v>
      </c>
      <c r="C433" s="812"/>
      <c r="N433" s="807"/>
      <c r="O433" s="808"/>
      <c r="P433" s="807"/>
      <c r="Q433" s="808"/>
    </row>
    <row r="434" spans="1:17" s="658" customFormat="1" ht="14.25" customHeight="1">
      <c r="A434" t="str">
        <f t="shared" si="1"/>
        <v>3494</v>
      </c>
      <c r="B434" s="812" t="s">
        <v>1091</v>
      </c>
      <c r="C434" s="812"/>
      <c r="N434" s="807"/>
      <c r="O434" s="808"/>
      <c r="P434" s="807"/>
      <c r="Q434" s="808"/>
    </row>
    <row r="435" spans="1:17" s="658" customFormat="1" ht="14.25" customHeight="1">
      <c r="A435" t="str">
        <f t="shared" si="1"/>
        <v>3495</v>
      </c>
      <c r="B435" s="812" t="s">
        <v>1093</v>
      </c>
      <c r="C435" s="812"/>
      <c r="N435" s="807"/>
      <c r="O435" s="808"/>
      <c r="P435" s="807"/>
      <c r="Q435" s="808"/>
    </row>
    <row r="436" spans="1:17" s="658" customFormat="1" ht="14.25" customHeight="1">
      <c r="A436" t="str">
        <f t="shared" si="1"/>
        <v>3496</v>
      </c>
      <c r="B436" s="812" t="s">
        <v>1095</v>
      </c>
      <c r="C436" s="812"/>
      <c r="N436" s="807"/>
      <c r="O436" s="808"/>
      <c r="P436" s="807"/>
      <c r="Q436" s="808"/>
    </row>
    <row r="437" spans="1:17" s="658" customFormat="1" ht="14.25" customHeight="1">
      <c r="A437" t="str">
        <f t="shared" si="1"/>
        <v>3497</v>
      </c>
      <c r="B437" s="812" t="s">
        <v>1097</v>
      </c>
      <c r="C437" s="812"/>
      <c r="N437" s="807"/>
      <c r="O437" s="808"/>
      <c r="P437" s="807"/>
      <c r="Q437" s="808"/>
    </row>
    <row r="438" spans="1:17" s="658" customFormat="1" ht="14.25" customHeight="1">
      <c r="A438" t="str">
        <f t="shared" si="1"/>
        <v>3498</v>
      </c>
      <c r="B438" s="812" t="s">
        <v>1099</v>
      </c>
      <c r="C438" s="812"/>
      <c r="N438" s="807"/>
      <c r="O438" s="808"/>
      <c r="P438" s="807"/>
      <c r="Q438" s="808"/>
    </row>
    <row r="439" spans="1:17" s="658" customFormat="1" ht="14.25" customHeight="1">
      <c r="A439" t="str">
        <f t="shared" si="1"/>
        <v>3499</v>
      </c>
      <c r="B439" s="812" t="s">
        <v>1101</v>
      </c>
      <c r="C439" s="812"/>
      <c r="N439" s="807"/>
      <c r="O439" s="808"/>
      <c r="P439" s="807"/>
      <c r="Q439" s="808"/>
    </row>
    <row r="440" spans="1:17" s="658" customFormat="1" ht="14.25" customHeight="1">
      <c r="A440" t="str">
        <f t="shared" si="1"/>
        <v>3511</v>
      </c>
      <c r="B440" s="812" t="s">
        <v>1105</v>
      </c>
      <c r="C440" s="812"/>
      <c r="N440" s="807"/>
      <c r="O440" s="808"/>
      <c r="P440" s="807"/>
      <c r="Q440" s="808"/>
    </row>
    <row r="441" spans="1:17" s="658" customFormat="1" ht="14.25" customHeight="1">
      <c r="A441" t="str">
        <f t="shared" si="1"/>
        <v>3519</v>
      </c>
      <c r="B441" s="812" t="s">
        <v>1107</v>
      </c>
      <c r="C441" s="812"/>
      <c r="N441" s="807"/>
      <c r="O441" s="808"/>
      <c r="P441" s="807"/>
      <c r="Q441" s="808"/>
    </row>
    <row r="442" spans="1:17" s="658" customFormat="1" ht="14.25" customHeight="1">
      <c r="A442" t="str">
        <f t="shared" si="1"/>
        <v>3523</v>
      </c>
      <c r="B442" s="812" t="s">
        <v>1109</v>
      </c>
      <c r="C442" s="812"/>
      <c r="N442" s="807"/>
      <c r="O442" s="808"/>
      <c r="P442" s="807"/>
      <c r="Q442" s="808"/>
    </row>
    <row r="443" spans="1:17" s="658" customFormat="1" ht="14.25" customHeight="1">
      <c r="A443" t="str">
        <f t="shared" si="1"/>
        <v>3524</v>
      </c>
      <c r="B443" s="812" t="s">
        <v>1111</v>
      </c>
      <c r="C443" s="812"/>
      <c r="N443" s="807"/>
      <c r="O443" s="808"/>
      <c r="P443" s="807"/>
      <c r="Q443" s="808"/>
    </row>
    <row r="444" spans="1:17" s="658" customFormat="1" ht="14.25" customHeight="1">
      <c r="A444" t="str">
        <f t="shared" si="1"/>
        <v>3531</v>
      </c>
      <c r="B444" s="812" t="s">
        <v>1113</v>
      </c>
      <c r="C444" s="812"/>
      <c r="N444" s="807"/>
      <c r="O444" s="808"/>
      <c r="P444" s="807"/>
      <c r="Q444" s="808"/>
    </row>
    <row r="445" spans="1:17" s="658" customFormat="1" ht="14.25" customHeight="1">
      <c r="A445" t="str">
        <f t="shared" si="1"/>
        <v>3532</v>
      </c>
      <c r="B445" s="812" t="s">
        <v>1115</v>
      </c>
      <c r="C445" s="812"/>
      <c r="N445" s="807"/>
      <c r="O445" s="808"/>
      <c r="P445" s="807"/>
      <c r="Q445" s="808"/>
    </row>
    <row r="446" spans="1:17" s="658" customFormat="1" ht="14.25" customHeight="1">
      <c r="A446" t="str">
        <f t="shared" si="1"/>
        <v>3533</v>
      </c>
      <c r="B446" s="812" t="s">
        <v>1117</v>
      </c>
      <c r="C446" s="812"/>
      <c r="N446" s="807"/>
      <c r="O446" s="808"/>
      <c r="P446" s="807"/>
      <c r="Q446" s="808"/>
    </row>
    <row r="447" spans="1:17" s="658" customFormat="1" ht="14.25" customHeight="1">
      <c r="A447" t="str">
        <f t="shared" si="1"/>
        <v>3534</v>
      </c>
      <c r="B447" s="812" t="s">
        <v>1119</v>
      </c>
      <c r="C447" s="812"/>
      <c r="N447" s="807"/>
      <c r="O447" s="808"/>
      <c r="P447" s="807"/>
      <c r="Q447" s="808"/>
    </row>
    <row r="448" spans="1:17" s="658" customFormat="1" ht="14.25" customHeight="1">
      <c r="A448" t="str">
        <f t="shared" si="1"/>
        <v>3535</v>
      </c>
      <c r="B448" s="812" t="s">
        <v>1121</v>
      </c>
      <c r="C448" s="812"/>
      <c r="N448" s="807"/>
      <c r="O448" s="808"/>
      <c r="P448" s="807"/>
      <c r="Q448" s="808"/>
    </row>
    <row r="449" spans="1:17" s="658" customFormat="1" ht="14.25" customHeight="1">
      <c r="A449" t="str">
        <f t="shared" si="1"/>
        <v>3536</v>
      </c>
      <c r="B449" s="812" t="s">
        <v>1123</v>
      </c>
      <c r="C449" s="812"/>
      <c r="N449" s="807"/>
      <c r="O449" s="808"/>
      <c r="P449" s="807"/>
      <c r="Q449" s="808"/>
    </row>
    <row r="450" spans="1:17" s="658" customFormat="1" ht="14.25" customHeight="1">
      <c r="A450" t="str">
        <f t="shared" si="1"/>
        <v>3537</v>
      </c>
      <c r="B450" s="812" t="s">
        <v>1125</v>
      </c>
      <c r="C450" s="812"/>
      <c r="N450" s="807"/>
      <c r="O450" s="808"/>
      <c r="P450" s="807"/>
      <c r="Q450" s="808"/>
    </row>
    <row r="451" spans="1:17" s="658" customFormat="1" ht="14.25" customHeight="1">
      <c r="A451" t="str">
        <f t="shared" si="1"/>
        <v>3541</v>
      </c>
      <c r="B451" s="812" t="s">
        <v>1127</v>
      </c>
      <c r="C451" s="812"/>
      <c r="N451" s="807"/>
      <c r="O451" s="808"/>
      <c r="P451" s="807"/>
      <c r="Q451" s="808"/>
    </row>
    <row r="452" spans="1:17" s="658" customFormat="1" ht="14.25" customHeight="1">
      <c r="A452" t="str">
        <f t="shared" si="1"/>
        <v>3542</v>
      </c>
      <c r="B452" s="812" t="s">
        <v>1129</v>
      </c>
      <c r="C452" s="812"/>
      <c r="N452" s="807"/>
      <c r="O452" s="808"/>
      <c r="P452" s="807"/>
      <c r="Q452" s="808"/>
    </row>
    <row r="453" spans="1:17" s="658" customFormat="1" ht="14.25" customHeight="1">
      <c r="A453" t="str">
        <f t="shared" si="1"/>
        <v>3543</v>
      </c>
      <c r="B453" s="812" t="s">
        <v>1131</v>
      </c>
      <c r="C453" s="812"/>
      <c r="N453" s="807"/>
      <c r="O453" s="808"/>
      <c r="P453" s="807"/>
      <c r="Q453" s="808"/>
    </row>
    <row r="454" spans="1:17" s="658" customFormat="1" ht="14.25" customHeight="1">
      <c r="A454" t="str">
        <f t="shared" si="1"/>
        <v>3544</v>
      </c>
      <c r="B454" s="812" t="s">
        <v>1133</v>
      </c>
      <c r="C454" s="812"/>
      <c r="N454" s="807"/>
      <c r="O454" s="808"/>
      <c r="P454" s="807"/>
      <c r="Q454" s="808"/>
    </row>
    <row r="455" spans="1:17" s="658" customFormat="1" ht="14.25" customHeight="1">
      <c r="A455" t="str">
        <f t="shared" si="1"/>
        <v>3545</v>
      </c>
      <c r="B455" s="812" t="s">
        <v>1135</v>
      </c>
      <c r="C455" s="812"/>
      <c r="N455" s="807"/>
      <c r="O455" s="808"/>
      <c r="P455" s="807"/>
      <c r="Q455" s="808"/>
    </row>
    <row r="456" spans="1:17" s="658" customFormat="1" ht="14.25" customHeight="1">
      <c r="A456" t="str">
        <f t="shared" si="1"/>
        <v>3546</v>
      </c>
      <c r="B456" s="812" t="s">
        <v>1137</v>
      </c>
      <c r="C456" s="812"/>
      <c r="N456" s="807"/>
      <c r="O456" s="808"/>
      <c r="P456" s="807"/>
      <c r="Q456" s="808"/>
    </row>
    <row r="457" spans="1:17" s="658" customFormat="1" ht="14.25" customHeight="1">
      <c r="A457" t="str">
        <f t="shared" si="1"/>
        <v>3547</v>
      </c>
      <c r="B457" s="812" t="s">
        <v>1139</v>
      </c>
      <c r="C457" s="812"/>
      <c r="N457" s="807"/>
      <c r="O457" s="808"/>
      <c r="P457" s="807"/>
      <c r="Q457" s="808"/>
    </row>
    <row r="458" spans="1:17" s="658" customFormat="1" ht="14.25" customHeight="1">
      <c r="A458" t="str">
        <f t="shared" si="1"/>
        <v>3548</v>
      </c>
      <c r="B458" s="812" t="s">
        <v>1141</v>
      </c>
      <c r="C458" s="812"/>
      <c r="N458" s="807"/>
      <c r="O458" s="808"/>
      <c r="P458" s="807"/>
      <c r="Q458" s="808"/>
    </row>
    <row r="459" spans="1:17" s="658" customFormat="1" ht="14.25" customHeight="1">
      <c r="A459" t="str">
        <f t="shared" si="1"/>
        <v>3549</v>
      </c>
      <c r="B459" s="812" t="s">
        <v>1143</v>
      </c>
      <c r="C459" s="812"/>
      <c r="N459" s="807"/>
      <c r="O459" s="808"/>
      <c r="P459" s="807"/>
      <c r="Q459" s="808"/>
    </row>
    <row r="460" spans="1:17" s="658" customFormat="1" ht="14.25" customHeight="1">
      <c r="A460" t="str">
        <f t="shared" si="1"/>
        <v>3552</v>
      </c>
      <c r="B460" s="812" t="s">
        <v>1145</v>
      </c>
      <c r="C460" s="812"/>
      <c r="N460" s="807"/>
      <c r="O460" s="808"/>
      <c r="P460" s="807"/>
      <c r="Q460" s="808"/>
    </row>
    <row r="461" spans="1:17" s="658" customFormat="1" ht="14.25" customHeight="1">
      <c r="A461" t="str">
        <f t="shared" si="1"/>
        <v>3553</v>
      </c>
      <c r="B461" s="812" t="s">
        <v>1147</v>
      </c>
      <c r="C461" s="812"/>
      <c r="N461" s="807"/>
      <c r="O461" s="808"/>
      <c r="P461" s="807"/>
      <c r="Q461" s="808"/>
    </row>
    <row r="462" spans="1:17" s="658" customFormat="1" ht="14.25" customHeight="1">
      <c r="A462" t="str">
        <f t="shared" si="1"/>
        <v>3554</v>
      </c>
      <c r="B462" s="812" t="s">
        <v>1149</v>
      </c>
      <c r="C462" s="812"/>
      <c r="N462" s="807"/>
      <c r="O462" s="808"/>
      <c r="P462" s="807"/>
      <c r="Q462" s="808"/>
    </row>
    <row r="463" spans="1:17" s="658" customFormat="1" ht="14.25" customHeight="1">
      <c r="A463" t="str">
        <f t="shared" si="1"/>
        <v>3555</v>
      </c>
      <c r="B463" s="812" t="s">
        <v>1151</v>
      </c>
      <c r="C463" s="812"/>
      <c r="N463" s="807"/>
      <c r="O463" s="808"/>
      <c r="P463" s="807"/>
      <c r="Q463" s="808"/>
    </row>
    <row r="464" spans="1:17" s="658" customFormat="1" ht="14.25" customHeight="1">
      <c r="A464" t="str">
        <f t="shared" si="1"/>
        <v>3556</v>
      </c>
      <c r="B464" s="812" t="s">
        <v>1153</v>
      </c>
      <c r="C464" s="812"/>
      <c r="N464" s="807"/>
      <c r="O464" s="808"/>
      <c r="P464" s="807"/>
      <c r="Q464" s="808"/>
    </row>
    <row r="465" spans="1:17" s="658" customFormat="1" ht="14.25" customHeight="1">
      <c r="A465" t="str">
        <f t="shared" si="1"/>
        <v>3559</v>
      </c>
      <c r="B465" s="812" t="s">
        <v>1155</v>
      </c>
      <c r="C465" s="812"/>
      <c r="N465" s="807"/>
      <c r="O465" s="808"/>
      <c r="P465" s="807"/>
      <c r="Q465" s="808"/>
    </row>
    <row r="466" spans="1:17" s="658" customFormat="1" ht="14.25" customHeight="1">
      <c r="A466" t="str">
        <f t="shared" si="1"/>
        <v>3561</v>
      </c>
      <c r="B466" s="812" t="s">
        <v>1157</v>
      </c>
      <c r="C466" s="812"/>
      <c r="N466" s="807"/>
      <c r="O466" s="808"/>
      <c r="P466" s="807"/>
      <c r="Q466" s="808"/>
    </row>
    <row r="467" spans="1:17" s="658" customFormat="1" ht="14.25" customHeight="1">
      <c r="A467" t="str">
        <f t="shared" si="1"/>
        <v>3562</v>
      </c>
      <c r="B467" s="812" t="s">
        <v>1159</v>
      </c>
      <c r="C467" s="812"/>
      <c r="N467" s="807"/>
      <c r="O467" s="808"/>
      <c r="P467" s="807"/>
      <c r="Q467" s="808"/>
    </row>
    <row r="468" spans="1:17" s="658" customFormat="1" ht="14.25" customHeight="1">
      <c r="A468" t="str">
        <f t="shared" si="1"/>
        <v>3563</v>
      </c>
      <c r="B468" s="812" t="s">
        <v>1161</v>
      </c>
      <c r="C468" s="812"/>
      <c r="N468" s="807"/>
      <c r="O468" s="808"/>
      <c r="P468" s="807"/>
      <c r="Q468" s="808"/>
    </row>
    <row r="469" spans="1:17" s="658" customFormat="1" ht="14.25" customHeight="1">
      <c r="A469" t="str">
        <f t="shared" si="1"/>
        <v>3564</v>
      </c>
      <c r="B469" s="812" t="s">
        <v>1163</v>
      </c>
      <c r="C469" s="812"/>
      <c r="N469" s="807"/>
      <c r="O469" s="808"/>
      <c r="P469" s="807"/>
      <c r="Q469" s="808"/>
    </row>
    <row r="470" spans="1:17" s="658" customFormat="1" ht="14.25" customHeight="1">
      <c r="A470" t="str">
        <f t="shared" si="1"/>
        <v>3565</v>
      </c>
      <c r="B470" s="812" t="s">
        <v>1165</v>
      </c>
      <c r="C470" s="812"/>
      <c r="N470" s="807"/>
      <c r="O470" s="808"/>
      <c r="P470" s="807"/>
      <c r="Q470" s="808"/>
    </row>
    <row r="471" spans="1:17" s="658" customFormat="1" ht="14.25" customHeight="1">
      <c r="A471" t="str">
        <f t="shared" si="1"/>
        <v>3566</v>
      </c>
      <c r="B471" s="812" t="s">
        <v>1167</v>
      </c>
      <c r="C471" s="812"/>
      <c r="N471" s="807"/>
      <c r="O471" s="808"/>
      <c r="P471" s="807"/>
      <c r="Q471" s="808"/>
    </row>
    <row r="472" spans="1:17" s="658" customFormat="1" ht="14.25" customHeight="1">
      <c r="A472" t="str">
        <f t="shared" si="1"/>
        <v>3567</v>
      </c>
      <c r="B472" s="812" t="s">
        <v>1169</v>
      </c>
      <c r="C472" s="812"/>
      <c r="N472" s="807"/>
      <c r="O472" s="808"/>
      <c r="P472" s="807"/>
      <c r="Q472" s="808"/>
    </row>
    <row r="473" spans="1:17" s="658" customFormat="1" ht="14.25" customHeight="1">
      <c r="A473" t="str">
        <f t="shared" si="1"/>
        <v>3568</v>
      </c>
      <c r="B473" s="812" t="s">
        <v>1171</v>
      </c>
      <c r="C473" s="812"/>
      <c r="N473" s="807"/>
      <c r="O473" s="808"/>
      <c r="P473" s="807"/>
      <c r="Q473" s="808"/>
    </row>
    <row r="474" spans="1:17" s="658" customFormat="1" ht="14.25" customHeight="1">
      <c r="A474" t="str">
        <f t="shared" si="1"/>
        <v>3569</v>
      </c>
      <c r="B474" s="812" t="s">
        <v>1173</v>
      </c>
      <c r="C474" s="812"/>
      <c r="N474" s="807"/>
      <c r="O474" s="808"/>
      <c r="P474" s="807"/>
      <c r="Q474" s="808"/>
    </row>
    <row r="475" spans="1:17" s="658" customFormat="1" ht="14.25" customHeight="1">
      <c r="A475" t="str">
        <f t="shared" si="1"/>
        <v>3571</v>
      </c>
      <c r="B475" s="812" t="s">
        <v>1175</v>
      </c>
      <c r="C475" s="812"/>
      <c r="N475" s="807"/>
      <c r="O475" s="808"/>
      <c r="P475" s="807"/>
      <c r="Q475" s="808"/>
    </row>
    <row r="476" spans="1:17" s="658" customFormat="1" ht="14.25" customHeight="1">
      <c r="A476" t="str">
        <f t="shared" si="1"/>
        <v>3572</v>
      </c>
      <c r="B476" s="812" t="s">
        <v>1177</v>
      </c>
      <c r="C476" s="812"/>
      <c r="N476" s="807"/>
      <c r="O476" s="808"/>
      <c r="P476" s="807"/>
      <c r="Q476" s="808"/>
    </row>
    <row r="477" spans="1:17" s="658" customFormat="1" ht="14.25" customHeight="1">
      <c r="A477" t="str">
        <f t="shared" si="1"/>
        <v>3575</v>
      </c>
      <c r="B477" s="812" t="s">
        <v>1179</v>
      </c>
      <c r="C477" s="812"/>
      <c r="N477" s="807"/>
      <c r="O477" s="808"/>
      <c r="P477" s="807"/>
      <c r="Q477" s="808"/>
    </row>
    <row r="478" spans="1:17" s="658" customFormat="1" ht="14.25" customHeight="1">
      <c r="A478" t="str">
        <f t="shared" si="1"/>
        <v>3577</v>
      </c>
      <c r="B478" s="812" t="s">
        <v>1181</v>
      </c>
      <c r="C478" s="812"/>
      <c r="N478" s="807"/>
      <c r="O478" s="808"/>
      <c r="P478" s="807"/>
      <c r="Q478" s="808"/>
    </row>
    <row r="479" spans="1:17" s="658" customFormat="1" ht="14.25" customHeight="1">
      <c r="A479" t="str">
        <f t="shared" si="1"/>
        <v>3578</v>
      </c>
      <c r="B479" s="812" t="s">
        <v>1183</v>
      </c>
      <c r="C479" s="812"/>
      <c r="N479" s="807"/>
      <c r="O479" s="808"/>
      <c r="P479" s="807"/>
      <c r="Q479" s="808"/>
    </row>
    <row r="480" spans="1:17" s="658" customFormat="1" ht="14.25" customHeight="1">
      <c r="A480" t="str">
        <f t="shared" si="1"/>
        <v>3579</v>
      </c>
      <c r="B480" s="812" t="s">
        <v>1185</v>
      </c>
      <c r="C480" s="812"/>
      <c r="N480" s="807"/>
      <c r="O480" s="808"/>
      <c r="P480" s="807"/>
      <c r="Q480" s="808"/>
    </row>
    <row r="481" spans="1:17" s="658" customFormat="1" ht="14.25" customHeight="1">
      <c r="A481" t="str">
        <f t="shared" si="1"/>
        <v>3581</v>
      </c>
      <c r="B481" s="812" t="s">
        <v>1187</v>
      </c>
      <c r="C481" s="812"/>
      <c r="N481" s="807"/>
      <c r="O481" s="808"/>
      <c r="P481" s="807"/>
      <c r="Q481" s="808"/>
    </row>
    <row r="482" spans="1:17" s="658" customFormat="1" ht="14.25" customHeight="1">
      <c r="A482" t="str">
        <f t="shared" si="1"/>
        <v>3582</v>
      </c>
      <c r="B482" s="812" t="s">
        <v>1189</v>
      </c>
      <c r="C482" s="812"/>
      <c r="N482" s="807"/>
      <c r="O482" s="808"/>
      <c r="P482" s="807"/>
      <c r="Q482" s="808"/>
    </row>
    <row r="483" spans="1:17" s="658" customFormat="1" ht="14.25" customHeight="1">
      <c r="A483" t="str">
        <f t="shared" si="1"/>
        <v>3585</v>
      </c>
      <c r="B483" s="812" t="s">
        <v>1191</v>
      </c>
      <c r="C483" s="812"/>
      <c r="N483" s="807"/>
      <c r="O483" s="808"/>
      <c r="P483" s="807"/>
      <c r="Q483" s="808"/>
    </row>
    <row r="484" spans="1:17" s="658" customFormat="1" ht="14.25" customHeight="1">
      <c r="A484" t="str">
        <f t="shared" si="1"/>
        <v>3586</v>
      </c>
      <c r="B484" s="812" t="s">
        <v>1193</v>
      </c>
      <c r="C484" s="812"/>
      <c r="N484" s="807"/>
      <c r="O484" s="808"/>
      <c r="P484" s="807"/>
      <c r="Q484" s="808"/>
    </row>
    <row r="485" spans="1:17" s="658" customFormat="1" ht="14.25" customHeight="1">
      <c r="A485" t="str">
        <f t="shared" si="1"/>
        <v>3589</v>
      </c>
      <c r="B485" s="812" t="s">
        <v>1195</v>
      </c>
      <c r="C485" s="812"/>
      <c r="N485" s="807"/>
      <c r="O485" s="808"/>
      <c r="P485" s="807"/>
      <c r="Q485" s="808"/>
    </row>
    <row r="486" spans="1:17" s="658" customFormat="1" ht="14.25" customHeight="1">
      <c r="A486" t="str">
        <f t="shared" si="1"/>
        <v>3592</v>
      </c>
      <c r="B486" s="812" t="s">
        <v>1197</v>
      </c>
      <c r="C486" s="812"/>
      <c r="N486" s="807"/>
      <c r="O486" s="808"/>
      <c r="P486" s="807"/>
      <c r="Q486" s="808"/>
    </row>
    <row r="487" spans="1:17" s="658" customFormat="1" ht="14.25" customHeight="1">
      <c r="A487" t="str">
        <f t="shared" si="1"/>
        <v>3593</v>
      </c>
      <c r="B487" s="812" t="s">
        <v>1199</v>
      </c>
      <c r="C487" s="812"/>
      <c r="N487" s="807"/>
      <c r="O487" s="808"/>
      <c r="P487" s="807"/>
      <c r="Q487" s="808"/>
    </row>
    <row r="488" spans="1:17" s="658" customFormat="1" ht="14.25" customHeight="1">
      <c r="A488" t="str">
        <f t="shared" si="1"/>
        <v>3594</v>
      </c>
      <c r="B488" s="812" t="s">
        <v>1201</v>
      </c>
      <c r="C488" s="812"/>
      <c r="N488" s="807"/>
      <c r="O488" s="808"/>
      <c r="P488" s="807"/>
      <c r="Q488" s="808"/>
    </row>
    <row r="489" spans="1:17" s="658" customFormat="1" ht="14.25" customHeight="1">
      <c r="A489" t="str">
        <f t="shared" si="1"/>
        <v>3596</v>
      </c>
      <c r="B489" s="812" t="s">
        <v>1203</v>
      </c>
      <c r="C489" s="812"/>
      <c r="N489" s="807"/>
      <c r="O489" s="808"/>
      <c r="P489" s="807"/>
      <c r="Q489" s="808"/>
    </row>
    <row r="490" spans="1:17" s="658" customFormat="1" ht="14.25" customHeight="1">
      <c r="A490" t="str">
        <f t="shared" si="1"/>
        <v>3599</v>
      </c>
      <c r="B490" s="812" t="s">
        <v>1205</v>
      </c>
      <c r="C490" s="812"/>
      <c r="N490" s="807"/>
      <c r="O490" s="808"/>
      <c r="P490" s="807"/>
      <c r="Q490" s="808"/>
    </row>
    <row r="491" spans="1:17" s="658" customFormat="1" ht="14.25" customHeight="1">
      <c r="A491" t="str">
        <f t="shared" si="1"/>
        <v>3612</v>
      </c>
      <c r="B491" s="812" t="s">
        <v>1209</v>
      </c>
      <c r="C491" s="812"/>
      <c r="N491" s="807"/>
      <c r="O491" s="808"/>
      <c r="P491" s="807"/>
      <c r="Q491" s="808"/>
    </row>
    <row r="492" spans="1:17" s="658" customFormat="1" ht="14.25" customHeight="1">
      <c r="A492" t="str">
        <f t="shared" si="1"/>
        <v>3613</v>
      </c>
      <c r="B492" s="812" t="s">
        <v>1211</v>
      </c>
      <c r="C492" s="812"/>
      <c r="N492" s="807"/>
      <c r="O492" s="808"/>
      <c r="P492" s="807"/>
      <c r="Q492" s="808"/>
    </row>
    <row r="493" spans="1:17" s="658" customFormat="1" ht="14.25" customHeight="1">
      <c r="A493" t="str">
        <f t="shared" si="1"/>
        <v>3621</v>
      </c>
      <c r="B493" s="812" t="s">
        <v>1213</v>
      </c>
      <c r="C493" s="812"/>
      <c r="N493" s="807"/>
      <c r="O493" s="808"/>
      <c r="P493" s="807"/>
      <c r="Q493" s="808"/>
    </row>
    <row r="494" spans="1:17" s="658" customFormat="1" ht="14.25" customHeight="1">
      <c r="A494" t="str">
        <f t="shared" si="1"/>
        <v>3624</v>
      </c>
      <c r="B494" s="812" t="s">
        <v>1215</v>
      </c>
      <c r="C494" s="812"/>
      <c r="N494" s="807"/>
      <c r="O494" s="808"/>
      <c r="P494" s="807"/>
      <c r="Q494" s="808"/>
    </row>
    <row r="495" spans="1:17" s="658" customFormat="1" ht="14.25" customHeight="1">
      <c r="A495" t="str">
        <f t="shared" si="1"/>
        <v>3625</v>
      </c>
      <c r="B495" s="812" t="s">
        <v>1217</v>
      </c>
      <c r="C495" s="812"/>
      <c r="N495" s="807"/>
      <c r="O495" s="808"/>
      <c r="P495" s="807"/>
      <c r="Q495" s="808"/>
    </row>
    <row r="496" spans="1:17" s="658" customFormat="1" ht="14.25" customHeight="1">
      <c r="A496" t="str">
        <f t="shared" si="1"/>
        <v>3629</v>
      </c>
      <c r="B496" s="812" t="s">
        <v>1219</v>
      </c>
      <c r="C496" s="812"/>
      <c r="N496" s="807"/>
      <c r="O496" s="808"/>
      <c r="P496" s="807"/>
      <c r="Q496" s="808"/>
    </row>
    <row r="497" spans="1:17" s="658" customFormat="1" ht="14.25" customHeight="1">
      <c r="A497" t="str">
        <f t="shared" si="1"/>
        <v>3631</v>
      </c>
      <c r="B497" s="812" t="s">
        <v>1221</v>
      </c>
      <c r="C497" s="812"/>
      <c r="N497" s="807"/>
      <c r="O497" s="808"/>
      <c r="P497" s="807"/>
      <c r="Q497" s="808"/>
    </row>
    <row r="498" spans="1:17" s="658" customFormat="1" ht="14.25" customHeight="1">
      <c r="A498" t="str">
        <f t="shared" si="1"/>
        <v>3632</v>
      </c>
      <c r="B498" s="812" t="s">
        <v>1223</v>
      </c>
      <c r="C498" s="812"/>
      <c r="N498" s="807"/>
      <c r="O498" s="808"/>
      <c r="P498" s="807"/>
      <c r="Q498" s="808"/>
    </row>
    <row r="499" spans="1:17" s="658" customFormat="1" ht="14.25" customHeight="1">
      <c r="A499" t="str">
        <f t="shared" si="1"/>
        <v>3633</v>
      </c>
      <c r="B499" s="812" t="s">
        <v>1225</v>
      </c>
      <c r="C499" s="812"/>
      <c r="N499" s="807"/>
      <c r="O499" s="808"/>
      <c r="P499" s="807"/>
      <c r="Q499" s="808"/>
    </row>
    <row r="500" spans="1:17" s="658" customFormat="1" ht="14.25" customHeight="1">
      <c r="A500" t="str">
        <f t="shared" si="1"/>
        <v>3634</v>
      </c>
      <c r="B500" s="812" t="s">
        <v>1227</v>
      </c>
      <c r="C500" s="812"/>
      <c r="N500" s="807"/>
      <c r="O500" s="808"/>
      <c r="P500" s="807"/>
      <c r="Q500" s="808"/>
    </row>
    <row r="501" spans="1:17" s="658" customFormat="1" ht="14.25" customHeight="1">
      <c r="A501" t="str">
        <f t="shared" si="1"/>
        <v>3635</v>
      </c>
      <c r="B501" s="812" t="s">
        <v>1229</v>
      </c>
      <c r="C501" s="812"/>
      <c r="N501" s="807"/>
      <c r="O501" s="808"/>
      <c r="P501" s="807"/>
      <c r="Q501" s="808"/>
    </row>
    <row r="502" spans="1:17" s="658" customFormat="1" ht="14.25" customHeight="1">
      <c r="A502" t="str">
        <f t="shared" si="1"/>
        <v>3639</v>
      </c>
      <c r="B502" s="812" t="s">
        <v>1231</v>
      </c>
      <c r="C502" s="812"/>
      <c r="N502" s="807"/>
      <c r="O502" s="808"/>
      <c r="P502" s="807"/>
      <c r="Q502" s="808"/>
    </row>
    <row r="503" spans="1:17" s="658" customFormat="1" ht="14.25" customHeight="1">
      <c r="A503" t="str">
        <f t="shared" si="1"/>
        <v>3641</v>
      </c>
      <c r="B503" s="812" t="s">
        <v>1233</v>
      </c>
      <c r="C503" s="812"/>
      <c r="N503" s="807"/>
      <c r="O503" s="808"/>
      <c r="P503" s="807"/>
      <c r="Q503" s="808"/>
    </row>
    <row r="504" spans="1:17" s="658" customFormat="1" ht="14.25" customHeight="1">
      <c r="A504" t="str">
        <f t="shared" si="1"/>
        <v>3643</v>
      </c>
      <c r="B504" s="812" t="s">
        <v>1235</v>
      </c>
      <c r="C504" s="812"/>
      <c r="N504" s="807"/>
      <c r="O504" s="808"/>
      <c r="P504" s="807"/>
      <c r="Q504" s="808"/>
    </row>
    <row r="505" spans="1:17" s="658" customFormat="1" ht="14.25" customHeight="1">
      <c r="A505" t="str">
        <f t="shared" si="1"/>
        <v>3644</v>
      </c>
      <c r="B505" s="812" t="s">
        <v>1237</v>
      </c>
      <c r="C505" s="812"/>
      <c r="N505" s="807"/>
      <c r="O505" s="808"/>
      <c r="P505" s="807"/>
      <c r="Q505" s="808"/>
    </row>
    <row r="506" spans="1:17" s="658" customFormat="1" ht="14.25" customHeight="1">
      <c r="A506" t="str">
        <f t="shared" si="1"/>
        <v>3645</v>
      </c>
      <c r="B506" s="812" t="s">
        <v>1239</v>
      </c>
      <c r="C506" s="812"/>
      <c r="N506" s="807"/>
      <c r="O506" s="808"/>
      <c r="P506" s="807"/>
      <c r="Q506" s="808"/>
    </row>
    <row r="507" spans="1:17" s="658" customFormat="1" ht="14.25" customHeight="1">
      <c r="A507" t="str">
        <f t="shared" si="1"/>
        <v>3646</v>
      </c>
      <c r="B507" s="812" t="s">
        <v>1241</v>
      </c>
      <c r="C507" s="812"/>
      <c r="N507" s="807"/>
      <c r="O507" s="808"/>
      <c r="P507" s="807"/>
      <c r="Q507" s="808"/>
    </row>
    <row r="508" spans="1:17" s="658" customFormat="1" ht="14.25" customHeight="1">
      <c r="A508" t="str">
        <f t="shared" si="1"/>
        <v>3647</v>
      </c>
      <c r="B508" s="812" t="s">
        <v>1243</v>
      </c>
      <c r="C508" s="812"/>
      <c r="N508" s="807"/>
      <c r="O508" s="808"/>
      <c r="P508" s="807"/>
      <c r="Q508" s="808"/>
    </row>
    <row r="509" spans="1:17" s="658" customFormat="1" ht="14.25" customHeight="1">
      <c r="A509" t="str">
        <f t="shared" si="1"/>
        <v>3648</v>
      </c>
      <c r="B509" s="812" t="s">
        <v>1245</v>
      </c>
      <c r="C509" s="812"/>
      <c r="N509" s="807"/>
      <c r="O509" s="808"/>
      <c r="P509" s="807"/>
      <c r="Q509" s="808"/>
    </row>
    <row r="510" spans="1:17" s="658" customFormat="1" ht="14.25" customHeight="1">
      <c r="A510" t="str">
        <f t="shared" si="1"/>
        <v>3651</v>
      </c>
      <c r="B510" s="812" t="s">
        <v>1247</v>
      </c>
      <c r="C510" s="812"/>
      <c r="N510" s="807"/>
      <c r="O510" s="808"/>
      <c r="P510" s="807"/>
      <c r="Q510" s="808"/>
    </row>
    <row r="511" spans="1:17" s="658" customFormat="1" ht="14.25" customHeight="1">
      <c r="A511" t="str">
        <f t="shared" si="1"/>
        <v>3652</v>
      </c>
      <c r="B511" s="812" t="s">
        <v>1249</v>
      </c>
      <c r="C511" s="812"/>
      <c r="N511" s="807"/>
      <c r="O511" s="808"/>
      <c r="P511" s="807"/>
      <c r="Q511" s="808"/>
    </row>
    <row r="512" spans="1:17" s="658" customFormat="1" ht="14.25" customHeight="1">
      <c r="A512" t="str">
        <f t="shared" si="1"/>
        <v>3661</v>
      </c>
      <c r="B512" s="812" t="s">
        <v>1251</v>
      </c>
      <c r="C512" s="812"/>
      <c r="N512" s="807"/>
      <c r="O512" s="808"/>
      <c r="P512" s="807"/>
      <c r="Q512" s="808"/>
    </row>
    <row r="513" spans="1:17" s="658" customFormat="1" ht="14.25" customHeight="1">
      <c r="A513" t="str">
        <f t="shared" si="1"/>
        <v>3663</v>
      </c>
      <c r="B513" s="812" t="s">
        <v>1253</v>
      </c>
      <c r="C513" s="812"/>
      <c r="N513" s="807"/>
      <c r="O513" s="808"/>
      <c r="P513" s="807"/>
      <c r="Q513" s="808"/>
    </row>
    <row r="514" spans="1:17" s="658" customFormat="1" ht="14.25" customHeight="1">
      <c r="A514" t="str">
        <f t="shared" si="1"/>
        <v>3669</v>
      </c>
      <c r="B514" s="812" t="s">
        <v>1255</v>
      </c>
      <c r="C514" s="812"/>
      <c r="N514" s="807"/>
      <c r="O514" s="808"/>
      <c r="P514" s="807"/>
      <c r="Q514" s="808"/>
    </row>
    <row r="515" spans="1:17" s="658" customFormat="1" ht="14.25" customHeight="1">
      <c r="A515" t="str">
        <f t="shared" si="1"/>
        <v>3671</v>
      </c>
      <c r="B515" s="812" t="s">
        <v>1257</v>
      </c>
      <c r="C515" s="812"/>
      <c r="N515" s="807"/>
      <c r="O515" s="808"/>
      <c r="P515" s="807"/>
      <c r="Q515" s="808"/>
    </row>
    <row r="516" spans="1:17" s="658" customFormat="1" ht="14.25" customHeight="1">
      <c r="A516" t="str">
        <f t="shared" si="1"/>
        <v>3672</v>
      </c>
      <c r="B516" s="812" t="s">
        <v>1259</v>
      </c>
      <c r="C516" s="812"/>
      <c r="N516" s="807"/>
      <c r="O516" s="808"/>
      <c r="P516" s="807"/>
      <c r="Q516" s="808"/>
    </row>
    <row r="517" spans="1:17" s="658" customFormat="1" ht="14.25" customHeight="1">
      <c r="A517" t="str">
        <f t="shared" ref="A517:A771" si="2">LEFT(B517,4)</f>
        <v>3674</v>
      </c>
      <c r="B517" s="812" t="s">
        <v>1261</v>
      </c>
      <c r="C517" s="812"/>
      <c r="N517" s="807"/>
      <c r="O517" s="808"/>
      <c r="P517" s="807"/>
      <c r="Q517" s="808"/>
    </row>
    <row r="518" spans="1:17" s="658" customFormat="1" ht="14.25" customHeight="1">
      <c r="A518" t="str">
        <f t="shared" si="2"/>
        <v>3675</v>
      </c>
      <c r="B518" s="812" t="s">
        <v>1263</v>
      </c>
      <c r="C518" s="812"/>
      <c r="N518" s="807"/>
      <c r="O518" s="808"/>
      <c r="P518" s="807"/>
      <c r="Q518" s="808"/>
    </row>
    <row r="519" spans="1:17" s="658" customFormat="1" ht="14.25" customHeight="1">
      <c r="A519" t="str">
        <f t="shared" si="2"/>
        <v>3676</v>
      </c>
      <c r="B519" s="812" t="s">
        <v>1265</v>
      </c>
      <c r="C519" s="812"/>
      <c r="N519" s="807"/>
      <c r="O519" s="808"/>
      <c r="P519" s="807"/>
      <c r="Q519" s="808"/>
    </row>
    <row r="520" spans="1:17" s="658" customFormat="1" ht="14.25" customHeight="1">
      <c r="A520" t="str">
        <f t="shared" si="2"/>
        <v>3677</v>
      </c>
      <c r="B520" s="812" t="s">
        <v>1267</v>
      </c>
      <c r="C520" s="812"/>
      <c r="N520" s="807"/>
      <c r="O520" s="808"/>
      <c r="P520" s="807"/>
      <c r="Q520" s="808"/>
    </row>
    <row r="521" spans="1:17" s="658" customFormat="1" ht="14.25" customHeight="1">
      <c r="A521" t="str">
        <f t="shared" si="2"/>
        <v>3678</v>
      </c>
      <c r="B521" s="812" t="s">
        <v>1269</v>
      </c>
      <c r="C521" s="812"/>
      <c r="N521" s="807"/>
      <c r="O521" s="808"/>
      <c r="P521" s="807"/>
      <c r="Q521" s="808"/>
    </row>
    <row r="522" spans="1:17" s="658" customFormat="1" ht="14.25" customHeight="1">
      <c r="A522" t="str">
        <f t="shared" si="2"/>
        <v>3679</v>
      </c>
      <c r="B522" s="812" t="s">
        <v>1271</v>
      </c>
      <c r="C522" s="812"/>
      <c r="N522" s="807"/>
      <c r="O522" s="808"/>
      <c r="P522" s="807"/>
      <c r="Q522" s="808"/>
    </row>
    <row r="523" spans="1:17" s="658" customFormat="1" ht="14.25" customHeight="1">
      <c r="A523" t="str">
        <f t="shared" si="2"/>
        <v>3691</v>
      </c>
      <c r="B523" s="812" t="s">
        <v>1273</v>
      </c>
      <c r="C523" s="812"/>
      <c r="N523" s="807"/>
      <c r="O523" s="808"/>
      <c r="P523" s="807"/>
      <c r="Q523" s="808"/>
    </row>
    <row r="524" spans="1:17" s="658" customFormat="1" ht="14.25" customHeight="1">
      <c r="A524" t="str">
        <f t="shared" si="2"/>
        <v>3692</v>
      </c>
      <c r="B524" s="812" t="s">
        <v>1275</v>
      </c>
      <c r="C524" s="812"/>
      <c r="N524" s="807"/>
      <c r="O524" s="808"/>
      <c r="P524" s="807"/>
      <c r="Q524" s="808"/>
    </row>
    <row r="525" spans="1:17" s="658" customFormat="1" ht="14.25" customHeight="1">
      <c r="A525" t="str">
        <f t="shared" si="2"/>
        <v>3694</v>
      </c>
      <c r="B525" s="812" t="s">
        <v>1277</v>
      </c>
      <c r="C525" s="812"/>
      <c r="N525" s="807"/>
      <c r="O525" s="808"/>
      <c r="P525" s="807"/>
      <c r="Q525" s="808"/>
    </row>
    <row r="526" spans="1:17" s="658" customFormat="1" ht="14.25" customHeight="1">
      <c r="A526" t="str">
        <f t="shared" si="2"/>
        <v>3695</v>
      </c>
      <c r="B526" s="812" t="s">
        <v>1279</v>
      </c>
      <c r="C526" s="812"/>
      <c r="N526" s="807"/>
      <c r="O526" s="808"/>
      <c r="P526" s="807"/>
      <c r="Q526" s="808"/>
    </row>
    <row r="527" spans="1:17" s="658" customFormat="1" ht="14.25" customHeight="1">
      <c r="A527" t="str">
        <f t="shared" si="2"/>
        <v>3699</v>
      </c>
      <c r="B527" s="812" t="s">
        <v>1281</v>
      </c>
      <c r="C527" s="812"/>
      <c r="N527" s="807"/>
      <c r="O527" s="808"/>
      <c r="P527" s="807"/>
      <c r="Q527" s="808"/>
    </row>
    <row r="528" spans="1:17" s="658" customFormat="1" ht="14.25" customHeight="1">
      <c r="A528" t="str">
        <f t="shared" si="2"/>
        <v>3711</v>
      </c>
      <c r="B528" s="812" t="s">
        <v>1285</v>
      </c>
      <c r="C528" s="812"/>
      <c r="N528" s="807"/>
      <c r="O528" s="808"/>
      <c r="P528" s="807"/>
      <c r="Q528" s="808"/>
    </row>
    <row r="529" spans="1:17" s="658" customFormat="1" ht="14.25" customHeight="1">
      <c r="A529" t="str">
        <f t="shared" si="2"/>
        <v>3713</v>
      </c>
      <c r="B529" s="812" t="s">
        <v>1287</v>
      </c>
      <c r="C529" s="812"/>
      <c r="N529" s="807"/>
      <c r="O529" s="808"/>
      <c r="P529" s="807"/>
      <c r="Q529" s="808"/>
    </row>
    <row r="530" spans="1:17" s="658" customFormat="1" ht="14.25" customHeight="1">
      <c r="A530" t="str">
        <f t="shared" si="2"/>
        <v>3714</v>
      </c>
      <c r="B530" s="812" t="s">
        <v>1289</v>
      </c>
      <c r="C530" s="812"/>
      <c r="N530" s="807"/>
      <c r="O530" s="808"/>
      <c r="P530" s="807"/>
      <c r="Q530" s="808"/>
    </row>
    <row r="531" spans="1:17" s="658" customFormat="1" ht="14.25" customHeight="1">
      <c r="A531" t="str">
        <f t="shared" si="2"/>
        <v>3715</v>
      </c>
      <c r="B531" s="812" t="s">
        <v>1291</v>
      </c>
      <c r="C531" s="812"/>
      <c r="N531" s="807"/>
      <c r="O531" s="808"/>
      <c r="P531" s="807"/>
      <c r="Q531" s="808"/>
    </row>
    <row r="532" spans="1:17" s="658" customFormat="1" ht="14.25" customHeight="1">
      <c r="A532" t="str">
        <f t="shared" si="2"/>
        <v>3716</v>
      </c>
      <c r="B532" s="812" t="s">
        <v>1293</v>
      </c>
      <c r="C532" s="812"/>
      <c r="N532" s="807"/>
      <c r="O532" s="808"/>
      <c r="P532" s="807"/>
      <c r="Q532" s="808"/>
    </row>
    <row r="533" spans="1:17" s="658" customFormat="1" ht="14.25" customHeight="1">
      <c r="A533" t="str">
        <f t="shared" si="2"/>
        <v>3721</v>
      </c>
      <c r="B533" s="812" t="s">
        <v>1295</v>
      </c>
      <c r="C533" s="812"/>
      <c r="N533" s="807"/>
      <c r="O533" s="808"/>
      <c r="P533" s="807"/>
      <c r="Q533" s="808"/>
    </row>
    <row r="534" spans="1:17" s="658" customFormat="1" ht="14.25" customHeight="1">
      <c r="A534" t="str">
        <f t="shared" si="2"/>
        <v>3724</v>
      </c>
      <c r="B534" s="812" t="s">
        <v>1297</v>
      </c>
      <c r="C534" s="812"/>
      <c r="N534" s="807"/>
      <c r="O534" s="808"/>
      <c r="P534" s="807"/>
      <c r="Q534" s="808"/>
    </row>
    <row r="535" spans="1:17" s="658" customFormat="1" ht="14.25" customHeight="1">
      <c r="A535" t="str">
        <f t="shared" si="2"/>
        <v>3728</v>
      </c>
      <c r="B535" s="812" t="s">
        <v>1299</v>
      </c>
      <c r="C535" s="812"/>
      <c r="N535" s="807"/>
      <c r="O535" s="808"/>
      <c r="P535" s="807"/>
      <c r="Q535" s="808"/>
    </row>
    <row r="536" spans="1:17" s="658" customFormat="1" ht="14.25" customHeight="1">
      <c r="A536" t="str">
        <f t="shared" si="2"/>
        <v>3731</v>
      </c>
      <c r="B536" s="812" t="s">
        <v>1301</v>
      </c>
      <c r="C536" s="812"/>
      <c r="N536" s="807"/>
      <c r="O536" s="808"/>
      <c r="P536" s="807"/>
      <c r="Q536" s="808"/>
    </row>
    <row r="537" spans="1:17" s="658" customFormat="1" ht="14.25" customHeight="1">
      <c r="A537" t="str">
        <f t="shared" si="2"/>
        <v>3732</v>
      </c>
      <c r="B537" s="812" t="s">
        <v>1303</v>
      </c>
      <c r="C537" s="812"/>
      <c r="N537" s="807"/>
      <c r="O537" s="808"/>
      <c r="P537" s="807"/>
      <c r="Q537" s="808"/>
    </row>
    <row r="538" spans="1:17" s="658" customFormat="1" ht="14.25" customHeight="1">
      <c r="A538" t="str">
        <f t="shared" si="2"/>
        <v>3743</v>
      </c>
      <c r="B538" s="812" t="s">
        <v>1305</v>
      </c>
      <c r="C538" s="812"/>
      <c r="N538" s="807"/>
      <c r="O538" s="808"/>
      <c r="P538" s="807"/>
      <c r="Q538" s="808"/>
    </row>
    <row r="539" spans="1:17" s="658" customFormat="1" ht="14.25" customHeight="1">
      <c r="A539" t="str">
        <f t="shared" si="2"/>
        <v>3751</v>
      </c>
      <c r="B539" s="812" t="s">
        <v>1307</v>
      </c>
      <c r="C539" s="812"/>
      <c r="N539" s="807"/>
      <c r="O539" s="808"/>
      <c r="P539" s="807"/>
      <c r="Q539" s="808"/>
    </row>
    <row r="540" spans="1:17" s="658" customFormat="1" ht="14.25" customHeight="1">
      <c r="A540" t="str">
        <f t="shared" si="2"/>
        <v>3761</v>
      </c>
      <c r="B540" s="812" t="s">
        <v>1309</v>
      </c>
      <c r="C540" s="812"/>
      <c r="N540" s="807"/>
      <c r="O540" s="808"/>
      <c r="P540" s="807"/>
      <c r="Q540" s="808"/>
    </row>
    <row r="541" spans="1:17" s="658" customFormat="1" ht="14.25" customHeight="1">
      <c r="A541" t="str">
        <f t="shared" si="2"/>
        <v>3764</v>
      </c>
      <c r="B541" s="812" t="s">
        <v>1311</v>
      </c>
      <c r="C541" s="812"/>
      <c r="N541" s="807"/>
      <c r="O541" s="808"/>
      <c r="P541" s="807"/>
      <c r="Q541" s="808"/>
    </row>
    <row r="542" spans="1:17" s="658" customFormat="1" ht="14.25" customHeight="1">
      <c r="A542" t="str">
        <f t="shared" si="2"/>
        <v>3769</v>
      </c>
      <c r="B542" s="812" t="s">
        <v>1313</v>
      </c>
      <c r="C542" s="812"/>
      <c r="N542" s="807"/>
      <c r="O542" s="808"/>
      <c r="P542" s="807"/>
      <c r="Q542" s="808"/>
    </row>
    <row r="543" spans="1:17" s="658" customFormat="1" ht="14.25" customHeight="1">
      <c r="A543" t="str">
        <f t="shared" si="2"/>
        <v>3792</v>
      </c>
      <c r="B543" s="812" t="s">
        <v>1315</v>
      </c>
      <c r="C543" s="812"/>
      <c r="N543" s="807"/>
      <c r="O543" s="808"/>
      <c r="P543" s="807"/>
      <c r="Q543" s="808"/>
    </row>
    <row r="544" spans="1:17" s="658" customFormat="1" ht="14.25" customHeight="1">
      <c r="A544" t="str">
        <f t="shared" si="2"/>
        <v>3795</v>
      </c>
      <c r="B544" s="812" t="s">
        <v>1317</v>
      </c>
      <c r="C544" s="812"/>
      <c r="N544" s="807"/>
      <c r="O544" s="808"/>
      <c r="P544" s="807"/>
      <c r="Q544" s="808"/>
    </row>
    <row r="545" spans="1:17" s="658" customFormat="1" ht="14.25" customHeight="1">
      <c r="A545" t="str">
        <f t="shared" si="2"/>
        <v>3799</v>
      </c>
      <c r="B545" s="812" t="s">
        <v>1319</v>
      </c>
      <c r="C545" s="812"/>
      <c r="N545" s="807"/>
      <c r="O545" s="808"/>
      <c r="P545" s="807"/>
      <c r="Q545" s="808"/>
    </row>
    <row r="546" spans="1:17" s="658" customFormat="1" ht="14.25" customHeight="1">
      <c r="A546" t="str">
        <f t="shared" si="2"/>
        <v>3812</v>
      </c>
      <c r="B546" s="812" t="s">
        <v>1323</v>
      </c>
      <c r="C546" s="812"/>
      <c r="N546" s="807"/>
      <c r="O546" s="808"/>
      <c r="P546" s="807"/>
      <c r="Q546" s="808"/>
    </row>
    <row r="547" spans="1:17" s="658" customFormat="1" ht="14.25" customHeight="1">
      <c r="A547" t="str">
        <f t="shared" si="2"/>
        <v>3821</v>
      </c>
      <c r="B547" s="812" t="s">
        <v>1325</v>
      </c>
      <c r="C547" s="812"/>
      <c r="N547" s="807"/>
      <c r="O547" s="808"/>
      <c r="P547" s="807"/>
      <c r="Q547" s="808"/>
    </row>
    <row r="548" spans="1:17" s="658" customFormat="1" ht="14.25" customHeight="1">
      <c r="A548" t="str">
        <f t="shared" si="2"/>
        <v>3822</v>
      </c>
      <c r="B548" s="812" t="s">
        <v>1327</v>
      </c>
      <c r="C548" s="812"/>
      <c r="N548" s="807"/>
      <c r="O548" s="808"/>
      <c r="P548" s="807"/>
      <c r="Q548" s="808"/>
    </row>
    <row r="549" spans="1:17" s="658" customFormat="1" ht="14.25" customHeight="1">
      <c r="A549" t="str">
        <f t="shared" si="2"/>
        <v>3823</v>
      </c>
      <c r="B549" s="812" t="s">
        <v>1329</v>
      </c>
      <c r="C549" s="812"/>
      <c r="N549" s="807"/>
      <c r="O549" s="808"/>
      <c r="P549" s="807"/>
      <c r="Q549" s="808"/>
    </row>
    <row r="550" spans="1:17" s="658" customFormat="1" ht="14.25" customHeight="1">
      <c r="A550" t="str">
        <f t="shared" si="2"/>
        <v>3824</v>
      </c>
      <c r="B550" s="812" t="s">
        <v>1331</v>
      </c>
      <c r="C550" s="812"/>
      <c r="N550" s="807"/>
      <c r="O550" s="808"/>
      <c r="P550" s="807"/>
      <c r="Q550" s="808"/>
    </row>
    <row r="551" spans="1:17" s="658" customFormat="1" ht="14.25" customHeight="1">
      <c r="A551" t="str">
        <f t="shared" si="2"/>
        <v>3825</v>
      </c>
      <c r="B551" s="812" t="s">
        <v>1333</v>
      </c>
      <c r="C551" s="812"/>
      <c r="N551" s="807"/>
      <c r="O551" s="808"/>
      <c r="P551" s="807"/>
      <c r="Q551" s="808"/>
    </row>
    <row r="552" spans="1:17" s="658" customFormat="1" ht="14.25" customHeight="1">
      <c r="A552" t="str">
        <f t="shared" si="2"/>
        <v>3826</v>
      </c>
      <c r="B552" s="812" t="s">
        <v>1335</v>
      </c>
      <c r="C552" s="812"/>
      <c r="N552" s="807"/>
      <c r="O552" s="808"/>
      <c r="P552" s="807"/>
      <c r="Q552" s="808"/>
    </row>
    <row r="553" spans="1:17" s="658" customFormat="1" ht="14.25" customHeight="1">
      <c r="A553" t="str">
        <f t="shared" si="2"/>
        <v>3827</v>
      </c>
      <c r="B553" s="812" t="s">
        <v>1337</v>
      </c>
      <c r="C553" s="812"/>
      <c r="N553" s="807"/>
      <c r="O553" s="808"/>
      <c r="P553" s="807"/>
      <c r="Q553" s="808"/>
    </row>
    <row r="554" spans="1:17" s="658" customFormat="1" ht="14.25" customHeight="1">
      <c r="A554" t="str">
        <f t="shared" si="2"/>
        <v>3829</v>
      </c>
      <c r="B554" s="812" t="s">
        <v>1339</v>
      </c>
      <c r="C554" s="812"/>
      <c r="N554" s="807"/>
      <c r="O554" s="808"/>
      <c r="P554" s="807"/>
      <c r="Q554" s="808"/>
    </row>
    <row r="555" spans="1:17" s="658" customFormat="1" ht="14.25" customHeight="1">
      <c r="A555" t="str">
        <f t="shared" si="2"/>
        <v>3841</v>
      </c>
      <c r="B555" s="812" t="s">
        <v>1341</v>
      </c>
      <c r="C555" s="812"/>
      <c r="N555" s="807"/>
      <c r="O555" s="808"/>
      <c r="P555" s="807"/>
      <c r="Q555" s="808"/>
    </row>
    <row r="556" spans="1:17" s="658" customFormat="1" ht="14.25" customHeight="1">
      <c r="A556" t="str">
        <f t="shared" si="2"/>
        <v>3842</v>
      </c>
      <c r="B556" s="812" t="s">
        <v>1343</v>
      </c>
      <c r="C556" s="812"/>
      <c r="N556" s="807"/>
      <c r="O556" s="808"/>
      <c r="P556" s="807"/>
      <c r="Q556" s="808"/>
    </row>
    <row r="557" spans="1:17" s="658" customFormat="1" ht="14.25" customHeight="1">
      <c r="A557" t="str">
        <f t="shared" si="2"/>
        <v>3843</v>
      </c>
      <c r="B557" s="812" t="s">
        <v>1345</v>
      </c>
      <c r="C557" s="812"/>
      <c r="N557" s="807"/>
      <c r="O557" s="808"/>
      <c r="P557" s="807"/>
      <c r="Q557" s="808"/>
    </row>
    <row r="558" spans="1:17" s="658" customFormat="1" ht="14.25" customHeight="1">
      <c r="A558" t="str">
        <f t="shared" si="2"/>
        <v>3844</v>
      </c>
      <c r="B558" s="812" t="s">
        <v>1347</v>
      </c>
      <c r="C558" s="812"/>
      <c r="N558" s="807"/>
      <c r="O558" s="808"/>
      <c r="P558" s="807"/>
      <c r="Q558" s="808"/>
    </row>
    <row r="559" spans="1:17" s="658" customFormat="1" ht="14.25" customHeight="1">
      <c r="A559" t="str">
        <f t="shared" si="2"/>
        <v>3845</v>
      </c>
      <c r="B559" s="812" t="s">
        <v>1349</v>
      </c>
      <c r="C559" s="812"/>
      <c r="N559" s="807"/>
      <c r="O559" s="808"/>
      <c r="P559" s="807"/>
      <c r="Q559" s="808"/>
    </row>
    <row r="560" spans="1:17" s="658" customFormat="1" ht="14.25" customHeight="1">
      <c r="A560" t="str">
        <f t="shared" si="2"/>
        <v>3851</v>
      </c>
      <c r="B560" s="812" t="s">
        <v>1351</v>
      </c>
      <c r="C560" s="812"/>
      <c r="N560" s="807"/>
      <c r="O560" s="808"/>
      <c r="P560" s="807"/>
      <c r="Q560" s="808"/>
    </row>
    <row r="561" spans="1:17" s="658" customFormat="1" ht="14.25" customHeight="1">
      <c r="A561" t="str">
        <f t="shared" si="2"/>
        <v>3861</v>
      </c>
      <c r="B561" s="812" t="s">
        <v>1353</v>
      </c>
      <c r="C561" s="812"/>
      <c r="N561" s="807"/>
      <c r="O561" s="808"/>
      <c r="P561" s="807"/>
      <c r="Q561" s="808"/>
    </row>
    <row r="562" spans="1:17" s="658" customFormat="1" ht="14.25" customHeight="1">
      <c r="A562" t="str">
        <f t="shared" si="2"/>
        <v>3873</v>
      </c>
      <c r="B562" s="812" t="s">
        <v>1355</v>
      </c>
      <c r="C562" s="812"/>
      <c r="N562" s="807"/>
      <c r="O562" s="808"/>
      <c r="P562" s="807"/>
      <c r="Q562" s="808"/>
    </row>
    <row r="563" spans="1:17" s="658" customFormat="1" ht="14.25" customHeight="1">
      <c r="A563" t="str">
        <f t="shared" si="2"/>
        <v>3911</v>
      </c>
      <c r="B563" s="812" t="s">
        <v>1359</v>
      </c>
      <c r="C563" s="812"/>
      <c r="N563" s="807"/>
      <c r="O563" s="808"/>
      <c r="P563" s="807"/>
      <c r="Q563" s="808"/>
    </row>
    <row r="564" spans="1:17" s="658" customFormat="1" ht="14.25" customHeight="1">
      <c r="A564" t="str">
        <f t="shared" si="2"/>
        <v>3914</v>
      </c>
      <c r="B564" s="812" t="s">
        <v>1361</v>
      </c>
      <c r="C564" s="812"/>
      <c r="N564" s="807"/>
      <c r="O564" s="808"/>
      <c r="P564" s="807"/>
      <c r="Q564" s="808"/>
    </row>
    <row r="565" spans="1:17" s="658" customFormat="1" ht="14.25" customHeight="1">
      <c r="A565" t="str">
        <f t="shared" si="2"/>
        <v>3915</v>
      </c>
      <c r="B565" s="812" t="s">
        <v>1363</v>
      </c>
      <c r="C565" s="812"/>
      <c r="N565" s="807"/>
      <c r="O565" s="808"/>
      <c r="P565" s="807"/>
      <c r="Q565" s="808"/>
    </row>
    <row r="566" spans="1:17" s="658" customFormat="1" ht="14.25" customHeight="1">
      <c r="A566" t="str">
        <f t="shared" si="2"/>
        <v>3931</v>
      </c>
      <c r="B566" s="812" t="s">
        <v>1365</v>
      </c>
      <c r="C566" s="812"/>
      <c r="N566" s="807"/>
      <c r="O566" s="808"/>
      <c r="P566" s="807"/>
      <c r="Q566" s="808"/>
    </row>
    <row r="567" spans="1:17" s="658" customFormat="1" ht="14.25" customHeight="1">
      <c r="A567" t="str">
        <f t="shared" si="2"/>
        <v>3942</v>
      </c>
      <c r="B567" s="812" t="s">
        <v>1367</v>
      </c>
      <c r="C567" s="812"/>
      <c r="N567" s="807"/>
      <c r="O567" s="808"/>
      <c r="P567" s="807"/>
      <c r="Q567" s="808"/>
    </row>
    <row r="568" spans="1:17" s="658" customFormat="1" ht="14.25" customHeight="1">
      <c r="A568" t="str">
        <f t="shared" si="2"/>
        <v>3944</v>
      </c>
      <c r="B568" s="812" t="s">
        <v>1369</v>
      </c>
      <c r="C568" s="812"/>
      <c r="N568" s="807"/>
      <c r="O568" s="808"/>
      <c r="P568" s="807"/>
      <c r="Q568" s="808"/>
    </row>
    <row r="569" spans="1:17" s="658" customFormat="1" ht="14.25" customHeight="1">
      <c r="A569" t="str">
        <f t="shared" si="2"/>
        <v>3949</v>
      </c>
      <c r="B569" s="812" t="s">
        <v>1371</v>
      </c>
      <c r="C569" s="812"/>
      <c r="N569" s="807"/>
      <c r="O569" s="808"/>
      <c r="P569" s="807"/>
      <c r="Q569" s="808"/>
    </row>
    <row r="570" spans="1:17" s="658" customFormat="1" ht="14.25" customHeight="1">
      <c r="A570" t="str">
        <f t="shared" si="2"/>
        <v>3951</v>
      </c>
      <c r="B570" s="812" t="s">
        <v>1373</v>
      </c>
      <c r="C570" s="812"/>
      <c r="N570" s="807"/>
      <c r="O570" s="808"/>
      <c r="P570" s="807"/>
      <c r="Q570" s="808"/>
    </row>
    <row r="571" spans="1:17" s="658" customFormat="1" ht="14.25" customHeight="1">
      <c r="A571" t="str">
        <f t="shared" si="2"/>
        <v>3952</v>
      </c>
      <c r="B571" s="812" t="s">
        <v>1375</v>
      </c>
      <c r="C571" s="812"/>
      <c r="N571" s="807"/>
      <c r="O571" s="808"/>
      <c r="P571" s="807"/>
      <c r="Q571" s="808"/>
    </row>
    <row r="572" spans="1:17" s="658" customFormat="1" ht="14.25" customHeight="1">
      <c r="A572" t="str">
        <f t="shared" si="2"/>
        <v>3953</v>
      </c>
      <c r="B572" s="812" t="s">
        <v>1377</v>
      </c>
      <c r="C572" s="812"/>
      <c r="N572" s="807"/>
      <c r="O572" s="808"/>
      <c r="P572" s="807"/>
      <c r="Q572" s="808"/>
    </row>
    <row r="573" spans="1:17" s="658" customFormat="1" ht="14.25" customHeight="1">
      <c r="A573" t="str">
        <f t="shared" si="2"/>
        <v>3955</v>
      </c>
      <c r="B573" s="812" t="s">
        <v>1379</v>
      </c>
      <c r="C573" s="812"/>
      <c r="N573" s="807"/>
      <c r="O573" s="808"/>
      <c r="P573" s="807"/>
      <c r="Q573" s="808"/>
    </row>
    <row r="574" spans="1:17" s="658" customFormat="1" ht="14.25" customHeight="1">
      <c r="A574" t="str">
        <f t="shared" si="2"/>
        <v>3961</v>
      </c>
      <c r="B574" s="812" t="s">
        <v>1381</v>
      </c>
      <c r="C574" s="812"/>
      <c r="N574" s="807"/>
      <c r="O574" s="808"/>
      <c r="P574" s="807"/>
      <c r="Q574" s="808"/>
    </row>
    <row r="575" spans="1:17" s="658" customFormat="1" ht="14.25" customHeight="1">
      <c r="A575" t="str">
        <f t="shared" si="2"/>
        <v>3965</v>
      </c>
      <c r="B575" s="812" t="s">
        <v>1383</v>
      </c>
      <c r="C575" s="812"/>
      <c r="N575" s="807"/>
      <c r="O575" s="808"/>
      <c r="P575" s="807"/>
      <c r="Q575" s="808"/>
    </row>
    <row r="576" spans="1:17" s="658" customFormat="1" ht="14.25" customHeight="1">
      <c r="A576" t="str">
        <f t="shared" si="2"/>
        <v>3991</v>
      </c>
      <c r="B576" s="812" t="s">
        <v>1385</v>
      </c>
      <c r="C576" s="812"/>
      <c r="N576" s="807"/>
      <c r="O576" s="808"/>
      <c r="P576" s="807"/>
      <c r="Q576" s="808"/>
    </row>
    <row r="577" spans="1:23" s="658" customFormat="1" ht="14.25" customHeight="1">
      <c r="A577" t="str">
        <f t="shared" si="2"/>
        <v>3993</v>
      </c>
      <c r="B577" s="812" t="s">
        <v>1387</v>
      </c>
      <c r="C577" s="812"/>
      <c r="N577" s="807"/>
      <c r="O577" s="808"/>
      <c r="P577" s="807"/>
      <c r="Q577" s="808"/>
    </row>
    <row r="578" spans="1:23" s="658" customFormat="1" ht="14.25" customHeight="1">
      <c r="A578" t="str">
        <f t="shared" si="2"/>
        <v>3995</v>
      </c>
      <c r="B578" s="812" t="s">
        <v>1389</v>
      </c>
      <c r="C578" s="812"/>
      <c r="N578" s="807"/>
      <c r="O578" s="808"/>
      <c r="P578" s="807"/>
      <c r="Q578" s="808"/>
    </row>
    <row r="579" spans="1:23" s="658" customFormat="1" ht="14.25" customHeight="1">
      <c r="A579" t="str">
        <f t="shared" si="2"/>
        <v>3996</v>
      </c>
      <c r="B579" s="812" t="s">
        <v>1391</v>
      </c>
      <c r="C579" s="812"/>
      <c r="N579" s="807"/>
      <c r="O579" s="808"/>
      <c r="P579" s="807"/>
      <c r="Q579" s="808"/>
    </row>
    <row r="580" spans="1:23" s="658" customFormat="1" ht="14.25" customHeight="1">
      <c r="A580" t="str">
        <f t="shared" si="2"/>
        <v>3999</v>
      </c>
      <c r="B580" s="812" t="s">
        <v>1393</v>
      </c>
      <c r="C580" s="812"/>
      <c r="N580" s="807"/>
      <c r="O580" s="808"/>
      <c r="P580" s="807"/>
      <c r="Q580" s="808"/>
    </row>
    <row r="581" spans="1:23" s="658" customFormat="1" ht="14.25" customHeight="1">
      <c r="A581" t="str">
        <f t="shared" si="2"/>
        <v>4011</v>
      </c>
      <c r="B581" s="812" t="s">
        <v>1399</v>
      </c>
      <c r="C581" s="812"/>
      <c r="I581" s="808"/>
      <c r="N581" s="807"/>
      <c r="O581" s="808"/>
      <c r="P581" s="807"/>
      <c r="Q581" s="808"/>
      <c r="U581" s="808"/>
      <c r="V581" s="808"/>
      <c r="W581" s="808"/>
    </row>
    <row r="582" spans="1:23" s="658" customFormat="1" ht="14.25" customHeight="1">
      <c r="A582" t="str">
        <f t="shared" si="2"/>
        <v>4013</v>
      </c>
      <c r="B582" s="812" t="s">
        <v>1401</v>
      </c>
      <c r="C582" s="812"/>
      <c r="I582" s="808"/>
      <c r="N582" s="807"/>
      <c r="O582" s="808"/>
      <c r="P582" s="807"/>
      <c r="Q582" s="808"/>
      <c r="U582" s="808"/>
      <c r="V582" s="808"/>
      <c r="W582" s="808"/>
    </row>
    <row r="583" spans="1:23" s="658" customFormat="1" ht="14.25" customHeight="1">
      <c r="A583" t="str">
        <f t="shared" si="2"/>
        <v>4111</v>
      </c>
      <c r="B583" s="812" t="s">
        <v>1405</v>
      </c>
      <c r="C583" s="812"/>
      <c r="I583" s="810"/>
      <c r="N583" s="807"/>
      <c r="O583" s="808"/>
      <c r="P583" s="807"/>
      <c r="Q583" s="808"/>
      <c r="S583" s="808"/>
      <c r="U583" s="810"/>
      <c r="V583" s="810"/>
      <c r="W583" s="810"/>
    </row>
    <row r="584" spans="1:23" s="658" customFormat="1" ht="14.25" customHeight="1">
      <c r="A584" t="str">
        <f t="shared" si="2"/>
        <v>4119</v>
      </c>
      <c r="B584" s="812" t="s">
        <v>1407</v>
      </c>
      <c r="C584" s="812"/>
      <c r="I584" s="810"/>
      <c r="N584" s="807"/>
      <c r="O584" s="808"/>
      <c r="P584" s="807"/>
      <c r="Q584" s="808"/>
      <c r="S584" s="808"/>
      <c r="U584" s="810"/>
      <c r="V584" s="810"/>
      <c r="W584" s="810"/>
    </row>
    <row r="585" spans="1:23" s="658" customFormat="1" ht="14.25" customHeight="1">
      <c r="A585" t="str">
        <f t="shared" si="2"/>
        <v>4121</v>
      </c>
      <c r="B585" s="812" t="s">
        <v>1409</v>
      </c>
      <c r="C585" s="812"/>
      <c r="I585" s="808"/>
      <c r="N585" s="807"/>
      <c r="O585" s="808"/>
      <c r="P585" s="807"/>
      <c r="Q585" s="808"/>
      <c r="S585" s="808"/>
      <c r="U585" s="808"/>
      <c r="V585" s="808"/>
      <c r="W585" s="808"/>
    </row>
    <row r="586" spans="1:23" s="658" customFormat="1" ht="14.25" customHeight="1">
      <c r="A586" t="str">
        <f t="shared" si="2"/>
        <v>4131</v>
      </c>
      <c r="B586" s="812" t="s">
        <v>1411</v>
      </c>
      <c r="C586" s="812"/>
      <c r="I586" s="810"/>
      <c r="N586" s="807"/>
      <c r="O586" s="808"/>
      <c r="P586" s="807"/>
      <c r="Q586" s="808"/>
      <c r="S586" s="808"/>
      <c r="U586" s="810"/>
      <c r="V586" s="810"/>
      <c r="W586" s="810"/>
    </row>
    <row r="587" spans="1:23" s="658" customFormat="1" ht="14.25" customHeight="1">
      <c r="A587" t="str">
        <f t="shared" si="2"/>
        <v>4141</v>
      </c>
      <c r="B587" s="812" t="s">
        <v>1413</v>
      </c>
      <c r="C587" s="812"/>
      <c r="I587" s="810"/>
      <c r="N587" s="807"/>
      <c r="O587" s="808"/>
      <c r="P587" s="807"/>
      <c r="Q587" s="808"/>
      <c r="S587" s="808"/>
      <c r="U587" s="810"/>
      <c r="V587" s="810"/>
      <c r="W587" s="810"/>
    </row>
    <row r="588" spans="1:23" s="658" customFormat="1" ht="14.25" customHeight="1">
      <c r="A588" t="str">
        <f t="shared" si="2"/>
        <v>4142</v>
      </c>
      <c r="B588" s="812" t="s">
        <v>1415</v>
      </c>
      <c r="C588" s="812"/>
      <c r="I588" s="810"/>
      <c r="N588" s="807"/>
      <c r="O588" s="808"/>
      <c r="P588" s="807"/>
      <c r="Q588" s="808"/>
      <c r="S588" s="808"/>
      <c r="U588" s="810"/>
      <c r="V588" s="810"/>
      <c r="W588" s="810"/>
    </row>
    <row r="589" spans="1:23" s="658" customFormat="1" ht="14.25" customHeight="1">
      <c r="A589" t="str">
        <f t="shared" si="2"/>
        <v>4151</v>
      </c>
      <c r="B589" s="812" t="s">
        <v>1417</v>
      </c>
      <c r="C589" s="812"/>
      <c r="I589" s="808"/>
      <c r="N589" s="807"/>
      <c r="O589" s="808"/>
      <c r="P589" s="807"/>
      <c r="Q589" s="808"/>
      <c r="S589" s="808"/>
      <c r="U589" s="808"/>
      <c r="V589" s="808"/>
      <c r="W589" s="808"/>
    </row>
    <row r="590" spans="1:23" s="658" customFormat="1" ht="14.25" customHeight="1">
      <c r="A590" t="str">
        <f t="shared" si="2"/>
        <v>4173</v>
      </c>
      <c r="B590" s="812" t="s">
        <v>1419</v>
      </c>
      <c r="C590" s="812"/>
      <c r="I590" s="808"/>
      <c r="N590" s="807"/>
      <c r="O590" s="808"/>
      <c r="P590" s="807"/>
      <c r="Q590" s="808"/>
      <c r="S590" s="808"/>
      <c r="U590" s="808"/>
      <c r="V590" s="808"/>
      <c r="W590" s="808"/>
    </row>
    <row r="591" spans="1:23" s="658" customFormat="1" ht="14.25" customHeight="1">
      <c r="A591" t="str">
        <f t="shared" si="2"/>
        <v>4212</v>
      </c>
      <c r="B591" s="812" t="s">
        <v>1423</v>
      </c>
      <c r="C591" s="812"/>
      <c r="I591" s="808"/>
      <c r="N591" s="807"/>
      <c r="O591" s="808"/>
      <c r="P591" s="807"/>
      <c r="Q591" s="808"/>
      <c r="S591" s="808"/>
      <c r="U591" s="808"/>
      <c r="V591" s="808"/>
      <c r="W591" s="808"/>
    </row>
    <row r="592" spans="1:23" s="658" customFormat="1" ht="14.25" customHeight="1">
      <c r="A592" t="str">
        <f t="shared" si="2"/>
        <v>4213</v>
      </c>
      <c r="B592" s="812" t="s">
        <v>1425</v>
      </c>
      <c r="C592" s="812"/>
      <c r="I592" s="808"/>
      <c r="N592" s="807"/>
      <c r="O592" s="808"/>
      <c r="P592" s="807"/>
      <c r="Q592" s="808"/>
      <c r="S592" s="808"/>
      <c r="U592" s="808"/>
      <c r="V592" s="808"/>
      <c r="W592" s="808"/>
    </row>
    <row r="593" spans="1:23" s="658" customFormat="1" ht="14.25" customHeight="1">
      <c r="A593" t="str">
        <f t="shared" si="2"/>
        <v>4214</v>
      </c>
      <c r="B593" s="812" t="s">
        <v>1427</v>
      </c>
      <c r="C593" s="812"/>
      <c r="I593" s="808"/>
      <c r="N593" s="807"/>
      <c r="O593" s="808"/>
      <c r="P593" s="807"/>
      <c r="Q593" s="808"/>
      <c r="S593" s="808"/>
      <c r="U593" s="808"/>
      <c r="V593" s="808"/>
      <c r="W593" s="808"/>
    </row>
    <row r="594" spans="1:23" s="658" customFormat="1" ht="14.25" customHeight="1">
      <c r="A594" t="str">
        <f t="shared" si="2"/>
        <v>4215</v>
      </c>
      <c r="B594" s="812" t="s">
        <v>1429</v>
      </c>
      <c r="C594" s="812"/>
      <c r="I594" s="808"/>
      <c r="N594" s="807"/>
      <c r="O594" s="808"/>
      <c r="P594" s="807"/>
      <c r="Q594" s="808"/>
      <c r="S594" s="808"/>
      <c r="U594" s="808"/>
      <c r="V594" s="808"/>
      <c r="W594" s="808"/>
    </row>
    <row r="595" spans="1:23" s="658" customFormat="1" ht="14.25" customHeight="1">
      <c r="A595" t="str">
        <f t="shared" si="2"/>
        <v>4221</v>
      </c>
      <c r="B595" s="812" t="s">
        <v>1431</v>
      </c>
      <c r="C595" s="812"/>
      <c r="I595" s="808"/>
      <c r="N595" s="807"/>
      <c r="O595" s="808"/>
      <c r="P595" s="807"/>
      <c r="Q595" s="808"/>
      <c r="S595" s="808"/>
      <c r="U595" s="808"/>
      <c r="V595" s="808"/>
      <c r="W595" s="808"/>
    </row>
    <row r="596" spans="1:23" s="658" customFormat="1" ht="14.25" customHeight="1">
      <c r="A596" t="str">
        <f t="shared" si="2"/>
        <v>4222</v>
      </c>
      <c r="B596" s="812" t="s">
        <v>1433</v>
      </c>
      <c r="C596" s="812"/>
      <c r="I596" s="808"/>
      <c r="N596" s="807"/>
      <c r="O596" s="808"/>
      <c r="P596" s="807"/>
      <c r="Q596" s="808"/>
      <c r="S596" s="808"/>
      <c r="U596" s="808"/>
      <c r="V596" s="808"/>
      <c r="W596" s="808"/>
    </row>
    <row r="597" spans="1:23" s="658" customFormat="1" ht="14.25" customHeight="1">
      <c r="A597" t="str">
        <f t="shared" si="2"/>
        <v>4225</v>
      </c>
      <c r="B597" s="812" t="s">
        <v>1435</v>
      </c>
      <c r="C597" s="812"/>
      <c r="I597" s="808"/>
      <c r="N597" s="807"/>
      <c r="O597" s="808"/>
      <c r="P597" s="807"/>
      <c r="Q597" s="808"/>
      <c r="S597" s="808"/>
      <c r="U597" s="808"/>
      <c r="V597" s="808"/>
      <c r="W597" s="808"/>
    </row>
    <row r="598" spans="1:23" s="658" customFormat="1" ht="14.25" customHeight="1">
      <c r="A598" t="str">
        <f t="shared" si="2"/>
        <v>4226</v>
      </c>
      <c r="B598" s="812" t="s">
        <v>1437</v>
      </c>
      <c r="C598" s="812"/>
      <c r="I598" s="808"/>
      <c r="N598" s="807"/>
      <c r="O598" s="808"/>
      <c r="P598" s="807"/>
      <c r="Q598" s="808"/>
      <c r="S598" s="808"/>
      <c r="U598" s="808"/>
      <c r="V598" s="808"/>
      <c r="W598" s="808"/>
    </row>
    <row r="599" spans="1:23" s="658" customFormat="1" ht="14.25" customHeight="1">
      <c r="A599" t="str">
        <f t="shared" si="2"/>
        <v>4231</v>
      </c>
      <c r="B599" s="812" t="s">
        <v>1439</v>
      </c>
      <c r="C599" s="812"/>
      <c r="I599" s="808"/>
      <c r="N599" s="807"/>
      <c r="O599" s="808"/>
      <c r="P599" s="807"/>
      <c r="Q599" s="808"/>
      <c r="S599" s="808"/>
      <c r="U599" s="808"/>
      <c r="V599" s="808"/>
      <c r="W599" s="808"/>
    </row>
    <row r="600" spans="1:23" s="658" customFormat="1" ht="14.25" customHeight="1">
      <c r="A600" t="str">
        <f t="shared" si="2"/>
        <v>4311</v>
      </c>
      <c r="B600" s="812" t="s">
        <v>1443</v>
      </c>
      <c r="C600" s="812"/>
      <c r="I600" s="808"/>
      <c r="N600" s="807"/>
      <c r="O600" s="808"/>
      <c r="P600" s="807"/>
      <c r="Q600" s="808"/>
      <c r="U600" s="808"/>
      <c r="V600" s="808"/>
      <c r="W600" s="808"/>
    </row>
    <row r="601" spans="1:23" s="658" customFormat="1" ht="14.25" customHeight="1">
      <c r="A601" t="str">
        <f t="shared" si="2"/>
        <v>4412</v>
      </c>
      <c r="B601" s="812" t="s">
        <v>1447</v>
      </c>
      <c r="C601" s="812"/>
      <c r="I601" s="810"/>
      <c r="N601" s="807"/>
      <c r="O601" s="808"/>
      <c r="P601" s="807"/>
      <c r="Q601" s="808"/>
      <c r="U601" s="810"/>
      <c r="V601" s="810"/>
      <c r="W601" s="810"/>
    </row>
    <row r="602" spans="1:23" s="658" customFormat="1" ht="14.25" customHeight="1">
      <c r="A602" t="str">
        <f t="shared" si="2"/>
        <v>4424</v>
      </c>
      <c r="B602" s="812" t="s">
        <v>1449</v>
      </c>
      <c r="C602" s="812"/>
      <c r="I602" s="808"/>
      <c r="N602" s="807"/>
      <c r="O602" s="808"/>
      <c r="P602" s="807"/>
      <c r="Q602" s="808"/>
      <c r="U602" s="808"/>
      <c r="V602" s="808"/>
      <c r="W602" s="808"/>
    </row>
    <row r="603" spans="1:23" s="658" customFormat="1" ht="14.25" customHeight="1">
      <c r="A603" t="str">
        <f t="shared" si="2"/>
        <v>4432</v>
      </c>
      <c r="B603" s="812" t="s">
        <v>1451</v>
      </c>
      <c r="C603" s="812"/>
      <c r="I603" s="808"/>
      <c r="N603" s="807"/>
      <c r="O603" s="808"/>
      <c r="P603" s="807"/>
      <c r="Q603" s="808"/>
      <c r="U603" s="808"/>
      <c r="V603" s="808"/>
      <c r="W603" s="808"/>
    </row>
    <row r="604" spans="1:23" s="658" customFormat="1" ht="14.25" customHeight="1">
      <c r="A604" t="str">
        <f t="shared" si="2"/>
        <v>4449</v>
      </c>
      <c r="B604" s="812" t="s">
        <v>1453</v>
      </c>
      <c r="C604" s="812"/>
      <c r="I604" s="808"/>
      <c r="N604" s="807"/>
      <c r="O604" s="808"/>
      <c r="P604" s="807"/>
      <c r="Q604" s="808"/>
      <c r="U604" s="808"/>
      <c r="V604" s="808"/>
      <c r="W604" s="808"/>
    </row>
    <row r="605" spans="1:23" s="658" customFormat="1" ht="14.25" customHeight="1">
      <c r="A605" t="str">
        <f t="shared" si="2"/>
        <v>4481</v>
      </c>
      <c r="B605" s="812" t="s">
        <v>1455</v>
      </c>
      <c r="C605" s="812"/>
      <c r="I605" s="810"/>
      <c r="N605" s="807"/>
      <c r="O605" s="808"/>
      <c r="P605" s="807"/>
      <c r="Q605" s="808"/>
      <c r="U605" s="810"/>
      <c r="V605" s="810"/>
      <c r="W605" s="810"/>
    </row>
    <row r="606" spans="1:23" s="658" customFormat="1" ht="14.25" customHeight="1">
      <c r="A606" t="str">
        <f t="shared" si="2"/>
        <v>4482</v>
      </c>
      <c r="B606" s="812" t="s">
        <v>1457</v>
      </c>
      <c r="C606" s="812"/>
      <c r="I606" s="808"/>
      <c r="N606" s="807"/>
      <c r="O606" s="808"/>
      <c r="P606" s="807"/>
      <c r="Q606" s="808"/>
      <c r="U606" s="808"/>
      <c r="V606" s="808"/>
      <c r="W606" s="808"/>
    </row>
    <row r="607" spans="1:23" s="658" customFormat="1" ht="14.25" customHeight="1">
      <c r="A607" t="str">
        <f t="shared" si="2"/>
        <v>4489</v>
      </c>
      <c r="B607" s="812" t="s">
        <v>1459</v>
      </c>
      <c r="C607" s="812"/>
      <c r="I607" s="810"/>
      <c r="N607" s="807"/>
      <c r="O607" s="808"/>
      <c r="P607" s="807"/>
      <c r="Q607" s="808"/>
      <c r="U607" s="810"/>
      <c r="V607" s="810"/>
      <c r="W607" s="810"/>
    </row>
    <row r="608" spans="1:23" s="658" customFormat="1" ht="14.25" customHeight="1">
      <c r="A608" t="str">
        <f t="shared" si="2"/>
        <v>4491</v>
      </c>
      <c r="B608" s="812" t="s">
        <v>1461</v>
      </c>
      <c r="C608" s="812"/>
      <c r="I608" s="808"/>
      <c r="N608" s="807"/>
      <c r="O608" s="808"/>
      <c r="P608" s="807"/>
      <c r="Q608" s="808"/>
      <c r="U608" s="808"/>
      <c r="V608" s="808"/>
      <c r="W608" s="808"/>
    </row>
    <row r="609" spans="1:23" s="658" customFormat="1" ht="14.25" customHeight="1">
      <c r="A609" t="str">
        <f t="shared" si="2"/>
        <v>4492</v>
      </c>
      <c r="B609" s="812" t="s">
        <v>1463</v>
      </c>
      <c r="C609" s="812"/>
      <c r="I609" s="808"/>
      <c r="N609" s="807"/>
      <c r="O609" s="808"/>
      <c r="P609" s="807"/>
      <c r="Q609" s="808"/>
      <c r="U609" s="808"/>
      <c r="V609" s="808"/>
      <c r="W609" s="808"/>
    </row>
    <row r="610" spans="1:23" s="658" customFormat="1" ht="14.25" customHeight="1">
      <c r="A610" t="str">
        <f t="shared" si="2"/>
        <v>4493</v>
      </c>
      <c r="B610" s="812" t="s">
        <v>1465</v>
      </c>
      <c r="C610" s="812"/>
      <c r="I610" s="808"/>
      <c r="N610" s="807"/>
      <c r="O610" s="808"/>
      <c r="P610" s="807"/>
      <c r="Q610" s="808"/>
      <c r="U610" s="808"/>
      <c r="V610" s="808"/>
      <c r="W610" s="808"/>
    </row>
    <row r="611" spans="1:23" s="658" customFormat="1" ht="14.25" customHeight="1">
      <c r="A611" t="str">
        <f t="shared" si="2"/>
        <v>4499</v>
      </c>
      <c r="B611" s="812" t="s">
        <v>1467</v>
      </c>
      <c r="C611" s="812"/>
      <c r="I611" s="808"/>
      <c r="N611" s="807"/>
      <c r="O611" s="808"/>
      <c r="P611" s="807"/>
      <c r="Q611" s="808"/>
      <c r="U611" s="808"/>
      <c r="V611" s="808"/>
      <c r="W611" s="808"/>
    </row>
    <row r="612" spans="1:23" s="658" customFormat="1" ht="14.25" customHeight="1">
      <c r="A612" t="str">
        <f t="shared" si="2"/>
        <v>4512</v>
      </c>
      <c r="B612" s="812" t="s">
        <v>1471</v>
      </c>
      <c r="C612" s="812"/>
      <c r="I612" s="810"/>
      <c r="K612" s="810"/>
      <c r="M612" s="810"/>
      <c r="N612" s="807"/>
      <c r="O612" s="808"/>
      <c r="P612" s="807"/>
      <c r="Q612" s="808"/>
      <c r="U612" s="810"/>
      <c r="V612" s="810"/>
      <c r="W612" s="810"/>
    </row>
    <row r="613" spans="1:23" s="658" customFormat="1" ht="14.25" customHeight="1">
      <c r="A613" t="str">
        <f t="shared" si="2"/>
        <v>4513</v>
      </c>
      <c r="B613" s="812" t="s">
        <v>1473</v>
      </c>
      <c r="C613" s="812"/>
      <c r="I613" s="808"/>
      <c r="K613" s="810"/>
      <c r="M613" s="810"/>
      <c r="N613" s="807"/>
      <c r="O613" s="808"/>
      <c r="P613" s="807"/>
      <c r="Q613" s="808"/>
      <c r="U613" s="808"/>
      <c r="V613" s="808"/>
      <c r="W613" s="808"/>
    </row>
    <row r="614" spans="1:23" s="658" customFormat="1" ht="14.25" customHeight="1">
      <c r="A614" t="str">
        <f t="shared" si="2"/>
        <v>4522</v>
      </c>
      <c r="B614" s="812" t="s">
        <v>1475</v>
      </c>
      <c r="C614" s="812"/>
      <c r="I614" s="810"/>
      <c r="K614" s="810"/>
      <c r="M614" s="810"/>
      <c r="N614" s="807"/>
      <c r="O614" s="808"/>
      <c r="P614" s="807"/>
      <c r="Q614" s="808"/>
      <c r="U614" s="810"/>
      <c r="V614" s="810"/>
      <c r="W614" s="810"/>
    </row>
    <row r="615" spans="1:23" s="658" customFormat="1" ht="14.25" customHeight="1">
      <c r="A615" t="str">
        <f t="shared" si="2"/>
        <v>4581</v>
      </c>
      <c r="B615" s="812" t="s">
        <v>1477</v>
      </c>
      <c r="C615" s="812"/>
      <c r="I615" s="810"/>
      <c r="K615" s="810"/>
      <c r="M615" s="810"/>
      <c r="N615" s="807"/>
      <c r="O615" s="808"/>
      <c r="P615" s="807"/>
      <c r="Q615" s="808"/>
      <c r="U615" s="810"/>
      <c r="V615" s="810"/>
      <c r="W615" s="810"/>
    </row>
    <row r="616" spans="1:23" s="658" customFormat="1" ht="14.25" customHeight="1">
      <c r="A616" t="str">
        <f t="shared" si="2"/>
        <v>4583</v>
      </c>
      <c r="B616" s="812" t="s">
        <v>1479</v>
      </c>
      <c r="C616" s="812"/>
      <c r="I616" s="810"/>
      <c r="K616" s="810"/>
      <c r="M616" s="810"/>
      <c r="N616" s="807"/>
      <c r="O616" s="808"/>
      <c r="P616" s="807"/>
      <c r="Q616" s="808"/>
      <c r="U616" s="810"/>
      <c r="V616" s="810"/>
      <c r="W616" s="810"/>
    </row>
    <row r="617" spans="1:23" s="658" customFormat="1" ht="14.25" customHeight="1">
      <c r="A617" t="str">
        <f t="shared" si="2"/>
        <v>4612</v>
      </c>
      <c r="B617" s="812" t="s">
        <v>1483</v>
      </c>
      <c r="C617" s="812"/>
      <c r="I617" s="810"/>
      <c r="K617" s="810"/>
      <c r="M617" s="810"/>
      <c r="N617" s="807"/>
      <c r="O617" s="808"/>
      <c r="P617" s="807"/>
      <c r="Q617" s="808"/>
      <c r="U617" s="810"/>
      <c r="V617" s="810"/>
      <c r="W617" s="810"/>
    </row>
    <row r="618" spans="1:23" s="658" customFormat="1" ht="14.25" customHeight="1">
      <c r="A618" t="str">
        <f t="shared" si="2"/>
        <v>4613</v>
      </c>
      <c r="B618" s="812" t="s">
        <v>1485</v>
      </c>
      <c r="C618" s="812"/>
      <c r="I618" s="810"/>
      <c r="K618" s="810"/>
      <c r="M618" s="810"/>
      <c r="N618" s="807"/>
      <c r="O618" s="808"/>
      <c r="P618" s="807"/>
      <c r="Q618" s="808"/>
      <c r="U618" s="810"/>
      <c r="V618" s="810"/>
      <c r="W618" s="810"/>
    </row>
    <row r="619" spans="1:23" s="658" customFormat="1" ht="14.25" customHeight="1">
      <c r="A619" t="str">
        <f t="shared" si="2"/>
        <v>4619</v>
      </c>
      <c r="B619" s="812" t="s">
        <v>1487</v>
      </c>
      <c r="C619" s="812"/>
      <c r="I619" s="810"/>
      <c r="K619" s="810"/>
      <c r="M619" s="810"/>
      <c r="N619" s="807"/>
      <c r="O619" s="808"/>
      <c r="P619" s="807"/>
      <c r="Q619" s="808"/>
      <c r="U619" s="810"/>
      <c r="V619" s="810"/>
      <c r="W619" s="810"/>
    </row>
    <row r="620" spans="1:23" s="658" customFormat="1" ht="14.25" customHeight="1">
      <c r="A620" t="str">
        <f t="shared" si="2"/>
        <v>4724</v>
      </c>
      <c r="B620" s="812" t="s">
        <v>1491</v>
      </c>
      <c r="C620" s="812"/>
      <c r="N620" s="807"/>
      <c r="O620" s="808"/>
      <c r="P620" s="807"/>
      <c r="Q620" s="808"/>
    </row>
    <row r="621" spans="1:23" s="658" customFormat="1" ht="14.25" customHeight="1">
      <c r="A621" t="str">
        <f t="shared" si="2"/>
        <v>4725</v>
      </c>
      <c r="B621" s="812" t="s">
        <v>1493</v>
      </c>
      <c r="C621" s="812"/>
      <c r="N621" s="807"/>
      <c r="O621" s="808"/>
      <c r="P621" s="807"/>
      <c r="Q621" s="808"/>
    </row>
    <row r="622" spans="1:23" s="658" customFormat="1" ht="14.25" customHeight="1">
      <c r="A622" t="str">
        <f t="shared" si="2"/>
        <v>4729</v>
      </c>
      <c r="B622" s="812" t="s">
        <v>1495</v>
      </c>
      <c r="C622" s="812"/>
      <c r="N622" s="807"/>
      <c r="O622" s="808"/>
      <c r="P622" s="807"/>
      <c r="Q622" s="808"/>
    </row>
    <row r="623" spans="1:23" s="658" customFormat="1" ht="14.25" customHeight="1">
      <c r="A623" t="str">
        <f t="shared" si="2"/>
        <v>4731</v>
      </c>
      <c r="B623" s="812" t="s">
        <v>1497</v>
      </c>
      <c r="C623" s="812"/>
      <c r="N623" s="807"/>
      <c r="O623" s="808"/>
      <c r="P623" s="807"/>
      <c r="Q623" s="808"/>
    </row>
    <row r="624" spans="1:23" s="658" customFormat="1" ht="14.25" customHeight="1">
      <c r="A624" t="str">
        <f t="shared" si="2"/>
        <v>4741</v>
      </c>
      <c r="B624" s="812" t="s">
        <v>1499</v>
      </c>
      <c r="C624" s="812"/>
      <c r="N624" s="807"/>
      <c r="O624" s="808"/>
      <c r="P624" s="807"/>
      <c r="Q624" s="808"/>
    </row>
    <row r="625" spans="1:23" s="658" customFormat="1" ht="14.25" customHeight="1">
      <c r="A625" t="str">
        <f t="shared" si="2"/>
        <v>4783</v>
      </c>
      <c r="B625" s="812" t="s">
        <v>1501</v>
      </c>
      <c r="C625" s="812"/>
      <c r="N625" s="807"/>
      <c r="O625" s="808"/>
      <c r="P625" s="807"/>
      <c r="Q625" s="808"/>
    </row>
    <row r="626" spans="1:23" s="658" customFormat="1" ht="14.25" customHeight="1">
      <c r="A626" t="str">
        <f t="shared" si="2"/>
        <v>4785</v>
      </c>
      <c r="B626" s="812" t="s">
        <v>1503</v>
      </c>
      <c r="C626" s="812"/>
      <c r="N626" s="807"/>
      <c r="O626" s="808"/>
      <c r="P626" s="807"/>
      <c r="Q626" s="808"/>
    </row>
    <row r="627" spans="1:23" s="658" customFormat="1" ht="14.25" customHeight="1">
      <c r="A627" t="str">
        <f t="shared" si="2"/>
        <v>4789</v>
      </c>
      <c r="B627" s="812" t="s">
        <v>1505</v>
      </c>
      <c r="C627" s="812"/>
      <c r="N627" s="807"/>
      <c r="O627" s="808"/>
      <c r="P627" s="807"/>
      <c r="Q627" s="808"/>
    </row>
    <row r="628" spans="1:23" s="658" customFormat="1" ht="14.25" customHeight="1">
      <c r="A628" t="str">
        <f t="shared" si="2"/>
        <v>4812</v>
      </c>
      <c r="B628" s="812" t="s">
        <v>1509</v>
      </c>
      <c r="C628" s="812"/>
      <c r="I628" s="808"/>
      <c r="N628" s="807"/>
      <c r="O628" s="808"/>
      <c r="P628" s="807"/>
      <c r="Q628" s="808"/>
      <c r="U628" s="808"/>
      <c r="V628" s="808"/>
      <c r="W628" s="808"/>
    </row>
    <row r="629" spans="1:23" s="658" customFormat="1" ht="14.25" customHeight="1">
      <c r="A629" t="str">
        <f t="shared" si="2"/>
        <v>4813</v>
      </c>
      <c r="B629" s="812" t="s">
        <v>1511</v>
      </c>
      <c r="C629" s="812"/>
      <c r="I629" s="808"/>
      <c r="N629" s="807"/>
      <c r="O629" s="808"/>
      <c r="P629" s="807"/>
      <c r="Q629" s="808"/>
      <c r="U629" s="808"/>
      <c r="V629" s="808"/>
      <c r="W629" s="808"/>
    </row>
    <row r="630" spans="1:23" s="658" customFormat="1" ht="14.25" customHeight="1">
      <c r="A630" t="str">
        <f t="shared" si="2"/>
        <v>4822</v>
      </c>
      <c r="B630" s="812" t="s">
        <v>1513</v>
      </c>
      <c r="C630" s="812"/>
      <c r="I630" s="808"/>
      <c r="N630" s="807"/>
      <c r="O630" s="808"/>
      <c r="P630" s="807"/>
      <c r="Q630" s="808"/>
      <c r="U630" s="808"/>
      <c r="V630" s="808"/>
      <c r="W630" s="808"/>
    </row>
    <row r="631" spans="1:23" s="658" customFormat="1" ht="14.25" customHeight="1">
      <c r="A631" t="str">
        <f t="shared" si="2"/>
        <v>4832</v>
      </c>
      <c r="B631" s="812" t="s">
        <v>1515</v>
      </c>
      <c r="C631" s="812"/>
      <c r="I631" s="808"/>
      <c r="N631" s="807"/>
      <c r="O631" s="808"/>
      <c r="P631" s="807"/>
      <c r="Q631" s="808"/>
      <c r="U631" s="808"/>
      <c r="V631" s="808"/>
      <c r="W631" s="808"/>
    </row>
    <row r="632" spans="1:23" s="658" customFormat="1" ht="14.25" customHeight="1">
      <c r="A632" t="str">
        <f t="shared" si="2"/>
        <v>4833</v>
      </c>
      <c r="B632" s="812" t="s">
        <v>1517</v>
      </c>
      <c r="C632" s="812"/>
      <c r="I632" s="808"/>
      <c r="N632" s="807"/>
      <c r="O632" s="808"/>
      <c r="P632" s="807"/>
      <c r="Q632" s="808"/>
      <c r="U632" s="808"/>
      <c r="V632" s="808"/>
      <c r="W632" s="808"/>
    </row>
    <row r="633" spans="1:23" s="658" customFormat="1" ht="14.25" customHeight="1">
      <c r="A633" t="str">
        <f t="shared" si="2"/>
        <v>4841</v>
      </c>
      <c r="B633" s="812" t="s">
        <v>1519</v>
      </c>
      <c r="C633" s="812"/>
      <c r="I633" s="808"/>
      <c r="N633" s="807"/>
      <c r="O633" s="808"/>
      <c r="P633" s="807"/>
      <c r="Q633" s="808"/>
      <c r="U633" s="808"/>
      <c r="V633" s="808"/>
      <c r="W633" s="808"/>
    </row>
    <row r="634" spans="1:23" s="658" customFormat="1" ht="14.25" customHeight="1">
      <c r="A634" t="str">
        <f t="shared" si="2"/>
        <v>4899</v>
      </c>
      <c r="B634" s="812" t="s">
        <v>1521</v>
      </c>
      <c r="C634" s="812"/>
      <c r="I634" s="808"/>
      <c r="N634" s="807"/>
      <c r="O634" s="808"/>
      <c r="P634" s="807"/>
      <c r="Q634" s="808"/>
      <c r="S634" s="808"/>
      <c r="U634" s="808"/>
      <c r="V634" s="808"/>
      <c r="W634" s="808"/>
    </row>
    <row r="635" spans="1:23" s="658" customFormat="1" ht="14.25" customHeight="1">
      <c r="A635" t="str">
        <f t="shared" si="2"/>
        <v>4911</v>
      </c>
      <c r="B635" s="812" t="s">
        <v>1525</v>
      </c>
      <c r="C635" s="812"/>
      <c r="I635" s="808"/>
      <c r="N635" s="807"/>
      <c r="O635" s="808"/>
      <c r="P635" s="807"/>
      <c r="Q635" s="808"/>
      <c r="S635" s="808"/>
      <c r="U635" s="808"/>
      <c r="V635" s="808"/>
      <c r="W635" s="808"/>
    </row>
    <row r="636" spans="1:23" s="658" customFormat="1" ht="14.25" customHeight="1">
      <c r="A636" t="str">
        <f t="shared" si="2"/>
        <v>4922</v>
      </c>
      <c r="B636" s="812" t="s">
        <v>1527</v>
      </c>
      <c r="C636" s="812"/>
      <c r="N636" s="807"/>
      <c r="O636" s="808"/>
      <c r="P636" s="807"/>
      <c r="Q636" s="808"/>
      <c r="S636" s="808"/>
    </row>
    <row r="637" spans="1:23" s="658" customFormat="1" ht="14.25" customHeight="1">
      <c r="A637" t="str">
        <f t="shared" si="2"/>
        <v>4923</v>
      </c>
      <c r="B637" s="812" t="s">
        <v>1529</v>
      </c>
      <c r="C637" s="812"/>
      <c r="N637" s="807"/>
      <c r="O637" s="808"/>
      <c r="P637" s="807"/>
      <c r="Q637" s="808"/>
      <c r="S637" s="808"/>
    </row>
    <row r="638" spans="1:23" s="658" customFormat="1" ht="14.25" customHeight="1">
      <c r="A638" t="str">
        <f t="shared" si="2"/>
        <v>4924</v>
      </c>
      <c r="B638" s="812" t="s">
        <v>1531</v>
      </c>
      <c r="C638" s="812"/>
      <c r="N638" s="807"/>
      <c r="O638" s="808"/>
      <c r="P638" s="807"/>
      <c r="Q638" s="808"/>
      <c r="S638" s="808"/>
    </row>
    <row r="639" spans="1:23" s="658" customFormat="1" ht="14.25" customHeight="1">
      <c r="A639" t="str">
        <f t="shared" si="2"/>
        <v>4925</v>
      </c>
      <c r="B639" s="812" t="s">
        <v>1533</v>
      </c>
      <c r="C639" s="812"/>
      <c r="N639" s="807"/>
      <c r="O639" s="808"/>
      <c r="P639" s="807"/>
      <c r="Q639" s="808"/>
      <c r="S639" s="808"/>
    </row>
    <row r="640" spans="1:23" s="658" customFormat="1" ht="14.25" customHeight="1">
      <c r="A640" t="str">
        <f t="shared" si="2"/>
        <v>4931</v>
      </c>
      <c r="B640" s="812" t="s">
        <v>1535</v>
      </c>
      <c r="C640" s="812"/>
      <c r="I640" s="808"/>
      <c r="N640" s="807"/>
      <c r="O640" s="808"/>
      <c r="P640" s="807"/>
      <c r="Q640" s="808"/>
      <c r="S640" s="808"/>
      <c r="U640" s="808"/>
      <c r="V640" s="808"/>
      <c r="W640" s="808"/>
    </row>
    <row r="641" spans="1:23" s="658" customFormat="1" ht="14.25" customHeight="1">
      <c r="A641" t="str">
        <f t="shared" si="2"/>
        <v>4932</v>
      </c>
      <c r="B641" s="812" t="s">
        <v>1537</v>
      </c>
      <c r="C641" s="812"/>
      <c r="I641" s="808"/>
      <c r="N641" s="807"/>
      <c r="O641" s="808"/>
      <c r="P641" s="807"/>
      <c r="Q641" s="808"/>
      <c r="S641" s="808"/>
      <c r="U641" s="808"/>
      <c r="V641" s="808"/>
      <c r="W641" s="808"/>
    </row>
    <row r="642" spans="1:23" s="658" customFormat="1" ht="14.25" customHeight="1">
      <c r="A642" t="str">
        <f t="shared" si="2"/>
        <v>4939</v>
      </c>
      <c r="B642" s="812" t="s">
        <v>1539</v>
      </c>
      <c r="C642" s="812"/>
      <c r="N642" s="807"/>
      <c r="O642" s="808"/>
      <c r="P642" s="807"/>
      <c r="Q642" s="808"/>
      <c r="S642" s="808"/>
    </row>
    <row r="643" spans="1:23" s="658" customFormat="1" ht="14.25" customHeight="1">
      <c r="A643" t="str">
        <f t="shared" si="2"/>
        <v>4941</v>
      </c>
      <c r="B643" s="812" t="s">
        <v>1541</v>
      </c>
      <c r="C643" s="812"/>
      <c r="N643" s="807"/>
      <c r="O643" s="808"/>
      <c r="P643" s="807"/>
      <c r="Q643" s="808"/>
      <c r="S643" s="808"/>
    </row>
    <row r="644" spans="1:23" s="658" customFormat="1" ht="14.25" customHeight="1">
      <c r="A644" t="str">
        <f t="shared" si="2"/>
        <v>4952</v>
      </c>
      <c r="B644" s="812" t="s">
        <v>1543</v>
      </c>
      <c r="C644" s="812"/>
      <c r="N644" s="807"/>
      <c r="O644" s="808"/>
      <c r="P644" s="807"/>
      <c r="Q644" s="808"/>
      <c r="S644" s="808"/>
    </row>
    <row r="645" spans="1:23" s="658" customFormat="1" ht="14.25" customHeight="1">
      <c r="A645" t="str">
        <f t="shared" si="2"/>
        <v>4953</v>
      </c>
      <c r="B645" s="812" t="s">
        <v>1545</v>
      </c>
      <c r="C645" s="812"/>
      <c r="I645" s="808"/>
      <c r="N645" s="807"/>
      <c r="O645" s="808"/>
      <c r="P645" s="807"/>
      <c r="Q645" s="808"/>
      <c r="S645" s="808"/>
      <c r="U645" s="808"/>
      <c r="V645" s="808"/>
      <c r="W645" s="808"/>
    </row>
    <row r="646" spans="1:23" s="658" customFormat="1" ht="14.25" customHeight="1">
      <c r="A646" t="str">
        <f t="shared" si="2"/>
        <v>4959</v>
      </c>
      <c r="B646" s="812" t="s">
        <v>1547</v>
      </c>
      <c r="C646" s="812"/>
      <c r="N646" s="807"/>
      <c r="O646" s="808"/>
      <c r="P646" s="807"/>
      <c r="Q646" s="808"/>
      <c r="S646" s="808"/>
    </row>
    <row r="647" spans="1:23" s="658" customFormat="1" ht="14.25" customHeight="1">
      <c r="A647" t="str">
        <f t="shared" si="2"/>
        <v>4961</v>
      </c>
      <c r="B647" s="812" t="s">
        <v>1549</v>
      </c>
      <c r="C647" s="812"/>
      <c r="N647" s="807"/>
      <c r="O647" s="808"/>
      <c r="P647" s="807"/>
      <c r="Q647" s="808"/>
      <c r="S647" s="808"/>
    </row>
    <row r="648" spans="1:23" s="658" customFormat="1" ht="14.25" customHeight="1">
      <c r="A648" t="str">
        <f t="shared" si="2"/>
        <v>4971</v>
      </c>
      <c r="B648" s="812" t="s">
        <v>1551</v>
      </c>
      <c r="C648" s="812"/>
      <c r="N648" s="807"/>
      <c r="O648" s="808"/>
      <c r="P648" s="807"/>
      <c r="Q648" s="808"/>
      <c r="S648" s="808"/>
    </row>
    <row r="649" spans="1:23" s="658" customFormat="1" ht="14.25" customHeight="1">
      <c r="A649" t="str">
        <f t="shared" si="2"/>
        <v>5012</v>
      </c>
      <c r="B649" s="812" t="s">
        <v>1557</v>
      </c>
      <c r="C649" s="812"/>
      <c r="N649" s="807"/>
      <c r="O649" s="808"/>
      <c r="P649" s="807"/>
      <c r="Q649" s="808"/>
    </row>
    <row r="650" spans="1:23" s="658" customFormat="1" ht="14.25" customHeight="1">
      <c r="A650" t="str">
        <f t="shared" si="2"/>
        <v>5013</v>
      </c>
      <c r="B650" s="812" t="s">
        <v>1559</v>
      </c>
      <c r="C650" s="812"/>
      <c r="N650" s="807"/>
      <c r="O650" s="808"/>
      <c r="P650" s="807"/>
      <c r="Q650" s="808"/>
    </row>
    <row r="651" spans="1:23" s="658" customFormat="1" ht="14.25" customHeight="1">
      <c r="A651" t="str">
        <f t="shared" si="2"/>
        <v>5014</v>
      </c>
      <c r="B651" s="812" t="s">
        <v>1561</v>
      </c>
      <c r="C651" s="812"/>
      <c r="N651" s="807"/>
      <c r="O651" s="808"/>
      <c r="P651" s="807"/>
      <c r="Q651" s="808"/>
    </row>
    <row r="652" spans="1:23" s="658" customFormat="1" ht="14.25" customHeight="1">
      <c r="A652" t="str">
        <f t="shared" si="2"/>
        <v>5015</v>
      </c>
      <c r="B652" s="812" t="s">
        <v>1563</v>
      </c>
      <c r="C652" s="812"/>
      <c r="N652" s="807"/>
      <c r="O652" s="808"/>
      <c r="P652" s="807"/>
      <c r="Q652" s="808"/>
    </row>
    <row r="653" spans="1:23" s="658" customFormat="1" ht="14.25" customHeight="1">
      <c r="A653" t="str">
        <f t="shared" si="2"/>
        <v>5021</v>
      </c>
      <c r="B653" s="812" t="s">
        <v>1565</v>
      </c>
      <c r="C653" s="812"/>
      <c r="N653" s="807"/>
      <c r="O653" s="808"/>
      <c r="P653" s="807"/>
      <c r="Q653" s="808"/>
    </row>
    <row r="654" spans="1:23" s="658" customFormat="1" ht="14.25" customHeight="1">
      <c r="A654" t="str">
        <f t="shared" si="2"/>
        <v>5023</v>
      </c>
      <c r="B654" s="812" t="s">
        <v>1567</v>
      </c>
      <c r="C654" s="812"/>
      <c r="N654" s="807"/>
      <c r="O654" s="808"/>
      <c r="P654" s="807"/>
      <c r="Q654" s="808"/>
    </row>
    <row r="655" spans="1:23" s="658" customFormat="1" ht="14.25" customHeight="1">
      <c r="A655" t="str">
        <f t="shared" si="2"/>
        <v>5031</v>
      </c>
      <c r="B655" s="812" t="s">
        <v>1569</v>
      </c>
      <c r="C655" s="812"/>
      <c r="N655" s="807"/>
      <c r="O655" s="808"/>
      <c r="P655" s="807"/>
      <c r="Q655" s="808"/>
    </row>
    <row r="656" spans="1:23" s="658" customFormat="1" ht="14.25" customHeight="1">
      <c r="A656" t="str">
        <f t="shared" si="2"/>
        <v>5032</v>
      </c>
      <c r="B656" s="812" t="s">
        <v>1571</v>
      </c>
      <c r="C656" s="812"/>
      <c r="N656" s="807"/>
      <c r="O656" s="808"/>
      <c r="P656" s="807"/>
      <c r="Q656" s="808"/>
    </row>
    <row r="657" spans="1:17" s="658" customFormat="1" ht="14.25" customHeight="1">
      <c r="A657" t="str">
        <f t="shared" si="2"/>
        <v>5033</v>
      </c>
      <c r="B657" s="812" t="s">
        <v>1573</v>
      </c>
      <c r="C657" s="812"/>
      <c r="N657" s="807"/>
      <c r="O657" s="808"/>
      <c r="P657" s="807"/>
      <c r="Q657" s="808"/>
    </row>
    <row r="658" spans="1:17" s="658" customFormat="1" ht="14.25" customHeight="1">
      <c r="A658" t="str">
        <f t="shared" si="2"/>
        <v>5039</v>
      </c>
      <c r="B658" s="812" t="s">
        <v>1575</v>
      </c>
      <c r="C658" s="812"/>
      <c r="N658" s="807"/>
      <c r="O658" s="808"/>
      <c r="P658" s="807"/>
      <c r="Q658" s="808"/>
    </row>
    <row r="659" spans="1:17" s="658" customFormat="1" ht="14.25" customHeight="1">
      <c r="A659" t="str">
        <f t="shared" si="2"/>
        <v>5043</v>
      </c>
      <c r="B659" s="812" t="s">
        <v>1577</v>
      </c>
      <c r="C659" s="812"/>
      <c r="N659" s="807"/>
      <c r="O659" s="808"/>
      <c r="P659" s="807"/>
      <c r="Q659" s="808"/>
    </row>
    <row r="660" spans="1:17" s="658" customFormat="1" ht="14.25" customHeight="1">
      <c r="A660" t="str">
        <f t="shared" si="2"/>
        <v>5044</v>
      </c>
      <c r="B660" s="812" t="s">
        <v>1579</v>
      </c>
      <c r="C660" s="812"/>
      <c r="N660" s="807"/>
      <c r="O660" s="808"/>
      <c r="P660" s="807"/>
      <c r="Q660" s="808"/>
    </row>
    <row r="661" spans="1:17" s="658" customFormat="1" ht="14.25" customHeight="1">
      <c r="A661" t="str">
        <f t="shared" si="2"/>
        <v>5045</v>
      </c>
      <c r="B661" s="812" t="s">
        <v>1581</v>
      </c>
      <c r="C661" s="812"/>
      <c r="N661" s="807"/>
      <c r="O661" s="808"/>
      <c r="P661" s="807"/>
      <c r="Q661" s="808"/>
    </row>
    <row r="662" spans="1:17" s="658" customFormat="1" ht="14.25" customHeight="1">
      <c r="A662" t="str">
        <f t="shared" si="2"/>
        <v>5046</v>
      </c>
      <c r="B662" s="812" t="s">
        <v>1583</v>
      </c>
      <c r="C662" s="812"/>
      <c r="N662" s="807"/>
      <c r="O662" s="808"/>
      <c r="P662" s="807"/>
      <c r="Q662" s="808"/>
    </row>
    <row r="663" spans="1:17" s="658" customFormat="1" ht="14.25" customHeight="1">
      <c r="A663" t="str">
        <f t="shared" si="2"/>
        <v>5047</v>
      </c>
      <c r="B663" s="812" t="s">
        <v>1585</v>
      </c>
      <c r="C663" s="812"/>
      <c r="N663" s="807"/>
      <c r="O663" s="808"/>
      <c r="P663" s="807"/>
      <c r="Q663" s="808"/>
    </row>
    <row r="664" spans="1:17" s="658" customFormat="1" ht="14.25" customHeight="1">
      <c r="A664" t="str">
        <f t="shared" si="2"/>
        <v>5048</v>
      </c>
      <c r="B664" s="812" t="s">
        <v>1587</v>
      </c>
      <c r="C664" s="812"/>
      <c r="N664" s="807"/>
      <c r="O664" s="808"/>
      <c r="P664" s="807"/>
      <c r="Q664" s="808"/>
    </row>
    <row r="665" spans="1:17" s="658" customFormat="1" ht="14.25" customHeight="1">
      <c r="A665" t="str">
        <f t="shared" si="2"/>
        <v>5049</v>
      </c>
      <c r="B665" s="812" t="s">
        <v>1589</v>
      </c>
      <c r="C665" s="812"/>
      <c r="N665" s="807"/>
      <c r="O665" s="808"/>
      <c r="P665" s="807"/>
      <c r="Q665" s="808"/>
    </row>
    <row r="666" spans="1:17" s="658" customFormat="1" ht="14.25" customHeight="1">
      <c r="A666" t="str">
        <f t="shared" si="2"/>
        <v>5051</v>
      </c>
      <c r="B666" s="812" t="s">
        <v>1591</v>
      </c>
      <c r="C666" s="812"/>
      <c r="N666" s="807"/>
      <c r="O666" s="808"/>
      <c r="P666" s="807"/>
      <c r="Q666" s="808"/>
    </row>
    <row r="667" spans="1:17" s="658" customFormat="1" ht="14.25" customHeight="1">
      <c r="A667" t="str">
        <f t="shared" si="2"/>
        <v>5052</v>
      </c>
      <c r="B667" s="812" t="s">
        <v>1593</v>
      </c>
      <c r="C667" s="812"/>
      <c r="N667" s="807"/>
      <c r="O667" s="808"/>
      <c r="P667" s="807"/>
      <c r="Q667" s="808"/>
    </row>
    <row r="668" spans="1:17" s="658" customFormat="1" ht="14.25" customHeight="1">
      <c r="A668" t="str">
        <f t="shared" si="2"/>
        <v>5063</v>
      </c>
      <c r="B668" s="812" t="s">
        <v>1595</v>
      </c>
      <c r="C668" s="812"/>
      <c r="N668" s="807"/>
      <c r="O668" s="808"/>
      <c r="P668" s="807"/>
      <c r="Q668" s="808"/>
    </row>
    <row r="669" spans="1:17" s="658" customFormat="1" ht="14.25" customHeight="1">
      <c r="A669" t="str">
        <f t="shared" si="2"/>
        <v>5064</v>
      </c>
      <c r="B669" s="812" t="s">
        <v>1597</v>
      </c>
      <c r="C669" s="812"/>
      <c r="N669" s="807"/>
      <c r="O669" s="808"/>
      <c r="P669" s="807"/>
      <c r="Q669" s="808"/>
    </row>
    <row r="670" spans="1:17" s="658" customFormat="1" ht="14.25" customHeight="1">
      <c r="A670" t="str">
        <f t="shared" si="2"/>
        <v>5065</v>
      </c>
      <c r="B670" s="812" t="s">
        <v>1599</v>
      </c>
      <c r="C670" s="812"/>
      <c r="N670" s="807"/>
      <c r="O670" s="808"/>
      <c r="P670" s="807"/>
      <c r="Q670" s="808"/>
    </row>
    <row r="671" spans="1:17" s="658" customFormat="1" ht="14.25" customHeight="1">
      <c r="A671" t="str">
        <f t="shared" si="2"/>
        <v>5072</v>
      </c>
      <c r="B671" s="812" t="s">
        <v>1601</v>
      </c>
      <c r="C671" s="812"/>
      <c r="N671" s="807"/>
      <c r="O671" s="808"/>
      <c r="P671" s="807"/>
      <c r="Q671" s="808"/>
    </row>
    <row r="672" spans="1:17" s="658" customFormat="1" ht="14.25" customHeight="1">
      <c r="A672" t="str">
        <f t="shared" si="2"/>
        <v>5074</v>
      </c>
      <c r="B672" s="812" t="s">
        <v>1603</v>
      </c>
      <c r="C672" s="812"/>
      <c r="N672" s="807"/>
      <c r="O672" s="808"/>
      <c r="P672" s="807"/>
      <c r="Q672" s="808"/>
    </row>
    <row r="673" spans="1:17" s="658" customFormat="1" ht="14.25" customHeight="1">
      <c r="A673" t="str">
        <f t="shared" si="2"/>
        <v>5075</v>
      </c>
      <c r="B673" s="812" t="s">
        <v>1605</v>
      </c>
      <c r="C673" s="812"/>
      <c r="N673" s="807"/>
      <c r="O673" s="808"/>
      <c r="P673" s="807"/>
      <c r="Q673" s="808"/>
    </row>
    <row r="674" spans="1:17" s="658" customFormat="1" ht="14.25" customHeight="1">
      <c r="A674" t="str">
        <f t="shared" si="2"/>
        <v>5078</v>
      </c>
      <c r="B674" s="812" t="s">
        <v>1607</v>
      </c>
      <c r="C674" s="812"/>
      <c r="N674" s="807"/>
      <c r="O674" s="808"/>
      <c r="P674" s="807"/>
      <c r="Q674" s="808"/>
    </row>
    <row r="675" spans="1:17" s="658" customFormat="1" ht="14.25" customHeight="1">
      <c r="A675" t="str">
        <f t="shared" si="2"/>
        <v>5082</v>
      </c>
      <c r="B675" s="812" t="s">
        <v>1609</v>
      </c>
      <c r="C675" s="812"/>
      <c r="N675" s="807"/>
      <c r="O675" s="808"/>
      <c r="P675" s="807"/>
      <c r="Q675" s="808"/>
    </row>
    <row r="676" spans="1:17" s="658" customFormat="1" ht="14.25" customHeight="1">
      <c r="A676" t="str">
        <f t="shared" si="2"/>
        <v>5083</v>
      </c>
      <c r="B676" s="812" t="s">
        <v>1611</v>
      </c>
      <c r="C676" s="812"/>
      <c r="N676" s="807"/>
      <c r="O676" s="808"/>
      <c r="P676" s="807"/>
      <c r="Q676" s="808"/>
    </row>
    <row r="677" spans="1:17" s="658" customFormat="1" ht="14.25" customHeight="1">
      <c r="A677" t="str">
        <f t="shared" si="2"/>
        <v>5084</v>
      </c>
      <c r="B677" s="812" t="s">
        <v>1613</v>
      </c>
      <c r="C677" s="812"/>
      <c r="N677" s="807"/>
      <c r="O677" s="808"/>
      <c r="P677" s="807"/>
      <c r="Q677" s="808"/>
    </row>
    <row r="678" spans="1:17" s="658" customFormat="1" ht="14.25" customHeight="1">
      <c r="A678" t="str">
        <f t="shared" si="2"/>
        <v>5085</v>
      </c>
      <c r="B678" s="812" t="s">
        <v>1615</v>
      </c>
      <c r="C678" s="812"/>
      <c r="N678" s="807"/>
      <c r="O678" s="808"/>
      <c r="P678" s="807"/>
      <c r="Q678" s="808"/>
    </row>
    <row r="679" spans="1:17" s="658" customFormat="1" ht="14.25" customHeight="1">
      <c r="A679" t="str">
        <f t="shared" si="2"/>
        <v>5087</v>
      </c>
      <c r="B679" s="812" t="s">
        <v>1617</v>
      </c>
      <c r="C679" s="812"/>
      <c r="N679" s="807"/>
      <c r="O679" s="808"/>
      <c r="P679" s="807"/>
      <c r="Q679" s="808"/>
    </row>
    <row r="680" spans="1:17" s="658" customFormat="1" ht="14.25" customHeight="1">
      <c r="A680" t="str">
        <f t="shared" si="2"/>
        <v>5088</v>
      </c>
      <c r="B680" s="812" t="s">
        <v>1619</v>
      </c>
      <c r="C680" s="812"/>
      <c r="N680" s="807"/>
      <c r="O680" s="808"/>
      <c r="P680" s="807"/>
      <c r="Q680" s="808"/>
    </row>
    <row r="681" spans="1:17" s="658" customFormat="1" ht="14.25" customHeight="1">
      <c r="A681" t="str">
        <f t="shared" si="2"/>
        <v>5091</v>
      </c>
      <c r="B681" s="812" t="s">
        <v>1621</v>
      </c>
      <c r="C681" s="812"/>
      <c r="N681" s="807"/>
      <c r="O681" s="808"/>
      <c r="P681" s="807"/>
      <c r="Q681" s="808"/>
    </row>
    <row r="682" spans="1:17" s="658" customFormat="1" ht="14.25" customHeight="1">
      <c r="A682" t="str">
        <f t="shared" si="2"/>
        <v>5092</v>
      </c>
      <c r="B682" s="812" t="s">
        <v>1623</v>
      </c>
      <c r="C682" s="812"/>
      <c r="N682" s="807"/>
      <c r="O682" s="808"/>
      <c r="P682" s="807"/>
      <c r="Q682" s="808"/>
    </row>
    <row r="683" spans="1:17" s="658" customFormat="1" ht="14.25" customHeight="1">
      <c r="A683" t="str">
        <f t="shared" si="2"/>
        <v>5093</v>
      </c>
      <c r="B683" s="812" t="s">
        <v>1625</v>
      </c>
      <c r="C683" s="812"/>
      <c r="N683" s="807"/>
      <c r="O683" s="808"/>
      <c r="P683" s="807"/>
      <c r="Q683" s="808"/>
    </row>
    <row r="684" spans="1:17" s="658" customFormat="1" ht="14.25" customHeight="1">
      <c r="A684" t="str">
        <f t="shared" si="2"/>
        <v>5094</v>
      </c>
      <c r="B684" s="812" t="s">
        <v>1627</v>
      </c>
      <c r="C684" s="812"/>
      <c r="N684" s="807"/>
      <c r="O684" s="808"/>
      <c r="P684" s="807"/>
      <c r="Q684" s="808"/>
    </row>
    <row r="685" spans="1:17" s="658" customFormat="1" ht="14.25" customHeight="1">
      <c r="A685" t="str">
        <f t="shared" si="2"/>
        <v>5099</v>
      </c>
      <c r="B685" s="812" t="s">
        <v>1629</v>
      </c>
      <c r="C685" s="812"/>
      <c r="N685" s="807"/>
      <c r="O685" s="808"/>
      <c r="P685" s="807"/>
      <c r="Q685" s="808"/>
    </row>
    <row r="686" spans="1:17" s="658" customFormat="1" ht="14.25" customHeight="1">
      <c r="A686" t="str">
        <f t="shared" si="2"/>
        <v>5111</v>
      </c>
      <c r="B686" s="812" t="s">
        <v>1633</v>
      </c>
      <c r="C686" s="812"/>
      <c r="N686" s="807"/>
      <c r="O686" s="808"/>
      <c r="P686" s="807"/>
      <c r="Q686" s="808"/>
    </row>
    <row r="687" spans="1:17" s="658" customFormat="1" ht="14.25" customHeight="1">
      <c r="A687" t="str">
        <f t="shared" si="2"/>
        <v>5112</v>
      </c>
      <c r="B687" s="812" t="s">
        <v>1635</v>
      </c>
      <c r="C687" s="812"/>
      <c r="N687" s="807"/>
      <c r="O687" s="808"/>
      <c r="P687" s="807"/>
      <c r="Q687" s="808"/>
    </row>
    <row r="688" spans="1:17" s="658" customFormat="1" ht="14.25" customHeight="1">
      <c r="A688" t="str">
        <f t="shared" si="2"/>
        <v>5113</v>
      </c>
      <c r="B688" s="812" t="s">
        <v>1637</v>
      </c>
      <c r="C688" s="812"/>
      <c r="N688" s="807"/>
      <c r="O688" s="808"/>
      <c r="P688" s="807"/>
      <c r="Q688" s="808"/>
    </row>
    <row r="689" spans="1:23" s="658" customFormat="1" ht="14.25" customHeight="1">
      <c r="A689" t="str">
        <f t="shared" si="2"/>
        <v>5122</v>
      </c>
      <c r="B689" s="812" t="s">
        <v>1639</v>
      </c>
      <c r="C689" s="812"/>
      <c r="I689" s="808"/>
      <c r="N689" s="807"/>
      <c r="O689" s="808"/>
      <c r="P689" s="807"/>
      <c r="Q689" s="808"/>
      <c r="U689" s="808"/>
      <c r="V689" s="808"/>
      <c r="W689" s="808"/>
    </row>
    <row r="690" spans="1:23" s="658" customFormat="1" ht="14.25" customHeight="1">
      <c r="A690" t="str">
        <f t="shared" si="2"/>
        <v>5131</v>
      </c>
      <c r="B690" s="812" t="s">
        <v>1641</v>
      </c>
      <c r="C690" s="812"/>
      <c r="N690" s="807"/>
      <c r="O690" s="808"/>
      <c r="P690" s="807"/>
      <c r="Q690" s="808"/>
    </row>
    <row r="691" spans="1:23" s="658" customFormat="1" ht="14.25" customHeight="1">
      <c r="A691" t="str">
        <f t="shared" si="2"/>
        <v>5136</v>
      </c>
      <c r="B691" s="812" t="s">
        <v>1643</v>
      </c>
      <c r="C691" s="812"/>
      <c r="N691" s="807"/>
      <c r="O691" s="808"/>
      <c r="P691" s="807"/>
      <c r="Q691" s="808"/>
    </row>
    <row r="692" spans="1:23" s="658" customFormat="1" ht="14.25" customHeight="1">
      <c r="A692" t="str">
        <f t="shared" si="2"/>
        <v>5137</v>
      </c>
      <c r="B692" s="812" t="s">
        <v>1645</v>
      </c>
      <c r="C692" s="812"/>
      <c r="N692" s="807"/>
      <c r="O692" s="808"/>
      <c r="P692" s="807"/>
      <c r="Q692" s="808"/>
    </row>
    <row r="693" spans="1:23" s="658" customFormat="1" ht="14.25" customHeight="1">
      <c r="A693" t="str">
        <f t="shared" si="2"/>
        <v>5139</v>
      </c>
      <c r="B693" s="812" t="s">
        <v>1647</v>
      </c>
      <c r="C693" s="812"/>
      <c r="N693" s="807"/>
      <c r="O693" s="808"/>
      <c r="P693" s="807"/>
      <c r="Q693" s="808"/>
    </row>
    <row r="694" spans="1:23" s="658" customFormat="1" ht="14.25" customHeight="1">
      <c r="A694" t="str">
        <f t="shared" si="2"/>
        <v>5141</v>
      </c>
      <c r="B694" s="812" t="s">
        <v>1649</v>
      </c>
      <c r="C694" s="812"/>
      <c r="N694" s="807"/>
      <c r="O694" s="808"/>
      <c r="P694" s="807"/>
      <c r="Q694" s="808"/>
    </row>
    <row r="695" spans="1:23" s="658" customFormat="1" ht="14.25" customHeight="1">
      <c r="A695" t="str">
        <f t="shared" si="2"/>
        <v>5142</v>
      </c>
      <c r="B695" s="812" t="s">
        <v>1651</v>
      </c>
      <c r="C695" s="812"/>
      <c r="N695" s="807"/>
      <c r="O695" s="808"/>
      <c r="P695" s="807"/>
      <c r="Q695" s="808"/>
    </row>
    <row r="696" spans="1:23" s="658" customFormat="1" ht="14.25" customHeight="1">
      <c r="A696" t="str">
        <f t="shared" si="2"/>
        <v>5143</v>
      </c>
      <c r="B696" s="812" t="s">
        <v>1653</v>
      </c>
      <c r="C696" s="812"/>
      <c r="N696" s="807"/>
      <c r="O696" s="808"/>
      <c r="P696" s="807"/>
      <c r="Q696" s="808"/>
    </row>
    <row r="697" spans="1:23" s="658" customFormat="1" ht="14.25" customHeight="1">
      <c r="A697" t="str">
        <f t="shared" si="2"/>
        <v>5144</v>
      </c>
      <c r="B697" s="812" t="s">
        <v>1655</v>
      </c>
      <c r="C697" s="812"/>
      <c r="N697" s="807"/>
      <c r="O697" s="808"/>
      <c r="P697" s="807"/>
      <c r="Q697" s="808"/>
    </row>
    <row r="698" spans="1:23" s="658" customFormat="1" ht="14.25" customHeight="1">
      <c r="A698" t="str">
        <f t="shared" si="2"/>
        <v>5145</v>
      </c>
      <c r="B698" s="812" t="s">
        <v>1657</v>
      </c>
      <c r="C698" s="812"/>
      <c r="N698" s="807"/>
      <c r="O698" s="808"/>
      <c r="P698" s="807"/>
      <c r="Q698" s="808"/>
    </row>
    <row r="699" spans="1:23" s="658" customFormat="1" ht="14.25" customHeight="1">
      <c r="A699" t="str">
        <f t="shared" si="2"/>
        <v>5146</v>
      </c>
      <c r="B699" s="812" t="s">
        <v>1659</v>
      </c>
      <c r="C699" s="812"/>
      <c r="N699" s="807"/>
      <c r="O699" s="808"/>
      <c r="P699" s="807"/>
      <c r="Q699" s="808"/>
    </row>
    <row r="700" spans="1:23" s="658" customFormat="1" ht="14.25" customHeight="1">
      <c r="A700" t="str">
        <f t="shared" si="2"/>
        <v>5147</v>
      </c>
      <c r="B700" s="812" t="s">
        <v>1661</v>
      </c>
      <c r="C700" s="812"/>
      <c r="N700" s="807"/>
      <c r="O700" s="808"/>
      <c r="P700" s="807"/>
      <c r="Q700" s="808"/>
    </row>
    <row r="701" spans="1:23" s="658" customFormat="1" ht="14.25" customHeight="1">
      <c r="A701" t="str">
        <f t="shared" si="2"/>
        <v>5148</v>
      </c>
      <c r="B701" s="812" t="s">
        <v>1663</v>
      </c>
      <c r="C701" s="812"/>
      <c r="N701" s="807"/>
      <c r="O701" s="808"/>
      <c r="P701" s="807"/>
      <c r="Q701" s="808"/>
    </row>
    <row r="702" spans="1:23" s="658" customFormat="1" ht="14.25" customHeight="1">
      <c r="A702" t="str">
        <f t="shared" si="2"/>
        <v>5149</v>
      </c>
      <c r="B702" s="812" t="s">
        <v>1665</v>
      </c>
      <c r="C702" s="812"/>
      <c r="N702" s="807"/>
      <c r="O702" s="808"/>
      <c r="P702" s="807"/>
      <c r="Q702" s="808"/>
    </row>
    <row r="703" spans="1:23" s="658" customFormat="1" ht="14.25" customHeight="1">
      <c r="A703" t="str">
        <f t="shared" si="2"/>
        <v>5153</v>
      </c>
      <c r="B703" s="812" t="s">
        <v>1667</v>
      </c>
      <c r="C703" s="812"/>
      <c r="N703" s="807"/>
      <c r="O703" s="808"/>
      <c r="P703" s="807"/>
      <c r="Q703" s="808"/>
    </row>
    <row r="704" spans="1:23" s="658" customFormat="1" ht="14.25" customHeight="1">
      <c r="A704" t="str">
        <f t="shared" si="2"/>
        <v>5154</v>
      </c>
      <c r="B704" s="812" t="s">
        <v>1669</v>
      </c>
      <c r="C704" s="812"/>
      <c r="N704" s="807"/>
      <c r="O704" s="808"/>
      <c r="P704" s="807"/>
      <c r="Q704" s="808"/>
    </row>
    <row r="705" spans="1:23" s="658" customFormat="1" ht="14.25" customHeight="1">
      <c r="A705" t="str">
        <f t="shared" si="2"/>
        <v>5159</v>
      </c>
      <c r="B705" s="812" t="s">
        <v>1671</v>
      </c>
      <c r="C705" s="812"/>
      <c r="N705" s="807"/>
      <c r="O705" s="808"/>
      <c r="P705" s="807"/>
      <c r="Q705" s="808"/>
    </row>
    <row r="706" spans="1:23" s="658" customFormat="1" ht="14.25" customHeight="1">
      <c r="A706" t="str">
        <f t="shared" si="2"/>
        <v>5162</v>
      </c>
      <c r="B706" s="812" t="s">
        <v>1673</v>
      </c>
      <c r="C706" s="812"/>
      <c r="I706" s="808"/>
      <c r="N706" s="807"/>
      <c r="O706" s="808"/>
      <c r="P706" s="807"/>
      <c r="Q706" s="808"/>
      <c r="U706" s="808"/>
      <c r="V706" s="808"/>
      <c r="W706" s="808"/>
    </row>
    <row r="707" spans="1:23" s="658" customFormat="1" ht="14.25" customHeight="1">
      <c r="A707" t="str">
        <f t="shared" si="2"/>
        <v>5169</v>
      </c>
      <c r="B707" s="812" t="s">
        <v>1675</v>
      </c>
      <c r="C707" s="812"/>
      <c r="I707" s="808"/>
      <c r="N707" s="807"/>
      <c r="O707" s="808"/>
      <c r="P707" s="807"/>
      <c r="Q707" s="808"/>
      <c r="U707" s="808"/>
      <c r="V707" s="808"/>
      <c r="W707" s="808"/>
    </row>
    <row r="708" spans="1:23" s="658" customFormat="1" ht="14.25" customHeight="1">
      <c r="A708" t="str">
        <f t="shared" si="2"/>
        <v>5171</v>
      </c>
      <c r="B708" s="812" t="s">
        <v>1677</v>
      </c>
      <c r="C708" s="812"/>
      <c r="I708" s="808"/>
      <c r="N708" s="807"/>
      <c r="O708" s="808"/>
      <c r="P708" s="807"/>
      <c r="Q708" s="808"/>
      <c r="U708" s="808"/>
      <c r="V708" s="808"/>
      <c r="W708" s="808"/>
    </row>
    <row r="709" spans="1:23" s="658" customFormat="1" ht="14.25" customHeight="1">
      <c r="A709" t="str">
        <f t="shared" si="2"/>
        <v>5172</v>
      </c>
      <c r="B709" s="812" t="s">
        <v>1679</v>
      </c>
      <c r="C709" s="812"/>
      <c r="I709" s="808"/>
      <c r="N709" s="807"/>
      <c r="O709" s="808"/>
      <c r="P709" s="807"/>
      <c r="Q709" s="808"/>
      <c r="U709" s="808"/>
      <c r="V709" s="808"/>
      <c r="W709" s="808"/>
    </row>
    <row r="710" spans="1:23" s="658" customFormat="1" ht="14.25" customHeight="1">
      <c r="A710" t="str">
        <f t="shared" si="2"/>
        <v>5181</v>
      </c>
      <c r="B710" s="812" t="s">
        <v>1681</v>
      </c>
      <c r="C710" s="812"/>
      <c r="I710" s="808"/>
      <c r="N710" s="807"/>
      <c r="O710" s="808"/>
      <c r="P710" s="807"/>
      <c r="Q710" s="808"/>
      <c r="U710" s="808"/>
      <c r="V710" s="808"/>
      <c r="W710" s="808"/>
    </row>
    <row r="711" spans="1:23" s="658" customFormat="1" ht="14.25" customHeight="1">
      <c r="A711" t="str">
        <f t="shared" si="2"/>
        <v>5182</v>
      </c>
      <c r="B711" s="812" t="s">
        <v>1683</v>
      </c>
      <c r="C711" s="812"/>
      <c r="I711" s="808"/>
      <c r="N711" s="807"/>
      <c r="O711" s="808"/>
      <c r="P711" s="807"/>
      <c r="Q711" s="808"/>
      <c r="U711" s="808"/>
      <c r="V711" s="808"/>
      <c r="W711" s="808"/>
    </row>
    <row r="712" spans="1:23" s="658" customFormat="1" ht="14.25" customHeight="1">
      <c r="A712" t="str">
        <f t="shared" si="2"/>
        <v>5191</v>
      </c>
      <c r="B712" s="812" t="s">
        <v>1685</v>
      </c>
      <c r="C712" s="812"/>
      <c r="N712" s="807"/>
      <c r="O712" s="808"/>
      <c r="P712" s="807"/>
      <c r="Q712" s="808"/>
    </row>
    <row r="713" spans="1:23" s="658" customFormat="1" ht="14.25" customHeight="1">
      <c r="A713" t="str">
        <f t="shared" si="2"/>
        <v>5192</v>
      </c>
      <c r="B713" s="812" t="s">
        <v>1687</v>
      </c>
      <c r="C713" s="812"/>
      <c r="N713" s="807"/>
      <c r="O713" s="808"/>
      <c r="P713" s="807"/>
      <c r="Q713" s="808"/>
    </row>
    <row r="714" spans="1:23" s="658" customFormat="1" ht="14.25" customHeight="1">
      <c r="A714" t="str">
        <f t="shared" si="2"/>
        <v>5193</v>
      </c>
      <c r="B714" s="812" t="s">
        <v>1689</v>
      </c>
      <c r="C714" s="812"/>
      <c r="N714" s="807"/>
      <c r="O714" s="808"/>
      <c r="P714" s="807"/>
      <c r="Q714" s="808"/>
    </row>
    <row r="715" spans="1:23" s="658" customFormat="1" ht="14.25" customHeight="1">
      <c r="A715" t="str">
        <f t="shared" si="2"/>
        <v>5194</v>
      </c>
      <c r="B715" s="812" t="s">
        <v>1691</v>
      </c>
      <c r="C715" s="812"/>
      <c r="I715" s="808"/>
      <c r="N715" s="807"/>
      <c r="O715" s="808"/>
      <c r="P715" s="807"/>
      <c r="Q715" s="808"/>
      <c r="U715" s="808"/>
      <c r="V715" s="808"/>
      <c r="W715" s="808"/>
    </row>
    <row r="716" spans="1:23" s="658" customFormat="1" ht="14.25" customHeight="1">
      <c r="A716" t="str">
        <f t="shared" si="2"/>
        <v>5198</v>
      </c>
      <c r="B716" s="812" t="s">
        <v>1693</v>
      </c>
      <c r="C716" s="812"/>
      <c r="N716" s="807"/>
      <c r="O716" s="808"/>
      <c r="P716" s="807"/>
      <c r="Q716" s="808"/>
    </row>
    <row r="717" spans="1:23" s="658" customFormat="1" ht="14.25" customHeight="1">
      <c r="A717" t="str">
        <f t="shared" si="2"/>
        <v>5199</v>
      </c>
      <c r="B717" s="812" t="s">
        <v>1695</v>
      </c>
      <c r="C717" s="812"/>
      <c r="N717" s="807"/>
      <c r="O717" s="808"/>
      <c r="P717" s="807"/>
      <c r="Q717" s="808"/>
    </row>
    <row r="718" spans="1:23" s="658" customFormat="1" ht="14.25" customHeight="1">
      <c r="A718" t="str">
        <f t="shared" si="2"/>
        <v>5211</v>
      </c>
      <c r="B718" s="812" t="s">
        <v>1701</v>
      </c>
      <c r="C718" s="812"/>
      <c r="N718" s="807"/>
      <c r="O718" s="808"/>
      <c r="P718" s="807"/>
      <c r="Q718" s="808"/>
    </row>
    <row r="719" spans="1:23" s="658" customFormat="1" ht="14.25" customHeight="1">
      <c r="A719" t="str">
        <f t="shared" si="2"/>
        <v>5231</v>
      </c>
      <c r="B719" s="812" t="s">
        <v>1703</v>
      </c>
      <c r="C719" s="812"/>
      <c r="N719" s="807"/>
      <c r="O719" s="808"/>
      <c r="P719" s="807"/>
      <c r="Q719" s="808"/>
    </row>
    <row r="720" spans="1:23" s="658" customFormat="1" ht="14.25" customHeight="1">
      <c r="A720" t="str">
        <f t="shared" si="2"/>
        <v>5251</v>
      </c>
      <c r="B720" s="812" t="s">
        <v>1705</v>
      </c>
      <c r="C720" s="812"/>
      <c r="N720" s="807"/>
      <c r="O720" s="808"/>
      <c r="P720" s="807"/>
      <c r="Q720" s="808"/>
    </row>
    <row r="721" spans="1:23" s="658" customFormat="1" ht="14.25" customHeight="1">
      <c r="A721" t="str">
        <f t="shared" si="2"/>
        <v>5261</v>
      </c>
      <c r="B721" s="812" t="s">
        <v>1707</v>
      </c>
      <c r="C721" s="812"/>
      <c r="N721" s="807"/>
      <c r="O721" s="808"/>
      <c r="P721" s="807"/>
      <c r="Q721" s="808"/>
    </row>
    <row r="722" spans="1:23" s="658" customFormat="1" ht="14.25" customHeight="1">
      <c r="A722" t="str">
        <f t="shared" si="2"/>
        <v>5271</v>
      </c>
      <c r="B722" s="812" t="s">
        <v>1709</v>
      </c>
      <c r="C722" s="812"/>
      <c r="N722" s="807"/>
      <c r="O722" s="808"/>
      <c r="P722" s="807"/>
      <c r="Q722" s="808"/>
    </row>
    <row r="723" spans="1:23" s="658" customFormat="1" ht="14.25" customHeight="1">
      <c r="A723" t="str">
        <f t="shared" si="2"/>
        <v>5311</v>
      </c>
      <c r="B723" s="812" t="s">
        <v>1713</v>
      </c>
      <c r="C723" s="812"/>
      <c r="N723" s="807"/>
      <c r="O723" s="808"/>
      <c r="P723" s="807"/>
      <c r="Q723" s="808"/>
    </row>
    <row r="724" spans="1:23" s="658" customFormat="1" ht="14.25" customHeight="1">
      <c r="A724" t="str">
        <f t="shared" si="2"/>
        <v>5331</v>
      </c>
      <c r="B724" s="812" t="s">
        <v>1715</v>
      </c>
      <c r="C724" s="812"/>
      <c r="N724" s="807"/>
      <c r="O724" s="808"/>
      <c r="P724" s="807"/>
      <c r="Q724" s="808"/>
    </row>
    <row r="725" spans="1:23" s="658" customFormat="1" ht="14.25" customHeight="1">
      <c r="A725" t="str">
        <f t="shared" si="2"/>
        <v>5399</v>
      </c>
      <c r="B725" s="812" t="s">
        <v>1717</v>
      </c>
      <c r="C725" s="812"/>
      <c r="N725" s="807"/>
      <c r="O725" s="808"/>
      <c r="P725" s="807"/>
      <c r="Q725" s="808"/>
    </row>
    <row r="726" spans="1:23" s="658" customFormat="1" ht="14.25" customHeight="1">
      <c r="A726" t="str">
        <f t="shared" si="2"/>
        <v>5411</v>
      </c>
      <c r="B726" s="812" t="s">
        <v>1721</v>
      </c>
      <c r="C726" s="812"/>
      <c r="N726" s="807"/>
      <c r="O726" s="808"/>
      <c r="P726" s="807"/>
      <c r="Q726" s="808"/>
    </row>
    <row r="727" spans="1:23" s="658" customFormat="1" ht="14.25" customHeight="1">
      <c r="A727" t="str">
        <f t="shared" si="2"/>
        <v>5421</v>
      </c>
      <c r="B727" s="812" t="s">
        <v>1723</v>
      </c>
      <c r="C727" s="812"/>
      <c r="N727" s="807"/>
      <c r="O727" s="808"/>
      <c r="P727" s="807"/>
      <c r="Q727" s="808"/>
    </row>
    <row r="728" spans="1:23" s="658" customFormat="1" ht="14.25" customHeight="1">
      <c r="A728" t="str">
        <f t="shared" si="2"/>
        <v>5431</v>
      </c>
      <c r="B728" s="812" t="s">
        <v>1725</v>
      </c>
      <c r="C728" s="812"/>
      <c r="N728" s="807"/>
      <c r="O728" s="808"/>
      <c r="P728" s="807"/>
      <c r="Q728" s="808"/>
    </row>
    <row r="729" spans="1:23" s="658" customFormat="1" ht="14.25" customHeight="1">
      <c r="A729" t="str">
        <f t="shared" si="2"/>
        <v>5441</v>
      </c>
      <c r="B729" s="812" t="s">
        <v>1727</v>
      </c>
      <c r="C729" s="812"/>
      <c r="N729" s="807"/>
      <c r="O729" s="808"/>
      <c r="P729" s="807"/>
      <c r="Q729" s="808"/>
    </row>
    <row r="730" spans="1:23" s="658" customFormat="1" ht="14.25" customHeight="1">
      <c r="A730" t="str">
        <f t="shared" si="2"/>
        <v>5451</v>
      </c>
      <c r="B730" s="812" t="s">
        <v>1729</v>
      </c>
      <c r="C730" s="812"/>
      <c r="N730" s="807"/>
      <c r="O730" s="808"/>
      <c r="P730" s="807"/>
      <c r="Q730" s="808"/>
    </row>
    <row r="731" spans="1:23" s="658" customFormat="1" ht="14.25" customHeight="1">
      <c r="A731" t="str">
        <f t="shared" si="2"/>
        <v>5461</v>
      </c>
      <c r="B731" s="812" t="s">
        <v>1731</v>
      </c>
      <c r="C731" s="812"/>
      <c r="N731" s="807"/>
      <c r="O731" s="808"/>
      <c r="P731" s="807"/>
      <c r="Q731" s="808"/>
    </row>
    <row r="732" spans="1:23" s="658" customFormat="1" ht="14.25" customHeight="1">
      <c r="A732" t="str">
        <f t="shared" si="2"/>
        <v>5499</v>
      </c>
      <c r="B732" s="812" t="s">
        <v>1733</v>
      </c>
      <c r="C732" s="812"/>
      <c r="N732" s="807"/>
      <c r="O732" s="808"/>
      <c r="P732" s="807"/>
      <c r="Q732" s="808"/>
    </row>
    <row r="733" spans="1:23" s="658" customFormat="1" ht="14.25" customHeight="1">
      <c r="A733" t="str">
        <f t="shared" si="2"/>
        <v>5511</v>
      </c>
      <c r="B733" s="812" t="s">
        <v>1737</v>
      </c>
      <c r="C733" s="812"/>
      <c r="I733" s="810"/>
      <c r="N733" s="807"/>
      <c r="O733" s="808"/>
      <c r="P733" s="807"/>
      <c r="Q733" s="808"/>
      <c r="U733" s="810"/>
      <c r="V733" s="810"/>
      <c r="W733" s="810"/>
    </row>
    <row r="734" spans="1:23" s="658" customFormat="1" ht="14.25" customHeight="1">
      <c r="A734" t="str">
        <f t="shared" si="2"/>
        <v>5521</v>
      </c>
      <c r="B734" s="812" t="s">
        <v>1739</v>
      </c>
      <c r="C734" s="812"/>
      <c r="I734" s="810"/>
      <c r="N734" s="807"/>
      <c r="O734" s="808"/>
      <c r="P734" s="807"/>
      <c r="Q734" s="808"/>
      <c r="U734" s="810"/>
      <c r="V734" s="810"/>
      <c r="W734" s="810"/>
    </row>
    <row r="735" spans="1:23" s="658" customFormat="1" ht="14.25" customHeight="1">
      <c r="A735" t="str">
        <f t="shared" si="2"/>
        <v>5531</v>
      </c>
      <c r="B735" s="812" t="s">
        <v>1741</v>
      </c>
      <c r="C735" s="812"/>
      <c r="N735" s="807"/>
      <c r="O735" s="808"/>
      <c r="P735" s="807"/>
      <c r="Q735" s="808"/>
    </row>
    <row r="736" spans="1:23" s="658" customFormat="1" ht="14.25" customHeight="1">
      <c r="A736" t="str">
        <f t="shared" si="2"/>
        <v>5541</v>
      </c>
      <c r="B736" s="812" t="s">
        <v>1743</v>
      </c>
      <c r="C736" s="812"/>
      <c r="N736" s="807"/>
      <c r="O736" s="808"/>
      <c r="P736" s="807"/>
      <c r="Q736" s="808"/>
    </row>
    <row r="737" spans="1:17" s="658" customFormat="1" ht="14.25" customHeight="1">
      <c r="A737" t="str">
        <f t="shared" si="2"/>
        <v>5551</v>
      </c>
      <c r="B737" s="812" t="s">
        <v>1745</v>
      </c>
      <c r="C737" s="812"/>
      <c r="N737" s="807"/>
      <c r="O737" s="808"/>
      <c r="P737" s="807"/>
      <c r="Q737" s="808"/>
    </row>
    <row r="738" spans="1:17" s="658" customFormat="1" ht="14.25" customHeight="1">
      <c r="A738" t="str">
        <f t="shared" si="2"/>
        <v>5561</v>
      </c>
      <c r="B738" s="812" t="s">
        <v>1747</v>
      </c>
      <c r="C738" s="812"/>
      <c r="N738" s="807"/>
      <c r="O738" s="808"/>
      <c r="P738" s="807"/>
      <c r="Q738" s="808"/>
    </row>
    <row r="739" spans="1:17" s="658" customFormat="1" ht="14.25" customHeight="1">
      <c r="A739" t="str">
        <f t="shared" si="2"/>
        <v>5571</v>
      </c>
      <c r="B739" s="812" t="s">
        <v>1749</v>
      </c>
      <c r="C739" s="812"/>
      <c r="N739" s="807"/>
      <c r="O739" s="808"/>
      <c r="P739" s="807"/>
      <c r="Q739" s="808"/>
    </row>
    <row r="740" spans="1:17" s="658" customFormat="1" ht="14.25" customHeight="1">
      <c r="A740" t="str">
        <f t="shared" si="2"/>
        <v>5599</v>
      </c>
      <c r="B740" s="812" t="s">
        <v>1751</v>
      </c>
      <c r="C740" s="812"/>
      <c r="N740" s="807"/>
      <c r="O740" s="808"/>
      <c r="P740" s="807"/>
      <c r="Q740" s="808"/>
    </row>
    <row r="741" spans="1:17" s="658" customFormat="1" ht="14.25" customHeight="1">
      <c r="A741" t="str">
        <f t="shared" si="2"/>
        <v>5611</v>
      </c>
      <c r="B741" s="812" t="s">
        <v>1755</v>
      </c>
      <c r="C741" s="812"/>
      <c r="N741" s="807"/>
      <c r="O741" s="808"/>
      <c r="P741" s="807"/>
      <c r="Q741" s="808"/>
    </row>
    <row r="742" spans="1:17" s="658" customFormat="1" ht="14.25" customHeight="1">
      <c r="A742" t="str">
        <f t="shared" si="2"/>
        <v>5621</v>
      </c>
      <c r="B742" s="812" t="s">
        <v>1757</v>
      </c>
      <c r="C742" s="812"/>
      <c r="N742" s="807"/>
      <c r="O742" s="808"/>
      <c r="P742" s="807"/>
      <c r="Q742" s="808"/>
    </row>
    <row r="743" spans="1:17" s="658" customFormat="1" ht="14.25" customHeight="1">
      <c r="A743" t="str">
        <f t="shared" si="2"/>
        <v>5632</v>
      </c>
      <c r="B743" s="812" t="s">
        <v>1759</v>
      </c>
      <c r="C743" s="812"/>
      <c r="N743" s="807"/>
      <c r="O743" s="808"/>
      <c r="P743" s="807"/>
      <c r="Q743" s="808"/>
    </row>
    <row r="744" spans="1:17" s="658" customFormat="1" ht="14.25" customHeight="1">
      <c r="A744" t="str">
        <f t="shared" si="2"/>
        <v>5641</v>
      </c>
      <c r="B744" s="812" t="s">
        <v>1761</v>
      </c>
      <c r="C744" s="812"/>
      <c r="N744" s="807"/>
      <c r="O744" s="808"/>
      <c r="P744" s="807"/>
      <c r="Q744" s="808"/>
    </row>
    <row r="745" spans="1:17" s="658" customFormat="1" ht="14.25" customHeight="1">
      <c r="A745" t="str">
        <f t="shared" si="2"/>
        <v>5651</v>
      </c>
      <c r="B745" s="812" t="s">
        <v>1763</v>
      </c>
      <c r="C745" s="812"/>
      <c r="N745" s="807"/>
      <c r="O745" s="808"/>
      <c r="P745" s="807"/>
      <c r="Q745" s="808"/>
    </row>
    <row r="746" spans="1:17" s="658" customFormat="1" ht="14.25" customHeight="1">
      <c r="A746" t="str">
        <f t="shared" si="2"/>
        <v>5661</v>
      </c>
      <c r="B746" s="812" t="s">
        <v>1765</v>
      </c>
      <c r="C746" s="812"/>
      <c r="N746" s="807"/>
      <c r="O746" s="808"/>
      <c r="P746" s="807"/>
      <c r="Q746" s="808"/>
    </row>
    <row r="747" spans="1:17" s="658" customFormat="1" ht="14.25" customHeight="1">
      <c r="A747" t="str">
        <f t="shared" si="2"/>
        <v>5699</v>
      </c>
      <c r="B747" s="812" t="s">
        <v>1767</v>
      </c>
      <c r="C747" s="812"/>
      <c r="N747" s="807"/>
      <c r="O747" s="808"/>
      <c r="P747" s="807"/>
      <c r="Q747" s="808"/>
    </row>
    <row r="748" spans="1:17" s="658" customFormat="1" ht="14.25" customHeight="1">
      <c r="A748" t="str">
        <f t="shared" si="2"/>
        <v>5712</v>
      </c>
      <c r="B748" s="812" t="s">
        <v>1771</v>
      </c>
      <c r="C748" s="812"/>
      <c r="N748" s="807"/>
      <c r="O748" s="808"/>
      <c r="P748" s="807"/>
      <c r="Q748" s="808"/>
    </row>
    <row r="749" spans="1:17" s="658" customFormat="1" ht="14.25" customHeight="1">
      <c r="A749" t="str">
        <f t="shared" si="2"/>
        <v>5713</v>
      </c>
      <c r="B749" s="812" t="s">
        <v>1773</v>
      </c>
      <c r="C749" s="812"/>
      <c r="N749" s="807"/>
      <c r="O749" s="808"/>
      <c r="P749" s="807"/>
      <c r="Q749" s="808"/>
    </row>
    <row r="750" spans="1:17" s="658" customFormat="1" ht="14.25" customHeight="1">
      <c r="A750" t="str">
        <f t="shared" si="2"/>
        <v>5714</v>
      </c>
      <c r="B750" s="812" t="s">
        <v>1775</v>
      </c>
      <c r="C750" s="812"/>
      <c r="N750" s="807"/>
      <c r="O750" s="808"/>
      <c r="P750" s="807"/>
      <c r="Q750" s="808"/>
    </row>
    <row r="751" spans="1:17" s="658" customFormat="1" ht="14.25" customHeight="1">
      <c r="A751" t="str">
        <f t="shared" si="2"/>
        <v>5719</v>
      </c>
      <c r="B751" s="812" t="s">
        <v>1777</v>
      </c>
      <c r="C751" s="812"/>
      <c r="N751" s="807"/>
      <c r="O751" s="808"/>
      <c r="P751" s="807"/>
      <c r="Q751" s="808"/>
    </row>
    <row r="752" spans="1:17" s="658" customFormat="1" ht="14.25" customHeight="1">
      <c r="A752" t="str">
        <f t="shared" si="2"/>
        <v>5722</v>
      </c>
      <c r="B752" s="812" t="s">
        <v>1779</v>
      </c>
      <c r="C752" s="812"/>
      <c r="N752" s="807"/>
      <c r="O752" s="808"/>
      <c r="P752" s="807"/>
      <c r="Q752" s="808"/>
    </row>
    <row r="753" spans="1:17" s="658" customFormat="1" ht="14.25" customHeight="1">
      <c r="A753" t="str">
        <f t="shared" si="2"/>
        <v>5731</v>
      </c>
      <c r="B753" s="812" t="s">
        <v>1781</v>
      </c>
      <c r="C753" s="812"/>
      <c r="N753" s="807"/>
      <c r="O753" s="808"/>
      <c r="P753" s="807"/>
      <c r="Q753" s="808"/>
    </row>
    <row r="754" spans="1:17" s="658" customFormat="1" ht="14.25" customHeight="1">
      <c r="A754" t="str">
        <f t="shared" si="2"/>
        <v>5734</v>
      </c>
      <c r="B754" s="812" t="s">
        <v>1783</v>
      </c>
      <c r="C754" s="812"/>
      <c r="N754" s="807"/>
      <c r="O754" s="808"/>
      <c r="P754" s="807"/>
      <c r="Q754" s="808"/>
    </row>
    <row r="755" spans="1:17" s="658" customFormat="1" ht="14.25" customHeight="1">
      <c r="A755" t="str">
        <f t="shared" si="2"/>
        <v>5735</v>
      </c>
      <c r="B755" s="812" t="s">
        <v>1785</v>
      </c>
      <c r="C755" s="812"/>
      <c r="N755" s="807"/>
      <c r="O755" s="808"/>
      <c r="P755" s="807"/>
      <c r="Q755" s="808"/>
    </row>
    <row r="756" spans="1:17" s="658" customFormat="1" ht="14.25" customHeight="1">
      <c r="A756" t="str">
        <f t="shared" si="2"/>
        <v>5736</v>
      </c>
      <c r="B756" s="812" t="s">
        <v>1787</v>
      </c>
      <c r="C756" s="812"/>
      <c r="N756" s="807"/>
      <c r="O756" s="808"/>
      <c r="P756" s="807"/>
      <c r="Q756" s="808"/>
    </row>
    <row r="757" spans="1:17" s="658" customFormat="1" ht="14.25" customHeight="1">
      <c r="A757" t="str">
        <f t="shared" si="2"/>
        <v>5812</v>
      </c>
      <c r="B757" s="812" t="s">
        <v>1791</v>
      </c>
      <c r="C757" s="812"/>
      <c r="N757" s="807"/>
      <c r="O757" s="808"/>
      <c r="P757" s="807"/>
      <c r="Q757" s="808"/>
    </row>
    <row r="758" spans="1:17" s="658" customFormat="1" ht="14.25" customHeight="1">
      <c r="A758" t="str">
        <f t="shared" si="2"/>
        <v>5813</v>
      </c>
      <c r="B758" s="812" t="s">
        <v>1793</v>
      </c>
      <c r="C758" s="812"/>
      <c r="N758" s="807"/>
      <c r="O758" s="808"/>
      <c r="P758" s="807"/>
      <c r="Q758" s="808"/>
    </row>
    <row r="759" spans="1:17" s="658" customFormat="1" ht="14.25" customHeight="1">
      <c r="A759" t="str">
        <f t="shared" si="2"/>
        <v>5912</v>
      </c>
      <c r="B759" s="812" t="s">
        <v>1797</v>
      </c>
      <c r="C759" s="812"/>
      <c r="N759" s="807"/>
      <c r="O759" s="808"/>
      <c r="P759" s="807"/>
      <c r="Q759" s="808"/>
    </row>
    <row r="760" spans="1:17" s="658" customFormat="1" ht="14.25" customHeight="1">
      <c r="A760" t="str">
        <f t="shared" si="2"/>
        <v>5921</v>
      </c>
      <c r="B760" s="812" t="s">
        <v>1799</v>
      </c>
      <c r="C760" s="812"/>
      <c r="N760" s="807"/>
      <c r="O760" s="808"/>
      <c r="P760" s="807"/>
      <c r="Q760" s="808"/>
    </row>
    <row r="761" spans="1:17" s="658" customFormat="1" ht="14.25" customHeight="1">
      <c r="A761" t="str">
        <f t="shared" si="2"/>
        <v>5932</v>
      </c>
      <c r="B761" s="812" t="s">
        <v>1801</v>
      </c>
      <c r="C761" s="812"/>
      <c r="N761" s="807"/>
      <c r="O761" s="808"/>
      <c r="P761" s="807"/>
      <c r="Q761" s="808"/>
    </row>
    <row r="762" spans="1:17" s="658" customFormat="1" ht="14.25" customHeight="1">
      <c r="A762" t="str">
        <f t="shared" si="2"/>
        <v>5941</v>
      </c>
      <c r="B762" s="812" t="s">
        <v>1803</v>
      </c>
      <c r="C762" s="812"/>
      <c r="N762" s="807"/>
      <c r="O762" s="808"/>
      <c r="P762" s="807"/>
      <c r="Q762" s="808"/>
    </row>
    <row r="763" spans="1:17" s="658" customFormat="1" ht="14.25" customHeight="1">
      <c r="A763" t="str">
        <f t="shared" si="2"/>
        <v>5942</v>
      </c>
      <c r="B763" s="812" t="s">
        <v>1805</v>
      </c>
      <c r="C763" s="812"/>
      <c r="N763" s="807"/>
      <c r="O763" s="808"/>
      <c r="P763" s="807"/>
      <c r="Q763" s="808"/>
    </row>
    <row r="764" spans="1:17" s="658" customFormat="1" ht="14.25" customHeight="1">
      <c r="A764" t="str">
        <f t="shared" si="2"/>
        <v>5943</v>
      </c>
      <c r="B764" s="812" t="s">
        <v>1807</v>
      </c>
      <c r="C764" s="812"/>
      <c r="N764" s="807"/>
      <c r="O764" s="808"/>
      <c r="P764" s="807"/>
      <c r="Q764" s="808"/>
    </row>
    <row r="765" spans="1:17" s="658" customFormat="1" ht="14.25" customHeight="1">
      <c r="A765" t="str">
        <f t="shared" si="2"/>
        <v>5944</v>
      </c>
      <c r="B765" s="812" t="s">
        <v>1809</v>
      </c>
      <c r="C765" s="812"/>
      <c r="N765" s="807"/>
      <c r="O765" s="808"/>
      <c r="P765" s="807"/>
      <c r="Q765" s="808"/>
    </row>
    <row r="766" spans="1:17" s="658" customFormat="1" ht="14.25" customHeight="1">
      <c r="A766" t="str">
        <f t="shared" si="2"/>
        <v>5945</v>
      </c>
      <c r="B766" s="812" t="s">
        <v>1811</v>
      </c>
      <c r="C766" s="812"/>
      <c r="N766" s="807"/>
      <c r="O766" s="808"/>
      <c r="P766" s="807"/>
      <c r="Q766" s="808"/>
    </row>
    <row r="767" spans="1:17" s="658" customFormat="1" ht="14.25" customHeight="1">
      <c r="A767" t="str">
        <f t="shared" si="2"/>
        <v>5946</v>
      </c>
      <c r="B767" s="812" t="s">
        <v>1813</v>
      </c>
      <c r="C767" s="812"/>
      <c r="N767" s="807"/>
      <c r="O767" s="808"/>
      <c r="P767" s="807"/>
      <c r="Q767" s="808"/>
    </row>
    <row r="768" spans="1:17" s="658" customFormat="1" ht="14.25" customHeight="1">
      <c r="A768" t="str">
        <f t="shared" si="2"/>
        <v>5947</v>
      </c>
      <c r="B768" s="812" t="s">
        <v>1815</v>
      </c>
      <c r="C768" s="812"/>
      <c r="N768" s="807"/>
      <c r="O768" s="808"/>
      <c r="P768" s="807"/>
      <c r="Q768" s="808"/>
    </row>
    <row r="769" spans="1:17" s="658" customFormat="1" ht="14.25" customHeight="1">
      <c r="A769" t="str">
        <f t="shared" si="2"/>
        <v>5948</v>
      </c>
      <c r="B769" s="812" t="s">
        <v>1817</v>
      </c>
      <c r="C769" s="812"/>
      <c r="N769" s="807"/>
      <c r="O769" s="808"/>
      <c r="P769" s="807"/>
      <c r="Q769" s="808"/>
    </row>
    <row r="770" spans="1:17" s="658" customFormat="1" ht="14.25" customHeight="1">
      <c r="A770" t="str">
        <f t="shared" si="2"/>
        <v>5949</v>
      </c>
      <c r="B770" s="812" t="s">
        <v>1819</v>
      </c>
      <c r="C770" s="812"/>
      <c r="N770" s="807"/>
      <c r="O770" s="808"/>
      <c r="P770" s="807"/>
      <c r="Q770" s="808"/>
    </row>
    <row r="771" spans="1:17" s="658" customFormat="1" ht="14.25" customHeight="1">
      <c r="A771" t="str">
        <f t="shared" si="2"/>
        <v>5961</v>
      </c>
      <c r="B771" s="812" t="s">
        <v>1821</v>
      </c>
      <c r="C771" s="812"/>
      <c r="N771" s="807"/>
      <c r="O771" s="808"/>
      <c r="P771" s="807"/>
      <c r="Q771" s="808"/>
    </row>
    <row r="772" spans="1:17" s="658" customFormat="1" ht="14.25" customHeight="1">
      <c r="A772" t="str">
        <f t="shared" ref="A772:A1013" si="3">LEFT(B772,4)</f>
        <v>5962</v>
      </c>
      <c r="B772" s="812" t="s">
        <v>1823</v>
      </c>
      <c r="C772" s="812"/>
      <c r="N772" s="807"/>
      <c r="O772" s="808"/>
      <c r="P772" s="807"/>
      <c r="Q772" s="808"/>
    </row>
    <row r="773" spans="1:17" s="658" customFormat="1" ht="14.25" customHeight="1">
      <c r="A773" t="str">
        <f t="shared" si="3"/>
        <v>5963</v>
      </c>
      <c r="B773" s="812" t="s">
        <v>1825</v>
      </c>
      <c r="C773" s="812"/>
      <c r="N773" s="807"/>
      <c r="O773" s="808"/>
      <c r="P773" s="807"/>
      <c r="Q773" s="808"/>
    </row>
    <row r="774" spans="1:17" s="658" customFormat="1" ht="14.25" customHeight="1">
      <c r="A774" t="str">
        <f t="shared" si="3"/>
        <v>5983</v>
      </c>
      <c r="B774" s="812" t="s">
        <v>1827</v>
      </c>
      <c r="C774" s="812"/>
      <c r="N774" s="807"/>
      <c r="O774" s="808"/>
      <c r="P774" s="807"/>
      <c r="Q774" s="808"/>
    </row>
    <row r="775" spans="1:17" s="658" customFormat="1" ht="14.25" customHeight="1">
      <c r="A775" t="str">
        <f t="shared" si="3"/>
        <v>5984</v>
      </c>
      <c r="B775" s="812" t="s">
        <v>1829</v>
      </c>
      <c r="C775" s="812"/>
      <c r="N775" s="807"/>
      <c r="O775" s="808"/>
      <c r="P775" s="807"/>
      <c r="Q775" s="808"/>
    </row>
    <row r="776" spans="1:17" s="658" customFormat="1" ht="14.25" customHeight="1">
      <c r="A776" t="str">
        <f t="shared" si="3"/>
        <v>5989</v>
      </c>
      <c r="B776" s="812" t="s">
        <v>1831</v>
      </c>
      <c r="C776" s="812"/>
      <c r="N776" s="807"/>
      <c r="O776" s="808"/>
      <c r="P776" s="807"/>
      <c r="Q776" s="808"/>
    </row>
    <row r="777" spans="1:17" s="658" customFormat="1" ht="14.25" customHeight="1">
      <c r="A777" t="str">
        <f t="shared" si="3"/>
        <v>5992</v>
      </c>
      <c r="B777" s="812" t="s">
        <v>1833</v>
      </c>
      <c r="C777" s="812"/>
      <c r="N777" s="807"/>
      <c r="O777" s="808"/>
      <c r="P777" s="807"/>
      <c r="Q777" s="808"/>
    </row>
    <row r="778" spans="1:17" s="658" customFormat="1" ht="14.25" customHeight="1">
      <c r="A778" t="str">
        <f t="shared" si="3"/>
        <v>5993</v>
      </c>
      <c r="B778" s="812" t="s">
        <v>1835</v>
      </c>
      <c r="C778" s="812"/>
      <c r="N778" s="807"/>
      <c r="O778" s="808"/>
      <c r="P778" s="807"/>
      <c r="Q778" s="808"/>
    </row>
    <row r="779" spans="1:17" s="658" customFormat="1" ht="14.25" customHeight="1">
      <c r="A779" t="str">
        <f t="shared" si="3"/>
        <v>5994</v>
      </c>
      <c r="B779" s="812" t="s">
        <v>1837</v>
      </c>
      <c r="C779" s="812"/>
      <c r="N779" s="807"/>
      <c r="O779" s="808"/>
      <c r="P779" s="807"/>
      <c r="Q779" s="808"/>
    </row>
    <row r="780" spans="1:17" s="658" customFormat="1" ht="14.25" customHeight="1">
      <c r="A780" t="str">
        <f t="shared" si="3"/>
        <v>5995</v>
      </c>
      <c r="B780" s="812" t="s">
        <v>1839</v>
      </c>
      <c r="C780" s="812"/>
      <c r="N780" s="807"/>
      <c r="O780" s="808"/>
      <c r="P780" s="807"/>
      <c r="Q780" s="808"/>
    </row>
    <row r="781" spans="1:17" s="658" customFormat="1" ht="14.25" customHeight="1">
      <c r="A781" t="str">
        <f t="shared" si="3"/>
        <v>5999</v>
      </c>
      <c r="B781" s="812" t="s">
        <v>1841</v>
      </c>
      <c r="C781" s="812"/>
      <c r="N781" s="807"/>
      <c r="O781" s="808"/>
      <c r="P781" s="807"/>
      <c r="Q781" s="808"/>
    </row>
    <row r="782" spans="1:17" s="658" customFormat="1" ht="14.25" customHeight="1">
      <c r="A782" t="str">
        <f t="shared" si="3"/>
        <v>6011</v>
      </c>
      <c r="B782" s="812" t="s">
        <v>1847</v>
      </c>
      <c r="C782" s="814" t="s">
        <v>3782</v>
      </c>
      <c r="N782" s="807"/>
      <c r="O782" s="808"/>
      <c r="P782" s="807"/>
      <c r="Q782" s="808"/>
    </row>
    <row r="783" spans="1:17" s="658" customFormat="1" ht="14.25" customHeight="1">
      <c r="A783" t="str">
        <f t="shared" si="3"/>
        <v>6019</v>
      </c>
      <c r="B783" s="812" t="s">
        <v>1849</v>
      </c>
      <c r="C783" s="814" t="s">
        <v>3782</v>
      </c>
      <c r="N783" s="807"/>
      <c r="O783" s="808"/>
      <c r="P783" s="807"/>
      <c r="Q783" s="808"/>
    </row>
    <row r="784" spans="1:17" s="658" customFormat="1" ht="14.25" customHeight="1">
      <c r="A784" t="str">
        <f t="shared" si="3"/>
        <v>6021</v>
      </c>
      <c r="B784" s="812" t="s">
        <v>1851</v>
      </c>
      <c r="C784" s="814" t="s">
        <v>3782</v>
      </c>
      <c r="N784" s="807"/>
      <c r="O784" s="808"/>
      <c r="P784" s="807"/>
      <c r="Q784" s="808"/>
    </row>
    <row r="785" spans="1:17" s="658" customFormat="1" ht="14.25" customHeight="1">
      <c r="A785" t="str">
        <f t="shared" si="3"/>
        <v>6022</v>
      </c>
      <c r="B785" s="812" t="s">
        <v>1853</v>
      </c>
      <c r="C785" s="814" t="s">
        <v>3782</v>
      </c>
      <c r="N785" s="807"/>
      <c r="O785" s="808"/>
      <c r="P785" s="807"/>
      <c r="Q785" s="808"/>
    </row>
    <row r="786" spans="1:17" s="658" customFormat="1" ht="14.25" customHeight="1">
      <c r="A786" t="str">
        <f t="shared" si="3"/>
        <v>6029</v>
      </c>
      <c r="B786" s="812" t="s">
        <v>1855</v>
      </c>
      <c r="C786" s="814" t="s">
        <v>3782</v>
      </c>
      <c r="N786" s="807"/>
      <c r="O786" s="808"/>
      <c r="P786" s="807"/>
      <c r="Q786" s="808"/>
    </row>
    <row r="787" spans="1:17" s="658" customFormat="1" ht="14.25" customHeight="1">
      <c r="A787" t="str">
        <f t="shared" si="3"/>
        <v>6035</v>
      </c>
      <c r="B787" s="812" t="s">
        <v>1857</v>
      </c>
      <c r="C787" s="814" t="s">
        <v>3782</v>
      </c>
      <c r="N787" s="807"/>
      <c r="O787" s="808"/>
      <c r="P787" s="807"/>
      <c r="Q787" s="808"/>
    </row>
    <row r="788" spans="1:17" s="658" customFormat="1" ht="14.25" customHeight="1">
      <c r="A788" t="str">
        <f t="shared" si="3"/>
        <v>6036</v>
      </c>
      <c r="B788" s="812" t="s">
        <v>1859</v>
      </c>
      <c r="C788" s="814" t="s">
        <v>3782</v>
      </c>
      <c r="N788" s="807"/>
      <c r="O788" s="808"/>
      <c r="P788" s="807"/>
      <c r="Q788" s="808"/>
    </row>
    <row r="789" spans="1:17" s="658" customFormat="1" ht="14.25" customHeight="1">
      <c r="A789" t="str">
        <f t="shared" si="3"/>
        <v>6061</v>
      </c>
      <c r="B789" s="812" t="s">
        <v>1861</v>
      </c>
      <c r="C789" s="814" t="s">
        <v>3782</v>
      </c>
      <c r="N789" s="807"/>
      <c r="O789" s="808"/>
      <c r="P789" s="807"/>
      <c r="Q789" s="808"/>
    </row>
    <row r="790" spans="1:17" s="658" customFormat="1" ht="14.25" customHeight="1">
      <c r="A790" t="str">
        <f t="shared" si="3"/>
        <v>6062</v>
      </c>
      <c r="B790" s="812" t="s">
        <v>1863</v>
      </c>
      <c r="C790" s="814" t="s">
        <v>3782</v>
      </c>
      <c r="N790" s="807"/>
      <c r="O790" s="808"/>
      <c r="P790" s="807"/>
      <c r="Q790" s="808"/>
    </row>
    <row r="791" spans="1:17" s="658" customFormat="1" ht="14.25" customHeight="1">
      <c r="A791" t="str">
        <f t="shared" si="3"/>
        <v>6081</v>
      </c>
      <c r="B791" s="812" t="s">
        <v>1865</v>
      </c>
      <c r="C791" s="814" t="s">
        <v>3782</v>
      </c>
      <c r="N791" s="807"/>
      <c r="O791" s="808"/>
      <c r="P791" s="807"/>
      <c r="Q791" s="808"/>
    </row>
    <row r="792" spans="1:17" s="658" customFormat="1" ht="14.25" customHeight="1">
      <c r="A792" t="str">
        <f t="shared" si="3"/>
        <v>6082</v>
      </c>
      <c r="B792" s="812" t="s">
        <v>1867</v>
      </c>
      <c r="C792" s="814" t="s">
        <v>3782</v>
      </c>
      <c r="N792" s="807"/>
      <c r="O792" s="808"/>
      <c r="P792" s="807"/>
      <c r="Q792" s="808"/>
    </row>
    <row r="793" spans="1:17" s="658" customFormat="1" ht="14.25" customHeight="1">
      <c r="A793" t="str">
        <f t="shared" si="3"/>
        <v>6091</v>
      </c>
      <c r="B793" s="812" t="s">
        <v>1869</v>
      </c>
      <c r="C793" s="814" t="s">
        <v>3782</v>
      </c>
      <c r="N793" s="807"/>
      <c r="O793" s="808"/>
      <c r="P793" s="807"/>
      <c r="Q793" s="808"/>
    </row>
    <row r="794" spans="1:17" s="658" customFormat="1" ht="14.25" customHeight="1">
      <c r="A794" t="str">
        <f t="shared" si="3"/>
        <v>6099</v>
      </c>
      <c r="B794" s="812" t="s">
        <v>1871</v>
      </c>
      <c r="C794" s="814" t="s">
        <v>3782</v>
      </c>
      <c r="N794" s="807"/>
      <c r="O794" s="808"/>
      <c r="P794" s="807"/>
      <c r="Q794" s="808"/>
    </row>
    <row r="795" spans="1:17" s="658" customFormat="1" ht="14.25" customHeight="1">
      <c r="A795" t="str">
        <f t="shared" si="3"/>
        <v>6111</v>
      </c>
      <c r="B795" s="812" t="s">
        <v>1875</v>
      </c>
      <c r="C795" s="814" t="s">
        <v>3782</v>
      </c>
      <c r="N795" s="807"/>
      <c r="O795" s="808"/>
      <c r="P795" s="807"/>
      <c r="Q795" s="808"/>
    </row>
    <row r="796" spans="1:17" s="658" customFormat="1" ht="14.25" customHeight="1">
      <c r="A796" t="str">
        <f t="shared" si="3"/>
        <v>6141</v>
      </c>
      <c r="B796" s="812" t="s">
        <v>1877</v>
      </c>
      <c r="C796" s="814" t="s">
        <v>3782</v>
      </c>
      <c r="N796" s="807"/>
      <c r="O796" s="808"/>
      <c r="P796" s="807"/>
      <c r="Q796" s="808"/>
    </row>
    <row r="797" spans="1:17" s="658" customFormat="1" ht="14.25" customHeight="1">
      <c r="A797" t="str">
        <f t="shared" si="3"/>
        <v>6153</v>
      </c>
      <c r="B797" s="812" t="s">
        <v>1879</v>
      </c>
      <c r="C797" s="814" t="s">
        <v>3782</v>
      </c>
      <c r="N797" s="807"/>
      <c r="O797" s="808"/>
      <c r="P797" s="807"/>
      <c r="Q797" s="808"/>
    </row>
    <row r="798" spans="1:17" s="658" customFormat="1" ht="14.25" customHeight="1">
      <c r="A798" t="str">
        <f t="shared" si="3"/>
        <v>6159</v>
      </c>
      <c r="B798" s="812" t="s">
        <v>1881</v>
      </c>
      <c r="C798" s="814" t="s">
        <v>3782</v>
      </c>
      <c r="N798" s="807"/>
      <c r="O798" s="808"/>
      <c r="P798" s="807"/>
      <c r="Q798" s="808"/>
    </row>
    <row r="799" spans="1:17" s="658" customFormat="1" ht="14.25" customHeight="1">
      <c r="A799" t="str">
        <f t="shared" si="3"/>
        <v>6162</v>
      </c>
      <c r="B799" s="812" t="s">
        <v>1883</v>
      </c>
      <c r="C799" s="814" t="s">
        <v>3782</v>
      </c>
      <c r="N799" s="807"/>
      <c r="O799" s="808"/>
      <c r="P799" s="807"/>
      <c r="Q799" s="808"/>
    </row>
    <row r="800" spans="1:17" s="658" customFormat="1" ht="14.25" customHeight="1">
      <c r="A800" t="str">
        <f t="shared" si="3"/>
        <v>6163</v>
      </c>
      <c r="B800" s="812" t="s">
        <v>1885</v>
      </c>
      <c r="C800" s="814" t="s">
        <v>3782</v>
      </c>
      <c r="N800" s="807"/>
      <c r="O800" s="808"/>
      <c r="P800" s="807"/>
      <c r="Q800" s="808"/>
    </row>
    <row r="801" spans="1:23" s="658" customFormat="1" ht="14.25" customHeight="1">
      <c r="A801" t="str">
        <f t="shared" si="3"/>
        <v>6211</v>
      </c>
      <c r="B801" s="812" t="s">
        <v>1889</v>
      </c>
      <c r="C801" s="814" t="s">
        <v>3782</v>
      </c>
      <c r="N801" s="807"/>
      <c r="O801" s="808"/>
      <c r="P801" s="807"/>
      <c r="Q801" s="808"/>
    </row>
    <row r="802" spans="1:23" s="658" customFormat="1" ht="14.25" customHeight="1">
      <c r="A802" t="str">
        <f t="shared" si="3"/>
        <v>6221</v>
      </c>
      <c r="B802" s="812" t="s">
        <v>1891</v>
      </c>
      <c r="C802" s="814" t="s">
        <v>3782</v>
      </c>
      <c r="N802" s="807"/>
      <c r="O802" s="808"/>
      <c r="P802" s="807"/>
      <c r="Q802" s="808"/>
    </row>
    <row r="803" spans="1:23" s="658" customFormat="1" ht="14.25" customHeight="1">
      <c r="A803" t="str">
        <f t="shared" si="3"/>
        <v>6231</v>
      </c>
      <c r="B803" s="812" t="s">
        <v>1893</v>
      </c>
      <c r="C803" s="814" t="s">
        <v>3782</v>
      </c>
      <c r="N803" s="807"/>
      <c r="O803" s="808"/>
      <c r="P803" s="807"/>
      <c r="Q803" s="808"/>
    </row>
    <row r="804" spans="1:23" s="658" customFormat="1" ht="14.25" customHeight="1">
      <c r="A804" t="str">
        <f t="shared" si="3"/>
        <v>6280</v>
      </c>
      <c r="B804" s="812" t="s">
        <v>1895</v>
      </c>
      <c r="C804" s="814" t="s">
        <v>3782</v>
      </c>
      <c r="I804" s="810"/>
      <c r="N804" s="807"/>
      <c r="O804" s="808"/>
      <c r="P804" s="807"/>
      <c r="Q804" s="808"/>
      <c r="U804" s="810"/>
      <c r="V804" s="810"/>
      <c r="W804" s="810"/>
    </row>
    <row r="805" spans="1:23" s="658" customFormat="1" ht="14.25" customHeight="1">
      <c r="A805" t="str">
        <f t="shared" si="3"/>
        <v>6282</v>
      </c>
      <c r="B805" s="812" t="s">
        <v>1897</v>
      </c>
      <c r="C805" s="814" t="s">
        <v>3782</v>
      </c>
      <c r="N805" s="807"/>
      <c r="O805" s="808"/>
      <c r="P805" s="807"/>
      <c r="Q805" s="808"/>
    </row>
    <row r="806" spans="1:23" s="658" customFormat="1" ht="14.25" customHeight="1">
      <c r="A806" t="str">
        <f t="shared" si="3"/>
        <v>6289</v>
      </c>
      <c r="B806" s="812" t="s">
        <v>1899</v>
      </c>
      <c r="C806" s="814" t="s">
        <v>3782</v>
      </c>
      <c r="I806" s="810"/>
      <c r="N806" s="807"/>
      <c r="O806" s="808"/>
      <c r="P806" s="807"/>
      <c r="Q806" s="808"/>
      <c r="U806" s="810"/>
      <c r="V806" s="810"/>
      <c r="W806" s="810"/>
    </row>
    <row r="807" spans="1:23" s="658" customFormat="1" ht="14.25" customHeight="1">
      <c r="A807" t="str">
        <f t="shared" si="3"/>
        <v>6311</v>
      </c>
      <c r="B807" s="812" t="s">
        <v>1903</v>
      </c>
      <c r="C807" s="814" t="s">
        <v>3782</v>
      </c>
      <c r="N807" s="807"/>
      <c r="O807" s="808"/>
      <c r="P807" s="807"/>
      <c r="Q807" s="808"/>
    </row>
    <row r="808" spans="1:23" s="658" customFormat="1" ht="14.25" customHeight="1">
      <c r="A808" t="str">
        <f t="shared" si="3"/>
        <v>6321</v>
      </c>
      <c r="B808" s="812" t="s">
        <v>1905</v>
      </c>
      <c r="C808" s="814" t="s">
        <v>3782</v>
      </c>
      <c r="N808" s="807"/>
      <c r="O808" s="808"/>
      <c r="P808" s="807"/>
      <c r="Q808" s="808"/>
    </row>
    <row r="809" spans="1:23" s="658" customFormat="1" ht="14.25" customHeight="1">
      <c r="A809" t="str">
        <f t="shared" si="3"/>
        <v>6324</v>
      </c>
      <c r="B809" s="812" t="s">
        <v>1907</v>
      </c>
      <c r="C809" s="814" t="s">
        <v>3782</v>
      </c>
      <c r="N809" s="807"/>
      <c r="O809" s="808"/>
      <c r="P809" s="807"/>
      <c r="Q809" s="808"/>
    </row>
    <row r="810" spans="1:23" s="658" customFormat="1" ht="14.25" customHeight="1">
      <c r="A810" t="str">
        <f t="shared" si="3"/>
        <v>6331</v>
      </c>
      <c r="B810" s="812" t="s">
        <v>1909</v>
      </c>
      <c r="C810" s="814" t="s">
        <v>3782</v>
      </c>
      <c r="I810" s="810"/>
      <c r="N810" s="807"/>
      <c r="O810" s="808"/>
      <c r="P810" s="807"/>
      <c r="Q810" s="808"/>
      <c r="U810" s="810"/>
      <c r="V810" s="810"/>
      <c r="W810" s="810"/>
    </row>
    <row r="811" spans="1:23" s="658" customFormat="1" ht="14.25" customHeight="1">
      <c r="A811" t="str">
        <f t="shared" si="3"/>
        <v>6351</v>
      </c>
      <c r="B811" s="812" t="s">
        <v>1911</v>
      </c>
      <c r="C811" s="814" t="s">
        <v>3782</v>
      </c>
      <c r="N811" s="807"/>
      <c r="O811" s="808"/>
      <c r="P811" s="807"/>
      <c r="Q811" s="808"/>
    </row>
    <row r="812" spans="1:23" s="658" customFormat="1" ht="14.25" customHeight="1">
      <c r="A812" t="str">
        <f t="shared" si="3"/>
        <v>6361</v>
      </c>
      <c r="B812" s="812" t="s">
        <v>1913</v>
      </c>
      <c r="C812" s="814" t="s">
        <v>3782</v>
      </c>
      <c r="N812" s="807"/>
      <c r="O812" s="808"/>
      <c r="P812" s="807"/>
      <c r="Q812" s="808"/>
    </row>
    <row r="813" spans="1:23" s="658" customFormat="1" ht="14.25" customHeight="1">
      <c r="A813" t="str">
        <f t="shared" si="3"/>
        <v>6371</v>
      </c>
      <c r="B813" s="812" t="s">
        <v>1915</v>
      </c>
      <c r="C813" s="814" t="s">
        <v>3782</v>
      </c>
      <c r="N813" s="807"/>
      <c r="O813" s="808"/>
      <c r="P813" s="807"/>
      <c r="Q813" s="808"/>
    </row>
    <row r="814" spans="1:23" s="658" customFormat="1" ht="14.25" customHeight="1">
      <c r="A814" t="str">
        <f t="shared" si="3"/>
        <v>6399</v>
      </c>
      <c r="B814" s="812" t="s">
        <v>1917</v>
      </c>
      <c r="C814" s="814" t="s">
        <v>3782</v>
      </c>
      <c r="I814" s="810"/>
      <c r="N814" s="807"/>
      <c r="O814" s="808"/>
      <c r="P814" s="807"/>
      <c r="Q814" s="808"/>
      <c r="U814" s="810"/>
      <c r="V814" s="810"/>
      <c r="W814" s="810"/>
    </row>
    <row r="815" spans="1:23" s="658" customFormat="1" ht="14.25" customHeight="1">
      <c r="A815" t="str">
        <f t="shared" si="3"/>
        <v>6411</v>
      </c>
      <c r="B815" s="812" t="s">
        <v>1921</v>
      </c>
      <c r="C815" s="814" t="s">
        <v>3782</v>
      </c>
      <c r="I815" s="810"/>
      <c r="N815" s="807"/>
      <c r="O815" s="808"/>
      <c r="P815" s="807"/>
      <c r="Q815" s="808"/>
      <c r="U815" s="810"/>
      <c r="V815" s="810"/>
      <c r="W815" s="810"/>
    </row>
    <row r="816" spans="1:23" s="658" customFormat="1" ht="14.25" customHeight="1">
      <c r="A816" t="str">
        <f t="shared" si="3"/>
        <v>6512</v>
      </c>
      <c r="B816" s="812" t="s">
        <v>1925</v>
      </c>
      <c r="C816" s="812"/>
      <c r="K816" s="810"/>
      <c r="M816" s="810"/>
      <c r="N816" s="807"/>
      <c r="O816" s="808"/>
      <c r="P816" s="807"/>
      <c r="Q816" s="808"/>
    </row>
    <row r="817" spans="1:17" s="658" customFormat="1" ht="14.25" customHeight="1">
      <c r="A817" t="str">
        <f t="shared" si="3"/>
        <v>6513</v>
      </c>
      <c r="B817" s="812" t="s">
        <v>1927</v>
      </c>
      <c r="C817" s="812"/>
      <c r="K817" s="810"/>
      <c r="M817" s="810"/>
      <c r="N817" s="807"/>
      <c r="O817" s="808"/>
      <c r="P817" s="807"/>
      <c r="Q817" s="808"/>
    </row>
    <row r="818" spans="1:17" s="658" customFormat="1" ht="14.25" customHeight="1">
      <c r="A818" t="str">
        <f t="shared" si="3"/>
        <v>6514</v>
      </c>
      <c r="B818" s="812" t="s">
        <v>1929</v>
      </c>
      <c r="C818" s="812"/>
      <c r="K818" s="810"/>
      <c r="M818" s="810"/>
      <c r="N818" s="807"/>
      <c r="O818" s="808"/>
      <c r="P818" s="807"/>
      <c r="Q818" s="808"/>
    </row>
    <row r="819" spans="1:17" s="658" customFormat="1" ht="14.25" customHeight="1">
      <c r="A819" t="str">
        <f t="shared" si="3"/>
        <v>6515</v>
      </c>
      <c r="B819" s="812" t="s">
        <v>1931</v>
      </c>
      <c r="C819" s="812"/>
      <c r="K819" s="810"/>
      <c r="M819" s="810"/>
      <c r="N819" s="807"/>
      <c r="O819" s="808"/>
      <c r="P819" s="807"/>
      <c r="Q819" s="808"/>
    </row>
    <row r="820" spans="1:17" s="658" customFormat="1" ht="14.25" customHeight="1">
      <c r="A820" t="str">
        <f t="shared" si="3"/>
        <v>6517</v>
      </c>
      <c r="B820" s="812" t="s">
        <v>1933</v>
      </c>
      <c r="C820" s="812"/>
      <c r="K820" s="810"/>
      <c r="M820" s="810"/>
      <c r="N820" s="807"/>
      <c r="O820" s="808"/>
      <c r="P820" s="807"/>
      <c r="Q820" s="808"/>
    </row>
    <row r="821" spans="1:17" s="658" customFormat="1" ht="14.25" customHeight="1">
      <c r="A821" t="str">
        <f t="shared" si="3"/>
        <v>6519</v>
      </c>
      <c r="B821" s="812" t="s">
        <v>1935</v>
      </c>
      <c r="C821" s="812"/>
      <c r="K821" s="810"/>
      <c r="M821" s="810"/>
      <c r="N821" s="807"/>
      <c r="O821" s="808"/>
      <c r="P821" s="807"/>
      <c r="Q821" s="808"/>
    </row>
    <row r="822" spans="1:17" s="658" customFormat="1" ht="14.25" customHeight="1">
      <c r="A822" t="str">
        <f t="shared" si="3"/>
        <v>6531</v>
      </c>
      <c r="B822" s="812" t="s">
        <v>1937</v>
      </c>
      <c r="C822" s="812"/>
      <c r="K822" s="810"/>
      <c r="M822" s="810"/>
      <c r="N822" s="807"/>
      <c r="O822" s="808"/>
      <c r="P822" s="807"/>
      <c r="Q822" s="808"/>
    </row>
    <row r="823" spans="1:17" s="658" customFormat="1" ht="14.25" customHeight="1">
      <c r="A823" t="str">
        <f t="shared" si="3"/>
        <v>6541</v>
      </c>
      <c r="B823" s="812" t="s">
        <v>1939</v>
      </c>
      <c r="C823" s="812"/>
      <c r="K823" s="810"/>
      <c r="M823" s="810"/>
      <c r="N823" s="807"/>
      <c r="O823" s="808"/>
      <c r="P823" s="807"/>
      <c r="Q823" s="808"/>
    </row>
    <row r="824" spans="1:17" s="658" customFormat="1" ht="14.25" customHeight="1">
      <c r="A824" t="str">
        <f t="shared" si="3"/>
        <v>6552</v>
      </c>
      <c r="B824" s="812" t="s">
        <v>1941</v>
      </c>
      <c r="C824" s="812"/>
      <c r="K824" s="810"/>
      <c r="M824" s="810"/>
      <c r="N824" s="807"/>
      <c r="O824" s="808"/>
      <c r="P824" s="807"/>
      <c r="Q824" s="808"/>
    </row>
    <row r="825" spans="1:17" s="658" customFormat="1" ht="14.25" customHeight="1">
      <c r="A825" t="str">
        <f t="shared" si="3"/>
        <v>6553</v>
      </c>
      <c r="B825" s="812" t="s">
        <v>1943</v>
      </c>
      <c r="C825" s="812"/>
      <c r="K825" s="810"/>
      <c r="M825" s="810"/>
      <c r="N825" s="807"/>
      <c r="O825" s="808"/>
      <c r="P825" s="807"/>
      <c r="Q825" s="808"/>
    </row>
    <row r="826" spans="1:17" s="658" customFormat="1" ht="14.25" customHeight="1">
      <c r="A826" t="str">
        <f t="shared" si="3"/>
        <v>6712</v>
      </c>
      <c r="B826" s="812" t="s">
        <v>1947</v>
      </c>
      <c r="C826" s="814" t="s">
        <v>3782</v>
      </c>
      <c r="N826" s="807"/>
      <c r="O826" s="808"/>
      <c r="P826" s="807"/>
      <c r="Q826" s="808"/>
    </row>
    <row r="827" spans="1:17" s="658" customFormat="1" ht="14.25" customHeight="1">
      <c r="A827" t="str">
        <f t="shared" si="3"/>
        <v>6719</v>
      </c>
      <c r="B827" s="812" t="s">
        <v>1949</v>
      </c>
      <c r="C827" s="814" t="s">
        <v>3782</v>
      </c>
      <c r="N827" s="807"/>
      <c r="O827" s="808"/>
      <c r="P827" s="807"/>
      <c r="Q827" s="808"/>
    </row>
    <row r="828" spans="1:17" s="658" customFormat="1" ht="14.25" customHeight="1">
      <c r="A828" t="str">
        <f t="shared" si="3"/>
        <v>6722</v>
      </c>
      <c r="B828" s="812" t="s">
        <v>1951</v>
      </c>
      <c r="C828" s="814" t="s">
        <v>3782</v>
      </c>
      <c r="N828" s="807"/>
      <c r="O828" s="808"/>
      <c r="P828" s="807"/>
      <c r="Q828" s="808"/>
    </row>
    <row r="829" spans="1:17" s="658" customFormat="1" ht="14.25" customHeight="1">
      <c r="A829" t="str">
        <f t="shared" si="3"/>
        <v>6726</v>
      </c>
      <c r="B829" s="812" t="s">
        <v>1953</v>
      </c>
      <c r="C829" s="814" t="s">
        <v>3782</v>
      </c>
      <c r="N829" s="807"/>
      <c r="O829" s="808"/>
      <c r="P829" s="807"/>
      <c r="Q829" s="808"/>
    </row>
    <row r="830" spans="1:17" s="658" customFormat="1" ht="14.25" customHeight="1">
      <c r="A830" t="str">
        <f t="shared" si="3"/>
        <v>6732</v>
      </c>
      <c r="B830" s="812" t="s">
        <v>1955</v>
      </c>
      <c r="C830" s="814" t="s">
        <v>3782</v>
      </c>
      <c r="N830" s="807"/>
      <c r="O830" s="808"/>
      <c r="P830" s="807"/>
      <c r="Q830" s="808"/>
    </row>
    <row r="831" spans="1:17" s="658" customFormat="1" ht="14.25" customHeight="1">
      <c r="A831" t="str">
        <f t="shared" si="3"/>
        <v>6733</v>
      </c>
      <c r="B831" s="812" t="s">
        <v>1957</v>
      </c>
      <c r="C831" s="814" t="s">
        <v>3782</v>
      </c>
      <c r="N831" s="807"/>
      <c r="O831" s="808"/>
      <c r="P831" s="807"/>
      <c r="Q831" s="808"/>
    </row>
    <row r="832" spans="1:17" s="658" customFormat="1" ht="14.25" customHeight="1">
      <c r="A832" t="str">
        <f t="shared" si="3"/>
        <v>6792</v>
      </c>
      <c r="B832" s="812" t="s">
        <v>1959</v>
      </c>
      <c r="C832" s="814" t="s">
        <v>3782</v>
      </c>
      <c r="N832" s="807"/>
      <c r="O832" s="808"/>
      <c r="P832" s="807"/>
      <c r="Q832" s="808"/>
    </row>
    <row r="833" spans="1:17" s="658" customFormat="1" ht="14.25" customHeight="1">
      <c r="A833" t="str">
        <f t="shared" si="3"/>
        <v>6794</v>
      </c>
      <c r="B833" s="812" t="s">
        <v>1961</v>
      </c>
      <c r="C833" s="814" t="s">
        <v>3782</v>
      </c>
      <c r="N833" s="807"/>
      <c r="O833" s="808"/>
      <c r="P833" s="807"/>
      <c r="Q833" s="808"/>
    </row>
    <row r="834" spans="1:17" s="658" customFormat="1" ht="14.25" customHeight="1">
      <c r="A834" t="str">
        <f t="shared" si="3"/>
        <v>6798</v>
      </c>
      <c r="B834" s="812" t="s">
        <v>1963</v>
      </c>
      <c r="C834" s="814" t="s">
        <v>3782</v>
      </c>
      <c r="N834" s="807"/>
      <c r="O834" s="808"/>
      <c r="P834" s="807"/>
      <c r="Q834" s="808"/>
    </row>
    <row r="835" spans="1:17" s="658" customFormat="1" ht="14.25" customHeight="1">
      <c r="A835" t="str">
        <f t="shared" si="3"/>
        <v>6799</v>
      </c>
      <c r="B835" s="812" t="s">
        <v>1965</v>
      </c>
      <c r="C835" s="812"/>
      <c r="E835" s="810"/>
      <c r="N835" s="807"/>
      <c r="O835" s="808"/>
      <c r="P835" s="807"/>
      <c r="Q835" s="808"/>
    </row>
    <row r="836" spans="1:17" s="658" customFormat="1" ht="14.25" customHeight="1">
      <c r="A836" t="str">
        <f t="shared" si="3"/>
        <v>7011</v>
      </c>
      <c r="B836" s="812" t="s">
        <v>1971</v>
      </c>
      <c r="C836" s="812"/>
      <c r="E836" s="810"/>
      <c r="N836" s="807"/>
      <c r="O836" s="808"/>
      <c r="P836" s="807"/>
      <c r="Q836" s="808"/>
    </row>
    <row r="837" spans="1:17" s="658" customFormat="1" ht="14.25" customHeight="1">
      <c r="A837" t="str">
        <f t="shared" si="3"/>
        <v>7021</v>
      </c>
      <c r="B837" s="812" t="s">
        <v>1973</v>
      </c>
      <c r="C837" s="812"/>
      <c r="E837" s="810"/>
      <c r="N837" s="807"/>
      <c r="O837" s="808"/>
      <c r="P837" s="807"/>
      <c r="Q837" s="808"/>
    </row>
    <row r="838" spans="1:17" s="658" customFormat="1" ht="14.25" customHeight="1">
      <c r="A838" t="str">
        <f t="shared" si="3"/>
        <v>7032</v>
      </c>
      <c r="B838" s="812" t="s">
        <v>1975</v>
      </c>
      <c r="C838" s="812"/>
      <c r="E838" s="810"/>
      <c r="N838" s="807"/>
      <c r="O838" s="808"/>
      <c r="P838" s="807"/>
      <c r="Q838" s="808"/>
    </row>
    <row r="839" spans="1:17" s="658" customFormat="1" ht="14.25" customHeight="1">
      <c r="A839" t="str">
        <f t="shared" si="3"/>
        <v>7033</v>
      </c>
      <c r="B839" s="812" t="s">
        <v>1977</v>
      </c>
      <c r="C839" s="812"/>
      <c r="E839" s="810"/>
      <c r="N839" s="807"/>
      <c r="O839" s="808"/>
      <c r="P839" s="807"/>
      <c r="Q839" s="808"/>
    </row>
    <row r="840" spans="1:17" s="658" customFormat="1" ht="14.25" customHeight="1">
      <c r="A840" t="str">
        <f t="shared" si="3"/>
        <v>7041</v>
      </c>
      <c r="B840" s="812" t="s">
        <v>1979</v>
      </c>
      <c r="C840" s="812"/>
      <c r="E840" s="810"/>
      <c r="N840" s="807"/>
      <c r="O840" s="808"/>
      <c r="P840" s="807"/>
      <c r="Q840" s="808"/>
    </row>
    <row r="841" spans="1:17" s="658" customFormat="1" ht="14.25" customHeight="1">
      <c r="A841" t="str">
        <f t="shared" si="3"/>
        <v>7211</v>
      </c>
      <c r="B841" s="812" t="s">
        <v>1983</v>
      </c>
      <c r="C841" s="812"/>
      <c r="E841" s="810"/>
      <c r="N841" s="807"/>
      <c r="O841" s="808"/>
      <c r="P841" s="807"/>
      <c r="Q841" s="808"/>
    </row>
    <row r="842" spans="1:17" s="658" customFormat="1" ht="14.25" customHeight="1">
      <c r="A842" t="str">
        <f t="shared" si="3"/>
        <v>7212</v>
      </c>
      <c r="B842" s="812" t="s">
        <v>1985</v>
      </c>
      <c r="C842" s="812"/>
      <c r="E842" s="810"/>
      <c r="N842" s="807"/>
      <c r="O842" s="808"/>
      <c r="P842" s="807"/>
      <c r="Q842" s="808"/>
    </row>
    <row r="843" spans="1:17" s="658" customFormat="1" ht="14.25" customHeight="1">
      <c r="A843" t="str">
        <f t="shared" si="3"/>
        <v>7213</v>
      </c>
      <c r="B843" s="812" t="s">
        <v>1987</v>
      </c>
      <c r="C843" s="812"/>
      <c r="E843" s="810"/>
      <c r="N843" s="807"/>
      <c r="O843" s="808"/>
      <c r="P843" s="807"/>
      <c r="Q843" s="808"/>
    </row>
    <row r="844" spans="1:17" s="658" customFormat="1" ht="14.25" customHeight="1">
      <c r="A844" t="str">
        <f t="shared" si="3"/>
        <v>7215</v>
      </c>
      <c r="B844" s="812" t="s">
        <v>1989</v>
      </c>
      <c r="C844" s="812"/>
      <c r="E844" s="810"/>
      <c r="N844" s="807"/>
      <c r="O844" s="808"/>
      <c r="P844" s="807"/>
      <c r="Q844" s="808"/>
    </row>
    <row r="845" spans="1:17" s="658" customFormat="1" ht="14.25" customHeight="1">
      <c r="A845" t="str">
        <f t="shared" si="3"/>
        <v>7216</v>
      </c>
      <c r="B845" s="812" t="s">
        <v>1991</v>
      </c>
      <c r="C845" s="812"/>
      <c r="E845" s="810"/>
      <c r="N845" s="807"/>
      <c r="O845" s="808"/>
      <c r="P845" s="807"/>
      <c r="Q845" s="808"/>
    </row>
    <row r="846" spans="1:17" s="658" customFormat="1" ht="14.25" customHeight="1">
      <c r="A846" t="str">
        <f t="shared" si="3"/>
        <v>7217</v>
      </c>
      <c r="B846" s="812" t="s">
        <v>1993</v>
      </c>
      <c r="C846" s="812"/>
      <c r="E846" s="810"/>
      <c r="N846" s="807"/>
      <c r="O846" s="808"/>
      <c r="P846" s="807"/>
      <c r="Q846" s="808"/>
    </row>
    <row r="847" spans="1:17" s="658" customFormat="1" ht="14.25" customHeight="1">
      <c r="A847" t="str">
        <f t="shared" si="3"/>
        <v>7218</v>
      </c>
      <c r="B847" s="812" t="s">
        <v>1995</v>
      </c>
      <c r="C847" s="812"/>
      <c r="E847" s="810"/>
      <c r="N847" s="807"/>
      <c r="O847" s="808"/>
      <c r="P847" s="807"/>
      <c r="Q847" s="808"/>
    </row>
    <row r="848" spans="1:17" s="658" customFormat="1" ht="14.25" customHeight="1">
      <c r="A848" t="str">
        <f t="shared" si="3"/>
        <v>7219</v>
      </c>
      <c r="B848" s="812" t="s">
        <v>1997</v>
      </c>
      <c r="C848" s="812"/>
      <c r="E848" s="810"/>
      <c r="N848" s="807"/>
      <c r="O848" s="808"/>
      <c r="P848" s="807"/>
      <c r="Q848" s="808"/>
    </row>
    <row r="849" spans="1:23" s="658" customFormat="1" ht="14.25" customHeight="1">
      <c r="A849" t="str">
        <f t="shared" si="3"/>
        <v>7221</v>
      </c>
      <c r="B849" s="812" t="s">
        <v>1999</v>
      </c>
      <c r="C849" s="812"/>
      <c r="E849" s="810"/>
      <c r="N849" s="807"/>
      <c r="O849" s="808"/>
      <c r="P849" s="807"/>
      <c r="Q849" s="808"/>
    </row>
    <row r="850" spans="1:23" s="658" customFormat="1" ht="14.25" customHeight="1">
      <c r="A850" t="str">
        <f t="shared" si="3"/>
        <v>7231</v>
      </c>
      <c r="B850" s="812" t="s">
        <v>2001</v>
      </c>
      <c r="C850" s="812"/>
      <c r="E850" s="810"/>
      <c r="N850" s="807"/>
      <c r="O850" s="808"/>
      <c r="P850" s="807"/>
      <c r="Q850" s="808"/>
    </row>
    <row r="851" spans="1:23" s="658" customFormat="1" ht="14.25" customHeight="1">
      <c r="A851" t="str">
        <f t="shared" si="3"/>
        <v>7241</v>
      </c>
      <c r="B851" s="812" t="s">
        <v>2003</v>
      </c>
      <c r="C851" s="812"/>
      <c r="E851" s="810"/>
      <c r="N851" s="807"/>
      <c r="O851" s="808"/>
      <c r="P851" s="807"/>
      <c r="Q851" s="808"/>
    </row>
    <row r="852" spans="1:23" s="658" customFormat="1" ht="14.25" customHeight="1">
      <c r="A852" t="str">
        <f t="shared" si="3"/>
        <v>7251</v>
      </c>
      <c r="B852" s="812" t="s">
        <v>2005</v>
      </c>
      <c r="C852" s="812"/>
      <c r="E852" s="810"/>
      <c r="N852" s="807"/>
      <c r="O852" s="808"/>
      <c r="P852" s="807"/>
      <c r="Q852" s="808"/>
    </row>
    <row r="853" spans="1:23" s="658" customFormat="1" ht="14.25" customHeight="1">
      <c r="A853" t="str">
        <f t="shared" si="3"/>
        <v>7261</v>
      </c>
      <c r="B853" s="812" t="s">
        <v>2007</v>
      </c>
      <c r="C853" s="812"/>
      <c r="E853" s="810"/>
      <c r="N853" s="807"/>
      <c r="O853" s="808"/>
      <c r="P853" s="807"/>
      <c r="Q853" s="808"/>
    </row>
    <row r="854" spans="1:23" s="658" customFormat="1" ht="14.25" customHeight="1">
      <c r="A854" t="str">
        <f t="shared" si="3"/>
        <v>7291</v>
      </c>
      <c r="B854" s="812" t="s">
        <v>2009</v>
      </c>
      <c r="C854" s="812"/>
      <c r="E854" s="810"/>
      <c r="I854" s="808"/>
      <c r="N854" s="807"/>
      <c r="O854" s="808"/>
      <c r="P854" s="807"/>
      <c r="Q854" s="808"/>
      <c r="U854" s="808"/>
      <c r="V854" s="808"/>
      <c r="W854" s="808"/>
    </row>
    <row r="855" spans="1:23" s="658" customFormat="1" ht="14.25" customHeight="1">
      <c r="A855" t="str">
        <f t="shared" si="3"/>
        <v>7299</v>
      </c>
      <c r="B855" s="812" t="s">
        <v>2011</v>
      </c>
      <c r="C855" s="812"/>
      <c r="E855" s="810"/>
      <c r="N855" s="807"/>
      <c r="O855" s="808"/>
      <c r="P855" s="807"/>
      <c r="Q855" s="808"/>
    </row>
    <row r="856" spans="1:23" s="658" customFormat="1" ht="14.25" customHeight="1">
      <c r="A856" t="str">
        <f t="shared" si="3"/>
        <v>7311</v>
      </c>
      <c r="B856" s="812" t="s">
        <v>2015</v>
      </c>
      <c r="C856" s="812"/>
      <c r="E856" s="810"/>
      <c r="N856" s="807"/>
      <c r="O856" s="808"/>
      <c r="P856" s="807"/>
      <c r="Q856" s="808"/>
    </row>
    <row r="857" spans="1:23" s="658" customFormat="1" ht="14.25" customHeight="1">
      <c r="A857" t="str">
        <f t="shared" si="3"/>
        <v>7312</v>
      </c>
      <c r="B857" s="812" t="s">
        <v>2017</v>
      </c>
      <c r="C857" s="812"/>
      <c r="E857" s="810"/>
      <c r="N857" s="807"/>
      <c r="O857" s="808"/>
      <c r="P857" s="807"/>
      <c r="Q857" s="808"/>
    </row>
    <row r="858" spans="1:23" s="658" customFormat="1" ht="14.25" customHeight="1">
      <c r="A858" t="str">
        <f t="shared" si="3"/>
        <v>7313</v>
      </c>
      <c r="B858" s="812" t="s">
        <v>2019</v>
      </c>
      <c r="C858" s="812"/>
      <c r="E858" s="810"/>
      <c r="N858" s="807"/>
      <c r="O858" s="808"/>
      <c r="P858" s="807"/>
      <c r="Q858" s="808"/>
    </row>
    <row r="859" spans="1:23" s="658" customFormat="1" ht="14.25" customHeight="1">
      <c r="A859" t="str">
        <f t="shared" si="3"/>
        <v>7319</v>
      </c>
      <c r="B859" s="812" t="s">
        <v>2021</v>
      </c>
      <c r="C859" s="812"/>
      <c r="E859" s="810"/>
      <c r="N859" s="807"/>
      <c r="O859" s="808"/>
      <c r="P859" s="807"/>
      <c r="Q859" s="808"/>
    </row>
    <row r="860" spans="1:23" s="658" customFormat="1" ht="14.25" customHeight="1">
      <c r="A860" t="str">
        <f t="shared" si="3"/>
        <v>7322</v>
      </c>
      <c r="B860" s="812" t="s">
        <v>2023</v>
      </c>
      <c r="C860" s="812"/>
      <c r="E860" s="810"/>
      <c r="N860" s="807"/>
      <c r="O860" s="808"/>
      <c r="P860" s="807"/>
      <c r="Q860" s="808"/>
    </row>
    <row r="861" spans="1:23" s="658" customFormat="1" ht="14.25" customHeight="1">
      <c r="A861" t="str">
        <f t="shared" si="3"/>
        <v>7323</v>
      </c>
      <c r="B861" s="812" t="s">
        <v>2025</v>
      </c>
      <c r="C861" s="812"/>
      <c r="E861" s="810"/>
      <c r="N861" s="807"/>
      <c r="O861" s="808"/>
      <c r="P861" s="807"/>
      <c r="Q861" s="808"/>
    </row>
    <row r="862" spans="1:23" s="658" customFormat="1" ht="14.25" customHeight="1">
      <c r="A862" t="str">
        <f t="shared" si="3"/>
        <v>7331</v>
      </c>
      <c r="B862" s="812" t="s">
        <v>2027</v>
      </c>
      <c r="C862" s="812"/>
      <c r="E862" s="810"/>
      <c r="N862" s="807"/>
      <c r="O862" s="808"/>
      <c r="P862" s="807"/>
      <c r="Q862" s="808"/>
    </row>
    <row r="863" spans="1:23" s="658" customFormat="1" ht="14.25" customHeight="1">
      <c r="A863" t="str">
        <f t="shared" si="3"/>
        <v>7334</v>
      </c>
      <c r="B863" s="812" t="s">
        <v>2029</v>
      </c>
      <c r="C863" s="812"/>
      <c r="E863" s="810"/>
      <c r="N863" s="807"/>
      <c r="O863" s="808"/>
      <c r="P863" s="807"/>
      <c r="Q863" s="808"/>
    </row>
    <row r="864" spans="1:23" s="658" customFormat="1" ht="14.25" customHeight="1">
      <c r="A864" t="str">
        <f t="shared" si="3"/>
        <v>7335</v>
      </c>
      <c r="B864" s="812" t="s">
        <v>2031</v>
      </c>
      <c r="C864" s="812"/>
      <c r="E864" s="810"/>
      <c r="N864" s="807"/>
      <c r="O864" s="808"/>
      <c r="P864" s="807"/>
      <c r="Q864" s="808"/>
    </row>
    <row r="865" spans="1:23" s="658" customFormat="1" ht="14.25" customHeight="1">
      <c r="A865" t="str">
        <f t="shared" si="3"/>
        <v>7336</v>
      </c>
      <c r="B865" s="812" t="s">
        <v>2033</v>
      </c>
      <c r="C865" s="812"/>
      <c r="E865" s="810"/>
      <c r="N865" s="807"/>
      <c r="O865" s="808"/>
      <c r="P865" s="807"/>
      <c r="Q865" s="808"/>
    </row>
    <row r="866" spans="1:23" s="658" customFormat="1" ht="14.25" customHeight="1">
      <c r="A866" t="str">
        <f t="shared" si="3"/>
        <v>7338</v>
      </c>
      <c r="B866" s="812" t="s">
        <v>2035</v>
      </c>
      <c r="C866" s="812"/>
      <c r="E866" s="810"/>
      <c r="N866" s="807"/>
      <c r="O866" s="808"/>
      <c r="P866" s="807"/>
      <c r="Q866" s="808"/>
    </row>
    <row r="867" spans="1:23" s="658" customFormat="1" ht="14.25" customHeight="1">
      <c r="A867" t="str">
        <f t="shared" si="3"/>
        <v>7342</v>
      </c>
      <c r="B867" s="812" t="s">
        <v>2037</v>
      </c>
      <c r="C867" s="812"/>
      <c r="E867" s="810"/>
      <c r="N867" s="807"/>
      <c r="O867" s="808"/>
      <c r="P867" s="807"/>
      <c r="Q867" s="808"/>
    </row>
    <row r="868" spans="1:23" s="658" customFormat="1" ht="14.25" customHeight="1">
      <c r="A868" t="str">
        <f t="shared" si="3"/>
        <v>7349</v>
      </c>
      <c r="B868" s="812" t="s">
        <v>2039</v>
      </c>
      <c r="C868" s="812"/>
      <c r="E868" s="810"/>
      <c r="N868" s="807"/>
      <c r="O868" s="808"/>
      <c r="P868" s="807"/>
      <c r="Q868" s="808"/>
    </row>
    <row r="869" spans="1:23" s="658" customFormat="1" ht="14.25" customHeight="1">
      <c r="A869" t="str">
        <f t="shared" si="3"/>
        <v>7352</v>
      </c>
      <c r="B869" s="812" t="s">
        <v>2041</v>
      </c>
      <c r="C869" s="812"/>
      <c r="E869" s="810"/>
      <c r="N869" s="807"/>
      <c r="O869" s="808"/>
      <c r="P869" s="807"/>
      <c r="Q869" s="808"/>
    </row>
    <row r="870" spans="1:23" s="658" customFormat="1" ht="14.25" customHeight="1">
      <c r="A870" t="str">
        <f t="shared" si="3"/>
        <v>7353</v>
      </c>
      <c r="B870" s="812" t="s">
        <v>2043</v>
      </c>
      <c r="C870" s="812"/>
      <c r="E870" s="810"/>
      <c r="N870" s="807"/>
      <c r="O870" s="808"/>
      <c r="P870" s="807"/>
      <c r="Q870" s="808"/>
    </row>
    <row r="871" spans="1:23" s="658" customFormat="1" ht="14.25" customHeight="1">
      <c r="A871" t="str">
        <f t="shared" si="3"/>
        <v>7359</v>
      </c>
      <c r="B871" s="812" t="s">
        <v>2045</v>
      </c>
      <c r="C871" s="812"/>
      <c r="E871" s="810"/>
      <c r="N871" s="807"/>
      <c r="O871" s="808"/>
      <c r="P871" s="807"/>
      <c r="Q871" s="808"/>
    </row>
    <row r="872" spans="1:23" s="658" customFormat="1" ht="14.25" customHeight="1">
      <c r="A872" t="str">
        <f t="shared" si="3"/>
        <v>7361</v>
      </c>
      <c r="B872" s="812" t="s">
        <v>2047</v>
      </c>
      <c r="C872" s="812"/>
      <c r="E872" s="810"/>
      <c r="N872" s="807"/>
      <c r="O872" s="808"/>
      <c r="P872" s="807"/>
      <c r="Q872" s="808"/>
    </row>
    <row r="873" spans="1:23" s="658" customFormat="1" ht="14.25" customHeight="1">
      <c r="A873" t="str">
        <f t="shared" si="3"/>
        <v>7363</v>
      </c>
      <c r="B873" s="812" t="s">
        <v>2049</v>
      </c>
      <c r="C873" s="812"/>
      <c r="E873" s="810"/>
      <c r="N873" s="807"/>
      <c r="O873" s="808"/>
      <c r="P873" s="807"/>
      <c r="Q873" s="808"/>
    </row>
    <row r="874" spans="1:23" s="658" customFormat="1" ht="14.25" customHeight="1">
      <c r="A874" t="str">
        <f t="shared" si="3"/>
        <v>7371</v>
      </c>
      <c r="B874" s="812" t="s">
        <v>2051</v>
      </c>
      <c r="C874" s="812"/>
      <c r="E874" s="810"/>
      <c r="I874" s="808"/>
      <c r="N874" s="807"/>
      <c r="O874" s="808"/>
      <c r="P874" s="807"/>
      <c r="Q874" s="808"/>
      <c r="U874" s="808"/>
      <c r="V874" s="808"/>
      <c r="W874" s="808"/>
    </row>
    <row r="875" spans="1:23" s="658" customFormat="1" ht="14.25" customHeight="1">
      <c r="A875" t="str">
        <f t="shared" si="3"/>
        <v>7372</v>
      </c>
      <c r="B875" s="812" t="s">
        <v>2053</v>
      </c>
      <c r="C875" s="812"/>
      <c r="E875" s="810"/>
      <c r="I875" s="808"/>
      <c r="N875" s="807"/>
      <c r="O875" s="808"/>
      <c r="P875" s="807"/>
      <c r="Q875" s="808"/>
      <c r="U875" s="808"/>
      <c r="V875" s="808"/>
      <c r="W875" s="808"/>
    </row>
    <row r="876" spans="1:23" s="658" customFormat="1" ht="14.25" customHeight="1">
      <c r="A876" t="str">
        <f t="shared" si="3"/>
        <v>7373</v>
      </c>
      <c r="B876" s="812" t="s">
        <v>2055</v>
      </c>
      <c r="C876" s="812"/>
      <c r="E876" s="810"/>
      <c r="I876" s="808"/>
      <c r="N876" s="807"/>
      <c r="O876" s="808"/>
      <c r="P876" s="807"/>
      <c r="Q876" s="808"/>
      <c r="U876" s="808"/>
      <c r="V876" s="808"/>
      <c r="W876" s="808"/>
    </row>
    <row r="877" spans="1:23" s="658" customFormat="1" ht="14.25" customHeight="1">
      <c r="A877" t="str">
        <f t="shared" si="3"/>
        <v>7374</v>
      </c>
      <c r="B877" s="812" t="s">
        <v>2057</v>
      </c>
      <c r="C877" s="812"/>
      <c r="E877" s="810"/>
      <c r="I877" s="808"/>
      <c r="N877" s="807"/>
      <c r="O877" s="808"/>
      <c r="P877" s="807"/>
      <c r="Q877" s="808"/>
      <c r="U877" s="808"/>
      <c r="V877" s="808"/>
      <c r="W877" s="808"/>
    </row>
    <row r="878" spans="1:23" s="658" customFormat="1" ht="14.25" customHeight="1">
      <c r="A878" t="str">
        <f t="shared" si="3"/>
        <v>7375</v>
      </c>
      <c r="B878" s="812" t="s">
        <v>2059</v>
      </c>
      <c r="C878" s="812"/>
      <c r="E878" s="810"/>
      <c r="N878" s="807"/>
      <c r="O878" s="808"/>
      <c r="P878" s="807"/>
      <c r="Q878" s="808"/>
    </row>
    <row r="879" spans="1:23" s="658" customFormat="1" ht="14.25" customHeight="1">
      <c r="A879" t="str">
        <f t="shared" si="3"/>
        <v>7376</v>
      </c>
      <c r="B879" s="812" t="s">
        <v>2061</v>
      </c>
      <c r="C879" s="812"/>
      <c r="E879" s="810"/>
      <c r="N879" s="807"/>
      <c r="O879" s="808"/>
      <c r="P879" s="807"/>
      <c r="Q879" s="808"/>
    </row>
    <row r="880" spans="1:23" s="658" customFormat="1" ht="14.25" customHeight="1">
      <c r="A880" t="str">
        <f t="shared" si="3"/>
        <v>7377</v>
      </c>
      <c r="B880" s="812" t="s">
        <v>2063</v>
      </c>
      <c r="C880" s="812"/>
      <c r="E880" s="810"/>
      <c r="N880" s="807"/>
      <c r="O880" s="808"/>
      <c r="P880" s="807"/>
      <c r="Q880" s="808"/>
    </row>
    <row r="881" spans="1:17" s="658" customFormat="1" ht="14.25" customHeight="1">
      <c r="A881" t="str">
        <f t="shared" si="3"/>
        <v>7378</v>
      </c>
      <c r="B881" s="812" t="s">
        <v>2065</v>
      </c>
      <c r="C881" s="812"/>
      <c r="E881" s="810"/>
      <c r="N881" s="807"/>
      <c r="O881" s="808"/>
      <c r="P881" s="807"/>
      <c r="Q881" s="808"/>
    </row>
    <row r="882" spans="1:17" s="658" customFormat="1" ht="14.25" customHeight="1">
      <c r="A882" t="str">
        <f t="shared" si="3"/>
        <v>7379</v>
      </c>
      <c r="B882" s="812" t="s">
        <v>2067</v>
      </c>
      <c r="C882" s="812"/>
      <c r="E882" s="810"/>
      <c r="N882" s="807"/>
      <c r="O882" s="808"/>
      <c r="P882" s="807"/>
      <c r="Q882" s="808"/>
    </row>
    <row r="883" spans="1:17" s="658" customFormat="1" ht="14.25" customHeight="1">
      <c r="A883" t="str">
        <f t="shared" si="3"/>
        <v>7381</v>
      </c>
      <c r="B883" s="812" t="s">
        <v>2069</v>
      </c>
      <c r="C883" s="812"/>
      <c r="E883" s="810"/>
      <c r="N883" s="807"/>
      <c r="O883" s="808"/>
      <c r="P883" s="807"/>
      <c r="Q883" s="808"/>
    </row>
    <row r="884" spans="1:17" s="658" customFormat="1" ht="14.25" customHeight="1">
      <c r="A884" t="str">
        <f t="shared" si="3"/>
        <v>7382</v>
      </c>
      <c r="B884" s="812" t="s">
        <v>2071</v>
      </c>
      <c r="C884" s="812"/>
      <c r="E884" s="810"/>
      <c r="N884" s="807"/>
      <c r="O884" s="808"/>
      <c r="P884" s="807"/>
      <c r="Q884" s="808"/>
    </row>
    <row r="885" spans="1:17" s="658" customFormat="1" ht="14.25" customHeight="1">
      <c r="A885" t="str">
        <f t="shared" si="3"/>
        <v>7383</v>
      </c>
      <c r="B885" s="812" t="s">
        <v>2073</v>
      </c>
      <c r="C885" s="812"/>
      <c r="E885" s="810"/>
      <c r="N885" s="807"/>
      <c r="O885" s="808"/>
      <c r="P885" s="807"/>
      <c r="Q885" s="808"/>
    </row>
    <row r="886" spans="1:17" s="658" customFormat="1" ht="14.25" customHeight="1">
      <c r="A886" t="str">
        <f t="shared" si="3"/>
        <v>7384</v>
      </c>
      <c r="B886" s="812" t="s">
        <v>2075</v>
      </c>
      <c r="C886" s="812"/>
      <c r="E886" s="810"/>
      <c r="N886" s="807"/>
      <c r="O886" s="808"/>
      <c r="P886" s="807"/>
      <c r="Q886" s="808"/>
    </row>
    <row r="887" spans="1:17" s="658" customFormat="1" ht="14.25" customHeight="1">
      <c r="A887" t="str">
        <f t="shared" si="3"/>
        <v>7389</v>
      </c>
      <c r="B887" s="812" t="s">
        <v>2077</v>
      </c>
      <c r="C887" s="812"/>
      <c r="E887" s="810"/>
      <c r="N887" s="807"/>
      <c r="O887" s="808"/>
      <c r="P887" s="807"/>
      <c r="Q887" s="808"/>
    </row>
    <row r="888" spans="1:17" s="658" customFormat="1" ht="14.25" customHeight="1">
      <c r="A888" t="str">
        <f t="shared" si="3"/>
        <v>7513</v>
      </c>
      <c r="B888" s="812" t="s">
        <v>2081</v>
      </c>
      <c r="C888" s="812"/>
      <c r="E888" s="810"/>
      <c r="N888" s="807"/>
      <c r="O888" s="808"/>
      <c r="P888" s="807"/>
      <c r="Q888" s="808"/>
    </row>
    <row r="889" spans="1:17" s="658" customFormat="1" ht="14.25" customHeight="1">
      <c r="A889" t="str">
        <f t="shared" si="3"/>
        <v>7514</v>
      </c>
      <c r="B889" s="812" t="s">
        <v>2083</v>
      </c>
      <c r="C889" s="812"/>
      <c r="E889" s="810"/>
      <c r="N889" s="807"/>
      <c r="O889" s="808"/>
      <c r="P889" s="807"/>
      <c r="Q889" s="808"/>
    </row>
    <row r="890" spans="1:17" s="658" customFormat="1" ht="14.25" customHeight="1">
      <c r="A890" t="str">
        <f t="shared" si="3"/>
        <v>7515</v>
      </c>
      <c r="B890" s="812" t="s">
        <v>2085</v>
      </c>
      <c r="C890" s="812"/>
      <c r="E890" s="810"/>
      <c r="N890" s="807"/>
      <c r="O890" s="808"/>
      <c r="P890" s="807"/>
      <c r="Q890" s="808"/>
    </row>
    <row r="891" spans="1:17" s="658" customFormat="1" ht="14.25" customHeight="1">
      <c r="A891" t="str">
        <f t="shared" si="3"/>
        <v>7519</v>
      </c>
      <c r="B891" s="812" t="s">
        <v>2087</v>
      </c>
      <c r="C891" s="812"/>
      <c r="E891" s="810"/>
      <c r="N891" s="807"/>
      <c r="O891" s="808"/>
      <c r="P891" s="807"/>
      <c r="Q891" s="808"/>
    </row>
    <row r="892" spans="1:17" s="658" customFormat="1" ht="14.25" customHeight="1">
      <c r="A892" t="str">
        <f t="shared" si="3"/>
        <v>7521</v>
      </c>
      <c r="B892" s="812" t="s">
        <v>2089</v>
      </c>
      <c r="C892" s="812"/>
      <c r="E892" s="810"/>
      <c r="N892" s="807"/>
      <c r="O892" s="808"/>
      <c r="P892" s="807"/>
      <c r="Q892" s="808"/>
    </row>
    <row r="893" spans="1:17" s="658" customFormat="1" ht="14.25" customHeight="1">
      <c r="A893" t="str">
        <f t="shared" si="3"/>
        <v>7532</v>
      </c>
      <c r="B893" s="812" t="s">
        <v>2091</v>
      </c>
      <c r="C893" s="812"/>
      <c r="E893" s="810"/>
      <c r="N893" s="807"/>
      <c r="O893" s="808"/>
      <c r="P893" s="807"/>
      <c r="Q893" s="808"/>
    </row>
    <row r="894" spans="1:17" s="658" customFormat="1" ht="14.25" customHeight="1">
      <c r="A894" t="str">
        <f t="shared" si="3"/>
        <v>7533</v>
      </c>
      <c r="B894" s="812" t="s">
        <v>2093</v>
      </c>
      <c r="C894" s="812"/>
      <c r="E894" s="810"/>
      <c r="N894" s="807"/>
      <c r="O894" s="808"/>
      <c r="P894" s="807"/>
      <c r="Q894" s="808"/>
    </row>
    <row r="895" spans="1:17" s="658" customFormat="1" ht="14.25" customHeight="1">
      <c r="A895" t="str">
        <f t="shared" si="3"/>
        <v>7534</v>
      </c>
      <c r="B895" s="812" t="s">
        <v>2095</v>
      </c>
      <c r="C895" s="812"/>
      <c r="E895" s="810"/>
      <c r="N895" s="807"/>
      <c r="O895" s="808"/>
      <c r="P895" s="807"/>
      <c r="Q895" s="808"/>
    </row>
    <row r="896" spans="1:17" s="658" customFormat="1" ht="14.25" customHeight="1">
      <c r="A896" t="str">
        <f t="shared" si="3"/>
        <v>7536</v>
      </c>
      <c r="B896" s="812" t="s">
        <v>2097</v>
      </c>
      <c r="C896" s="812"/>
      <c r="E896" s="810"/>
      <c r="N896" s="807"/>
      <c r="O896" s="808"/>
      <c r="P896" s="807"/>
      <c r="Q896" s="808"/>
    </row>
    <row r="897" spans="1:17" s="658" customFormat="1" ht="14.25" customHeight="1">
      <c r="A897" t="str">
        <f t="shared" si="3"/>
        <v>7537</v>
      </c>
      <c r="B897" s="812" t="s">
        <v>2099</v>
      </c>
      <c r="C897" s="812"/>
      <c r="E897" s="810"/>
      <c r="N897" s="807"/>
      <c r="O897" s="808"/>
      <c r="P897" s="807"/>
      <c r="Q897" s="808"/>
    </row>
    <row r="898" spans="1:17" s="658" customFormat="1" ht="14.25" customHeight="1">
      <c r="A898" t="str">
        <f t="shared" si="3"/>
        <v>7538</v>
      </c>
      <c r="B898" s="812" t="s">
        <v>2101</v>
      </c>
      <c r="C898" s="812"/>
      <c r="E898" s="810"/>
      <c r="N898" s="807"/>
      <c r="O898" s="808"/>
      <c r="P898" s="807"/>
      <c r="Q898" s="808"/>
    </row>
    <row r="899" spans="1:17" s="658" customFormat="1" ht="14.25" customHeight="1">
      <c r="A899" t="str">
        <f t="shared" si="3"/>
        <v>7539</v>
      </c>
      <c r="B899" s="812" t="s">
        <v>2103</v>
      </c>
      <c r="C899" s="812"/>
      <c r="E899" s="810"/>
      <c r="N899" s="807"/>
      <c r="O899" s="808"/>
      <c r="P899" s="807"/>
      <c r="Q899" s="808"/>
    </row>
    <row r="900" spans="1:17" s="658" customFormat="1" ht="14.25" customHeight="1">
      <c r="A900" t="str">
        <f t="shared" si="3"/>
        <v>7542</v>
      </c>
      <c r="B900" s="812" t="s">
        <v>2105</v>
      </c>
      <c r="C900" s="812"/>
      <c r="E900" s="810"/>
      <c r="N900" s="807"/>
      <c r="O900" s="808"/>
      <c r="P900" s="807"/>
      <c r="Q900" s="808"/>
    </row>
    <row r="901" spans="1:17" s="658" customFormat="1" ht="14.25" customHeight="1">
      <c r="A901" t="str">
        <f t="shared" si="3"/>
        <v>7549</v>
      </c>
      <c r="B901" s="812" t="s">
        <v>2107</v>
      </c>
      <c r="C901" s="812"/>
      <c r="E901" s="810"/>
      <c r="N901" s="807"/>
      <c r="O901" s="808"/>
      <c r="P901" s="807"/>
      <c r="Q901" s="808"/>
    </row>
    <row r="902" spans="1:17" s="658" customFormat="1" ht="14.25" customHeight="1">
      <c r="A902" t="str">
        <f t="shared" si="3"/>
        <v>7622</v>
      </c>
      <c r="B902" s="812" t="s">
        <v>2111</v>
      </c>
      <c r="C902" s="812"/>
      <c r="E902" s="810"/>
      <c r="N902" s="807"/>
      <c r="O902" s="808"/>
      <c r="P902" s="807"/>
      <c r="Q902" s="808"/>
    </row>
    <row r="903" spans="1:17" s="658" customFormat="1" ht="14.25" customHeight="1">
      <c r="A903" t="str">
        <f t="shared" si="3"/>
        <v>7623</v>
      </c>
      <c r="B903" s="812" t="s">
        <v>2113</v>
      </c>
      <c r="C903" s="812"/>
      <c r="E903" s="810"/>
      <c r="N903" s="807"/>
      <c r="O903" s="808"/>
      <c r="P903" s="807"/>
      <c r="Q903" s="808"/>
    </row>
    <row r="904" spans="1:17" s="658" customFormat="1" ht="14.25" customHeight="1">
      <c r="A904" t="str">
        <f t="shared" si="3"/>
        <v>7629</v>
      </c>
      <c r="B904" s="812" t="s">
        <v>2115</v>
      </c>
      <c r="C904" s="812"/>
      <c r="E904" s="810"/>
      <c r="N904" s="807"/>
      <c r="O904" s="808"/>
      <c r="P904" s="807"/>
      <c r="Q904" s="808"/>
    </row>
    <row r="905" spans="1:17" s="658" customFormat="1" ht="14.25" customHeight="1">
      <c r="A905" t="str">
        <f t="shared" si="3"/>
        <v>7631</v>
      </c>
      <c r="B905" s="812" t="s">
        <v>2117</v>
      </c>
      <c r="C905" s="812"/>
      <c r="E905" s="810"/>
      <c r="N905" s="807"/>
      <c r="O905" s="808"/>
      <c r="P905" s="807"/>
      <c r="Q905" s="808"/>
    </row>
    <row r="906" spans="1:17" s="658" customFormat="1" ht="14.25" customHeight="1">
      <c r="A906" t="str">
        <f t="shared" si="3"/>
        <v>7641</v>
      </c>
      <c r="B906" s="812" t="s">
        <v>2119</v>
      </c>
      <c r="C906" s="812"/>
      <c r="E906" s="810"/>
      <c r="N906" s="807"/>
      <c r="O906" s="808"/>
      <c r="P906" s="807"/>
      <c r="Q906" s="808"/>
    </row>
    <row r="907" spans="1:17" s="658" customFormat="1" ht="14.25" customHeight="1">
      <c r="A907" t="str">
        <f t="shared" si="3"/>
        <v>7692</v>
      </c>
      <c r="B907" s="812" t="s">
        <v>2121</v>
      </c>
      <c r="C907" s="812"/>
      <c r="E907" s="810"/>
      <c r="N907" s="807"/>
      <c r="O907" s="808"/>
      <c r="P907" s="807"/>
      <c r="Q907" s="808"/>
    </row>
    <row r="908" spans="1:17" s="658" customFormat="1" ht="14.25" customHeight="1">
      <c r="A908" t="str">
        <f t="shared" si="3"/>
        <v>7694</v>
      </c>
      <c r="B908" s="812" t="s">
        <v>2123</v>
      </c>
      <c r="C908" s="812"/>
      <c r="E908" s="810"/>
      <c r="N908" s="807"/>
      <c r="O908" s="808"/>
      <c r="P908" s="807"/>
      <c r="Q908" s="808"/>
    </row>
    <row r="909" spans="1:17" s="658" customFormat="1" ht="14.25" customHeight="1">
      <c r="A909" t="str">
        <f t="shared" si="3"/>
        <v>7699</v>
      </c>
      <c r="B909" s="812" t="s">
        <v>2125</v>
      </c>
      <c r="C909" s="812"/>
      <c r="E909" s="810"/>
      <c r="N909" s="807"/>
      <c r="O909" s="808"/>
      <c r="P909" s="807"/>
      <c r="Q909" s="808"/>
    </row>
    <row r="910" spans="1:17" s="658" customFormat="1" ht="14.25" customHeight="1">
      <c r="A910" t="str">
        <f t="shared" si="3"/>
        <v>7812</v>
      </c>
      <c r="B910" s="812" t="s">
        <v>2129</v>
      </c>
      <c r="C910" s="812"/>
      <c r="E910" s="810"/>
      <c r="N910" s="807"/>
      <c r="O910" s="808"/>
      <c r="P910" s="807"/>
      <c r="Q910" s="808"/>
    </row>
    <row r="911" spans="1:17" s="658" customFormat="1" ht="14.25" customHeight="1">
      <c r="A911" t="str">
        <f t="shared" si="3"/>
        <v>7819</v>
      </c>
      <c r="B911" s="812" t="s">
        <v>2131</v>
      </c>
      <c r="C911" s="812"/>
      <c r="E911" s="810"/>
      <c r="N911" s="807"/>
      <c r="O911" s="808"/>
      <c r="P911" s="807"/>
      <c r="Q911" s="808"/>
    </row>
    <row r="912" spans="1:17" s="658" customFormat="1" ht="14.25" customHeight="1">
      <c r="A912" t="str">
        <f t="shared" si="3"/>
        <v>7822</v>
      </c>
      <c r="B912" s="812" t="s">
        <v>2133</v>
      </c>
      <c r="C912" s="812"/>
      <c r="E912" s="810"/>
      <c r="N912" s="807"/>
      <c r="O912" s="808"/>
      <c r="P912" s="807"/>
      <c r="Q912" s="808"/>
    </row>
    <row r="913" spans="1:23" s="658" customFormat="1" ht="14.25" customHeight="1">
      <c r="A913" t="str">
        <f t="shared" si="3"/>
        <v>7829</v>
      </c>
      <c r="B913" s="812" t="s">
        <v>2135</v>
      </c>
      <c r="C913" s="812"/>
      <c r="E913" s="810"/>
      <c r="N913" s="807"/>
      <c r="O913" s="808"/>
      <c r="P913" s="807"/>
      <c r="Q913" s="808"/>
    </row>
    <row r="914" spans="1:23" s="658" customFormat="1" ht="14.25" customHeight="1">
      <c r="A914" t="str">
        <f t="shared" si="3"/>
        <v>7832</v>
      </c>
      <c r="B914" s="812" t="s">
        <v>2137</v>
      </c>
      <c r="C914" s="812"/>
      <c r="E914" s="810"/>
      <c r="N914" s="807"/>
      <c r="O914" s="808"/>
      <c r="P914" s="807"/>
      <c r="Q914" s="808"/>
    </row>
    <row r="915" spans="1:23" s="658" customFormat="1" ht="14.25" customHeight="1">
      <c r="A915" t="str">
        <f t="shared" si="3"/>
        <v>7833</v>
      </c>
      <c r="B915" s="812" t="s">
        <v>2139</v>
      </c>
      <c r="C915" s="812"/>
      <c r="E915" s="810"/>
      <c r="N915" s="807"/>
      <c r="O915" s="808"/>
      <c r="P915" s="807"/>
      <c r="Q915" s="808"/>
    </row>
    <row r="916" spans="1:23" s="658" customFormat="1" ht="14.25" customHeight="1">
      <c r="A916" t="str">
        <f t="shared" si="3"/>
        <v>7841</v>
      </c>
      <c r="B916" s="812" t="s">
        <v>2141</v>
      </c>
      <c r="C916" s="812"/>
      <c r="E916" s="810"/>
      <c r="N916" s="807"/>
      <c r="O916" s="808"/>
      <c r="P916" s="807"/>
      <c r="Q916" s="808"/>
    </row>
    <row r="917" spans="1:23" s="658" customFormat="1" ht="14.25" customHeight="1">
      <c r="A917" t="str">
        <f t="shared" si="3"/>
        <v>7911</v>
      </c>
      <c r="B917" s="812" t="s">
        <v>2145</v>
      </c>
      <c r="C917" s="812"/>
      <c r="N917" s="807"/>
      <c r="O917" s="808"/>
      <c r="P917" s="807"/>
      <c r="Q917" s="808"/>
    </row>
    <row r="918" spans="1:23" s="658" customFormat="1" ht="14.25" customHeight="1">
      <c r="A918" t="str">
        <f t="shared" si="3"/>
        <v>7922</v>
      </c>
      <c r="B918" s="812" t="s">
        <v>2147</v>
      </c>
      <c r="C918" s="812"/>
      <c r="N918" s="807"/>
      <c r="O918" s="808"/>
      <c r="P918" s="807"/>
      <c r="Q918" s="808"/>
    </row>
    <row r="919" spans="1:23" s="658" customFormat="1" ht="14.25" customHeight="1">
      <c r="A919" t="str">
        <f t="shared" si="3"/>
        <v>7929</v>
      </c>
      <c r="B919" s="812" t="s">
        <v>2149</v>
      </c>
      <c r="C919" s="812"/>
      <c r="N919" s="807"/>
      <c r="O919" s="808"/>
      <c r="P919" s="807"/>
      <c r="Q919" s="808"/>
    </row>
    <row r="920" spans="1:23" s="658" customFormat="1" ht="14.25" customHeight="1">
      <c r="A920" t="str">
        <f t="shared" si="3"/>
        <v>7932</v>
      </c>
      <c r="B920" s="812" t="s">
        <v>2151</v>
      </c>
      <c r="C920" s="812"/>
      <c r="N920" s="807"/>
      <c r="O920" s="808"/>
      <c r="P920" s="807"/>
      <c r="Q920" s="808"/>
    </row>
    <row r="921" spans="1:23" s="658" customFormat="1" ht="14.25" customHeight="1">
      <c r="A921" t="str">
        <f t="shared" si="3"/>
        <v>7933</v>
      </c>
      <c r="B921" s="812" t="s">
        <v>2153</v>
      </c>
      <c r="C921" s="812"/>
      <c r="N921" s="807"/>
      <c r="O921" s="808"/>
      <c r="P921" s="807"/>
      <c r="Q921" s="808"/>
    </row>
    <row r="922" spans="1:23" s="658" customFormat="1" ht="14.25" customHeight="1">
      <c r="A922" t="str">
        <f t="shared" si="3"/>
        <v>7941</v>
      </c>
      <c r="B922" s="812" t="s">
        <v>2155</v>
      </c>
      <c r="C922" s="812"/>
      <c r="N922" s="807"/>
      <c r="O922" s="808"/>
      <c r="P922" s="807"/>
      <c r="Q922" s="808"/>
    </row>
    <row r="923" spans="1:23" s="658" customFormat="1" ht="14.25" customHeight="1">
      <c r="A923" t="str">
        <f t="shared" si="3"/>
        <v>7948</v>
      </c>
      <c r="B923" s="812" t="s">
        <v>2157</v>
      </c>
      <c r="C923" s="812"/>
      <c r="N923" s="807"/>
      <c r="O923" s="808"/>
      <c r="P923" s="807"/>
      <c r="Q923" s="808"/>
    </row>
    <row r="924" spans="1:23" s="658" customFormat="1" ht="14.25" customHeight="1">
      <c r="A924" t="str">
        <f t="shared" si="3"/>
        <v>7991</v>
      </c>
      <c r="B924" s="812" t="s">
        <v>2159</v>
      </c>
      <c r="C924" s="812"/>
      <c r="N924" s="807"/>
      <c r="O924" s="808"/>
      <c r="P924" s="807"/>
      <c r="Q924" s="808"/>
    </row>
    <row r="925" spans="1:23" s="658" customFormat="1" ht="14.25" customHeight="1">
      <c r="A925" t="str">
        <f t="shared" si="3"/>
        <v>7992</v>
      </c>
      <c r="B925" s="812" t="s">
        <v>2161</v>
      </c>
      <c r="C925" s="812"/>
      <c r="I925" s="810"/>
      <c r="N925" s="807"/>
      <c r="O925" s="808"/>
      <c r="P925" s="807"/>
      <c r="Q925" s="808"/>
      <c r="U925" s="810"/>
      <c r="V925" s="810"/>
      <c r="W925" s="810"/>
    </row>
    <row r="926" spans="1:23" s="658" customFormat="1" ht="14.25" customHeight="1">
      <c r="A926" t="str">
        <f t="shared" si="3"/>
        <v>7993</v>
      </c>
      <c r="B926" s="812" t="s">
        <v>2163</v>
      </c>
      <c r="C926" s="812"/>
      <c r="N926" s="807"/>
      <c r="O926" s="808"/>
      <c r="P926" s="807"/>
      <c r="Q926" s="808"/>
    </row>
    <row r="927" spans="1:23" s="658" customFormat="1" ht="14.25" customHeight="1">
      <c r="A927" t="str">
        <f t="shared" si="3"/>
        <v>7996</v>
      </c>
      <c r="B927" s="812" t="s">
        <v>2165</v>
      </c>
      <c r="C927" s="812"/>
      <c r="N927" s="807"/>
      <c r="O927" s="808"/>
      <c r="P927" s="807"/>
      <c r="Q927" s="808"/>
    </row>
    <row r="928" spans="1:23" s="658" customFormat="1" ht="14.25" customHeight="1">
      <c r="A928" t="str">
        <f t="shared" si="3"/>
        <v>7997</v>
      </c>
      <c r="B928" s="812" t="s">
        <v>2167</v>
      </c>
      <c r="C928" s="812"/>
      <c r="N928" s="807"/>
      <c r="O928" s="808"/>
      <c r="P928" s="807"/>
      <c r="Q928" s="808"/>
    </row>
    <row r="929" spans="1:17" s="658" customFormat="1" ht="14.25" customHeight="1">
      <c r="A929" t="str">
        <f t="shared" si="3"/>
        <v>7999</v>
      </c>
      <c r="B929" s="812" t="s">
        <v>2169</v>
      </c>
      <c r="C929" s="812"/>
      <c r="N929" s="807"/>
      <c r="O929" s="808"/>
      <c r="P929" s="807"/>
      <c r="Q929" s="808"/>
    </row>
    <row r="930" spans="1:17" s="658" customFormat="1" ht="14.25" customHeight="1">
      <c r="A930" t="str">
        <f t="shared" si="3"/>
        <v>8011</v>
      </c>
      <c r="B930" s="812" t="s">
        <v>2175</v>
      </c>
      <c r="C930" s="812"/>
      <c r="N930" s="807"/>
      <c r="O930" s="808"/>
      <c r="P930" s="807"/>
      <c r="Q930" s="808"/>
    </row>
    <row r="931" spans="1:17" s="658" customFormat="1" ht="14.25" customHeight="1">
      <c r="A931" t="str">
        <f t="shared" si="3"/>
        <v>8021</v>
      </c>
      <c r="B931" s="812" t="s">
        <v>2177</v>
      </c>
      <c r="C931" s="812"/>
      <c r="N931" s="807"/>
      <c r="O931" s="808"/>
      <c r="P931" s="807"/>
      <c r="Q931" s="808"/>
    </row>
    <row r="932" spans="1:17" s="658" customFormat="1" ht="14.25" customHeight="1">
      <c r="A932" t="str">
        <f t="shared" si="3"/>
        <v>8031</v>
      </c>
      <c r="B932" s="812" t="s">
        <v>2179</v>
      </c>
      <c r="C932" s="812"/>
      <c r="N932" s="807"/>
      <c r="O932" s="808"/>
      <c r="P932" s="807"/>
      <c r="Q932" s="808"/>
    </row>
    <row r="933" spans="1:17" s="658" customFormat="1" ht="14.25" customHeight="1">
      <c r="A933" t="str">
        <f t="shared" si="3"/>
        <v>8041</v>
      </c>
      <c r="B933" s="812" t="s">
        <v>2181</v>
      </c>
      <c r="C933" s="812"/>
      <c r="N933" s="807"/>
      <c r="O933" s="808"/>
      <c r="P933" s="807"/>
      <c r="Q933" s="808"/>
    </row>
    <row r="934" spans="1:17" s="658" customFormat="1" ht="14.25" customHeight="1">
      <c r="A934" t="str">
        <f t="shared" si="3"/>
        <v>8042</v>
      </c>
      <c r="B934" s="812" t="s">
        <v>2183</v>
      </c>
      <c r="C934" s="812"/>
      <c r="N934" s="807"/>
      <c r="O934" s="808"/>
      <c r="P934" s="807"/>
      <c r="Q934" s="808"/>
    </row>
    <row r="935" spans="1:17" s="658" customFormat="1" ht="14.25" customHeight="1">
      <c r="A935" t="str">
        <f t="shared" si="3"/>
        <v>8043</v>
      </c>
      <c r="B935" s="812" t="s">
        <v>2185</v>
      </c>
      <c r="C935" s="812"/>
      <c r="N935" s="807"/>
      <c r="O935" s="808"/>
      <c r="P935" s="807"/>
      <c r="Q935" s="808"/>
    </row>
    <row r="936" spans="1:17" s="658" customFormat="1" ht="14.25" customHeight="1">
      <c r="A936" t="str">
        <f t="shared" si="3"/>
        <v>8049</v>
      </c>
      <c r="B936" s="812" t="s">
        <v>2187</v>
      </c>
      <c r="C936" s="812"/>
      <c r="N936" s="807"/>
      <c r="O936" s="808"/>
      <c r="P936" s="807"/>
      <c r="Q936" s="808"/>
    </row>
    <row r="937" spans="1:17" s="658" customFormat="1" ht="14.25" customHeight="1">
      <c r="A937" t="str">
        <f t="shared" si="3"/>
        <v>8051</v>
      </c>
      <c r="B937" s="812" t="s">
        <v>2189</v>
      </c>
      <c r="C937" s="812"/>
      <c r="N937" s="807"/>
      <c r="O937" s="808"/>
      <c r="P937" s="807"/>
      <c r="Q937" s="808"/>
    </row>
    <row r="938" spans="1:17" s="658" customFormat="1" ht="14.25" customHeight="1">
      <c r="A938" t="str">
        <f t="shared" si="3"/>
        <v>8052</v>
      </c>
      <c r="B938" s="812" t="s">
        <v>2191</v>
      </c>
      <c r="C938" s="812"/>
      <c r="N938" s="807"/>
      <c r="O938" s="808"/>
      <c r="P938" s="807"/>
      <c r="Q938" s="808"/>
    </row>
    <row r="939" spans="1:17" s="658" customFormat="1" ht="14.25" customHeight="1">
      <c r="A939" t="str">
        <f t="shared" si="3"/>
        <v>8059</v>
      </c>
      <c r="B939" s="812" t="s">
        <v>2193</v>
      </c>
      <c r="C939" s="812"/>
      <c r="N939" s="807"/>
      <c r="O939" s="808"/>
      <c r="P939" s="807"/>
      <c r="Q939" s="808"/>
    </row>
    <row r="940" spans="1:17" s="658" customFormat="1" ht="14.25" customHeight="1">
      <c r="A940" t="str">
        <f t="shared" si="3"/>
        <v>8062</v>
      </c>
      <c r="B940" s="812" t="s">
        <v>2195</v>
      </c>
      <c r="C940" s="812"/>
      <c r="N940" s="807"/>
      <c r="O940" s="808"/>
      <c r="P940" s="807"/>
      <c r="Q940" s="808"/>
    </row>
    <row r="941" spans="1:17" s="658" customFormat="1" ht="14.25" customHeight="1">
      <c r="A941" t="str">
        <f t="shared" si="3"/>
        <v>8063</v>
      </c>
      <c r="B941" s="812" t="s">
        <v>2197</v>
      </c>
      <c r="C941" s="812"/>
      <c r="N941" s="807"/>
      <c r="O941" s="808"/>
      <c r="P941" s="807"/>
      <c r="Q941" s="808"/>
    </row>
    <row r="942" spans="1:17" s="658" customFormat="1" ht="14.25" customHeight="1">
      <c r="A942" t="str">
        <f t="shared" si="3"/>
        <v>8069</v>
      </c>
      <c r="B942" s="812" t="s">
        <v>2199</v>
      </c>
      <c r="C942" s="812"/>
      <c r="N942" s="807"/>
      <c r="O942" s="808"/>
      <c r="P942" s="807"/>
      <c r="Q942" s="808"/>
    </row>
    <row r="943" spans="1:17" s="658" customFormat="1" ht="14.25" customHeight="1">
      <c r="A943" t="str">
        <f t="shared" si="3"/>
        <v>8071</v>
      </c>
      <c r="B943" s="812" t="s">
        <v>2201</v>
      </c>
      <c r="C943" s="812"/>
      <c r="N943" s="807"/>
      <c r="O943" s="808"/>
      <c r="P943" s="807"/>
      <c r="Q943" s="808"/>
    </row>
    <row r="944" spans="1:17" s="658" customFormat="1" ht="14.25" customHeight="1">
      <c r="A944" t="str">
        <f t="shared" si="3"/>
        <v>8072</v>
      </c>
      <c r="B944" s="812" t="s">
        <v>2203</v>
      </c>
      <c r="C944" s="812"/>
      <c r="N944" s="807"/>
      <c r="O944" s="808"/>
      <c r="P944" s="807"/>
      <c r="Q944" s="808"/>
    </row>
    <row r="945" spans="1:23" s="658" customFormat="1" ht="14.25" customHeight="1">
      <c r="A945" t="str">
        <f t="shared" si="3"/>
        <v>8082</v>
      </c>
      <c r="B945" s="812" t="s">
        <v>2205</v>
      </c>
      <c r="C945" s="812"/>
      <c r="N945" s="807"/>
      <c r="O945" s="808"/>
      <c r="P945" s="807"/>
      <c r="Q945" s="808"/>
    </row>
    <row r="946" spans="1:23" s="658" customFormat="1" ht="14.25" customHeight="1">
      <c r="A946" t="str">
        <f t="shared" si="3"/>
        <v>8092</v>
      </c>
      <c r="B946" s="812" t="s">
        <v>2207</v>
      </c>
      <c r="C946" s="812"/>
      <c r="N946" s="807"/>
      <c r="O946" s="808"/>
      <c r="P946" s="807"/>
      <c r="Q946" s="808"/>
    </row>
    <row r="947" spans="1:23" s="658" customFormat="1" ht="14.25" customHeight="1">
      <c r="A947" t="str">
        <f t="shared" si="3"/>
        <v>8093</v>
      </c>
      <c r="B947" s="812" t="s">
        <v>2209</v>
      </c>
      <c r="C947" s="812"/>
      <c r="N947" s="807"/>
      <c r="O947" s="808"/>
      <c r="P947" s="807"/>
      <c r="Q947" s="808"/>
    </row>
    <row r="948" spans="1:23" s="658" customFormat="1" ht="14.25" customHeight="1">
      <c r="A948" t="str">
        <f t="shared" si="3"/>
        <v>8099</v>
      </c>
      <c r="B948" s="812" t="s">
        <v>2211</v>
      </c>
      <c r="C948" s="812"/>
      <c r="N948" s="807"/>
      <c r="O948" s="808"/>
      <c r="P948" s="807"/>
      <c r="Q948" s="808"/>
    </row>
    <row r="949" spans="1:23" s="658" customFormat="1" ht="14.25" customHeight="1">
      <c r="A949" t="str">
        <f t="shared" si="3"/>
        <v>8111</v>
      </c>
      <c r="B949" s="812" t="s">
        <v>2215</v>
      </c>
      <c r="C949" s="812"/>
      <c r="E949" s="810"/>
      <c r="I949" s="808"/>
      <c r="N949" s="807"/>
      <c r="O949" s="808"/>
      <c r="P949" s="807"/>
      <c r="Q949" s="808"/>
      <c r="U949" s="808"/>
      <c r="V949" s="808"/>
      <c r="W949" s="808"/>
    </row>
    <row r="950" spans="1:23" s="658" customFormat="1" ht="14.25" customHeight="1">
      <c r="A950" t="str">
        <f t="shared" si="3"/>
        <v>8211</v>
      </c>
      <c r="B950" s="812" t="s">
        <v>2219</v>
      </c>
      <c r="C950" s="812"/>
      <c r="N950" s="807"/>
      <c r="O950" s="808"/>
      <c r="P950" s="807"/>
      <c r="Q950" s="808"/>
    </row>
    <row r="951" spans="1:23" s="658" customFormat="1" ht="14.25" customHeight="1">
      <c r="A951" t="str">
        <f t="shared" si="3"/>
        <v>8221</v>
      </c>
      <c r="B951" s="812" t="s">
        <v>2221</v>
      </c>
      <c r="C951" s="812"/>
      <c r="N951" s="807"/>
      <c r="O951" s="808"/>
      <c r="P951" s="807"/>
      <c r="Q951" s="808"/>
    </row>
    <row r="952" spans="1:23" s="658" customFormat="1" ht="14.25" customHeight="1">
      <c r="A952" t="str">
        <f t="shared" si="3"/>
        <v>8222</v>
      </c>
      <c r="B952" s="812" t="s">
        <v>2223</v>
      </c>
      <c r="C952" s="812"/>
      <c r="N952" s="807"/>
      <c r="O952" s="808"/>
      <c r="P952" s="807"/>
      <c r="Q952" s="808"/>
    </row>
    <row r="953" spans="1:23" s="658" customFormat="1" ht="14.25" customHeight="1">
      <c r="A953" t="str">
        <f t="shared" si="3"/>
        <v>8231</v>
      </c>
      <c r="B953" s="812" t="s">
        <v>2225</v>
      </c>
      <c r="C953" s="812"/>
      <c r="N953" s="807"/>
      <c r="O953" s="808"/>
      <c r="P953" s="807"/>
      <c r="Q953" s="808"/>
    </row>
    <row r="954" spans="1:23" s="658" customFormat="1" ht="14.25" customHeight="1">
      <c r="A954" t="str">
        <f t="shared" si="3"/>
        <v>8243</v>
      </c>
      <c r="B954" s="812" t="s">
        <v>2227</v>
      </c>
      <c r="C954" s="812"/>
      <c r="N954" s="807"/>
      <c r="O954" s="808"/>
      <c r="P954" s="807"/>
      <c r="Q954" s="808"/>
    </row>
    <row r="955" spans="1:23" s="658" customFormat="1" ht="14.25" customHeight="1">
      <c r="A955" t="str">
        <f t="shared" si="3"/>
        <v>8244</v>
      </c>
      <c r="B955" s="812" t="s">
        <v>2229</v>
      </c>
      <c r="C955" s="812"/>
      <c r="N955" s="807"/>
      <c r="O955" s="808"/>
      <c r="P955" s="807"/>
      <c r="Q955" s="808"/>
    </row>
    <row r="956" spans="1:23" s="658" customFormat="1" ht="14.25" customHeight="1">
      <c r="A956" t="str">
        <f t="shared" si="3"/>
        <v>8249</v>
      </c>
      <c r="B956" s="812" t="s">
        <v>2231</v>
      </c>
      <c r="C956" s="812"/>
      <c r="N956" s="807"/>
      <c r="O956" s="808"/>
      <c r="P956" s="807"/>
      <c r="Q956" s="808"/>
    </row>
    <row r="957" spans="1:23" s="658" customFormat="1" ht="14.25" customHeight="1">
      <c r="A957" t="str">
        <f t="shared" si="3"/>
        <v>8299</v>
      </c>
      <c r="B957" s="812" t="s">
        <v>2233</v>
      </c>
      <c r="C957" s="812"/>
      <c r="N957" s="807"/>
      <c r="O957" s="808"/>
      <c r="P957" s="807"/>
      <c r="Q957" s="808"/>
    </row>
    <row r="958" spans="1:23" s="658" customFormat="1" ht="14.25" customHeight="1">
      <c r="A958" t="str">
        <f t="shared" si="3"/>
        <v>8322</v>
      </c>
      <c r="B958" s="812" t="s">
        <v>2237</v>
      </c>
      <c r="C958" s="812"/>
      <c r="N958" s="807"/>
      <c r="O958" s="808"/>
      <c r="P958" s="807"/>
      <c r="Q958" s="808"/>
    </row>
    <row r="959" spans="1:23" s="658" customFormat="1" ht="14.25" customHeight="1">
      <c r="A959" t="str">
        <f t="shared" si="3"/>
        <v>8331</v>
      </c>
      <c r="B959" s="812" t="s">
        <v>2239</v>
      </c>
      <c r="C959" s="812"/>
      <c r="N959" s="807"/>
      <c r="O959" s="808"/>
      <c r="P959" s="807"/>
      <c r="Q959" s="808"/>
    </row>
    <row r="960" spans="1:23" s="658" customFormat="1" ht="14.25" customHeight="1">
      <c r="A960" t="str">
        <f t="shared" si="3"/>
        <v>8351</v>
      </c>
      <c r="B960" s="812" t="s">
        <v>2241</v>
      </c>
      <c r="C960" s="812"/>
      <c r="N960" s="807"/>
      <c r="O960" s="808"/>
      <c r="P960" s="807"/>
      <c r="Q960" s="808"/>
    </row>
    <row r="961" spans="1:23" s="658" customFormat="1" ht="14.25" customHeight="1">
      <c r="A961" t="str">
        <f t="shared" si="3"/>
        <v>8361</v>
      </c>
      <c r="B961" s="812" t="s">
        <v>2243</v>
      </c>
      <c r="C961" s="812"/>
      <c r="N961" s="807"/>
      <c r="O961" s="808"/>
      <c r="P961" s="807"/>
      <c r="Q961" s="808"/>
    </row>
    <row r="962" spans="1:23" s="658" customFormat="1" ht="14.25" customHeight="1">
      <c r="A962" t="str">
        <f t="shared" si="3"/>
        <v>8399</v>
      </c>
      <c r="B962" s="812" t="s">
        <v>2245</v>
      </c>
      <c r="C962" s="812"/>
      <c r="N962" s="807"/>
      <c r="O962" s="808"/>
      <c r="P962" s="807"/>
      <c r="Q962" s="808"/>
    </row>
    <row r="963" spans="1:23" s="658" customFormat="1" ht="14.25" customHeight="1">
      <c r="A963" t="str">
        <f t="shared" si="3"/>
        <v>8412</v>
      </c>
      <c r="B963" s="812" t="s">
        <v>2249</v>
      </c>
      <c r="C963" s="812"/>
      <c r="N963" s="807"/>
      <c r="O963" s="808"/>
      <c r="P963" s="807"/>
      <c r="Q963" s="808"/>
    </row>
    <row r="964" spans="1:23" s="658" customFormat="1" ht="14.25" customHeight="1">
      <c r="A964" t="str">
        <f t="shared" si="3"/>
        <v>8422</v>
      </c>
      <c r="B964" s="812" t="s">
        <v>2251</v>
      </c>
      <c r="C964" s="812"/>
      <c r="N964" s="807"/>
      <c r="O964" s="808"/>
      <c r="P964" s="807"/>
      <c r="Q964" s="808"/>
    </row>
    <row r="965" spans="1:23" s="658" customFormat="1" ht="14.25" customHeight="1">
      <c r="A965" t="str">
        <f t="shared" si="3"/>
        <v>8611</v>
      </c>
      <c r="B965" s="812" t="s">
        <v>2255</v>
      </c>
      <c r="C965" s="812"/>
      <c r="N965" s="807"/>
      <c r="O965" s="808"/>
      <c r="P965" s="807"/>
      <c r="Q965" s="808"/>
    </row>
    <row r="966" spans="1:23" s="658" customFormat="1" ht="14.25" customHeight="1">
      <c r="A966" t="str">
        <f t="shared" si="3"/>
        <v>8621</v>
      </c>
      <c r="B966" s="812" t="s">
        <v>2257</v>
      </c>
      <c r="C966" s="812"/>
      <c r="N966" s="807"/>
      <c r="O966" s="808"/>
      <c r="P966" s="807"/>
      <c r="Q966" s="808"/>
    </row>
    <row r="967" spans="1:23" s="658" customFormat="1" ht="14.25" customHeight="1">
      <c r="A967" t="str">
        <f t="shared" si="3"/>
        <v>8631</v>
      </c>
      <c r="B967" s="812" t="s">
        <v>2259</v>
      </c>
      <c r="C967" s="812"/>
      <c r="I967" s="810"/>
      <c r="N967" s="807"/>
      <c r="O967" s="808"/>
      <c r="P967" s="807"/>
      <c r="Q967" s="808"/>
      <c r="U967" s="810"/>
      <c r="V967" s="810"/>
      <c r="W967" s="810"/>
    </row>
    <row r="968" spans="1:23" s="658" customFormat="1" ht="14.25" customHeight="1">
      <c r="A968" t="str">
        <f t="shared" si="3"/>
        <v>8641</v>
      </c>
      <c r="B968" s="812" t="s">
        <v>2261</v>
      </c>
      <c r="C968" s="812"/>
      <c r="N968" s="807"/>
      <c r="O968" s="808"/>
      <c r="P968" s="807"/>
      <c r="Q968" s="808"/>
    </row>
    <row r="969" spans="1:23" s="658" customFormat="1" ht="14.25" customHeight="1">
      <c r="A969" t="str">
        <f t="shared" si="3"/>
        <v>8651</v>
      </c>
      <c r="B969" s="812" t="s">
        <v>2263</v>
      </c>
      <c r="C969" s="812"/>
      <c r="N969" s="807"/>
      <c r="O969" s="808"/>
      <c r="P969" s="807"/>
      <c r="Q969" s="808"/>
    </row>
    <row r="970" spans="1:23" s="658" customFormat="1" ht="14.25" customHeight="1">
      <c r="A970" t="str">
        <f t="shared" si="3"/>
        <v>8661</v>
      </c>
      <c r="B970" s="812" t="s">
        <v>2265</v>
      </c>
      <c r="C970" s="812"/>
      <c r="N970" s="807"/>
      <c r="O970" s="808"/>
      <c r="P970" s="807"/>
      <c r="Q970" s="808"/>
    </row>
    <row r="971" spans="1:23" s="658" customFormat="1" ht="14.25" customHeight="1">
      <c r="A971" t="str">
        <f t="shared" si="3"/>
        <v>8699</v>
      </c>
      <c r="B971" s="812" t="s">
        <v>2267</v>
      </c>
      <c r="C971" s="812"/>
      <c r="N971" s="807"/>
      <c r="O971" s="808"/>
      <c r="P971" s="807"/>
      <c r="Q971" s="808"/>
    </row>
    <row r="972" spans="1:23" s="658" customFormat="1" ht="14.25" customHeight="1">
      <c r="A972" t="str">
        <f t="shared" si="3"/>
        <v>8711</v>
      </c>
      <c r="B972" s="812" t="s">
        <v>2271</v>
      </c>
      <c r="C972" s="812"/>
      <c r="E972" s="810"/>
      <c r="N972" s="807"/>
      <c r="O972" s="808"/>
      <c r="P972" s="807"/>
      <c r="Q972" s="808"/>
    </row>
    <row r="973" spans="1:23" s="658" customFormat="1" ht="14.25" customHeight="1">
      <c r="A973" t="str">
        <f t="shared" si="3"/>
        <v>8712</v>
      </c>
      <c r="B973" s="812" t="s">
        <v>2273</v>
      </c>
      <c r="C973" s="812"/>
      <c r="E973" s="810"/>
      <c r="I973" s="808"/>
      <c r="N973" s="807"/>
      <c r="O973" s="808"/>
      <c r="P973" s="807"/>
      <c r="Q973" s="808"/>
      <c r="U973" s="808"/>
      <c r="V973" s="808"/>
      <c r="W973" s="808"/>
    </row>
    <row r="974" spans="1:23" s="658" customFormat="1" ht="14.25" customHeight="1">
      <c r="A974" t="str">
        <f t="shared" si="3"/>
        <v>8713</v>
      </c>
      <c r="B974" s="812" t="s">
        <v>2275</v>
      </c>
      <c r="C974" s="812"/>
      <c r="E974" s="810"/>
      <c r="N974" s="807"/>
      <c r="O974" s="808"/>
      <c r="P974" s="807"/>
      <c r="Q974" s="808"/>
    </row>
    <row r="975" spans="1:23" s="658" customFormat="1" ht="14.25" customHeight="1">
      <c r="A975" t="str">
        <f t="shared" si="3"/>
        <v>8721</v>
      </c>
      <c r="B975" s="812" t="s">
        <v>2277</v>
      </c>
      <c r="C975" s="812"/>
      <c r="E975" s="810"/>
      <c r="I975" s="808"/>
      <c r="N975" s="807"/>
      <c r="O975" s="808"/>
      <c r="P975" s="807"/>
      <c r="Q975" s="808"/>
      <c r="U975" s="808"/>
      <c r="V975" s="808"/>
      <c r="W975" s="808"/>
    </row>
    <row r="976" spans="1:23" s="658" customFormat="1" ht="14.25" customHeight="1">
      <c r="A976" t="str">
        <f t="shared" si="3"/>
        <v>8731</v>
      </c>
      <c r="B976" s="812" t="s">
        <v>2279</v>
      </c>
      <c r="C976" s="812"/>
      <c r="E976" s="810"/>
      <c r="N976" s="807"/>
      <c r="O976" s="808"/>
      <c r="P976" s="807"/>
      <c r="Q976" s="808"/>
    </row>
    <row r="977" spans="1:17" s="658" customFormat="1" ht="14.25" customHeight="1">
      <c r="A977" t="str">
        <f t="shared" si="3"/>
        <v>8732</v>
      </c>
      <c r="B977" s="812" t="s">
        <v>2281</v>
      </c>
      <c r="C977" s="812"/>
      <c r="E977" s="810"/>
      <c r="N977" s="807"/>
      <c r="O977" s="808"/>
      <c r="P977" s="807"/>
      <c r="Q977" s="808"/>
    </row>
    <row r="978" spans="1:17" s="658" customFormat="1" ht="14.25" customHeight="1">
      <c r="A978" t="str">
        <f t="shared" si="3"/>
        <v>8733</v>
      </c>
      <c r="B978" s="812" t="s">
        <v>2283</v>
      </c>
      <c r="C978" s="812"/>
      <c r="E978" s="810"/>
      <c r="N978" s="807"/>
      <c r="O978" s="808"/>
      <c r="P978" s="807"/>
      <c r="Q978" s="808"/>
    </row>
    <row r="979" spans="1:17" s="658" customFormat="1" ht="14.25" customHeight="1">
      <c r="A979" t="str">
        <f t="shared" si="3"/>
        <v>8734</v>
      </c>
      <c r="B979" s="812" t="s">
        <v>2285</v>
      </c>
      <c r="C979" s="812"/>
      <c r="E979" s="810"/>
      <c r="N979" s="807"/>
      <c r="O979" s="808"/>
      <c r="P979" s="807"/>
      <c r="Q979" s="808"/>
    </row>
    <row r="980" spans="1:17" s="658" customFormat="1" ht="14.25" customHeight="1">
      <c r="A980" t="str">
        <f t="shared" si="3"/>
        <v>8741</v>
      </c>
      <c r="B980" s="812" t="s">
        <v>2287</v>
      </c>
      <c r="C980" s="812"/>
      <c r="E980" s="810"/>
      <c r="N980" s="807"/>
      <c r="O980" s="808"/>
      <c r="P980" s="807"/>
      <c r="Q980" s="808"/>
    </row>
    <row r="981" spans="1:17" s="658" customFormat="1" ht="14.25" customHeight="1">
      <c r="A981" t="str">
        <f t="shared" si="3"/>
        <v>8742</v>
      </c>
      <c r="B981" s="812" t="s">
        <v>2289</v>
      </c>
      <c r="C981" s="812"/>
      <c r="E981" s="810"/>
      <c r="N981" s="807"/>
      <c r="O981" s="808"/>
      <c r="P981" s="807"/>
      <c r="Q981" s="808"/>
    </row>
    <row r="982" spans="1:17" s="658" customFormat="1" ht="14.25" customHeight="1">
      <c r="A982" t="str">
        <f t="shared" si="3"/>
        <v>8743</v>
      </c>
      <c r="B982" s="812" t="s">
        <v>2291</v>
      </c>
      <c r="C982" s="812"/>
      <c r="E982" s="810"/>
      <c r="N982" s="807"/>
      <c r="O982" s="808"/>
      <c r="P982" s="807"/>
      <c r="Q982" s="808"/>
    </row>
    <row r="983" spans="1:17" s="658" customFormat="1" ht="14.25" customHeight="1">
      <c r="A983" t="str">
        <f t="shared" si="3"/>
        <v>8744</v>
      </c>
      <c r="B983" s="812" t="s">
        <v>2293</v>
      </c>
      <c r="C983" s="812"/>
      <c r="E983" s="810"/>
      <c r="N983" s="807"/>
      <c r="O983" s="808"/>
      <c r="P983" s="807"/>
      <c r="Q983" s="808"/>
    </row>
    <row r="984" spans="1:17" s="658" customFormat="1" ht="14.25" customHeight="1">
      <c r="A984" t="str">
        <f t="shared" si="3"/>
        <v>8748</v>
      </c>
      <c r="B984" s="812" t="s">
        <v>2295</v>
      </c>
      <c r="C984" s="812"/>
      <c r="E984" s="810"/>
      <c r="N984" s="807"/>
      <c r="O984" s="808"/>
      <c r="P984" s="807"/>
      <c r="Q984" s="808"/>
    </row>
    <row r="985" spans="1:17" s="658" customFormat="1" ht="14.25" customHeight="1">
      <c r="A985" t="str">
        <f t="shared" si="3"/>
        <v>8811</v>
      </c>
      <c r="B985" s="812" t="s">
        <v>2299</v>
      </c>
      <c r="C985" s="812"/>
      <c r="N985" s="807"/>
      <c r="O985" s="808"/>
      <c r="P985" s="807"/>
      <c r="Q985" s="808"/>
    </row>
    <row r="986" spans="1:17" s="658" customFormat="1" ht="14.25" customHeight="1">
      <c r="A986" t="str">
        <f t="shared" si="3"/>
        <v>8999</v>
      </c>
      <c r="B986" s="812" t="s">
        <v>2303</v>
      </c>
      <c r="C986" s="812"/>
      <c r="E986" s="810"/>
      <c r="N986" s="807"/>
      <c r="O986" s="808"/>
      <c r="P986" s="807"/>
      <c r="Q986" s="808"/>
    </row>
    <row r="987" spans="1:17" s="658" customFormat="1" ht="14.25" customHeight="1">
      <c r="A987" t="str">
        <f t="shared" si="3"/>
        <v>9111</v>
      </c>
      <c r="B987" s="812" t="s">
        <v>2307</v>
      </c>
      <c r="C987" s="812"/>
      <c r="N987" s="807"/>
      <c r="O987" s="808"/>
      <c r="P987" s="807"/>
      <c r="Q987" s="808"/>
    </row>
    <row r="988" spans="1:17" s="658" customFormat="1" ht="14.25" customHeight="1">
      <c r="A988" t="str">
        <f t="shared" si="3"/>
        <v>9121</v>
      </c>
      <c r="B988" s="812" t="s">
        <v>2309</v>
      </c>
      <c r="C988" s="812"/>
      <c r="N988" s="807"/>
      <c r="O988" s="808"/>
      <c r="P988" s="807"/>
      <c r="Q988" s="808"/>
    </row>
    <row r="989" spans="1:17" s="658" customFormat="1" ht="14.25" customHeight="1">
      <c r="A989" t="str">
        <f t="shared" si="3"/>
        <v>9131</v>
      </c>
      <c r="B989" s="812" t="s">
        <v>2311</v>
      </c>
      <c r="C989" s="812"/>
      <c r="N989" s="807"/>
      <c r="O989" s="808"/>
      <c r="P989" s="807"/>
      <c r="Q989" s="808"/>
    </row>
    <row r="990" spans="1:17" s="658" customFormat="1" ht="14.25" customHeight="1">
      <c r="A990" t="str">
        <f t="shared" si="3"/>
        <v>9199</v>
      </c>
      <c r="B990" s="812" t="s">
        <v>2313</v>
      </c>
      <c r="C990" s="812"/>
      <c r="N990" s="807"/>
      <c r="O990" s="808"/>
      <c r="P990" s="807"/>
      <c r="Q990" s="808"/>
    </row>
    <row r="991" spans="1:17" s="658" customFormat="1" ht="14.25" customHeight="1">
      <c r="A991" t="str">
        <f t="shared" si="3"/>
        <v>9211</v>
      </c>
      <c r="B991" s="812" t="s">
        <v>2317</v>
      </c>
      <c r="C991" s="812"/>
      <c r="N991" s="807"/>
      <c r="O991" s="808"/>
      <c r="P991" s="807"/>
      <c r="Q991" s="808"/>
    </row>
    <row r="992" spans="1:17" s="658" customFormat="1" ht="14.25" customHeight="1">
      <c r="A992" t="str">
        <f t="shared" si="3"/>
        <v>9221</v>
      </c>
      <c r="B992" s="812" t="s">
        <v>2319</v>
      </c>
      <c r="C992" s="812"/>
      <c r="N992" s="807"/>
      <c r="O992" s="808"/>
      <c r="P992" s="807"/>
      <c r="Q992" s="808"/>
    </row>
    <row r="993" spans="1:17" s="658" customFormat="1" ht="14.25" customHeight="1">
      <c r="A993" t="str">
        <f t="shared" si="3"/>
        <v>9222</v>
      </c>
      <c r="B993" s="812" t="s">
        <v>2321</v>
      </c>
      <c r="C993" s="812"/>
      <c r="N993" s="807"/>
      <c r="O993" s="808"/>
      <c r="P993" s="807"/>
      <c r="Q993" s="808"/>
    </row>
    <row r="994" spans="1:17" s="658" customFormat="1" ht="14.25" customHeight="1">
      <c r="A994" t="str">
        <f t="shared" si="3"/>
        <v>9223</v>
      </c>
      <c r="B994" s="812" t="s">
        <v>2323</v>
      </c>
      <c r="C994" s="812"/>
      <c r="N994" s="807"/>
      <c r="O994" s="808"/>
      <c r="P994" s="807"/>
      <c r="Q994" s="808"/>
    </row>
    <row r="995" spans="1:17" s="658" customFormat="1" ht="14.25" customHeight="1">
      <c r="A995" t="str">
        <f t="shared" si="3"/>
        <v>9224</v>
      </c>
      <c r="B995" s="812" t="s">
        <v>2325</v>
      </c>
      <c r="C995" s="812"/>
      <c r="N995" s="807"/>
      <c r="O995" s="808"/>
      <c r="P995" s="807"/>
      <c r="Q995" s="808"/>
    </row>
    <row r="996" spans="1:17" s="658" customFormat="1" ht="14.25" customHeight="1">
      <c r="A996" t="str">
        <f t="shared" si="3"/>
        <v>9229</v>
      </c>
      <c r="B996" s="812" t="s">
        <v>2327</v>
      </c>
      <c r="C996" s="812"/>
      <c r="N996" s="807"/>
      <c r="O996" s="808"/>
      <c r="P996" s="807"/>
      <c r="Q996" s="808"/>
    </row>
    <row r="997" spans="1:17" s="658" customFormat="1" ht="14.25" customHeight="1">
      <c r="A997" t="str">
        <f t="shared" si="3"/>
        <v>9311</v>
      </c>
      <c r="B997" s="812" t="s">
        <v>2331</v>
      </c>
      <c r="C997" s="812"/>
      <c r="N997" s="807"/>
      <c r="O997" s="808"/>
      <c r="P997" s="807"/>
      <c r="Q997" s="808"/>
    </row>
    <row r="998" spans="1:17" s="658" customFormat="1" ht="14.25" customHeight="1">
      <c r="A998" t="str">
        <f t="shared" si="3"/>
        <v>9411</v>
      </c>
      <c r="B998" s="812" t="s">
        <v>2335</v>
      </c>
      <c r="C998" s="812"/>
      <c r="N998" s="807"/>
      <c r="O998" s="808"/>
      <c r="P998" s="807"/>
      <c r="Q998" s="808"/>
    </row>
    <row r="999" spans="1:17" s="658" customFormat="1" ht="14.25" customHeight="1">
      <c r="A999" t="str">
        <f t="shared" si="3"/>
        <v>9431</v>
      </c>
      <c r="B999" s="812" t="s">
        <v>2337</v>
      </c>
      <c r="C999" s="812"/>
      <c r="N999" s="807"/>
      <c r="O999" s="808"/>
      <c r="P999" s="807"/>
      <c r="Q999" s="808"/>
    </row>
    <row r="1000" spans="1:17" s="658" customFormat="1" ht="14.25" customHeight="1">
      <c r="A1000" t="str">
        <f t="shared" si="3"/>
        <v>9441</v>
      </c>
      <c r="B1000" s="812" t="s">
        <v>2339</v>
      </c>
      <c r="C1000" s="812"/>
      <c r="N1000" s="807"/>
      <c r="O1000" s="808"/>
      <c r="P1000" s="807"/>
      <c r="Q1000" s="808"/>
    </row>
    <row r="1001" spans="1:17" s="658" customFormat="1" ht="14.25" customHeight="1">
      <c r="A1001" t="str">
        <f t="shared" si="3"/>
        <v>9511</v>
      </c>
      <c r="B1001" s="812" t="s">
        <v>2343</v>
      </c>
      <c r="C1001" s="812"/>
      <c r="N1001" s="807"/>
      <c r="O1001" s="808"/>
      <c r="P1001" s="807"/>
      <c r="Q1001" s="808"/>
    </row>
    <row r="1002" spans="1:17" s="658" customFormat="1" ht="14.25" customHeight="1">
      <c r="A1002" t="str">
        <f t="shared" si="3"/>
        <v>9512</v>
      </c>
      <c r="B1002" s="812" t="s">
        <v>2345</v>
      </c>
      <c r="C1002" s="812"/>
      <c r="N1002" s="807"/>
      <c r="O1002" s="808"/>
      <c r="P1002" s="807"/>
      <c r="Q1002" s="808"/>
    </row>
    <row r="1003" spans="1:17" s="658" customFormat="1" ht="14.25" customHeight="1">
      <c r="A1003" t="str">
        <f t="shared" si="3"/>
        <v>9531</v>
      </c>
      <c r="B1003" s="812" t="s">
        <v>2347</v>
      </c>
      <c r="C1003" s="812"/>
      <c r="N1003" s="807"/>
      <c r="O1003" s="808"/>
      <c r="P1003" s="807"/>
      <c r="Q1003" s="808"/>
    </row>
    <row r="1004" spans="1:17" s="658" customFormat="1" ht="14.25" customHeight="1">
      <c r="A1004" t="str">
        <f t="shared" si="3"/>
        <v>9532</v>
      </c>
      <c r="B1004" s="812" t="s">
        <v>2349</v>
      </c>
      <c r="C1004" s="812"/>
      <c r="N1004" s="807"/>
      <c r="O1004" s="808"/>
      <c r="P1004" s="807"/>
      <c r="Q1004" s="808"/>
    </row>
    <row r="1005" spans="1:17" s="658" customFormat="1" ht="14.25" customHeight="1">
      <c r="A1005" t="str">
        <f t="shared" si="3"/>
        <v>9611</v>
      </c>
      <c r="B1005" s="812" t="s">
        <v>2353</v>
      </c>
      <c r="C1005" s="812"/>
      <c r="N1005" s="807"/>
      <c r="O1005" s="808"/>
      <c r="P1005" s="807"/>
      <c r="Q1005" s="808"/>
    </row>
    <row r="1006" spans="1:17" s="658" customFormat="1" ht="14.25" customHeight="1">
      <c r="A1006" t="str">
        <f t="shared" si="3"/>
        <v>9621</v>
      </c>
      <c r="B1006" s="812" t="s">
        <v>2355</v>
      </c>
      <c r="C1006" s="812"/>
      <c r="N1006" s="807"/>
      <c r="O1006" s="808"/>
      <c r="P1006" s="807"/>
      <c r="Q1006" s="808"/>
    </row>
    <row r="1007" spans="1:17" s="658" customFormat="1" ht="14.25" customHeight="1">
      <c r="A1007" t="str">
        <f t="shared" si="3"/>
        <v>9631</v>
      </c>
      <c r="B1007" s="812" t="s">
        <v>2357</v>
      </c>
      <c r="C1007" s="812"/>
      <c r="N1007" s="807"/>
      <c r="O1007" s="808"/>
      <c r="P1007" s="807"/>
      <c r="Q1007" s="808"/>
    </row>
    <row r="1008" spans="1:17" s="658" customFormat="1" ht="14.25" customHeight="1">
      <c r="A1008" t="str">
        <f t="shared" si="3"/>
        <v>9641</v>
      </c>
      <c r="B1008" s="812" t="s">
        <v>2359</v>
      </c>
      <c r="C1008" s="812"/>
      <c r="N1008" s="807"/>
      <c r="O1008" s="808"/>
      <c r="P1008" s="807"/>
      <c r="Q1008" s="808"/>
    </row>
    <row r="1009" spans="1:17" s="658" customFormat="1" ht="14.25" customHeight="1">
      <c r="A1009" t="str">
        <f t="shared" si="3"/>
        <v>9651</v>
      </c>
      <c r="B1009" s="812" t="s">
        <v>2361</v>
      </c>
      <c r="C1009" s="812"/>
      <c r="N1009" s="807"/>
      <c r="O1009" s="808"/>
      <c r="P1009" s="807"/>
      <c r="Q1009" s="808"/>
    </row>
    <row r="1010" spans="1:17" s="658" customFormat="1" ht="14.25" customHeight="1">
      <c r="A1010" t="str">
        <f t="shared" si="3"/>
        <v>9661</v>
      </c>
      <c r="B1010" s="812" t="s">
        <v>2363</v>
      </c>
      <c r="C1010" s="812"/>
      <c r="N1010" s="807"/>
      <c r="O1010" s="808"/>
      <c r="P1010" s="807"/>
      <c r="Q1010" s="808"/>
    </row>
    <row r="1011" spans="1:17" s="658" customFormat="1" ht="14.25" customHeight="1">
      <c r="A1011" t="str">
        <f t="shared" si="3"/>
        <v>9711</v>
      </c>
      <c r="B1011" s="812" t="s">
        <v>2367</v>
      </c>
      <c r="C1011" s="812"/>
      <c r="N1011" s="807"/>
      <c r="O1011" s="808"/>
      <c r="P1011" s="807"/>
      <c r="Q1011" s="808"/>
    </row>
    <row r="1012" spans="1:17" s="658" customFormat="1" ht="14.25" customHeight="1">
      <c r="A1012" t="str">
        <f t="shared" si="3"/>
        <v>9721</v>
      </c>
      <c r="B1012" s="812" t="s">
        <v>2369</v>
      </c>
      <c r="C1012" s="812"/>
      <c r="N1012" s="807"/>
      <c r="O1012" s="808"/>
      <c r="P1012" s="807"/>
      <c r="Q1012" s="808"/>
    </row>
    <row r="1013" spans="1:17" s="658" customFormat="1" ht="14.25" customHeight="1">
      <c r="A1013" t="str">
        <f t="shared" si="3"/>
        <v>9999</v>
      </c>
      <c r="B1013" s="812" t="s">
        <v>2373</v>
      </c>
      <c r="C1013" s="812"/>
      <c r="N1013" s="807"/>
      <c r="O1013" s="808"/>
      <c r="P1013" s="807"/>
      <c r="Q1013" s="808"/>
    </row>
    <row r="1014" spans="1:17" s="658" customFormat="1" ht="15" customHeight="1">
      <c r="A1014"/>
      <c r="B1014"/>
      <c r="C1014"/>
    </row>
  </sheetData>
  <autoFilter ref="A6:K1014"/>
  <mergeCells count="9">
    <mergeCell ref="X5:Z5"/>
    <mergeCell ref="A1:B2"/>
    <mergeCell ref="R5:S5"/>
    <mergeCell ref="D5:E5"/>
    <mergeCell ref="F5:G5"/>
    <mergeCell ref="H5:I5"/>
    <mergeCell ref="J5:K5"/>
    <mergeCell ref="L5:M5"/>
    <mergeCell ref="T5:W5"/>
  </mergeCells>
  <conditionalFormatting sqref="H7:H12 H14:H1013">
    <cfRule type="containsText" dxfId="102" priority="20" operator="containsText" text="Refer">
      <formula>NOT(ISERROR(SEARCH(("Refer"),(H7))))</formula>
    </cfRule>
  </conditionalFormatting>
  <conditionalFormatting sqref="H1:I3 H5:I12 I13 H14:I1013">
    <cfRule type="containsText" dxfId="101" priority="19" operator="containsText" text="KO">
      <formula>NOT(ISERROR(SEARCH(("KO"),(H1))))</formula>
    </cfRule>
  </conditionalFormatting>
  <conditionalFormatting sqref="H5:I12 I13 H14:I1013 H1:I3">
    <cfRule type="containsText" dxfId="100" priority="18" operator="containsText" text="Dunkel">
      <formula>NOT(ISERROR(SEARCH(("Dunkel"),(H1))))</formula>
    </cfRule>
  </conditionalFormatting>
  <conditionalFormatting sqref="H7:I12 I13 H14:I1013">
    <cfRule type="colorScale" priority="16">
      <colorScale>
        <cfvo type="min"/>
        <cfvo type="max"/>
        <color rgb="FF57BB8A"/>
        <color rgb="FFFFFFFF"/>
      </colorScale>
    </cfRule>
  </conditionalFormatting>
  <conditionalFormatting sqref="J971">
    <cfRule type="colorScale" priority="17">
      <colorScale>
        <cfvo type="min"/>
        <cfvo type="max"/>
        <color rgb="FF57BB8A"/>
        <color rgb="FFFFFFFF"/>
      </colorScale>
    </cfRule>
  </conditionalFormatting>
  <conditionalFormatting sqref="L7:L21 L24:L299">
    <cfRule type="containsText" dxfId="99" priority="13" operator="containsText" text="Ref">
      <formula>NOT(ISERROR(SEARCH(("Ref"),(L7))))</formula>
    </cfRule>
    <cfRule type="containsText" dxfId="98" priority="14" operator="containsText" text="KO Trigger">
      <formula>NOT(ISERROR(SEARCH(("KO Trigger"),(L7))))</formula>
    </cfRule>
    <cfRule type="containsText" dxfId="97" priority="15" operator="containsText" text="Dunkelverarbeitung">
      <formula>NOT(ISERROR(SEARCH(("Dunkelverarbeitung"),(L7))))</formula>
    </cfRule>
  </conditionalFormatting>
  <conditionalFormatting sqref="L301:L1013">
    <cfRule type="containsText" dxfId="96" priority="4" operator="containsText" text="Ref">
      <formula>NOT(ISERROR(SEARCH(("Ref"),(L301))))</formula>
    </cfRule>
    <cfRule type="containsText" dxfId="95" priority="5" operator="containsText" text="KO Trigger">
      <formula>NOT(ISERROR(SEARCH(("KO Trigger"),(L301))))</formula>
    </cfRule>
    <cfRule type="containsText" dxfId="94" priority="6" operator="containsText" text="Dunkelverarbeitung">
      <formula>NOT(ISERROR(SEARCH(("Dunkelverarbeitung"),(L301))))</formula>
    </cfRule>
  </conditionalFormatting>
  <conditionalFormatting sqref="R7:R1013">
    <cfRule type="containsText" dxfId="93" priority="10" operator="containsText" text="Ref">
      <formula>NOT(ISERROR(SEARCH(("Ref"),(R7))))</formula>
    </cfRule>
    <cfRule type="containsText" dxfId="92" priority="11" operator="containsText" text="KO Trigger">
      <formula>NOT(ISERROR(SEARCH(("KO Trigger"),(R7))))</formula>
    </cfRule>
    <cfRule type="containsText" dxfId="91" priority="12" operator="containsText" text="Dunkelverarbeitung">
      <formula>NOT(ISERROR(SEARCH(("Dunkelverarbeitung"),(R7))))</formula>
    </cfRule>
  </conditionalFormatting>
  <conditionalFormatting sqref="T7:T1013">
    <cfRule type="containsText" dxfId="90" priority="1" operator="containsText" text="KO Trigger">
      <formula>NOT(ISERROR(SEARCH("KO Trigger",T7)))</formula>
    </cfRule>
    <cfRule type="containsText" dxfId="89" priority="2" operator="containsText" text="Dunkelverarbeitung">
      <formula>NOT(ISERROR(SEARCH("Dunkelverarbeitung",T7)))</formula>
    </cfRule>
    <cfRule type="containsText" dxfId="88" priority="3" operator="containsText" text="Referral">
      <formula>NOT(ISERROR(SEARCH("Referral",T7)))</formula>
    </cfRule>
  </conditionalFormatting>
  <pageMargins left="0.7" right="0.7" top="0.78740157499999996" bottom="0.78740157499999996"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AF1010"/>
  <sheetViews>
    <sheetView zoomScaleNormal="100" workbookViewId="0">
      <pane xSplit="2" ySplit="3" topLeftCell="E9" activePane="bottomRight" state="frozen"/>
      <selection activeCell="D28" sqref="D28"/>
      <selection pane="topRight" activeCell="D28" sqref="D28"/>
      <selection pane="bottomLeft" activeCell="D28" sqref="D28"/>
      <selection pane="bottomRight" activeCell="F19" sqref="F19"/>
    </sheetView>
  </sheetViews>
  <sheetFormatPr baseColWidth="10" defaultColWidth="14.33203125" defaultRowHeight="15" customHeight="1" outlineLevelCol="1"/>
  <cols>
    <col min="1" max="1" width="28.33203125" customWidth="1"/>
    <col min="2" max="2" width="2.6640625" customWidth="1"/>
    <col min="3" max="3" width="24.33203125" customWidth="1"/>
    <col min="4" max="4" width="25.5546875" customWidth="1"/>
    <col min="5" max="10" width="24.33203125" customWidth="1"/>
    <col min="11" max="11" width="2.6640625" customWidth="1"/>
    <col min="12" max="12" width="24.33203125" customWidth="1"/>
    <col min="13" max="13" width="2.6640625" customWidth="1"/>
    <col min="14" max="14" width="15.33203125" customWidth="1"/>
    <col min="15" max="15" width="14.5546875" customWidth="1"/>
    <col min="16" max="16" width="2.6640625" customWidth="1"/>
    <col min="17" max="17" width="15.5546875" customWidth="1"/>
    <col min="18" max="18" width="15.33203125" customWidth="1"/>
    <col min="19" max="19" width="2.6640625" customWidth="1"/>
    <col min="20" max="20" width="4.6640625" customWidth="1"/>
    <col min="21" max="21" width="18.33203125" customWidth="1"/>
    <col min="22" max="22" width="24.33203125" customWidth="1" outlineLevel="1"/>
    <col min="23" max="23" width="12.6640625" customWidth="1"/>
    <col min="24" max="24" width="2.6640625" customWidth="1" outlineLevel="1"/>
    <col min="25" max="25" width="12" customWidth="1"/>
    <col min="26" max="26" width="8.33203125" customWidth="1"/>
    <col min="27" max="27" width="2.6640625" customWidth="1"/>
    <col min="28" max="28" width="12" customWidth="1"/>
    <col min="29" max="29" width="23" customWidth="1"/>
    <col min="30" max="30" width="20.5546875" customWidth="1"/>
    <col min="31" max="31" width="25.33203125" customWidth="1"/>
    <col min="32" max="32" width="15.33203125" customWidth="1"/>
  </cols>
  <sheetData>
    <row r="1" spans="1:32" ht="48.75" customHeight="1">
      <c r="A1" s="1067" t="s">
        <v>3111</v>
      </c>
      <c r="B1" s="23"/>
      <c r="C1" s="1066" t="s">
        <v>3126</v>
      </c>
      <c r="D1" s="1032"/>
      <c r="E1" s="1032"/>
      <c r="F1" s="1032"/>
      <c r="G1" s="1032"/>
      <c r="H1" s="1032"/>
      <c r="I1" s="1032"/>
      <c r="J1" s="1032"/>
      <c r="K1" s="1032"/>
      <c r="L1" s="1037"/>
      <c r="M1" s="23"/>
      <c r="N1" s="1066" t="s">
        <v>3127</v>
      </c>
      <c r="O1" s="1037"/>
      <c r="P1" s="23"/>
      <c r="Q1" s="1066"/>
      <c r="R1" s="1037"/>
      <c r="S1" s="23"/>
      <c r="T1" s="1066" t="s">
        <v>3128</v>
      </c>
      <c r="U1" s="1032"/>
      <c r="V1" s="1032"/>
      <c r="W1" s="1037"/>
      <c r="X1" s="23"/>
      <c r="Y1" s="1066" t="s">
        <v>3112</v>
      </c>
      <c r="Z1" s="1037"/>
      <c r="AA1" s="23"/>
      <c r="AB1" s="1066" t="s">
        <v>3129</v>
      </c>
      <c r="AC1" s="1032"/>
      <c r="AD1" s="1032"/>
      <c r="AE1" s="1037"/>
      <c r="AF1" s="23"/>
    </row>
    <row r="2" spans="1:32" ht="48.75" customHeight="1">
      <c r="A2" s="1068"/>
      <c r="B2" s="23"/>
      <c r="C2" s="23"/>
      <c r="D2" s="227"/>
      <c r="E2" s="227">
        <f>MAX(Bilanzsumme,Vereinsvermögen)</f>
        <v>0</v>
      </c>
      <c r="F2" s="228">
        <f>MAX(Außenumsatz,Vereinsvermögen)</f>
        <v>0</v>
      </c>
      <c r="G2" s="227"/>
      <c r="H2" s="23"/>
      <c r="I2" s="23"/>
      <c r="J2" s="23"/>
      <c r="K2" s="227"/>
      <c r="L2" s="23"/>
      <c r="M2" s="23"/>
      <c r="N2" s="23"/>
      <c r="O2" s="23"/>
      <c r="P2" s="23"/>
      <c r="Q2" s="23"/>
      <c r="R2" s="23"/>
      <c r="S2" s="23"/>
      <c r="T2" s="23"/>
      <c r="U2" s="23"/>
      <c r="V2" s="23"/>
      <c r="W2" s="23"/>
      <c r="X2" s="23"/>
      <c r="Y2" s="23"/>
      <c r="Z2" s="23"/>
      <c r="AA2" s="23"/>
      <c r="AB2" s="23"/>
      <c r="AC2" s="23"/>
      <c r="AD2" s="23"/>
      <c r="AE2" s="23"/>
      <c r="AF2" s="23"/>
    </row>
    <row r="3" spans="1:32" ht="71.7" customHeight="1">
      <c r="A3" s="229"/>
      <c r="B3" s="229"/>
      <c r="C3" s="230" t="s">
        <v>3130</v>
      </c>
      <c r="D3" s="230" t="s">
        <v>3131</v>
      </c>
      <c r="E3" s="230" t="s">
        <v>3132</v>
      </c>
      <c r="F3" s="230" t="s">
        <v>3133</v>
      </c>
      <c r="G3" s="230" t="s">
        <v>3134</v>
      </c>
      <c r="H3" s="230" t="s">
        <v>3135</v>
      </c>
      <c r="I3" s="230" t="s">
        <v>3136</v>
      </c>
      <c r="J3" s="230" t="s">
        <v>3137</v>
      </c>
      <c r="K3" s="229"/>
      <c r="L3" s="230" t="s">
        <v>3138</v>
      </c>
      <c r="M3" s="231"/>
      <c r="N3" s="230" t="s">
        <v>3821</v>
      </c>
      <c r="O3" s="230" t="s">
        <v>3139</v>
      </c>
      <c r="P3" s="23"/>
      <c r="Q3" s="230" t="s">
        <v>3140</v>
      </c>
      <c r="R3" s="230" t="s">
        <v>3141</v>
      </c>
      <c r="S3" s="230"/>
      <c r="T3" s="230"/>
      <c r="U3" s="230" t="s">
        <v>3142</v>
      </c>
      <c r="V3" s="230" t="s">
        <v>3143</v>
      </c>
      <c r="W3" s="230" t="s">
        <v>3144</v>
      </c>
      <c r="X3" s="231"/>
      <c r="Y3" s="230" t="s">
        <v>3112</v>
      </c>
      <c r="Z3" s="230" t="s">
        <v>3112</v>
      </c>
      <c r="AA3" s="231"/>
      <c r="AB3" s="230" t="s">
        <v>3112</v>
      </c>
      <c r="AC3" s="230" t="s">
        <v>3139</v>
      </c>
      <c r="AD3" s="230" t="s">
        <v>3128</v>
      </c>
      <c r="AE3" s="230" t="s">
        <v>2817</v>
      </c>
      <c r="AF3" s="229"/>
    </row>
    <row r="4" spans="1:32" ht="15.75" customHeight="1">
      <c r="A4" s="23" t="s">
        <v>2773</v>
      </c>
      <c r="B4" s="23"/>
      <c r="C4" s="232"/>
      <c r="D4" s="233" t="str">
        <f ca="1">StatusWVAG</f>
        <v>OFFER_REFERRAL</v>
      </c>
      <c r="E4" s="234" t="str">
        <f>IF(AND(W4&lt;=wvag_Deckungssummenlimit1,WVAGEigenkapitalquote&gt;=wvag_ErforderlicheEKQ1),OfferReady,IF(AND(W4&lt;=wvag_Deckungssummenlimit2,WVAGEigenkapitalquote&gt;=wvag_ErforderlicheEKQ2),OfferReady,OfferReferral))</f>
        <v>OFFER_READY_FOR_POLICY</v>
      </c>
      <c r="F4" s="234" t="str">
        <f>IF(AND(W4&lt;=1500000,F$2&lt;=1500000,Gesellschaftsform="Verein"), OfferReady,IF(AND(W4&gt;F$2, W4 &gt; 1500000),OfferReferral,OfferReady))</f>
        <v>OFFER_REFERRAL</v>
      </c>
      <c r="G4" s="234" t="str">
        <f>IF(Sanktionsländer!$C$5,OfferReferral,OfferReady)</f>
        <v>OFFER_READY_FOR_POLICY</v>
      </c>
      <c r="H4" s="234" t="str">
        <f>IF(OR(O4="",O4=0),OfferDeclined,OfferReady)</f>
        <v>OFFER_DECLINED</v>
      </c>
      <c r="I4" s="234" t="str">
        <f t="shared" ref="I4:I24" si="0">IF(SUM(RisikoFragen95a,RisikoFragen96)&gt;0,OfferReferral,OfferReady)</f>
        <v>OFFER_READY_FOR_POLICY</v>
      </c>
      <c r="J4" s="234" t="str">
        <f>IF(globalStateKO=wvagRiskManagerGlobalState,OfferDeclined,IF(globalStateReferral=wvagRiskManagerGlobalState,OfferReferral,IF(globalStateGreen=wvagRiskManagerGlobalState,OfferReady,OfferReady)))</f>
        <v>OFFER_READY_FOR_POLICY</v>
      </c>
      <c r="K4" s="23"/>
      <c r="L4" s="234" t="str">
        <f t="shared" ref="L4:L24" ca="1" si="1">IF(OR(C4=OfferDeclined,D4=OfferDeclined,E4=OfferDeclined,F4=OfferDeclined,G4=OfferDeclined,H4=OfferDeclined,I4=OfferDeclined,J4=OfferDeclined),OfferDeclined,
IF(OR(C4=OfferReferral,D4=OfferReferral,E4=OfferReferral,F4=OfferReferral,G4=OfferReferral,H4=OfferReferral,I4=OfferReferral,J4=OfferReferral),OfferReferral,OfferReady))</f>
        <v>OFFER_DECLINED</v>
      </c>
      <c r="M4" s="23"/>
      <c r="N4" s="235" t="str">
        <f>'WVAG - Preisrechner'!E11</f>
        <v/>
      </c>
      <c r="O4" s="235" t="str">
        <f>'Preisrechner Alle Tarife'!AL5</f>
        <v/>
      </c>
      <c r="P4" s="23"/>
      <c r="Q4" s="234">
        <v>75</v>
      </c>
      <c r="R4" s="236">
        <f>IF(Q4&lt;$D$41,0,
 IF(AND(Q4&gt;=$D$41,Q4&lt;$D$40),1,
  IF(AND(Q4&gt;=$D$40,Q4&lt;$D$39),2,
   IF(AND(Q4&gt;=$D$39,Q4&lt;$D$38),3,
    IF(AND(Q4&gt;=$D$38,Q4&lt;$D$37),4,
     IF(Q4&gt;=$D$37,5))))))</f>
        <v>4</v>
      </c>
      <c r="S4" s="237"/>
      <c r="T4" s="237" t="s">
        <v>3113</v>
      </c>
      <c r="U4" s="227">
        <f>Deckungssumme1</f>
        <v>0</v>
      </c>
      <c r="V4" s="227">
        <f>Fragenkatalog!AY6</f>
        <v>0</v>
      </c>
      <c r="W4" s="227" t="str">
        <f>'WVAG - Preisrechner'!E12</f>
        <v/>
      </c>
      <c r="X4" s="23"/>
      <c r="Y4" s="238" t="str">
        <f t="shared" ref="Y4:Y24" ca="1" si="2">IF(L4=OfferDeclined,"",R4)</f>
        <v/>
      </c>
      <c r="Z4" s="238" t="str">
        <f ca="1">IF(Y4=5,"XXXXX",
 IF(Y4=4,"XXXX",
  IF(Y4=3,"XXX",
   IF(Y4=2,"XX",
    IF(Y4=1,"X","")))))</f>
        <v/>
      </c>
      <c r="AA4" s="23"/>
      <c r="AB4" s="227" t="str">
        <f t="shared" ref="AB4:AB30" ca="1" si="3">Y4</f>
        <v/>
      </c>
      <c r="AC4" s="239" t="str">
        <f ca="1">IF(OR(O4="",O4=0,AE4=OfferDeclined),"",IF(AE4=OfferReady,'Preisrechner Alle Tarife'!AL20,O4))</f>
        <v/>
      </c>
      <c r="AD4" s="227">
        <f t="shared" ref="AD4:AD24" ca="1" si="4">IF(AE4=OfferDeclined,U4,W4)</f>
        <v>0</v>
      </c>
      <c r="AE4" s="232" t="str">
        <f t="shared" ref="AE4:AE30" ca="1" si="5">L4</f>
        <v>OFFER_DECLINED</v>
      </c>
      <c r="AF4" s="23" t="str">
        <f ca="1">Y4</f>
        <v/>
      </c>
    </row>
    <row r="5" spans="1:32" ht="15.75" customHeight="1">
      <c r="A5" s="23" t="s">
        <v>2773</v>
      </c>
      <c r="B5" s="23"/>
      <c r="C5" s="232"/>
      <c r="D5" s="233" t="str">
        <f ca="1">StatusWVAG</f>
        <v>OFFER_REFERRAL</v>
      </c>
      <c r="E5" s="234" t="str">
        <f>IF(AND(W5&lt;=wvag_Deckungssummenlimit1,WVAGEigenkapitalquote&gt;=wvag_ErforderlicheEKQ1),OfferReady,IF(AND(W5&lt;=wvag_Deckungssummenlimit2,WVAGEigenkapitalquote&gt;=wvag_ErforderlicheEKQ2),OfferReady,OfferReferral))</f>
        <v>OFFER_READY_FOR_POLICY</v>
      </c>
      <c r="F5" s="234" t="str">
        <f>IF(AND(W5&lt;=1500000,F$2&lt;=1500000,Gesellschaftsform="Verein"), OfferReady,IF(AND(W5&gt;F$2, W5 &gt; 1500000),OfferReferral,OfferReady))</f>
        <v>OFFER_REFERRAL</v>
      </c>
      <c r="G5" s="234" t="str">
        <f>IF(Sanktionsländer!$C$5,OfferReferral,OfferReady)</f>
        <v>OFFER_READY_FOR_POLICY</v>
      </c>
      <c r="H5" s="234" t="str">
        <f>IF(OR(O5="",O5=0),OfferDeclined,OfferReady)</f>
        <v>OFFER_DECLINED</v>
      </c>
      <c r="I5" s="234" t="str">
        <f t="shared" si="0"/>
        <v>OFFER_READY_FOR_POLICY</v>
      </c>
      <c r="J5" s="234" t="str">
        <f>IF(globalStateKO=wvagRiskManagerGlobalState,OfferDeclined,IF(globalStateReferral=wvagRiskManagerGlobalState,OfferReferral,IF(globalStateGreen=wvagRiskManagerGlobalState,OfferReady,OfferReady)))</f>
        <v>OFFER_READY_FOR_POLICY</v>
      </c>
      <c r="K5" s="23"/>
      <c r="L5" s="234" t="str">
        <f t="shared" ca="1" si="1"/>
        <v>OFFER_DECLINED</v>
      </c>
      <c r="M5" s="23"/>
      <c r="N5" s="235" t="str">
        <f>'WVAG - Preisrechner'!F11</f>
        <v/>
      </c>
      <c r="O5" s="235" t="str">
        <f>'Preisrechner Alle Tarife'!AM5</f>
        <v/>
      </c>
      <c r="P5" s="23"/>
      <c r="Q5" s="234">
        <v>75</v>
      </c>
      <c r="R5" s="236">
        <f t="shared" ref="R5:R30" si="6">IF(Q5&lt;$D$41,0,
 IF(AND(Q5&gt;=$D$41,Q5&lt;$D$40),1,
  IF(AND(Q5&gt;=$D$40,Q5&lt;$D$39),2,
   IF(AND(Q5&gt;=$D$39,Q5&lt;$D$38),3,
    IF(AND(Q5&gt;=$D$38,Q5&lt;$D$37),4,
     IF(Q5&gt;=$D$37,5))))))</f>
        <v>4</v>
      </c>
      <c r="S5" s="237"/>
      <c r="T5" s="237" t="s">
        <v>3114</v>
      </c>
      <c r="U5" s="227">
        <f>Deckungssumme2</f>
        <v>0</v>
      </c>
      <c r="V5" s="227">
        <f>Fragenkatalog!AY6</f>
        <v>0</v>
      </c>
      <c r="W5" s="227" t="str">
        <f>'WVAG - Preisrechner'!F12</f>
        <v/>
      </c>
      <c r="X5" s="23"/>
      <c r="Y5" s="238" t="str">
        <f t="shared" ca="1" si="2"/>
        <v/>
      </c>
      <c r="Z5" s="238" t="str">
        <f t="shared" ref="Z5:Z30" ca="1" si="7">IF(Y5=5,"XXXXX",
 IF(Y5=4,"XXXX",
  IF(Y5=3,"XXX",
   IF(Y5=2,"XX",
    IF(Y5=1,"X","")))))</f>
        <v/>
      </c>
      <c r="AA5" s="23"/>
      <c r="AB5" s="227" t="str">
        <f t="shared" ca="1" si="3"/>
        <v/>
      </c>
      <c r="AC5" s="239" t="str">
        <f ca="1">IF(OR(O5="",O5=0,AE5=OfferDeclined),"",IF(AE5=OfferReady,'Preisrechner Alle Tarife'!AM20,O5))</f>
        <v/>
      </c>
      <c r="AD5" s="227">
        <f t="shared" ca="1" si="4"/>
        <v>0</v>
      </c>
      <c r="AE5" s="232" t="str">
        <f t="shared" ca="1" si="5"/>
        <v>OFFER_DECLINED</v>
      </c>
      <c r="AF5" s="23"/>
    </row>
    <row r="6" spans="1:32" ht="15.75" customHeight="1">
      <c r="A6" s="240" t="s">
        <v>2773</v>
      </c>
      <c r="B6" s="240"/>
      <c r="C6" s="241"/>
      <c r="D6" s="242" t="str">
        <f ca="1">StatusWVAG</f>
        <v>OFFER_REFERRAL</v>
      </c>
      <c r="E6" s="234" t="str">
        <f>IF(AND(W6&lt;=wvag_Deckungssummenlimit1,WVAGEigenkapitalquote&gt;=wvag_ErforderlicheEKQ1),OfferReady,IF(AND(W6&lt;=wvag_Deckungssummenlimit2,WVAGEigenkapitalquote&gt;=wvag_ErforderlicheEKQ2),OfferReady,OfferReferral))</f>
        <v>OFFER_READY_FOR_POLICY</v>
      </c>
      <c r="F6" s="234" t="str">
        <f>IF(AND(W6&lt;=1500000,F$2&lt;=1500000,Gesellschaftsform="Verein"), OfferReady,IF(AND(W6&gt;F$2, W6 &gt; 1500000),OfferReferral,OfferReady))</f>
        <v>OFFER_REFERRAL</v>
      </c>
      <c r="G6" s="243" t="str">
        <f>IF(Sanktionsländer!$C$5,OfferReferral,OfferReady)</f>
        <v>OFFER_READY_FOR_POLICY</v>
      </c>
      <c r="H6" s="243" t="str">
        <f>IF(OR(O6="",O6=0),OfferDeclined,OfferReady)</f>
        <v>OFFER_DECLINED</v>
      </c>
      <c r="I6" s="243" t="str">
        <f t="shared" si="0"/>
        <v>OFFER_READY_FOR_POLICY</v>
      </c>
      <c r="J6" s="234" t="str">
        <f>IF(globalStateKO=wvagRiskManagerGlobalState,OfferDeclined,IF(globalStateReferral=wvagRiskManagerGlobalState,OfferReferral,IF(globalStateGreen=wvagRiskManagerGlobalState,OfferReady,OfferReady)))</f>
        <v>OFFER_READY_FOR_POLICY</v>
      </c>
      <c r="K6" s="240"/>
      <c r="L6" s="243" t="str">
        <f t="shared" ca="1" si="1"/>
        <v>OFFER_DECLINED</v>
      </c>
      <c r="M6" s="240"/>
      <c r="N6" s="244" t="str">
        <f>'WVAG - Preisrechner'!G11</f>
        <v/>
      </c>
      <c r="O6" s="244" t="str">
        <f>'Preisrechner Alle Tarife'!AN5</f>
        <v/>
      </c>
      <c r="P6" s="240"/>
      <c r="Q6" s="234">
        <v>75</v>
      </c>
      <c r="R6" s="794">
        <f t="shared" si="6"/>
        <v>4</v>
      </c>
      <c r="S6" s="246"/>
      <c r="T6" s="246" t="s">
        <v>3115</v>
      </c>
      <c r="U6" s="247">
        <f>Deckungssumme3</f>
        <v>0</v>
      </c>
      <c r="V6" s="247">
        <f>Fragenkatalog!AY6</f>
        <v>0</v>
      </c>
      <c r="W6" s="247" t="str">
        <f>'WVAG - Preisrechner'!G12</f>
        <v/>
      </c>
      <c r="X6" s="240"/>
      <c r="Y6" s="248" t="str">
        <f t="shared" ca="1" si="2"/>
        <v/>
      </c>
      <c r="Z6" s="744" t="str">
        <f t="shared" ca="1" si="7"/>
        <v/>
      </c>
      <c r="AA6" s="240"/>
      <c r="AB6" s="247" t="str">
        <f t="shared" ca="1" si="3"/>
        <v/>
      </c>
      <c r="AC6" s="249" t="str">
        <f ca="1">IF(OR(O6="",O6=0,AE6=OfferDeclined),"",IF(AE6=OfferReady,'Preisrechner Alle Tarife'!AN20,O6))</f>
        <v/>
      </c>
      <c r="AD6" s="247">
        <f t="shared" ca="1" si="4"/>
        <v>0</v>
      </c>
      <c r="AE6" s="241" t="str">
        <f t="shared" ca="1" si="5"/>
        <v>OFFER_DECLINED</v>
      </c>
      <c r="AF6" s="240"/>
    </row>
    <row r="7" spans="1:32" ht="14.4">
      <c r="A7" s="23" t="s">
        <v>2393</v>
      </c>
      <c r="B7" s="23"/>
      <c r="C7" s="232" t="str">
        <f>IF(AXAFacilityKriterien="Kriterien erfüllt",OfferReferral,OfferReady)</f>
        <v>OFFER_READY_FOR_POLICY</v>
      </c>
      <c r="D7" s="250" t="str">
        <f>StatusAXAFacility</f>
        <v>OFFER_DECLINED</v>
      </c>
      <c r="E7" s="250" t="str">
        <f>IF(W7&gt;15000000,OfferDeclined,OfferReady)</f>
        <v>OFFER_DECLINED</v>
      </c>
      <c r="F7" s="250" t="str">
        <f t="shared" ref="F7:F18" si="8">IF(W7&gt;F$2,OfferReferral,OfferReady)</f>
        <v>OFFER_REFERRAL</v>
      </c>
      <c r="G7" s="234" t="str">
        <f>IF(Sanktionsländer!$C$5,OfferDeclined,OfferReady)</f>
        <v>OFFER_READY_FOR_POLICY</v>
      </c>
      <c r="H7" s="234" t="str">
        <f t="shared" ref="H7:H24" si="9">IF(OR(O7="",O7=0),OfferDeclined,OfferReady)</f>
        <v>OFFER_DECLINED</v>
      </c>
      <c r="I7" s="234" t="str">
        <f t="shared" si="0"/>
        <v>OFFER_READY_FOR_POLICY</v>
      </c>
      <c r="J7" s="250" t="str">
        <f>IF(globalStateKO=axaRiskManagerGlobalState,OfferDeclined,IF(globalStateReferral=axaRiskManagerGlobalState,OfferReferral,IF(globalStateGreen=axaRiskManagerGlobalState,OfferReady,OfferReady)))</f>
        <v>OFFER_READY_FOR_POLICY</v>
      </c>
      <c r="K7" s="23"/>
      <c r="L7" s="234" t="str">
        <f t="shared" si="1"/>
        <v>OFFER_DECLINED</v>
      </c>
      <c r="M7" s="23"/>
      <c r="N7" s="235" t="str">
        <f>'AXA - Tarif ab 20230601'!F25</f>
        <v/>
      </c>
      <c r="O7" s="235" t="str">
        <f>'Preisrechner Alle Tarife'!AL6</f>
        <v/>
      </c>
      <c r="P7" s="23"/>
      <c r="Q7" s="234">
        <f>IF(AXAFacilityKriterien="Kriterien erfüllt",95,95)</f>
        <v>95</v>
      </c>
      <c r="R7" s="236">
        <f>IF(Q7&lt;$D$41,0,
 IF(AND(Q7&gt;=$D$41,Q7&lt;$D$40),1,
  IF(AND(Q7&gt;=$D$40,Q7&lt;$D$39),2,
   IF(AND(Q7&gt;=$D$39,Q7&lt;$D$38),3,
    IF(AND(Q7&gt;=$D$38,Q7&lt;$D$37),4,
     IF(Q7&gt;=$D$37,5))))))</f>
        <v>5</v>
      </c>
      <c r="S7" s="237"/>
      <c r="T7" s="237" t="s">
        <v>3113</v>
      </c>
      <c r="U7" s="227">
        <f>Deckungssumme1</f>
        <v>0</v>
      </c>
      <c r="V7" s="227">
        <f>Fragenkatalog!AS6</f>
        <v>0</v>
      </c>
      <c r="W7" s="227" t="str">
        <f>'AXA - Tarif ab 20230601'!F21</f>
        <v/>
      </c>
      <c r="X7" s="23"/>
      <c r="Y7" s="238" t="str">
        <f>IF(L7=OfferDeclined,"",R7)</f>
        <v/>
      </c>
      <c r="Z7" s="238" t="str">
        <f t="shared" si="7"/>
        <v/>
      </c>
      <c r="AA7" s="23"/>
      <c r="AB7" s="227" t="str">
        <f>Y7</f>
        <v/>
      </c>
      <c r="AC7" s="239" t="str">
        <f>IF(OR(O7="",O7=0,AE7=OfferDeclined),"",IF(AE7=OfferReady,'Preisrechner Alle Tarife'!AL21,O7))</f>
        <v/>
      </c>
      <c r="AD7" s="227">
        <f t="shared" si="4"/>
        <v>0</v>
      </c>
      <c r="AE7" s="232" t="str">
        <f t="shared" si="5"/>
        <v>OFFER_DECLINED</v>
      </c>
      <c r="AF7" s="23"/>
    </row>
    <row r="8" spans="1:32" ht="14.4">
      <c r="A8" s="23" t="s">
        <v>2393</v>
      </c>
      <c r="B8" s="23"/>
      <c r="C8" s="232" t="str">
        <f>IF(AXAFacilityKriterien="Kriterien erfüllt",OfferReferral,OfferReady)</f>
        <v>OFFER_READY_FOR_POLICY</v>
      </c>
      <c r="D8" s="234" t="str">
        <f>StatusAXAFacility</f>
        <v>OFFER_DECLINED</v>
      </c>
      <c r="E8" s="250" t="str">
        <f>IF(W8&gt;15000000,OfferDeclined,OfferReady)</f>
        <v>OFFER_DECLINED</v>
      </c>
      <c r="F8" s="234" t="str">
        <f t="shared" si="8"/>
        <v>OFFER_REFERRAL</v>
      </c>
      <c r="G8" s="234" t="str">
        <f>IF(Sanktionsländer!$C$5,OfferDeclined,OfferReady)</f>
        <v>OFFER_READY_FOR_POLICY</v>
      </c>
      <c r="H8" s="234" t="str">
        <f t="shared" si="9"/>
        <v>OFFER_DECLINED</v>
      </c>
      <c r="I8" s="234" t="str">
        <f t="shared" si="0"/>
        <v>OFFER_READY_FOR_POLICY</v>
      </c>
      <c r="J8" s="250" t="str">
        <f>IF(globalStateKO=axaRiskManagerGlobalState,OfferDeclined,IF(globalStateReferral=axaRiskManagerGlobalState,OfferReferral,IF(globalStateGreen=axaRiskManagerGlobalState,OfferReady,OfferReady)))</f>
        <v>OFFER_READY_FOR_POLICY</v>
      </c>
      <c r="K8" s="23"/>
      <c r="L8" s="234" t="str">
        <f t="shared" si="1"/>
        <v>OFFER_DECLINED</v>
      </c>
      <c r="M8" s="23"/>
      <c r="N8" s="235" t="str">
        <f>'AXA - Tarif ab 20230601'!G25</f>
        <v/>
      </c>
      <c r="O8" s="235" t="str">
        <f>'Preisrechner Alle Tarife'!AM6</f>
        <v/>
      </c>
      <c r="P8" s="23"/>
      <c r="Q8" s="234">
        <f>IF(AXAFacilityKriterien="Kriterien erfüllt",95,95)</f>
        <v>95</v>
      </c>
      <c r="R8" s="236">
        <f>IF(Q8&lt;$D$41,0,
 IF(AND(Q8&gt;=$D$41,Q8&lt;$D$40),1,
  IF(AND(Q8&gt;=$D$40,Q8&lt;$D$39),2,
   IF(AND(Q8&gt;=$D$39,Q8&lt;$D$38),3,
    IF(AND(Q8&gt;=$D$38,Q8&lt;$D$37),4,
     IF(Q8&gt;=$D$37,5))))))</f>
        <v>5</v>
      </c>
      <c r="S8" s="237"/>
      <c r="T8" s="237" t="s">
        <v>3114</v>
      </c>
      <c r="U8" s="227">
        <f>Deckungssumme2</f>
        <v>0</v>
      </c>
      <c r="V8" s="227">
        <f>Fragenkatalog!AS6</f>
        <v>0</v>
      </c>
      <c r="W8" s="227" t="str">
        <f>'AXA - Tarif ab 20230601'!G21</f>
        <v/>
      </c>
      <c r="X8" s="23"/>
      <c r="Y8" s="238" t="str">
        <f>IF(L8=OfferDeclined,"",R8)</f>
        <v/>
      </c>
      <c r="Z8" s="238" t="str">
        <f t="shared" si="7"/>
        <v/>
      </c>
      <c r="AA8" s="23"/>
      <c r="AB8" s="227" t="str">
        <f>Y8</f>
        <v/>
      </c>
      <c r="AC8" s="239" t="str">
        <f>IF(OR(O8="",O8=0,AE8=OfferDeclined),"",IF(AE8=OfferReady,'Preisrechner Alle Tarife'!AM21,O8))</f>
        <v/>
      </c>
      <c r="AD8" s="227">
        <f t="shared" si="4"/>
        <v>0</v>
      </c>
      <c r="AE8" s="232" t="str">
        <f t="shared" si="5"/>
        <v>OFFER_DECLINED</v>
      </c>
      <c r="AF8" s="23"/>
    </row>
    <row r="9" spans="1:32" ht="14.4">
      <c r="A9" s="240" t="s">
        <v>2393</v>
      </c>
      <c r="B9" s="240"/>
      <c r="C9" s="232" t="str">
        <f>IF(AXAFacilityKriterien="Kriterien erfüllt",OfferReferral,OfferReady)</f>
        <v>OFFER_READY_FOR_POLICY</v>
      </c>
      <c r="D9" s="243" t="str">
        <f>StatusAXAFacility</f>
        <v>OFFER_DECLINED</v>
      </c>
      <c r="E9" s="250" t="str">
        <f>IF(W9&gt;15000000,OfferDeclined,OfferReady)</f>
        <v>OFFER_DECLINED</v>
      </c>
      <c r="F9" s="243" t="str">
        <f t="shared" si="8"/>
        <v>OFFER_REFERRAL</v>
      </c>
      <c r="G9" s="243" t="str">
        <f>IF(Sanktionsländer!$C$5,OfferDeclined,OfferReady)</f>
        <v>OFFER_READY_FOR_POLICY</v>
      </c>
      <c r="H9" s="243" t="str">
        <f t="shared" si="9"/>
        <v>OFFER_DECLINED</v>
      </c>
      <c r="I9" s="243" t="str">
        <f t="shared" si="0"/>
        <v>OFFER_READY_FOR_POLICY</v>
      </c>
      <c r="J9" s="250" t="str">
        <f>IF(globalStateKO=axaRiskManagerGlobalState,OfferDeclined,IF(globalStateReferral=axaRiskManagerGlobalState,OfferReferral,IF(globalStateGreen=axaRiskManagerGlobalState,OfferReady,OfferReady)))</f>
        <v>OFFER_READY_FOR_POLICY</v>
      </c>
      <c r="K9" s="240"/>
      <c r="L9" s="243" t="str">
        <f t="shared" si="1"/>
        <v>OFFER_DECLINED</v>
      </c>
      <c r="M9" s="240"/>
      <c r="N9" s="865" t="str">
        <f>'AXA - Tarif ab 20230601'!H25</f>
        <v/>
      </c>
      <c r="O9" s="244" t="str">
        <f>'Preisrechner Alle Tarife'!AN6</f>
        <v/>
      </c>
      <c r="P9" s="240"/>
      <c r="Q9" s="234">
        <f>IF(AXAFacilityKriterien="Kriterien erfüllt",95,95)</f>
        <v>95</v>
      </c>
      <c r="R9" s="794">
        <f>IF(Q9&lt;$D$41,0,
 IF(AND(Q9&gt;=$D$41,Q9&lt;$D$40),1,
  IF(AND(Q9&gt;=$D$40,Q9&lt;$D$39),2,
   IF(AND(Q9&gt;=$D$39,Q9&lt;$D$38),3,
    IF(AND(Q9&gt;=$D$38,Q9&lt;$D$37),4,
     IF(Q9&gt;=$D$37,5))))))</f>
        <v>5</v>
      </c>
      <c r="S9" s="246"/>
      <c r="T9" s="246" t="s">
        <v>3115</v>
      </c>
      <c r="U9" s="247">
        <f>Deckungssumme3</f>
        <v>0</v>
      </c>
      <c r="V9" s="247">
        <f>Fragenkatalog!AS6</f>
        <v>0</v>
      </c>
      <c r="W9" s="247" t="str">
        <f>'AXA - Tarif ab 20230601'!H21</f>
        <v/>
      </c>
      <c r="X9" s="240"/>
      <c r="Y9" s="248" t="str">
        <f>IF(L9=OfferDeclined,"",R9)</f>
        <v/>
      </c>
      <c r="Z9" s="744" t="str">
        <f t="shared" si="7"/>
        <v/>
      </c>
      <c r="AA9" s="240"/>
      <c r="AB9" s="247" t="str">
        <f>Y9</f>
        <v/>
      </c>
      <c r="AC9" s="249" t="str">
        <f>IF(OR(O9="",O9=0,AE9=OfferDeclined),"",IF(AE9=OfferReady,'Preisrechner Alle Tarife'!AN21,O9))</f>
        <v/>
      </c>
      <c r="AD9" s="247">
        <f t="shared" si="4"/>
        <v>0</v>
      </c>
      <c r="AE9" s="241" t="str">
        <f t="shared" si="5"/>
        <v>OFFER_DECLINED</v>
      </c>
      <c r="AF9" s="240"/>
    </row>
    <row r="10" spans="1:32" ht="15.75" customHeight="1">
      <c r="A10" s="23" t="s">
        <v>2795</v>
      </c>
      <c r="B10" s="23"/>
      <c r="C10" s="234" t="str">
        <f>IF(AIGFacilityKriterien="Kriterien erfüllt",OfferDeclined,OfferReady)</f>
        <v>OFFER_READY_FOR_POLICY</v>
      </c>
      <c r="D10" s="234" t="str">
        <f t="shared" ref="D10:D15" ca="1" si="10">StatusAIGFacility</f>
        <v>OFFER_REFERRAL</v>
      </c>
      <c r="E10" s="234" t="str">
        <f t="shared" ref="E10:E18" si="11">OfferReady</f>
        <v>OFFER_READY_FOR_POLICY</v>
      </c>
      <c r="F10" s="234" t="str">
        <f t="shared" si="8"/>
        <v>OFFER_READY_FOR_POLICY</v>
      </c>
      <c r="G10" s="234" t="str">
        <f>IF(Sanktionsländer!$C$5,OfferReferral,OfferReady)</f>
        <v>OFFER_READY_FOR_POLICY</v>
      </c>
      <c r="H10" s="234" t="str">
        <f t="shared" si="9"/>
        <v>OFFER_DECLINED</v>
      </c>
      <c r="I10" s="234" t="str">
        <f t="shared" si="0"/>
        <v>OFFER_READY_FOR_POLICY</v>
      </c>
      <c r="J10" s="234" t="str">
        <f t="shared" ref="J10:J15" si="12">OfferDeclined</f>
        <v>OFFER_DECLINED</v>
      </c>
      <c r="K10" s="23"/>
      <c r="L10" s="234" t="str">
        <f t="shared" ca="1" si="1"/>
        <v>OFFER_DECLINED</v>
      </c>
      <c r="M10" s="23"/>
      <c r="N10" s="251">
        <v>0</v>
      </c>
      <c r="O10" s="251">
        <v>0</v>
      </c>
      <c r="P10" s="23"/>
      <c r="Q10" s="234">
        <v>-1</v>
      </c>
      <c r="R10" s="236">
        <f t="shared" si="6"/>
        <v>0</v>
      </c>
      <c r="S10" s="237"/>
      <c r="T10" s="237" t="s">
        <v>3113</v>
      </c>
      <c r="U10" s="227">
        <f>Deckungssumme1</f>
        <v>0</v>
      </c>
      <c r="V10" s="252" t="s">
        <v>3145</v>
      </c>
      <c r="W10" s="236">
        <f>Deckungssumme1</f>
        <v>0</v>
      </c>
      <c r="X10" s="23"/>
      <c r="Y10" s="238" t="str">
        <f t="shared" ca="1" si="2"/>
        <v/>
      </c>
      <c r="Z10" s="238" t="str">
        <f t="shared" ca="1" si="7"/>
        <v/>
      </c>
      <c r="AA10" s="23"/>
      <c r="AB10" s="227" t="str">
        <f t="shared" ca="1" si="3"/>
        <v/>
      </c>
      <c r="AC10" s="239" t="str">
        <f t="shared" ref="AC10:AC15" ca="1" si="13">IF(OR(O10="",O10=0,AE10=OfferDeclined),"",O10)</f>
        <v/>
      </c>
      <c r="AD10" s="227">
        <f t="shared" ca="1" si="4"/>
        <v>0</v>
      </c>
      <c r="AE10" s="232" t="str">
        <f t="shared" ca="1" si="5"/>
        <v>OFFER_DECLINED</v>
      </c>
      <c r="AF10" s="23"/>
    </row>
    <row r="11" spans="1:32" ht="15.75" customHeight="1">
      <c r="A11" s="23" t="s">
        <v>2795</v>
      </c>
      <c r="B11" s="23"/>
      <c r="C11" s="234" t="str">
        <f>IF(AIGFacilityKriterien="Kriterien erfüllt",OfferDeclined,OfferReady)</f>
        <v>OFFER_READY_FOR_POLICY</v>
      </c>
      <c r="D11" s="234" t="str">
        <f t="shared" ca="1" si="10"/>
        <v>OFFER_REFERRAL</v>
      </c>
      <c r="E11" s="234" t="str">
        <f t="shared" si="11"/>
        <v>OFFER_READY_FOR_POLICY</v>
      </c>
      <c r="F11" s="234" t="str">
        <f t="shared" si="8"/>
        <v>OFFER_READY_FOR_POLICY</v>
      </c>
      <c r="G11" s="234" t="str">
        <f>IF(Sanktionsländer!$C$5,OfferReferral,OfferReady)</f>
        <v>OFFER_READY_FOR_POLICY</v>
      </c>
      <c r="H11" s="234" t="str">
        <f t="shared" si="9"/>
        <v>OFFER_DECLINED</v>
      </c>
      <c r="I11" s="234" t="str">
        <f t="shared" si="0"/>
        <v>OFFER_READY_FOR_POLICY</v>
      </c>
      <c r="J11" s="234" t="str">
        <f t="shared" si="12"/>
        <v>OFFER_DECLINED</v>
      </c>
      <c r="K11" s="23"/>
      <c r="L11" s="234" t="str">
        <f t="shared" ca="1" si="1"/>
        <v>OFFER_DECLINED</v>
      </c>
      <c r="M11" s="23"/>
      <c r="N11" s="251">
        <v>0</v>
      </c>
      <c r="O11" s="251">
        <v>0</v>
      </c>
      <c r="P11" s="23"/>
      <c r="Q11" s="234">
        <v>-1</v>
      </c>
      <c r="R11" s="236">
        <f t="shared" si="6"/>
        <v>0</v>
      </c>
      <c r="S11" s="237"/>
      <c r="T11" s="237" t="s">
        <v>3114</v>
      </c>
      <c r="U11" s="227">
        <f>Deckungssumme2</f>
        <v>0</v>
      </c>
      <c r="V11" s="252" t="s">
        <v>3145</v>
      </c>
      <c r="W11" s="236">
        <f>Deckungssumme2</f>
        <v>0</v>
      </c>
      <c r="X11" s="23"/>
      <c r="Y11" s="238" t="str">
        <f t="shared" ca="1" si="2"/>
        <v/>
      </c>
      <c r="Z11" s="238" t="str">
        <f t="shared" ca="1" si="7"/>
        <v/>
      </c>
      <c r="AA11" s="23"/>
      <c r="AB11" s="227" t="str">
        <f t="shared" ca="1" si="3"/>
        <v/>
      </c>
      <c r="AC11" s="239" t="str">
        <f t="shared" ca="1" si="13"/>
        <v/>
      </c>
      <c r="AD11" s="227">
        <f t="shared" ca="1" si="4"/>
        <v>0</v>
      </c>
      <c r="AE11" s="232" t="str">
        <f t="shared" ca="1" si="5"/>
        <v>OFFER_DECLINED</v>
      </c>
      <c r="AF11" s="23"/>
    </row>
    <row r="12" spans="1:32" ht="15.75" customHeight="1">
      <c r="A12" s="240" t="s">
        <v>2795</v>
      </c>
      <c r="B12" s="240"/>
      <c r="C12" s="243" t="str">
        <f>IF(AIGFacilityKriterien="Kriterien erfüllt",OfferDeclined,OfferReady)</f>
        <v>OFFER_READY_FOR_POLICY</v>
      </c>
      <c r="D12" s="243" t="str">
        <f t="shared" ca="1" si="10"/>
        <v>OFFER_REFERRAL</v>
      </c>
      <c r="E12" s="243" t="str">
        <f t="shared" si="11"/>
        <v>OFFER_READY_FOR_POLICY</v>
      </c>
      <c r="F12" s="243" t="str">
        <f t="shared" si="8"/>
        <v>OFFER_READY_FOR_POLICY</v>
      </c>
      <c r="G12" s="243" t="str">
        <f>IF(Sanktionsländer!$C$5,OfferReferral,OfferReady)</f>
        <v>OFFER_READY_FOR_POLICY</v>
      </c>
      <c r="H12" s="243" t="str">
        <f t="shared" si="9"/>
        <v>OFFER_DECLINED</v>
      </c>
      <c r="I12" s="243" t="str">
        <f t="shared" si="0"/>
        <v>OFFER_READY_FOR_POLICY</v>
      </c>
      <c r="J12" s="243" t="str">
        <f t="shared" si="12"/>
        <v>OFFER_DECLINED</v>
      </c>
      <c r="K12" s="240"/>
      <c r="L12" s="243" t="str">
        <f t="shared" ca="1" si="1"/>
        <v>OFFER_DECLINED</v>
      </c>
      <c r="M12" s="240"/>
      <c r="N12" s="253">
        <v>0</v>
      </c>
      <c r="O12" s="253">
        <v>0</v>
      </c>
      <c r="P12" s="240"/>
      <c r="Q12" s="243">
        <v>-1</v>
      </c>
      <c r="R12" s="794">
        <f t="shared" si="6"/>
        <v>0</v>
      </c>
      <c r="S12" s="246"/>
      <c r="T12" s="246" t="s">
        <v>3115</v>
      </c>
      <c r="U12" s="247">
        <f>Deckungssumme3</f>
        <v>0</v>
      </c>
      <c r="V12" s="254" t="s">
        <v>3145</v>
      </c>
      <c r="W12" s="245">
        <f>Deckungssumme3</f>
        <v>0</v>
      </c>
      <c r="X12" s="240"/>
      <c r="Y12" s="248" t="str">
        <f t="shared" ca="1" si="2"/>
        <v/>
      </c>
      <c r="Z12" s="744" t="str">
        <f t="shared" ca="1" si="7"/>
        <v/>
      </c>
      <c r="AA12" s="240"/>
      <c r="AB12" s="247" t="str">
        <f t="shared" ca="1" si="3"/>
        <v/>
      </c>
      <c r="AC12" s="249" t="str">
        <f t="shared" ca="1" si="13"/>
        <v/>
      </c>
      <c r="AD12" s="247">
        <f t="shared" ca="1" si="4"/>
        <v>0</v>
      </c>
      <c r="AE12" s="241" t="str">
        <f t="shared" ca="1" si="5"/>
        <v>OFFER_DECLINED</v>
      </c>
      <c r="AF12" s="240"/>
    </row>
    <row r="13" spans="1:32" ht="15.75" customHeight="1">
      <c r="A13" s="23" t="s">
        <v>2391</v>
      </c>
      <c r="B13" s="23"/>
      <c r="C13" s="234" t="str">
        <f>IF(AIGFacilityKriterien="Kriterien erfüllt",OfferReady,OfferDeclined)</f>
        <v>OFFER_DECLINED</v>
      </c>
      <c r="D13" s="234" t="str">
        <f t="shared" ca="1" si="10"/>
        <v>OFFER_REFERRAL</v>
      </c>
      <c r="E13" s="234" t="str">
        <f t="shared" si="11"/>
        <v>OFFER_READY_FOR_POLICY</v>
      </c>
      <c r="F13" s="234" t="str">
        <f t="shared" si="8"/>
        <v>OFFER_REFERRAL</v>
      </c>
      <c r="G13" s="234" t="str">
        <f>IF(Sanktionsländer!$C$5,OfferReferral,OfferReady)</f>
        <v>OFFER_READY_FOR_POLICY</v>
      </c>
      <c r="H13" s="234" t="str">
        <f t="shared" si="9"/>
        <v>OFFER_DECLINED</v>
      </c>
      <c r="I13" s="234" t="str">
        <f t="shared" si="0"/>
        <v>OFFER_READY_FOR_POLICY</v>
      </c>
      <c r="J13" s="234" t="str">
        <f t="shared" si="12"/>
        <v>OFFER_DECLINED</v>
      </c>
      <c r="K13" s="23"/>
      <c r="L13" s="234" t="str">
        <f t="shared" ca="1" si="1"/>
        <v>OFFER_DECLINED</v>
      </c>
      <c r="M13" s="23"/>
      <c r="N13" s="235" t="str">
        <f>'AIG Facility - Preisrechner'!E8</f>
        <v/>
      </c>
      <c r="O13" s="235" t="str">
        <f>'Preisrechner Alle Tarife'!AL8</f>
        <v/>
      </c>
      <c r="P13" s="23"/>
      <c r="Q13" s="234">
        <v>-1</v>
      </c>
      <c r="R13" s="236">
        <f t="shared" si="6"/>
        <v>0</v>
      </c>
      <c r="S13" s="237"/>
      <c r="T13" s="237" t="s">
        <v>3113</v>
      </c>
      <c r="U13" s="227">
        <f>Deckungssumme1</f>
        <v>0</v>
      </c>
      <c r="V13" s="227">
        <f>Fragenkatalog!AA6</f>
        <v>0</v>
      </c>
      <c r="W13" s="227" t="str">
        <f>'AIG Facility - Preisrechner'!E5</f>
        <v/>
      </c>
      <c r="X13" s="23"/>
      <c r="Y13" s="238" t="str">
        <f t="shared" ca="1" si="2"/>
        <v/>
      </c>
      <c r="Z13" s="238" t="str">
        <f t="shared" ca="1" si="7"/>
        <v/>
      </c>
      <c r="AA13" s="23"/>
      <c r="AB13" s="227" t="str">
        <f t="shared" ca="1" si="3"/>
        <v/>
      </c>
      <c r="AC13" s="239" t="str">
        <f t="shared" ca="1" si="13"/>
        <v/>
      </c>
      <c r="AD13" s="227">
        <f t="shared" ca="1" si="4"/>
        <v>0</v>
      </c>
      <c r="AE13" s="232" t="str">
        <f t="shared" ca="1" si="5"/>
        <v>OFFER_DECLINED</v>
      </c>
      <c r="AF13" s="23"/>
    </row>
    <row r="14" spans="1:32" ht="15.75" customHeight="1">
      <c r="A14" s="23" t="s">
        <v>2391</v>
      </c>
      <c r="B14" s="23"/>
      <c r="C14" s="234" t="str">
        <f>IF(AIGFacilityKriterien2="Kriterien erfüllt",OfferReady,OfferDeclined)</f>
        <v>OFFER_DECLINED</v>
      </c>
      <c r="D14" s="234" t="str">
        <f t="shared" ca="1" si="10"/>
        <v>OFFER_REFERRAL</v>
      </c>
      <c r="E14" s="234" t="str">
        <f t="shared" si="11"/>
        <v>OFFER_READY_FOR_POLICY</v>
      </c>
      <c r="F14" s="234" t="str">
        <f t="shared" si="8"/>
        <v>OFFER_REFERRAL</v>
      </c>
      <c r="G14" s="234" t="str">
        <f>IF(Sanktionsländer!$C$5,OfferReferral,OfferReady)</f>
        <v>OFFER_READY_FOR_POLICY</v>
      </c>
      <c r="H14" s="234" t="str">
        <f t="shared" si="9"/>
        <v>OFFER_DECLINED</v>
      </c>
      <c r="I14" s="234" t="str">
        <f t="shared" si="0"/>
        <v>OFFER_READY_FOR_POLICY</v>
      </c>
      <c r="J14" s="234" t="str">
        <f t="shared" si="12"/>
        <v>OFFER_DECLINED</v>
      </c>
      <c r="K14" s="23"/>
      <c r="L14" s="234" t="str">
        <f t="shared" ca="1" si="1"/>
        <v>OFFER_DECLINED</v>
      </c>
      <c r="M14" s="23"/>
      <c r="N14" s="235" t="str">
        <f>'AIG Facility - Preisrechner'!F8</f>
        <v/>
      </c>
      <c r="O14" s="235" t="str">
        <f>'Preisrechner Alle Tarife'!AM8</f>
        <v/>
      </c>
      <c r="P14" s="23"/>
      <c r="Q14" s="234">
        <v>-1</v>
      </c>
      <c r="R14" s="236">
        <f t="shared" si="6"/>
        <v>0</v>
      </c>
      <c r="S14" s="237"/>
      <c r="T14" s="237" t="s">
        <v>3114</v>
      </c>
      <c r="U14" s="227">
        <f>Deckungssumme2</f>
        <v>0</v>
      </c>
      <c r="V14" s="227">
        <f>Fragenkatalog!AA6</f>
        <v>0</v>
      </c>
      <c r="W14" s="227" t="str">
        <f>'AIG Facility - Preisrechner'!F5</f>
        <v/>
      </c>
      <c r="X14" s="23"/>
      <c r="Y14" s="238" t="str">
        <f t="shared" ca="1" si="2"/>
        <v/>
      </c>
      <c r="Z14" s="238" t="str">
        <f t="shared" ca="1" si="7"/>
        <v/>
      </c>
      <c r="AA14" s="23"/>
      <c r="AB14" s="227" t="str">
        <f t="shared" ca="1" si="3"/>
        <v/>
      </c>
      <c r="AC14" s="239" t="str">
        <f t="shared" ca="1" si="13"/>
        <v/>
      </c>
      <c r="AD14" s="227">
        <f t="shared" ca="1" si="4"/>
        <v>0</v>
      </c>
      <c r="AE14" s="232" t="str">
        <f t="shared" ca="1" si="5"/>
        <v>OFFER_DECLINED</v>
      </c>
      <c r="AF14" s="23"/>
    </row>
    <row r="15" spans="1:32" ht="15.75" customHeight="1">
      <c r="A15" s="240" t="s">
        <v>2391</v>
      </c>
      <c r="B15" s="240"/>
      <c r="C15" s="243" t="str">
        <f>IF(AIGFacilityKriterien3="Kriterien erfüllt",OfferReady,OfferDeclined)</f>
        <v>OFFER_DECLINED</v>
      </c>
      <c r="D15" s="243" t="str">
        <f t="shared" ca="1" si="10"/>
        <v>OFFER_REFERRAL</v>
      </c>
      <c r="E15" s="243" t="str">
        <f t="shared" si="11"/>
        <v>OFFER_READY_FOR_POLICY</v>
      </c>
      <c r="F15" s="243" t="str">
        <f t="shared" si="8"/>
        <v>OFFER_REFERRAL</v>
      </c>
      <c r="G15" s="243" t="str">
        <f>IF(Sanktionsländer!$C$5,OfferReferral,OfferReady)</f>
        <v>OFFER_READY_FOR_POLICY</v>
      </c>
      <c r="H15" s="243" t="str">
        <f t="shared" si="9"/>
        <v>OFFER_DECLINED</v>
      </c>
      <c r="I15" s="243" t="str">
        <f t="shared" si="0"/>
        <v>OFFER_READY_FOR_POLICY</v>
      </c>
      <c r="J15" s="243" t="str">
        <f t="shared" si="12"/>
        <v>OFFER_DECLINED</v>
      </c>
      <c r="K15" s="240"/>
      <c r="L15" s="243" t="str">
        <f t="shared" ca="1" si="1"/>
        <v>OFFER_DECLINED</v>
      </c>
      <c r="M15" s="240"/>
      <c r="N15" s="244" t="str">
        <f>'AIG Facility - Preisrechner'!G8</f>
        <v/>
      </c>
      <c r="O15" s="244" t="str">
        <f>'Preisrechner Alle Tarife'!AN8</f>
        <v/>
      </c>
      <c r="P15" s="240"/>
      <c r="Q15" s="243">
        <v>-1</v>
      </c>
      <c r="R15" s="794">
        <f t="shared" si="6"/>
        <v>0</v>
      </c>
      <c r="S15" s="246"/>
      <c r="T15" s="246" t="s">
        <v>3115</v>
      </c>
      <c r="U15" s="247">
        <f>Deckungssumme3</f>
        <v>0</v>
      </c>
      <c r="V15" s="247">
        <f>Fragenkatalog!AA6</f>
        <v>0</v>
      </c>
      <c r="W15" s="247" t="str">
        <f>'AIG Facility - Preisrechner'!G5</f>
        <v/>
      </c>
      <c r="X15" s="240"/>
      <c r="Y15" s="248" t="str">
        <f t="shared" ca="1" si="2"/>
        <v/>
      </c>
      <c r="Z15" s="744" t="str">
        <f t="shared" ca="1" si="7"/>
        <v/>
      </c>
      <c r="AA15" s="240"/>
      <c r="AB15" s="247" t="str">
        <f t="shared" ca="1" si="3"/>
        <v/>
      </c>
      <c r="AC15" s="249" t="str">
        <f t="shared" ca="1" si="13"/>
        <v/>
      </c>
      <c r="AD15" s="247">
        <f t="shared" ca="1" si="4"/>
        <v>0</v>
      </c>
      <c r="AE15" s="241" t="str">
        <f t="shared" ca="1" si="5"/>
        <v>OFFER_DECLINED</v>
      </c>
      <c r="AF15" s="240"/>
    </row>
    <row r="16" spans="1:32" ht="15.75" customHeight="1">
      <c r="A16" s="23" t="s">
        <v>2400</v>
      </c>
      <c r="B16" s="23"/>
      <c r="C16" s="232"/>
      <c r="D16" s="234" t="str">
        <f ca="1">StatusDual</f>
        <v>OFFER_REFERRAL</v>
      </c>
      <c r="E16" s="234" t="str">
        <f t="shared" si="11"/>
        <v>OFFER_READY_FOR_POLICY</v>
      </c>
      <c r="F16" s="234" t="str">
        <f t="shared" si="8"/>
        <v>OFFER_REFERRAL</v>
      </c>
      <c r="G16" s="234" t="str">
        <f>IF(Sanktionsländer!$C$5,OfferReferral,OfferReady)</f>
        <v>OFFER_READY_FOR_POLICY</v>
      </c>
      <c r="H16" s="234" t="str">
        <f t="shared" si="9"/>
        <v>OFFER_DECLINED</v>
      </c>
      <c r="I16" s="234" t="str">
        <f t="shared" si="0"/>
        <v>OFFER_READY_FOR_POLICY</v>
      </c>
      <c r="J16" s="234" t="str">
        <f>IF(globalStateKO=dualRiskManagerGlobalState,OfferDeclined,IF(globalStateReferral=dualRiskManagerGlobalState,OfferReferral,IF(globalStateGreen=dualRiskManagerGlobalState,OfferReady,OfferDeclined)))</f>
        <v>OFFER_DECLINED</v>
      </c>
      <c r="K16" s="23"/>
      <c r="L16" s="234" t="str">
        <f t="shared" ca="1" si="1"/>
        <v>OFFER_DECLINED</v>
      </c>
      <c r="M16" s="23"/>
      <c r="N16" s="235" t="str">
        <f>'DUAL - Tarif'!F22</f>
        <v/>
      </c>
      <c r="O16" s="235" t="str">
        <f>'Preisrechner Alle Tarife'!AL9</f>
        <v/>
      </c>
      <c r="P16" s="23"/>
      <c r="Q16" s="234">
        <v>10</v>
      </c>
      <c r="R16" s="236">
        <f t="shared" ref="R16:R24" si="14">IF(Q16&lt;$D$41,0,
 IF(AND(Q16&gt;=$D$41,Q16&lt;$D$40),1,
  IF(AND(Q16&gt;=$D$40,Q16&lt;$D$39),2,
   IF(AND(Q16&gt;=$D$39,Q16&lt;$D$38),3,
    IF(AND(Q16&gt;=$D$38,Q16&lt;$D$37),4,
     IF(Q16&gt;=$D$37,5))))))</f>
        <v>1</v>
      </c>
      <c r="S16" s="237"/>
      <c r="T16" s="237" t="s">
        <v>3113</v>
      </c>
      <c r="U16" s="227">
        <f>Deckungssumme1</f>
        <v>0</v>
      </c>
      <c r="V16" s="227">
        <f>Fragenkatalog!U6</f>
        <v>0</v>
      </c>
      <c r="W16" s="227" t="str">
        <f>'DUAL - Tarif'!F18</f>
        <v/>
      </c>
      <c r="X16" s="23"/>
      <c r="Y16" s="238" t="str">
        <f t="shared" ca="1" si="2"/>
        <v/>
      </c>
      <c r="Z16" s="238" t="str">
        <f t="shared" ca="1" si="7"/>
        <v/>
      </c>
      <c r="AA16" s="23"/>
      <c r="AB16" s="227" t="str">
        <f t="shared" ca="1" si="3"/>
        <v/>
      </c>
      <c r="AC16" s="239" t="str">
        <f ca="1">IF(OR(O16="",O16=0,AE16=OfferDeclined),"",IF(AE16=OfferReady,'Preisrechner Alle Tarife'!AL24,O16))</f>
        <v/>
      </c>
      <c r="AD16" s="227">
        <f t="shared" ca="1" si="4"/>
        <v>0</v>
      </c>
      <c r="AE16" s="232" t="str">
        <f t="shared" ca="1" si="5"/>
        <v>OFFER_DECLINED</v>
      </c>
      <c r="AF16" s="23"/>
    </row>
    <row r="17" spans="1:32" ht="15.75" customHeight="1">
      <c r="A17" s="23" t="s">
        <v>2400</v>
      </c>
      <c r="B17" s="23"/>
      <c r="C17" s="232"/>
      <c r="D17" s="234" t="str">
        <f ca="1">StatusDual</f>
        <v>OFFER_REFERRAL</v>
      </c>
      <c r="E17" s="234" t="str">
        <f t="shared" si="11"/>
        <v>OFFER_READY_FOR_POLICY</v>
      </c>
      <c r="F17" s="234" t="str">
        <f t="shared" si="8"/>
        <v>OFFER_REFERRAL</v>
      </c>
      <c r="G17" s="234" t="str">
        <f>IF(Sanktionsländer!$C$5,OfferReferral,OfferReady)</f>
        <v>OFFER_READY_FOR_POLICY</v>
      </c>
      <c r="H17" s="234" t="str">
        <f t="shared" si="9"/>
        <v>OFFER_DECLINED</v>
      </c>
      <c r="I17" s="234" t="str">
        <f t="shared" si="0"/>
        <v>OFFER_READY_FOR_POLICY</v>
      </c>
      <c r="J17" s="234" t="str">
        <f>IF(globalStateKO=dualRiskManagerGlobalState,OfferDeclined,IF(globalStateReferral=dualRiskManagerGlobalState,OfferReferral,IF(globalStateGreen=dualRiskManagerGlobalState,OfferReady,OfferDeclined)))</f>
        <v>OFFER_DECLINED</v>
      </c>
      <c r="K17" s="23"/>
      <c r="L17" s="234" t="str">
        <f t="shared" ca="1" si="1"/>
        <v>OFFER_DECLINED</v>
      </c>
      <c r="M17" s="23"/>
      <c r="N17" s="235" t="str">
        <f>'DUAL - Tarif'!G22</f>
        <v/>
      </c>
      <c r="O17" s="235" t="str">
        <f>'Preisrechner Alle Tarife'!AM9</f>
        <v/>
      </c>
      <c r="P17" s="23"/>
      <c r="Q17" s="234">
        <v>10</v>
      </c>
      <c r="R17" s="236">
        <f t="shared" si="14"/>
        <v>1</v>
      </c>
      <c r="S17" s="237"/>
      <c r="T17" s="237" t="s">
        <v>3114</v>
      </c>
      <c r="U17" s="227">
        <f>Deckungssumme2</f>
        <v>0</v>
      </c>
      <c r="V17" s="227">
        <f>Fragenkatalog!U6</f>
        <v>0</v>
      </c>
      <c r="W17" s="227" t="str">
        <f>'DUAL - Tarif'!G18</f>
        <v/>
      </c>
      <c r="X17" s="23"/>
      <c r="Y17" s="238" t="str">
        <f t="shared" ca="1" si="2"/>
        <v/>
      </c>
      <c r="Z17" s="238" t="str">
        <f t="shared" ca="1" si="7"/>
        <v/>
      </c>
      <c r="AA17" s="23"/>
      <c r="AB17" s="227" t="str">
        <f t="shared" ca="1" si="3"/>
        <v/>
      </c>
      <c r="AC17" s="239" t="str">
        <f ca="1">IF(OR(O17="",O17=0,AE17=OfferDeclined),"",IF(AE17=OfferReady,'Preisrechner Alle Tarife'!AM24,O17))</f>
        <v/>
      </c>
      <c r="AD17" s="227">
        <f t="shared" ca="1" si="4"/>
        <v>0</v>
      </c>
      <c r="AE17" s="232" t="str">
        <f t="shared" ca="1" si="5"/>
        <v>OFFER_DECLINED</v>
      </c>
      <c r="AF17" s="23"/>
    </row>
    <row r="18" spans="1:32" ht="15.75" customHeight="1">
      <c r="A18" s="240" t="s">
        <v>2400</v>
      </c>
      <c r="B18" s="240"/>
      <c r="C18" s="241"/>
      <c r="D18" s="243" t="str">
        <f ca="1">StatusDual</f>
        <v>OFFER_REFERRAL</v>
      </c>
      <c r="E18" s="243" t="str">
        <f t="shared" si="11"/>
        <v>OFFER_READY_FOR_POLICY</v>
      </c>
      <c r="F18" s="243" t="str">
        <f t="shared" si="8"/>
        <v>OFFER_REFERRAL</v>
      </c>
      <c r="G18" s="243" t="str">
        <f>IF(Sanktionsländer!$C$5,OfferReferral,OfferReady)</f>
        <v>OFFER_READY_FOR_POLICY</v>
      </c>
      <c r="H18" s="243" t="str">
        <f t="shared" si="9"/>
        <v>OFFER_DECLINED</v>
      </c>
      <c r="I18" s="243" t="str">
        <f t="shared" si="0"/>
        <v>OFFER_READY_FOR_POLICY</v>
      </c>
      <c r="J18" s="234" t="str">
        <f>IF(globalStateKO=dualRiskManagerGlobalState,OfferDeclined,IF(globalStateReferral=dualRiskManagerGlobalState,OfferReferral,IF(globalStateGreen=dualRiskManagerGlobalState,OfferReady,OfferDeclined)))</f>
        <v>OFFER_DECLINED</v>
      </c>
      <c r="K18" s="240"/>
      <c r="L18" s="243" t="str">
        <f t="shared" ca="1" si="1"/>
        <v>OFFER_DECLINED</v>
      </c>
      <c r="M18" s="240"/>
      <c r="N18" s="244" t="str">
        <f>'DUAL - Tarif'!H22</f>
        <v/>
      </c>
      <c r="O18" s="244" t="str">
        <f>'Preisrechner Alle Tarife'!AN9</f>
        <v/>
      </c>
      <c r="P18" s="240"/>
      <c r="Q18" s="243">
        <v>10</v>
      </c>
      <c r="R18" s="794">
        <f t="shared" si="14"/>
        <v>1</v>
      </c>
      <c r="S18" s="246"/>
      <c r="T18" s="246" t="s">
        <v>3115</v>
      </c>
      <c r="U18" s="247">
        <f>Deckungssumme3</f>
        <v>0</v>
      </c>
      <c r="V18" s="247">
        <f>Fragenkatalog!U6</f>
        <v>0</v>
      </c>
      <c r="W18" s="247" t="str">
        <f>'DUAL - Tarif'!H18</f>
        <v/>
      </c>
      <c r="X18" s="240"/>
      <c r="Y18" s="248" t="str">
        <f t="shared" ca="1" si="2"/>
        <v/>
      </c>
      <c r="Z18" s="744" t="str">
        <f t="shared" ca="1" si="7"/>
        <v/>
      </c>
      <c r="AA18" s="240"/>
      <c r="AB18" s="247" t="str">
        <f t="shared" ca="1" si="3"/>
        <v/>
      </c>
      <c r="AC18" s="249" t="str">
        <f ca="1">IF(OR(O18="",O18=0,AE18=OfferDeclined),"",IF(AE18=OfferReady,'Preisrechner Alle Tarife'!AN24,O18))</f>
        <v/>
      </c>
      <c r="AD18" s="247">
        <f t="shared" ca="1" si="4"/>
        <v>0</v>
      </c>
      <c r="AE18" s="241" t="str">
        <f t="shared" ca="1" si="5"/>
        <v>OFFER_DECLINED</v>
      </c>
      <c r="AF18" s="240"/>
    </row>
    <row r="19" spans="1:32" ht="15.75" customHeight="1">
      <c r="A19" s="23" t="s">
        <v>2401</v>
      </c>
      <c r="B19" s="23"/>
      <c r="C19" s="232"/>
      <c r="D19" s="234" t="str">
        <f ca="1">StatusNewline</f>
        <v>OFFER_REFERRAL</v>
      </c>
      <c r="E19" s="234" t="str">
        <f>IF(OR(AND(RisikoFragen9="NOSTARTUP",W19&gt;5000000),(AND(RisikoFragen9="STARTUP",W19&gt;=2000000))),OfferReferral,OfferReady)</f>
        <v>OFFER_READY_FOR_POLICY</v>
      </c>
      <c r="F19" s="234" t="str">
        <f t="shared" ref="F19:F24" si="15">OfferReady</f>
        <v>OFFER_READY_FOR_POLICY</v>
      </c>
      <c r="G19" s="234" t="str">
        <f>IF(Sanktionsländer!$C$5,OfferReferral,OfferReady)</f>
        <v>OFFER_READY_FOR_POLICY</v>
      </c>
      <c r="H19" s="234" t="str">
        <f t="shared" ca="1" si="9"/>
        <v>OFFER_DECLINED</v>
      </c>
      <c r="I19" s="234" t="str">
        <f t="shared" si="0"/>
        <v>OFFER_READY_FOR_POLICY</v>
      </c>
      <c r="J19" s="234" t="str">
        <f>IF(globalStateKO=newlineRiskManagerGlobalState,OfferDeclined,IF(globalStateReferral=newlineRiskManagerGlobalState,OfferReferral,IF(globalStateGreen=newlineRiskManagerGlobalState,OfferReady,OfferReferral)))</f>
        <v>OFFER_REFERRAL</v>
      </c>
      <c r="K19" s="23"/>
      <c r="L19" s="234" t="str">
        <f t="shared" ca="1" si="1"/>
        <v>OFFER_DECLINED</v>
      </c>
      <c r="M19" s="23"/>
      <c r="N19" s="235" t="str">
        <f>'Newline - Tarif'!G24</f>
        <v/>
      </c>
      <c r="O19" s="235" t="str">
        <f ca="1">'Preisrechner Alle Tarife'!AL10</f>
        <v/>
      </c>
      <c r="P19" s="23"/>
      <c r="Q19" s="595">
        <v>75</v>
      </c>
      <c r="R19" s="236">
        <f t="shared" si="6"/>
        <v>4</v>
      </c>
      <c r="S19" s="237"/>
      <c r="T19" s="237" t="s">
        <v>3113</v>
      </c>
      <c r="U19" s="227">
        <f>Deckungssumme1</f>
        <v>0</v>
      </c>
      <c r="V19" s="227">
        <f>Fragenkatalog!AM6</f>
        <v>0</v>
      </c>
      <c r="W19" s="227" t="str">
        <f>'Newline - Tarif'!G20</f>
        <v/>
      </c>
      <c r="X19" s="23"/>
      <c r="Y19" s="238" t="str">
        <f t="shared" ca="1" si="2"/>
        <v/>
      </c>
      <c r="Z19" s="238" t="str">
        <f t="shared" ca="1" si="7"/>
        <v/>
      </c>
      <c r="AA19" s="23"/>
      <c r="AB19" s="227" t="str">
        <f t="shared" ca="1" si="3"/>
        <v/>
      </c>
      <c r="AC19" s="255" t="str">
        <f ca="1">IF(OR(O19="",O19=0,AE19=OfferDeclined),"",IF(AE19=OfferReady,'Preisrechner Alle Tarife'!AL25,IF(O19&lt;3500,3500,O19)))</f>
        <v/>
      </c>
      <c r="AD19" s="227">
        <f t="shared" ca="1" si="4"/>
        <v>0</v>
      </c>
      <c r="AE19" s="232" t="str">
        <f t="shared" ca="1" si="5"/>
        <v>OFFER_DECLINED</v>
      </c>
      <c r="AF19" s="23"/>
    </row>
    <row r="20" spans="1:32" ht="15.75" customHeight="1">
      <c r="A20" s="23" t="s">
        <v>2401</v>
      </c>
      <c r="B20" s="23"/>
      <c r="C20" s="232"/>
      <c r="D20" s="234" t="str">
        <f ca="1">StatusNewline</f>
        <v>OFFER_REFERRAL</v>
      </c>
      <c r="E20" s="234" t="str">
        <f>IF(OR(AND(RisikoFragen9="NOSTARTUP",W20&gt;5000000),(AND(RisikoFragen9="STARTUP",W20&gt;=2000000))),OfferReferral,OfferReady)</f>
        <v>OFFER_READY_FOR_POLICY</v>
      </c>
      <c r="F20" s="234" t="str">
        <f t="shared" si="15"/>
        <v>OFFER_READY_FOR_POLICY</v>
      </c>
      <c r="G20" s="234" t="str">
        <f>IF(Sanktionsländer!$C$5,OfferReferral,OfferReady)</f>
        <v>OFFER_READY_FOR_POLICY</v>
      </c>
      <c r="H20" s="234" t="str">
        <f t="shared" ca="1" si="9"/>
        <v>OFFER_DECLINED</v>
      </c>
      <c r="I20" s="234" t="str">
        <f t="shared" si="0"/>
        <v>OFFER_READY_FOR_POLICY</v>
      </c>
      <c r="J20" s="234" t="str">
        <f>IF(globalStateKO=newlineRiskManagerGlobalState,OfferDeclined,IF(globalStateReferral=newlineRiskManagerGlobalState,OfferReferral,IF(globalStateGreen=newlineRiskManagerGlobalState,OfferReady,OfferReferral)))</f>
        <v>OFFER_REFERRAL</v>
      </c>
      <c r="K20" s="23"/>
      <c r="L20" s="234" t="str">
        <f t="shared" ca="1" si="1"/>
        <v>OFFER_DECLINED</v>
      </c>
      <c r="M20" s="23"/>
      <c r="N20" s="235" t="str">
        <f>'Newline - Tarif'!H24</f>
        <v/>
      </c>
      <c r="O20" s="235" t="str">
        <f ca="1">'Preisrechner Alle Tarife'!AM10</f>
        <v/>
      </c>
      <c r="P20" s="23"/>
      <c r="Q20" s="595">
        <v>75</v>
      </c>
      <c r="R20" s="236">
        <f t="shared" si="6"/>
        <v>4</v>
      </c>
      <c r="S20" s="237"/>
      <c r="T20" s="237" t="s">
        <v>3114</v>
      </c>
      <c r="U20" s="227">
        <f>Deckungssumme2</f>
        <v>0</v>
      </c>
      <c r="V20" s="227">
        <f>Fragenkatalog!AM6</f>
        <v>0</v>
      </c>
      <c r="W20" s="227" t="str">
        <f>'Newline - Tarif'!H20</f>
        <v/>
      </c>
      <c r="X20" s="23"/>
      <c r="Y20" s="238" t="str">
        <f t="shared" ca="1" si="2"/>
        <v/>
      </c>
      <c r="Z20" s="238" t="str">
        <f t="shared" ca="1" si="7"/>
        <v/>
      </c>
      <c r="AA20" s="23"/>
      <c r="AB20" s="227" t="str">
        <f t="shared" ca="1" si="3"/>
        <v/>
      </c>
      <c r="AC20" s="255" t="str">
        <f ca="1">IF(OR(O20="",O20=0,AE20=OfferDeclined),"",IF(AE20=OfferReady,'Preisrechner Alle Tarife'!AM25,IF(O20&lt;3500,3500,O20)))</f>
        <v/>
      </c>
      <c r="AD20" s="227">
        <f t="shared" ca="1" si="4"/>
        <v>0</v>
      </c>
      <c r="AE20" s="232" t="str">
        <f t="shared" ca="1" si="5"/>
        <v>OFFER_DECLINED</v>
      </c>
      <c r="AF20" s="23"/>
    </row>
    <row r="21" spans="1:32" ht="15.75" customHeight="1">
      <c r="A21" s="240" t="s">
        <v>2401</v>
      </c>
      <c r="B21" s="240"/>
      <c r="C21" s="241"/>
      <c r="D21" s="243" t="str">
        <f ca="1">StatusNewline</f>
        <v>OFFER_REFERRAL</v>
      </c>
      <c r="E21" s="234" t="str">
        <f>IF(OR(AND(RisikoFragen9="NOSTARTUP",W21&gt;5000000),(AND(RisikoFragen9="STARTUP",W21&gt;=2000000))),OfferReferral,OfferReady)</f>
        <v>OFFER_READY_FOR_POLICY</v>
      </c>
      <c r="F21" s="234" t="str">
        <f t="shared" si="15"/>
        <v>OFFER_READY_FOR_POLICY</v>
      </c>
      <c r="G21" s="243" t="str">
        <f>IF(Sanktionsländer!$C$5,OfferReferral,OfferReady)</f>
        <v>OFFER_READY_FOR_POLICY</v>
      </c>
      <c r="H21" s="243" t="str">
        <f t="shared" ca="1" si="9"/>
        <v>OFFER_DECLINED</v>
      </c>
      <c r="I21" s="243" t="str">
        <f t="shared" si="0"/>
        <v>OFFER_READY_FOR_POLICY</v>
      </c>
      <c r="J21" s="234" t="str">
        <f>IF(globalStateKO=newlineRiskManagerGlobalState,OfferDeclined,IF(globalStateReferral=newlineRiskManagerGlobalState,OfferReferral,IF(globalStateGreen=newlineRiskManagerGlobalState,OfferReady,OfferReferral)))</f>
        <v>OFFER_REFERRAL</v>
      </c>
      <c r="K21" s="240"/>
      <c r="L21" s="243" t="str">
        <f t="shared" ca="1" si="1"/>
        <v>OFFER_DECLINED</v>
      </c>
      <c r="M21" s="240"/>
      <c r="N21" s="244" t="str">
        <f>'Newline - Tarif'!I24</f>
        <v/>
      </c>
      <c r="O21" s="244" t="str">
        <f ca="1">'Preisrechner Alle Tarife'!AN10</f>
        <v/>
      </c>
      <c r="P21" s="240"/>
      <c r="Q21" s="595">
        <v>75</v>
      </c>
      <c r="R21" s="794">
        <f t="shared" si="6"/>
        <v>4</v>
      </c>
      <c r="S21" s="246"/>
      <c r="T21" s="246" t="s">
        <v>3115</v>
      </c>
      <c r="U21" s="247">
        <f>Deckungssumme3</f>
        <v>0</v>
      </c>
      <c r="V21" s="247">
        <f>Fragenkatalog!AM6</f>
        <v>0</v>
      </c>
      <c r="W21" s="247" t="str">
        <f>'Newline - Tarif'!I20</f>
        <v/>
      </c>
      <c r="X21" s="240"/>
      <c r="Y21" s="248" t="str">
        <f t="shared" ca="1" si="2"/>
        <v/>
      </c>
      <c r="Z21" s="744" t="str">
        <f t="shared" ca="1" si="7"/>
        <v/>
      </c>
      <c r="AA21" s="240"/>
      <c r="AB21" s="247" t="str">
        <f t="shared" ca="1" si="3"/>
        <v/>
      </c>
      <c r="AC21" s="256" t="str">
        <f ca="1">IF(OR(O21="",O21=0,AE21=OfferDeclined),"",IF(AE21=OfferReady,'Preisrechner Alle Tarife'!AN25,IF(O21&lt;3500,3500,O21)))</f>
        <v/>
      </c>
      <c r="AD21" s="247">
        <f t="shared" ca="1" si="4"/>
        <v>0</v>
      </c>
      <c r="AE21" s="241" t="str">
        <f t="shared" ca="1" si="5"/>
        <v>OFFER_DECLINED</v>
      </c>
      <c r="AF21" s="240"/>
    </row>
    <row r="22" spans="1:32" ht="15.75" customHeight="1">
      <c r="A22" s="23" t="s">
        <v>2392</v>
      </c>
      <c r="B22" s="23"/>
      <c r="C22" s="232"/>
      <c r="D22" s="234" t="str">
        <f ca="1">StatusBerkley</f>
        <v>OFFER_REFERRAL</v>
      </c>
      <c r="E22" s="234" t="str">
        <f>IF(W22&gt;15000000,OfferDeclined,OfferReady)</f>
        <v>OFFER_DECLINED</v>
      </c>
      <c r="F22" s="234" t="str">
        <f t="shared" si="15"/>
        <v>OFFER_READY_FOR_POLICY</v>
      </c>
      <c r="G22" s="234" t="str">
        <f>IF(Sanktionsländer!$C$5,OfferReferral,OfferReady)</f>
        <v>OFFER_READY_FOR_POLICY</v>
      </c>
      <c r="H22" s="234" t="str">
        <f t="shared" si="9"/>
        <v>OFFER_DECLINED</v>
      </c>
      <c r="I22" s="234" t="str">
        <f t="shared" si="0"/>
        <v>OFFER_READY_FOR_POLICY</v>
      </c>
      <c r="J22" s="234" t="str">
        <f>IF(globalStateKO=berkleyRiskManagerGlobalState,OfferDeclined,IF(globalStateReferral=berkleyRiskManagerGlobalState,OfferReferral,IF(globalStateGreen=berkleyRiskManagerGlobalState,OfferReady,OfferReady)))</f>
        <v>OFFER_READY_FOR_POLICY</v>
      </c>
      <c r="K22" s="23"/>
      <c r="L22" s="234" t="str">
        <f t="shared" ca="1" si="1"/>
        <v>OFFER_DECLINED</v>
      </c>
      <c r="M22" s="23"/>
      <c r="N22" s="235" t="str">
        <f>'Berkley - Tarif'!G22</f>
        <v/>
      </c>
      <c r="O22" s="235" t="str">
        <f>'Preisrechner Alle Tarife'!AL11</f>
        <v/>
      </c>
      <c r="P22" s="23"/>
      <c r="Q22" s="234">
        <v>25</v>
      </c>
      <c r="R22" s="236">
        <f t="shared" si="14"/>
        <v>2</v>
      </c>
      <c r="S22" s="237"/>
      <c r="T22" s="237" t="s">
        <v>3113</v>
      </c>
      <c r="U22" s="227">
        <f>Deckungssumme1</f>
        <v>0</v>
      </c>
      <c r="V22" s="227">
        <f>Fragenkatalog!AG6</f>
        <v>0</v>
      </c>
      <c r="W22" s="227" t="str">
        <f>'Berkley - Tarif'!G$18</f>
        <v/>
      </c>
      <c r="X22" s="23"/>
      <c r="Y22" s="238" t="str">
        <f t="shared" ca="1" si="2"/>
        <v/>
      </c>
      <c r="Z22" s="238" t="str">
        <f t="shared" ca="1" si="7"/>
        <v/>
      </c>
      <c r="AA22" s="23"/>
      <c r="AB22" s="227" t="str">
        <f t="shared" ca="1" si="3"/>
        <v/>
      </c>
      <c r="AC22" s="239" t="str">
        <f ca="1">IF(OR(O22="",O22=0,AE22=OfferDeclined),"",IF(AE22=OfferReady,'Preisrechner Alle Tarife'!AL26,O22))</f>
        <v/>
      </c>
      <c r="AD22" s="227">
        <f t="shared" ca="1" si="4"/>
        <v>0</v>
      </c>
      <c r="AE22" s="232" t="str">
        <f t="shared" ca="1" si="5"/>
        <v>OFFER_DECLINED</v>
      </c>
      <c r="AF22" s="23"/>
    </row>
    <row r="23" spans="1:32" ht="15.75" customHeight="1">
      <c r="A23" s="23" t="s">
        <v>2392</v>
      </c>
      <c r="B23" s="23"/>
      <c r="C23" s="232"/>
      <c r="D23" s="234" t="str">
        <f ca="1">StatusBerkley</f>
        <v>OFFER_REFERRAL</v>
      </c>
      <c r="E23" s="234" t="str">
        <f>IF(W23&gt;15000000,OfferDeclined,OfferReady)</f>
        <v>OFFER_DECLINED</v>
      </c>
      <c r="F23" s="234" t="str">
        <f t="shared" si="15"/>
        <v>OFFER_READY_FOR_POLICY</v>
      </c>
      <c r="G23" s="234" t="str">
        <f>IF(Sanktionsländer!$C$5,OfferReferral,OfferReady)</f>
        <v>OFFER_READY_FOR_POLICY</v>
      </c>
      <c r="H23" s="234" t="str">
        <f t="shared" si="9"/>
        <v>OFFER_DECLINED</v>
      </c>
      <c r="I23" s="234" t="str">
        <f t="shared" si="0"/>
        <v>OFFER_READY_FOR_POLICY</v>
      </c>
      <c r="J23" s="234" t="str">
        <f>IF(globalStateKO=berkleyRiskManagerGlobalState,OfferDeclined,IF(globalStateReferral=berkleyRiskManagerGlobalState,OfferReferral,IF(globalStateGreen=berkleyRiskManagerGlobalState,OfferReady,OfferReady)))</f>
        <v>OFFER_READY_FOR_POLICY</v>
      </c>
      <c r="K23" s="23"/>
      <c r="L23" s="234" t="str">
        <f t="shared" ca="1" si="1"/>
        <v>OFFER_DECLINED</v>
      </c>
      <c r="M23" s="23"/>
      <c r="N23" s="235" t="str">
        <f>'Berkley - Tarif'!H22</f>
        <v/>
      </c>
      <c r="O23" s="235" t="str">
        <f>'Preisrechner Alle Tarife'!AM11</f>
        <v/>
      </c>
      <c r="P23" s="23"/>
      <c r="Q23" s="234">
        <v>25</v>
      </c>
      <c r="R23" s="236">
        <f t="shared" si="14"/>
        <v>2</v>
      </c>
      <c r="S23" s="237"/>
      <c r="T23" s="237" t="s">
        <v>3114</v>
      </c>
      <c r="U23" s="227">
        <f>Deckungssumme2</f>
        <v>0</v>
      </c>
      <c r="V23" s="227">
        <f>Fragenkatalog!AG6</f>
        <v>0</v>
      </c>
      <c r="W23" s="227" t="str">
        <f>'Berkley - Tarif'!H18</f>
        <v/>
      </c>
      <c r="X23" s="23"/>
      <c r="Y23" s="238" t="str">
        <f t="shared" ca="1" si="2"/>
        <v/>
      </c>
      <c r="Z23" s="238" t="str">
        <f t="shared" ca="1" si="7"/>
        <v/>
      </c>
      <c r="AA23" s="23"/>
      <c r="AB23" s="227" t="str">
        <f t="shared" ca="1" si="3"/>
        <v/>
      </c>
      <c r="AC23" s="239" t="str">
        <f ca="1">IF(OR(O23="",O23=0,AE23=OfferDeclined),"",IF(AE23=OfferReady,'Preisrechner Alle Tarife'!AM26,O23))</f>
        <v/>
      </c>
      <c r="AD23" s="227">
        <f t="shared" ca="1" si="4"/>
        <v>0</v>
      </c>
      <c r="AE23" s="232" t="str">
        <f t="shared" ca="1" si="5"/>
        <v>OFFER_DECLINED</v>
      </c>
      <c r="AF23" s="23"/>
    </row>
    <row r="24" spans="1:32" ht="15.75" customHeight="1">
      <c r="A24" s="240" t="s">
        <v>2392</v>
      </c>
      <c r="B24" s="240"/>
      <c r="C24" s="241"/>
      <c r="D24" s="243" t="str">
        <f ca="1">StatusBerkley</f>
        <v>OFFER_REFERRAL</v>
      </c>
      <c r="E24" s="234" t="str">
        <f>IF(W24&gt;15000000,OfferDeclined,OfferReady)</f>
        <v>OFFER_DECLINED</v>
      </c>
      <c r="F24" s="234" t="str">
        <f t="shared" si="15"/>
        <v>OFFER_READY_FOR_POLICY</v>
      </c>
      <c r="G24" s="243" t="str">
        <f>IF(Sanktionsländer!$C$5,OfferReferral,OfferReady)</f>
        <v>OFFER_READY_FOR_POLICY</v>
      </c>
      <c r="H24" s="243" t="str">
        <f t="shared" si="9"/>
        <v>OFFER_DECLINED</v>
      </c>
      <c r="I24" s="243" t="str">
        <f t="shared" si="0"/>
        <v>OFFER_READY_FOR_POLICY</v>
      </c>
      <c r="J24" s="234" t="str">
        <f>IF(globalStateKO=berkleyRiskManagerGlobalState,OfferDeclined,IF(globalStateReferral=berkleyRiskManagerGlobalState,OfferReferral,IF(globalStateGreen=berkleyRiskManagerGlobalState,OfferReady,OfferReady)))</f>
        <v>OFFER_READY_FOR_POLICY</v>
      </c>
      <c r="K24" s="240"/>
      <c r="L24" s="243" t="str">
        <f t="shared" ca="1" si="1"/>
        <v>OFFER_DECLINED</v>
      </c>
      <c r="M24" s="240"/>
      <c r="N24" s="244" t="str">
        <f>'Berkley - Tarif'!I22</f>
        <v/>
      </c>
      <c r="O24" s="244" t="str">
        <f>'Preisrechner Alle Tarife'!AN11</f>
        <v/>
      </c>
      <c r="P24" s="240"/>
      <c r="Q24" s="786">
        <v>25</v>
      </c>
      <c r="R24" s="794">
        <f t="shared" si="14"/>
        <v>2</v>
      </c>
      <c r="S24" s="246"/>
      <c r="T24" s="246" t="s">
        <v>3115</v>
      </c>
      <c r="U24" s="247">
        <f>Deckungssumme3</f>
        <v>0</v>
      </c>
      <c r="V24" s="247">
        <f>Fragenkatalog!AG6</f>
        <v>0</v>
      </c>
      <c r="W24" s="247" t="str">
        <f>'Berkley - Tarif'!I18</f>
        <v/>
      </c>
      <c r="X24" s="240"/>
      <c r="Y24" s="248" t="str">
        <f t="shared" ca="1" si="2"/>
        <v/>
      </c>
      <c r="Z24" s="744" t="str">
        <f t="shared" ca="1" si="7"/>
        <v/>
      </c>
      <c r="AA24" s="240"/>
      <c r="AB24" s="247" t="str">
        <f t="shared" ca="1" si="3"/>
        <v/>
      </c>
      <c r="AC24" s="249" t="str">
        <f ca="1">IF(OR(O24="",O24=0,AE24=OfferDeclined),"",IF(AE24=OfferReady,'Preisrechner Alle Tarife'!AN26,O24))</f>
        <v/>
      </c>
      <c r="AD24" s="247">
        <f t="shared" ca="1" si="4"/>
        <v>0</v>
      </c>
      <c r="AE24" s="241" t="str">
        <f t="shared" ca="1" si="5"/>
        <v>OFFER_DECLINED</v>
      </c>
      <c r="AF24" s="240"/>
    </row>
    <row r="25" spans="1:32" ht="14.25" customHeight="1">
      <c r="A25" s="23" t="s">
        <v>3727</v>
      </c>
      <c r="B25" s="23"/>
      <c r="C25" s="232"/>
      <c r="D25" s="595" t="str">
        <f ca="1">StatusMarkel</f>
        <v>OFFER_DECLINED</v>
      </c>
      <c r="E25" s="595" t="str">
        <f>IF(W25&gt;5000000,OfferReferral,IF(W25&gt;10000000,OfferDeclined,OfferReady))</f>
        <v>OFFER_REFERRAL</v>
      </c>
      <c r="F25" s="595" t="str">
        <f t="shared" ref="F25:F30" si="16">IF(W25&gt;F$2,OfferReferral,OfferReady)</f>
        <v>OFFER_REFERRAL</v>
      </c>
      <c r="G25" s="595" t="str">
        <f>IF(Sanktionsländer!$C$5,OfferReferral,OfferReady)</f>
        <v>OFFER_READY_FOR_POLICY</v>
      </c>
      <c r="H25" s="595" t="str">
        <f t="shared" ref="H25:H30" si="17">IF(OR(O25="",O25=0),OfferDeclined,OfferReady)</f>
        <v>OFFER_DECLINED</v>
      </c>
      <c r="I25" s="595" t="str">
        <f t="shared" ref="I25:I33" si="18">IF(SUM(RisikoFragen95a,RisikoFragen96)&gt;0,OfferReferral,OfferReady)</f>
        <v>OFFER_READY_FOR_POLICY</v>
      </c>
      <c r="J25" s="595" t="str">
        <f>IF(globalStateKO=markelRiskManagerGlobalState,OfferDeclined,IF(globalStateReferral=markelRiskManagerGlobalState,OfferReferral,IF(globalStateGreen=markelRiskManagerGlobalState,OfferReady,OfferReady)))</f>
        <v>OFFER_READY_FOR_POLICY</v>
      </c>
      <c r="K25" s="23"/>
      <c r="L25" s="595" t="str">
        <f ca="1">IF(OR(C25=OfferDeclined,D25=OfferDeclined,E25=OfferDeclined,F25=OfferDeclined,G25=OfferDeclined,H25=OfferDeclined,I25=OfferDeclined,J25=OfferDeclined),OfferDeclined,IF(OR(C25=OfferReferral,D25=OfferReferral,E25=OfferReferral,F25=OfferReferral,G25=OfferReferral,H25=OfferReferral,I25=OfferReferral,J25=OfferReferral),OfferReferral,OfferReady))</f>
        <v>OFFER_DECLINED</v>
      </c>
      <c r="M25" s="23"/>
      <c r="N25" s="596" t="str">
        <f>IF(Gesellschaftsform="Verein",'Markel - Tarif Vereine'!G22,'Markel - Tarif'!G26)</f>
        <v/>
      </c>
      <c r="O25" s="596" t="str">
        <f>'Preisrechner Alle Tarife'!AL12</f>
        <v/>
      </c>
      <c r="P25" s="23"/>
      <c r="Q25" s="595">
        <v>75</v>
      </c>
      <c r="R25" s="236">
        <f t="shared" si="6"/>
        <v>4</v>
      </c>
      <c r="S25" s="597"/>
      <c r="T25" s="597" t="s">
        <v>3113</v>
      </c>
      <c r="U25" s="227">
        <f>Deckungssumme1</f>
        <v>0</v>
      </c>
      <c r="V25" s="227">
        <f>Fragenkatalog!BE6</f>
        <v>0</v>
      </c>
      <c r="W25" s="227" t="str">
        <f>'Markel - Tarif'!G22</f>
        <v/>
      </c>
      <c r="X25" s="23"/>
      <c r="Y25" s="238" t="str">
        <f t="shared" ref="Y25:Y30" ca="1" si="19">IF(L25=OfferDeclined,"",R25)</f>
        <v/>
      </c>
      <c r="Z25" s="238" t="str">
        <f t="shared" ca="1" si="7"/>
        <v/>
      </c>
      <c r="AA25" s="23"/>
      <c r="AB25" s="227" t="str">
        <f t="shared" ca="1" si="3"/>
        <v/>
      </c>
      <c r="AC25" s="239" t="str">
        <f ca="1">IF(OR(O25="",O25=0,AE25=OfferDeclined),"",IF(AE25=OfferReady,'Preisrechner Alle Tarife'!AL27,O25))</f>
        <v/>
      </c>
      <c r="AD25" s="227">
        <f t="shared" ref="AD25:AD30" ca="1" si="20">IF(AE25=OfferDeclined,U25,W25)</f>
        <v>0</v>
      </c>
      <c r="AE25" s="232" t="str">
        <f t="shared" ca="1" si="5"/>
        <v>OFFER_DECLINED</v>
      </c>
      <c r="AF25" s="23"/>
    </row>
    <row r="26" spans="1:32" ht="14.25" customHeight="1">
      <c r="A26" s="23" t="s">
        <v>3727</v>
      </c>
      <c r="B26" s="23"/>
      <c r="C26" s="232"/>
      <c r="D26" s="595" t="str">
        <f ca="1">StatusMarkel</f>
        <v>OFFER_DECLINED</v>
      </c>
      <c r="E26" s="595" t="str">
        <f>IF(W26&gt;5000000,OfferReferral,IF(W26&gt;10000000,OfferDeclined,OfferReady))</f>
        <v>OFFER_REFERRAL</v>
      </c>
      <c r="F26" s="595" t="str">
        <f t="shared" si="16"/>
        <v>OFFER_REFERRAL</v>
      </c>
      <c r="G26" s="595" t="str">
        <f>IF(Sanktionsländer!$C$5,OfferReferral,OfferReady)</f>
        <v>OFFER_READY_FOR_POLICY</v>
      </c>
      <c r="H26" s="595" t="str">
        <f t="shared" si="17"/>
        <v>OFFER_DECLINED</v>
      </c>
      <c r="I26" s="595" t="str">
        <f t="shared" si="18"/>
        <v>OFFER_READY_FOR_POLICY</v>
      </c>
      <c r="J26" s="595" t="str">
        <f>IF(globalStateKO=markelRiskManagerGlobalState,OfferDeclined,IF(globalStateReferral=markelRiskManagerGlobalState,OfferReferral,IF(globalStateGreen=markelRiskManagerGlobalState,OfferReady,OfferReady)))</f>
        <v>OFFER_READY_FOR_POLICY</v>
      </c>
      <c r="K26" s="23"/>
      <c r="L26" s="595" t="str">
        <f ca="1">IF(OR(C26=OfferDeclined,D26=OfferDeclined,E26=OfferDeclined,F26=OfferDeclined,G26=OfferDeclined,H26=OfferDeclined,I26=OfferDeclined,J26=OfferDeclined),OfferDeclined,IF(OR(C26=OfferReferral,D26=OfferReferral,E26=OfferReferral,F26=OfferReferral,G26=OfferReferral,H26=OfferReferral,I26=OfferReferral,J26=OfferReferral),OfferReferral,OfferReady))</f>
        <v>OFFER_DECLINED</v>
      </c>
      <c r="M26" s="23"/>
      <c r="N26" s="596" t="str">
        <f>IF(Gesellschaftsform="Verein",'Markel - Tarif Vereine'!H22,'Markel - Tarif'!H26)</f>
        <v/>
      </c>
      <c r="O26" s="596" t="str">
        <f>'Preisrechner Alle Tarife'!AM12</f>
        <v/>
      </c>
      <c r="P26" s="23"/>
      <c r="Q26" s="595">
        <v>75</v>
      </c>
      <c r="R26" s="236">
        <f t="shared" si="6"/>
        <v>4</v>
      </c>
      <c r="S26" s="597"/>
      <c r="T26" s="597" t="s">
        <v>3114</v>
      </c>
      <c r="U26" s="227">
        <f>Deckungssumme2</f>
        <v>0</v>
      </c>
      <c r="V26" s="598">
        <f>Fragenkatalog!BE6</f>
        <v>0</v>
      </c>
      <c r="W26" s="227" t="str">
        <f>'Markel - Tarif'!H22</f>
        <v/>
      </c>
      <c r="X26" s="23"/>
      <c r="Y26" s="238" t="str">
        <f t="shared" ca="1" si="19"/>
        <v/>
      </c>
      <c r="Z26" s="238" t="str">
        <f t="shared" ca="1" si="7"/>
        <v/>
      </c>
      <c r="AA26" s="23"/>
      <c r="AB26" s="227" t="str">
        <f t="shared" ca="1" si="3"/>
        <v/>
      </c>
      <c r="AC26" s="239" t="str">
        <f ca="1">IF(OR(O26="",O26=0,AE26=OfferDeclined),"",IF(AE26=OfferReady,'Preisrechner Alle Tarife'!AM27,O26))</f>
        <v/>
      </c>
      <c r="AD26" s="227">
        <f t="shared" ca="1" si="20"/>
        <v>0</v>
      </c>
      <c r="AE26" s="232" t="str">
        <f t="shared" ca="1" si="5"/>
        <v>OFFER_DECLINED</v>
      </c>
      <c r="AF26" s="23"/>
    </row>
    <row r="27" spans="1:32" s="610" customFormat="1" ht="14.25" customHeight="1">
      <c r="A27" s="601" t="s">
        <v>3727</v>
      </c>
      <c r="B27" s="601"/>
      <c r="C27" s="602"/>
      <c r="D27" s="603" t="str">
        <f ca="1">StatusMarkel</f>
        <v>OFFER_DECLINED</v>
      </c>
      <c r="E27" s="603" t="str">
        <f>IF(W27&gt;5000000,OfferReferral,IF(W27&gt;10000000,OfferDeclined,OfferReady))</f>
        <v>OFFER_REFERRAL</v>
      </c>
      <c r="F27" s="603" t="str">
        <f t="shared" si="16"/>
        <v>OFFER_REFERRAL</v>
      </c>
      <c r="G27" s="603" t="str">
        <f>IF(Sanktionsländer!$C$5,OfferReferral,OfferReady)</f>
        <v>OFFER_READY_FOR_POLICY</v>
      </c>
      <c r="H27" s="603" t="str">
        <f t="shared" si="17"/>
        <v>OFFER_DECLINED</v>
      </c>
      <c r="I27" s="603" t="str">
        <f t="shared" si="18"/>
        <v>OFFER_READY_FOR_POLICY</v>
      </c>
      <c r="J27" s="595" t="str">
        <f>IF(globalStateKO=markelRiskManagerGlobalState,OfferDeclined,IF(globalStateReferral=markelRiskManagerGlobalState,OfferReferral,IF(globalStateGreen=markelRiskManagerGlobalState,OfferReady,OfferReady)))</f>
        <v>OFFER_READY_FOR_POLICY</v>
      </c>
      <c r="K27" s="601"/>
      <c r="L27" s="603" t="str">
        <f ca="1">IF(OR(C27=OfferDeclined,D27=OfferDeclined,E27=OfferDeclined,F27=OfferDeclined,G27=OfferDeclined,H27=OfferDeclined,I27=OfferDeclined,J27=OfferDeclined),OfferDeclined,IF(OR(C27=OfferReferral,D27=OfferReferral,E27=OfferReferral,F27=OfferReferral,G27=OfferReferral,H27=OfferReferral,I27=OfferReferral,J27=OfferReferral),OfferReferral,OfferReady))</f>
        <v>OFFER_DECLINED</v>
      </c>
      <c r="M27" s="601"/>
      <c r="N27" s="604" t="str">
        <f>IF(Gesellschaftsform="Verein",'Markel - Tarif Vereine'!I22,'Markel - Tarif'!I26)</f>
        <v/>
      </c>
      <c r="O27" s="604" t="str">
        <f>'Preisrechner Alle Tarife'!AN12</f>
        <v/>
      </c>
      <c r="P27" s="601"/>
      <c r="Q27" s="595">
        <v>75</v>
      </c>
      <c r="R27" s="794">
        <f t="shared" si="6"/>
        <v>4</v>
      </c>
      <c r="S27" s="605"/>
      <c r="T27" s="605" t="s">
        <v>3115</v>
      </c>
      <c r="U27" s="606">
        <f>Deckungssumme3</f>
        <v>0</v>
      </c>
      <c r="V27" s="607">
        <f>Fragenkatalog!BE6</f>
        <v>0</v>
      </c>
      <c r="W27" s="606" t="str">
        <f>'Markel - Tarif'!I22</f>
        <v/>
      </c>
      <c r="X27" s="601"/>
      <c r="Y27" s="608" t="str">
        <f t="shared" ca="1" si="19"/>
        <v/>
      </c>
      <c r="Z27" s="744" t="str">
        <f t="shared" ca="1" si="7"/>
        <v/>
      </c>
      <c r="AA27" s="601"/>
      <c r="AB27" s="606" t="str">
        <f t="shared" ca="1" si="3"/>
        <v/>
      </c>
      <c r="AC27" s="609" t="str">
        <f ca="1">IF(OR(O27="",O27=0,AE27=OfferDeclined),"",IF(AE27=OfferReady,'Preisrechner Alle Tarife'!AN27,O27))</f>
        <v/>
      </c>
      <c r="AD27" s="606">
        <f t="shared" ca="1" si="20"/>
        <v>0</v>
      </c>
      <c r="AE27" s="602" t="str">
        <f t="shared" ca="1" si="5"/>
        <v>OFFER_DECLINED</v>
      </c>
      <c r="AF27" s="601"/>
    </row>
    <row r="28" spans="1:32" ht="15.75" customHeight="1">
      <c r="A28" s="23" t="s">
        <v>3747</v>
      </c>
      <c r="B28" s="23"/>
      <c r="C28" s="232"/>
      <c r="D28" s="595" t="str">
        <f ca="1">StatusLiberty</f>
        <v>OFFER_READY_FOR_POLICY</v>
      </c>
      <c r="E28" s="595" t="str">
        <f>IF($W28&gt;50000000,OfferDeclined,IF(OR($W28&gt;0.5*$E$2,$W28&gt;10000000,AND(Gesellschaftsform="Verein",$W28&gt;1000000)),OfferReferral,OfferReady))</f>
        <v>OFFER_DECLINED</v>
      </c>
      <c r="F28" s="595" t="str">
        <f t="shared" si="16"/>
        <v>OFFER_REFERRAL</v>
      </c>
      <c r="G28" s="595" t="str">
        <f>IF(Sanktionsländer!$C$5,OfferReferral,OfferReady)</f>
        <v>OFFER_READY_FOR_POLICY</v>
      </c>
      <c r="H28" s="595" t="str">
        <f t="shared" si="17"/>
        <v>OFFER_DECLINED</v>
      </c>
      <c r="I28" s="595" t="str">
        <f t="shared" si="18"/>
        <v>OFFER_READY_FOR_POLICY</v>
      </c>
      <c r="J28" s="595" t="str">
        <f>IF(globalStateKO=liberty_deRiskManagerGlobalState,OfferDeclined,IF(globalStateReferral=liberty_deRiskManagerGlobalState,OfferReferral,IF(globalStateGreen=liberty_deRiskManagerGlobalState,OfferReady,OfferReady)))</f>
        <v>OFFER_READY_FOR_POLICY</v>
      </c>
      <c r="K28" s="23"/>
      <c r="L28" s="595" t="str">
        <f t="shared" ref="L28:L33" ca="1" si="21">IF(OR(C28=OfferDeclined,D28=OfferDeclined,E28=OfferDeclined,F28=OfferDeclined,G28=OfferDeclined,H28=OfferDeclined,I28=OfferDeclined,J28=OfferDeclined),OfferDeclined,
IF(OR(C28=OfferReferral,D28=OfferReferral,E28=OfferReferral,F28=OfferReferral,G28=OfferReferral,H28=OfferReferral,I28=OfferReferral,J28=OfferReferral),OfferReferral,OfferReady))</f>
        <v>OFFER_DECLINED</v>
      </c>
      <c r="M28" s="23"/>
      <c r="N28" s="596" t="str">
        <f>IF(Gesellschaftsform="Verein",'Liberty - Tarif Verein'!G$26,'Liberty - Tarif'!G$26)</f>
        <v/>
      </c>
      <c r="O28" s="596" t="str">
        <f>'Preisrechner Alle Tarife'!AL13</f>
        <v/>
      </c>
      <c r="P28" s="23"/>
      <c r="Q28" s="773">
        <v>95</v>
      </c>
      <c r="R28" s="236">
        <f t="shared" si="6"/>
        <v>5</v>
      </c>
      <c r="S28" s="597"/>
      <c r="T28" s="597" t="s">
        <v>3113</v>
      </c>
      <c r="U28" s="227">
        <f>Deckungssumme1</f>
        <v>0</v>
      </c>
      <c r="V28" s="227">
        <f>Fragenkatalog!$BK$6</f>
        <v>0</v>
      </c>
      <c r="W28" s="227" t="str">
        <f>'Liberty - Tarif'!G$18</f>
        <v/>
      </c>
      <c r="X28" s="23"/>
      <c r="Y28" s="711" t="str">
        <f t="shared" ca="1" si="19"/>
        <v/>
      </c>
      <c r="Z28" s="238" t="str">
        <f t="shared" ca="1" si="7"/>
        <v/>
      </c>
      <c r="AA28" s="23"/>
      <c r="AB28" s="227" t="str">
        <f t="shared" ca="1" si="3"/>
        <v/>
      </c>
      <c r="AC28" s="239" t="str">
        <f ca="1">IF(OR(O28="",O28=0,AE28=OfferDeclined),"",IF(AE28=OfferReady,'Preisrechner Alle Tarife'!AL28,O28))</f>
        <v/>
      </c>
      <c r="AD28" s="227">
        <f t="shared" ca="1" si="20"/>
        <v>0</v>
      </c>
      <c r="AE28" s="232" t="str">
        <f t="shared" ca="1" si="5"/>
        <v>OFFER_DECLINED</v>
      </c>
      <c r="AF28" s="23"/>
    </row>
    <row r="29" spans="1:32" ht="15.75" customHeight="1">
      <c r="A29" s="23" t="s">
        <v>3747</v>
      </c>
      <c r="B29" s="23"/>
      <c r="C29" s="232"/>
      <c r="D29" s="595" t="str">
        <f ca="1">StatusLiberty</f>
        <v>OFFER_READY_FOR_POLICY</v>
      </c>
      <c r="E29" s="595" t="str">
        <f>IF($W29&gt;50000000,OfferDeclined,IF(OR($W29&gt;0.5*$E$2,$W29&gt;10000000,AND(Gesellschaftsform="Verein",$W29&gt;1000000)),OfferReferral,OfferReady))</f>
        <v>OFFER_DECLINED</v>
      </c>
      <c r="F29" s="595" t="str">
        <f t="shared" si="16"/>
        <v>OFFER_REFERRAL</v>
      </c>
      <c r="G29" s="595" t="str">
        <f>IF(Sanktionsländer!$C$5,OfferReferral,OfferReady)</f>
        <v>OFFER_READY_FOR_POLICY</v>
      </c>
      <c r="H29" s="595" t="str">
        <f t="shared" si="17"/>
        <v>OFFER_DECLINED</v>
      </c>
      <c r="I29" s="595" t="str">
        <f t="shared" si="18"/>
        <v>OFFER_READY_FOR_POLICY</v>
      </c>
      <c r="J29" s="595" t="str">
        <f>IF(globalStateKO=liberty_deRiskManagerGlobalState,OfferDeclined,IF(globalStateReferral=liberty_deRiskManagerGlobalState,OfferReferral,IF(globalStateGreen=liberty_deRiskManagerGlobalState,OfferReady,OfferReady)))</f>
        <v>OFFER_READY_FOR_POLICY</v>
      </c>
      <c r="K29" s="23"/>
      <c r="L29" s="595" t="str">
        <f t="shared" ca="1" si="21"/>
        <v>OFFER_DECLINED</v>
      </c>
      <c r="M29" s="23"/>
      <c r="N29" s="596" t="str">
        <f>IF(Gesellschaftsform="Verein",'Liberty - Tarif Verein'!H$26,'Liberty - Tarif'!H$26)</f>
        <v/>
      </c>
      <c r="O29" s="596" t="str">
        <f>'Preisrechner Alle Tarife'!AM13</f>
        <v/>
      </c>
      <c r="P29" s="23"/>
      <c r="Q29" s="773">
        <v>95</v>
      </c>
      <c r="R29" s="236">
        <f t="shared" si="6"/>
        <v>5</v>
      </c>
      <c r="S29" s="597"/>
      <c r="T29" s="597" t="s">
        <v>3114</v>
      </c>
      <c r="U29" s="227">
        <f>Deckungssumme2</f>
        <v>0</v>
      </c>
      <c r="V29" s="227">
        <f>Fragenkatalog!$BK$6</f>
        <v>0</v>
      </c>
      <c r="W29" s="227" t="str">
        <f>'Liberty - Tarif'!H$18</f>
        <v/>
      </c>
      <c r="X29" s="23"/>
      <c r="Y29" s="711" t="str">
        <f t="shared" ca="1" si="19"/>
        <v/>
      </c>
      <c r="Z29" s="238" t="str">
        <f t="shared" ca="1" si="7"/>
        <v/>
      </c>
      <c r="AA29" s="23"/>
      <c r="AB29" s="227" t="str">
        <f t="shared" ca="1" si="3"/>
        <v/>
      </c>
      <c r="AC29" s="239" t="str">
        <f ca="1">IF(OR(O29="",O29=0,AE29=OfferDeclined),"",IF(AE29=OfferReady,'Preisrechner Alle Tarife'!AM28,O29))</f>
        <v/>
      </c>
      <c r="AD29" s="227">
        <f t="shared" ca="1" si="20"/>
        <v>0</v>
      </c>
      <c r="AE29" s="232" t="str">
        <f t="shared" ca="1" si="5"/>
        <v>OFFER_DECLINED</v>
      </c>
      <c r="AF29" s="23"/>
    </row>
    <row r="30" spans="1:32" ht="15.75" customHeight="1">
      <c r="A30" s="599" t="s">
        <v>3747</v>
      </c>
      <c r="B30" s="599"/>
      <c r="C30" s="712"/>
      <c r="D30" s="774" t="str">
        <f ca="1">StatusLiberty</f>
        <v>OFFER_READY_FOR_POLICY</v>
      </c>
      <c r="E30" s="595" t="str">
        <f>IF($W30&gt;50000000,OfferDeclined,IF(OR($W30&gt;0.5*$E$2,$W30&gt;10000000,AND(Gesellschaftsform="Verein",$W30&gt;1000000)),OfferReferral,OfferReady))</f>
        <v>OFFER_DECLINED</v>
      </c>
      <c r="F30" s="603" t="str">
        <f t="shared" si="16"/>
        <v>OFFER_REFERRAL</v>
      </c>
      <c r="G30" s="713" t="str">
        <f>IF(Sanktionsländer!$C$5,OfferReferral,OfferReady)</f>
        <v>OFFER_READY_FOR_POLICY</v>
      </c>
      <c r="H30" s="713" t="str">
        <f t="shared" si="17"/>
        <v>OFFER_DECLINED</v>
      </c>
      <c r="I30" s="713" t="str">
        <f t="shared" si="18"/>
        <v>OFFER_READY_FOR_POLICY</v>
      </c>
      <c r="J30" s="595" t="str">
        <f>IF(globalStateKO=liberty_deRiskManagerGlobalState,OfferDeclined,IF(globalStateReferral=liberty_deRiskManagerGlobalState,OfferReferral,IF(globalStateGreen=liberty_deRiskManagerGlobalState,OfferReady,OfferReady)))</f>
        <v>OFFER_READY_FOR_POLICY</v>
      </c>
      <c r="K30" s="599"/>
      <c r="L30" s="713" t="str">
        <f t="shared" ca="1" si="21"/>
        <v>OFFER_DECLINED</v>
      </c>
      <c r="M30" s="599"/>
      <c r="N30" s="714" t="str">
        <f>IF(Gesellschaftsform="Verein",'Liberty - Tarif Verein'!I$26,'Liberty - Tarif'!I$26)</f>
        <v/>
      </c>
      <c r="O30" s="714" t="str">
        <f>'Preisrechner Alle Tarife'!AN13</f>
        <v/>
      </c>
      <c r="P30" s="599"/>
      <c r="Q30" s="773">
        <v>95</v>
      </c>
      <c r="R30" s="794">
        <f t="shared" si="6"/>
        <v>5</v>
      </c>
      <c r="S30" s="715"/>
      <c r="T30" s="715" t="s">
        <v>3115</v>
      </c>
      <c r="U30" s="716">
        <f>Deckungssumme3</f>
        <v>0</v>
      </c>
      <c r="V30" s="716">
        <f>Fragenkatalog!$BK$6</f>
        <v>0</v>
      </c>
      <c r="W30" s="716" t="str">
        <f>'Liberty - Tarif'!I$18</f>
        <v/>
      </c>
      <c r="X30" s="599"/>
      <c r="Y30" s="717" t="str">
        <f t="shared" ca="1" si="19"/>
        <v/>
      </c>
      <c r="Z30" s="744" t="str">
        <f t="shared" ca="1" si="7"/>
        <v/>
      </c>
      <c r="AA30" s="599"/>
      <c r="AB30" s="716" t="str">
        <f t="shared" ca="1" si="3"/>
        <v/>
      </c>
      <c r="AC30" s="718" t="str">
        <f ca="1">IF(OR(O30="",O30=0,AE30=OfferDeclined),"",IF(AE30=OfferReady,'Preisrechner Alle Tarife'!AN28,O30))</f>
        <v/>
      </c>
      <c r="AD30" s="716">
        <f t="shared" ca="1" si="20"/>
        <v>0</v>
      </c>
      <c r="AE30" s="712" t="str">
        <f t="shared" ca="1" si="5"/>
        <v>OFFER_DECLINED</v>
      </c>
      <c r="AF30" s="599"/>
    </row>
    <row r="31" spans="1:32" ht="15.75" customHeight="1">
      <c r="A31" s="23" t="s">
        <v>3797</v>
      </c>
      <c r="B31" s="23"/>
      <c r="C31" s="232"/>
      <c r="D31" s="595" t="str">
        <f ca="1">StatusErgo</f>
        <v>OFFER_DECLINED</v>
      </c>
      <c r="E31" s="595" t="str">
        <f>IF($W31&gt;5000000,OfferReferral,OfferReady)</f>
        <v>OFFER_REFERRAL</v>
      </c>
      <c r="F31" s="595" t="str">
        <f>OfferReady</f>
        <v>OFFER_READY_FOR_POLICY</v>
      </c>
      <c r="G31" s="595" t="str">
        <f>IF(Sanktionsländer!$C$5,OfferReferral,OfferReady)</f>
        <v>OFFER_READY_FOR_POLICY</v>
      </c>
      <c r="H31" s="595" t="str">
        <f t="shared" ref="H31:H33" si="22">IF(OR(O31="",O31=0),OfferDeclined,OfferReady)</f>
        <v>OFFER_DECLINED</v>
      </c>
      <c r="I31" s="595" t="str">
        <f t="shared" si="18"/>
        <v>OFFER_READY_FOR_POLICY</v>
      </c>
      <c r="J31" s="595" t="str">
        <f>IF(globalStateKO=ergoRiskManagerGlobalState,OfferDeclined,IF(globalStateReferral=ergoRiskManagerGlobalState,OfferReferral,IF(globalStateGreen=ergoRiskManagerGlobalState,OfferReady,OfferReady)))</f>
        <v>OFFER_READY_FOR_POLICY</v>
      </c>
      <c r="K31" s="23"/>
      <c r="L31" s="595" t="str">
        <f t="shared" ca="1" si="21"/>
        <v>OFFER_DECLINED</v>
      </c>
      <c r="M31" s="23"/>
      <c r="N31" s="596" t="str">
        <f>'ERGO - Tarif'!F21</f>
        <v/>
      </c>
      <c r="O31" s="596" t="str">
        <f>'Preisrechner Alle Tarife'!AL14</f>
        <v/>
      </c>
      <c r="P31" s="23"/>
      <c r="Q31" s="773">
        <v>50</v>
      </c>
      <c r="R31" s="236">
        <f>IF(Q31&lt;$D$41,0,
 IF(AND(Q31&gt;=$D$41,Q31&lt;$D$40),1,
  IF(AND(Q31&gt;=$D$40,Q31&lt;$D$39),2,
   IF(AND(Q31&gt;=$D$39,Q31&lt;$D$38),3,
    IF(AND(Q31&gt;=$D$38,Q31&lt;$D$37),4,
     IF(Q31&gt;=$D$37,5))))))</f>
        <v>3</v>
      </c>
      <c r="S31" s="597"/>
      <c r="T31" s="597" t="s">
        <v>3113</v>
      </c>
      <c r="U31" s="227">
        <f>Deckungssumme1</f>
        <v>0</v>
      </c>
      <c r="V31" s="227">
        <f>Fragenkatalog!$BQ$6</f>
        <v>0</v>
      </c>
      <c r="W31" s="227" t="str">
        <f>'ERGO - Tarif'!F17</f>
        <v/>
      </c>
      <c r="X31" s="23"/>
      <c r="Y31" s="711" t="str">
        <f t="shared" ref="Y31:Y33" ca="1" si="23">IF(L31=OfferDeclined,"",R31)</f>
        <v/>
      </c>
      <c r="Z31" s="238" t="str">
        <f t="shared" ref="Z31:Z33" ca="1" si="24">IF(Y31=5,"XXXXX",
 IF(Y31=4,"XXXX",
  IF(Y31=3,"XXX",
   IF(Y31=2,"XX",
    IF(Y31=1,"X","")))))</f>
        <v/>
      </c>
      <c r="AA31" s="23"/>
      <c r="AB31" s="227" t="str">
        <f t="shared" ref="AB31:AB33" ca="1" si="25">Y31</f>
        <v/>
      </c>
      <c r="AC31" s="239" t="str">
        <f ca="1">IF(OR(O31="",O31=0,AE31=OfferDeclined),"",IF(AE31=OfferReady,'Preisrechner Alle Tarife'!AL29,O31))</f>
        <v/>
      </c>
      <c r="AD31" s="227">
        <f t="shared" ref="AD31:AD33" ca="1" si="26">IF(AE31=OfferDeclined,U31,W31)</f>
        <v>0</v>
      </c>
      <c r="AE31" s="232" t="str">
        <f t="shared" ref="AE31:AE33" ca="1" si="27">L31</f>
        <v>OFFER_DECLINED</v>
      </c>
      <c r="AF31" s="600"/>
    </row>
    <row r="32" spans="1:32" ht="15.75" customHeight="1">
      <c r="A32" s="23" t="s">
        <v>3797</v>
      </c>
      <c r="B32" s="23"/>
      <c r="C32" s="232"/>
      <c r="D32" s="595" t="str">
        <f ca="1">StatusErgo</f>
        <v>OFFER_DECLINED</v>
      </c>
      <c r="E32" s="595" t="str">
        <f>IF($W32&gt;5000000,OfferReferral,OfferReady)</f>
        <v>OFFER_REFERRAL</v>
      </c>
      <c r="F32" s="595" t="str">
        <f>OfferReady</f>
        <v>OFFER_READY_FOR_POLICY</v>
      </c>
      <c r="G32" s="595" t="str">
        <f>IF(Sanktionsländer!$C$5,OfferReferral,OfferReady)</f>
        <v>OFFER_READY_FOR_POLICY</v>
      </c>
      <c r="H32" s="595" t="str">
        <f t="shared" si="22"/>
        <v>OFFER_DECLINED</v>
      </c>
      <c r="I32" s="595" t="str">
        <f t="shared" si="18"/>
        <v>OFFER_READY_FOR_POLICY</v>
      </c>
      <c r="J32" s="595" t="str">
        <f>IF(globalStateKO=ergoRiskManagerGlobalState,OfferDeclined,IF(globalStateReferral=ergoRiskManagerGlobalState,OfferReferral,IF(globalStateGreen=ergoRiskManagerGlobalState,OfferReady,OfferReady)))</f>
        <v>OFFER_READY_FOR_POLICY</v>
      </c>
      <c r="K32" s="23"/>
      <c r="L32" s="595" t="str">
        <f t="shared" ca="1" si="21"/>
        <v>OFFER_DECLINED</v>
      </c>
      <c r="M32" s="23"/>
      <c r="N32" s="596" t="str">
        <f>'ERGO - Tarif'!G21</f>
        <v/>
      </c>
      <c r="O32" s="596" t="str">
        <f>'Preisrechner Alle Tarife'!AM14</f>
        <v/>
      </c>
      <c r="P32" s="23"/>
      <c r="Q32" s="773">
        <v>50</v>
      </c>
      <c r="R32" s="236">
        <f>IF(Q32&lt;$D$41,0,
 IF(AND(Q32&gt;=$D$41,Q32&lt;$D$40),1,
  IF(AND(Q32&gt;=$D$40,Q32&lt;$D$39),2,
   IF(AND(Q32&gt;=$D$39,Q32&lt;$D$38),3,
    IF(AND(Q32&gt;=$D$38,Q32&lt;$D$37),4,
     IF(Q32&gt;=$D$37,5))))))</f>
        <v>3</v>
      </c>
      <c r="S32" s="597"/>
      <c r="T32" s="597" t="s">
        <v>3114</v>
      </c>
      <c r="U32" s="227">
        <f>Deckungssumme2</f>
        <v>0</v>
      </c>
      <c r="V32" s="227">
        <f>Fragenkatalog!$BQ$6</f>
        <v>0</v>
      </c>
      <c r="W32" s="227" t="str">
        <f>'ERGO - Tarif'!G17</f>
        <v/>
      </c>
      <c r="X32" s="23"/>
      <c r="Y32" s="711" t="str">
        <f t="shared" ca="1" si="23"/>
        <v/>
      </c>
      <c r="Z32" s="238" t="str">
        <f t="shared" ca="1" si="24"/>
        <v/>
      </c>
      <c r="AA32" s="23"/>
      <c r="AB32" s="227" t="str">
        <f t="shared" ca="1" si="25"/>
        <v/>
      </c>
      <c r="AC32" s="239" t="str">
        <f ca="1">IF(OR(O32="",O32=0,AE32=OfferDeclined),"",IF(AE32=OfferReady,'Preisrechner Alle Tarife'!AM29,O32))</f>
        <v/>
      </c>
      <c r="AD32" s="227">
        <f t="shared" ca="1" si="26"/>
        <v>0</v>
      </c>
      <c r="AE32" s="232" t="str">
        <f t="shared" ca="1" si="27"/>
        <v>OFFER_DECLINED</v>
      </c>
      <c r="AF32" s="600"/>
    </row>
    <row r="33" spans="1:32" ht="15.75" customHeight="1">
      <c r="A33" s="23" t="s">
        <v>3797</v>
      </c>
      <c r="B33" s="599"/>
      <c r="C33" s="712"/>
      <c r="D33" s="595" t="str">
        <f ca="1">StatusErgo</f>
        <v>OFFER_DECLINED</v>
      </c>
      <c r="E33" s="595" t="str">
        <f>IF($W33&gt;5000000,OfferReferral,OfferReady)</f>
        <v>OFFER_REFERRAL</v>
      </c>
      <c r="F33" s="595" t="str">
        <f>OfferReady</f>
        <v>OFFER_READY_FOR_POLICY</v>
      </c>
      <c r="G33" s="713" t="str">
        <f>IF(Sanktionsländer!$C$5,OfferReferral,OfferReady)</f>
        <v>OFFER_READY_FOR_POLICY</v>
      </c>
      <c r="H33" s="713" t="str">
        <f t="shared" si="22"/>
        <v>OFFER_DECLINED</v>
      </c>
      <c r="I33" s="713" t="str">
        <f t="shared" si="18"/>
        <v>OFFER_READY_FOR_POLICY</v>
      </c>
      <c r="J33" s="595" t="str">
        <f>IF(globalStateKO=ergoRiskManagerGlobalState,OfferDeclined,IF(globalStateReferral=ergoRiskManagerGlobalState,OfferReferral,IF(globalStateGreen=ergoRiskManagerGlobalState,OfferReady,OfferReady)))</f>
        <v>OFFER_READY_FOR_POLICY</v>
      </c>
      <c r="K33" s="599"/>
      <c r="L33" s="713" t="str">
        <f t="shared" ca="1" si="21"/>
        <v>OFFER_DECLINED</v>
      </c>
      <c r="M33" s="599"/>
      <c r="N33" s="714" t="str">
        <f>'ERGO - Tarif'!H21</f>
        <v/>
      </c>
      <c r="O33" s="714" t="str">
        <f>'Preisrechner Alle Tarife'!AN14</f>
        <v/>
      </c>
      <c r="P33" s="599"/>
      <c r="Q33" s="774">
        <v>50</v>
      </c>
      <c r="R33" s="794">
        <f>IF(Q33&lt;$D$41,0,
 IF(AND(Q33&gt;=$D$41,Q33&lt;$D$40),1,
  IF(AND(Q33&gt;=$D$40,Q33&lt;$D$39),2,
   IF(AND(Q33&gt;=$D$39,Q33&lt;$D$38),3,
    IF(AND(Q33&gt;=$D$38,Q33&lt;$D$37),4,
     IF(Q33&gt;=$D$37,5))))))</f>
        <v>3</v>
      </c>
      <c r="S33" s="715"/>
      <c r="T33" s="715" t="s">
        <v>3115</v>
      </c>
      <c r="U33" s="716">
        <f>Deckungssumme3</f>
        <v>0</v>
      </c>
      <c r="V33" s="227">
        <f>Fragenkatalog!$BQ$6</f>
        <v>0</v>
      </c>
      <c r="W33" s="227" t="str">
        <f>'ERGO - Tarif'!H17</f>
        <v/>
      </c>
      <c r="X33" s="599"/>
      <c r="Y33" s="717" t="str">
        <f t="shared" ca="1" si="23"/>
        <v/>
      </c>
      <c r="Z33" s="744" t="str">
        <f t="shared" ca="1" si="24"/>
        <v/>
      </c>
      <c r="AA33" s="599"/>
      <c r="AB33" s="716" t="str">
        <f t="shared" ca="1" si="25"/>
        <v/>
      </c>
      <c r="AC33" s="718" t="str">
        <f ca="1">IF(OR(O33="",O33=0,AE33=OfferDeclined),"",IF(AE33=OfferReady,'Preisrechner Alle Tarife'!AN29,O33))</f>
        <v/>
      </c>
      <c r="AD33" s="716">
        <f t="shared" ca="1" si="26"/>
        <v>0</v>
      </c>
      <c r="AE33" s="712" t="str">
        <f t="shared" ca="1" si="27"/>
        <v>OFFER_DECLINED</v>
      </c>
      <c r="AF33" s="600"/>
    </row>
    <row r="34" spans="1:32"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27"/>
      <c r="AE34" s="23"/>
      <c r="AF34" s="23"/>
    </row>
    <row r="35" spans="1:32" ht="15.75" customHeight="1">
      <c r="A35" s="23"/>
      <c r="B35" s="257"/>
      <c r="C35" s="790" t="s">
        <v>3146</v>
      </c>
      <c r="D35" s="790"/>
      <c r="E35" s="791"/>
      <c r="F35" s="23"/>
      <c r="G35" s="231"/>
      <c r="H35" s="23"/>
      <c r="I35" s="258"/>
      <c r="J35" s="258"/>
      <c r="K35" s="258"/>
      <c r="L35" s="257"/>
      <c r="M35" s="257"/>
      <c r="N35" s="257"/>
      <c r="O35" s="257"/>
      <c r="P35" s="257"/>
      <c r="Q35" s="23"/>
      <c r="R35" s="23"/>
      <c r="S35" s="23"/>
      <c r="T35" s="23"/>
      <c r="U35" s="23"/>
      <c r="V35" s="23"/>
      <c r="W35" s="23"/>
      <c r="X35" s="23"/>
      <c r="Y35" s="23"/>
      <c r="Z35" s="23"/>
      <c r="AA35" s="23"/>
      <c r="AB35" s="23"/>
      <c r="AC35" s="23"/>
      <c r="AD35" s="23"/>
      <c r="AE35" s="23"/>
      <c r="AF35" s="23"/>
    </row>
    <row r="36" spans="1:32" ht="15.75" customHeight="1">
      <c r="A36" s="23"/>
      <c r="B36" s="23"/>
      <c r="C36" s="23" t="s">
        <v>3771</v>
      </c>
      <c r="D36" s="23" t="s">
        <v>3772</v>
      </c>
      <c r="E36" s="23"/>
      <c r="F36" s="23"/>
      <c r="G36" s="231"/>
      <c r="H36" s="23"/>
      <c r="I36" s="258"/>
      <c r="J36" s="258"/>
      <c r="K36" s="258"/>
      <c r="L36" s="257"/>
      <c r="M36" s="257"/>
      <c r="N36" s="257"/>
      <c r="O36" s="257"/>
      <c r="P36" s="257"/>
      <c r="Q36" s="23"/>
      <c r="R36" s="23"/>
      <c r="S36" s="23"/>
      <c r="T36" s="23"/>
      <c r="U36" s="23"/>
      <c r="V36" s="23"/>
      <c r="W36" s="23"/>
      <c r="X36" s="259"/>
      <c r="Y36" s="259"/>
      <c r="Z36" s="23"/>
      <c r="AA36" s="23"/>
      <c r="AB36" s="23"/>
      <c r="AC36" s="23"/>
      <c r="AD36" s="23"/>
      <c r="AE36" s="23"/>
      <c r="AF36" s="23"/>
    </row>
    <row r="37" spans="1:32" ht="15.75" customHeight="1">
      <c r="A37" s="23"/>
      <c r="B37" s="23"/>
      <c r="C37" s="793" t="s">
        <v>3773</v>
      </c>
      <c r="D37" s="793">
        <v>80</v>
      </c>
      <c r="E37" s="23"/>
      <c r="F37" s="23"/>
      <c r="G37" s="231"/>
      <c r="H37" s="23"/>
      <c r="I37" s="258"/>
      <c r="J37" s="258"/>
      <c r="K37" s="258"/>
      <c r="L37" s="257"/>
      <c r="M37" s="257"/>
      <c r="N37" s="257"/>
      <c r="O37" s="257"/>
      <c r="P37" s="257"/>
      <c r="Q37" s="23"/>
      <c r="R37" s="23"/>
      <c r="S37" s="23"/>
      <c r="T37" s="23"/>
      <c r="U37" s="23"/>
      <c r="V37" s="23"/>
      <c r="W37" s="23"/>
      <c r="X37" s="259"/>
      <c r="Y37" s="259"/>
      <c r="Z37" s="23"/>
      <c r="AA37" s="23"/>
      <c r="AB37" s="23"/>
      <c r="AC37" s="23"/>
      <c r="AD37" s="23"/>
      <c r="AE37" s="23"/>
      <c r="AF37" s="23"/>
    </row>
    <row r="38" spans="1:32" ht="14.25" customHeight="1">
      <c r="A38" s="23"/>
      <c r="B38" s="23"/>
      <c r="C38" s="260" t="s">
        <v>3774</v>
      </c>
      <c r="D38" s="260">
        <v>60</v>
      </c>
      <c r="E38" s="792"/>
      <c r="F38" s="23"/>
      <c r="G38" s="231"/>
      <c r="H38" s="23"/>
      <c r="I38" s="258"/>
      <c r="J38" s="258"/>
      <c r="K38" s="258"/>
      <c r="L38" s="257"/>
      <c r="M38" s="257"/>
      <c r="N38" s="257"/>
      <c r="O38" s="257"/>
      <c r="P38" s="257"/>
      <c r="Q38" s="23"/>
      <c r="R38" s="23"/>
      <c r="S38" s="23"/>
      <c r="T38" s="23"/>
      <c r="U38" s="23"/>
      <c r="V38" s="23"/>
      <c r="W38" s="23"/>
      <c r="X38" s="23"/>
      <c r="Y38" s="23"/>
      <c r="Z38" s="23"/>
      <c r="AA38" s="23"/>
      <c r="AB38" s="23"/>
      <c r="AC38" s="23"/>
      <c r="AD38" s="23"/>
      <c r="AE38" s="23"/>
      <c r="AF38" s="23"/>
    </row>
    <row r="39" spans="1:32" ht="14.25" customHeight="1">
      <c r="A39" s="23"/>
      <c r="B39" s="23"/>
      <c r="C39" s="260" t="s">
        <v>3147</v>
      </c>
      <c r="D39" s="260">
        <v>40</v>
      </c>
      <c r="E39" s="792"/>
      <c r="F39" s="23"/>
      <c r="G39" s="231"/>
      <c r="H39" s="23"/>
      <c r="I39" s="258"/>
      <c r="J39" s="258"/>
      <c r="K39" s="258"/>
      <c r="L39" s="257"/>
      <c r="M39" s="257"/>
      <c r="N39" s="257"/>
      <c r="O39" s="257"/>
      <c r="P39" s="257"/>
      <c r="Q39" s="23"/>
      <c r="R39" s="23"/>
      <c r="S39" s="23"/>
      <c r="T39" s="23"/>
      <c r="U39" s="23"/>
      <c r="V39" s="23"/>
      <c r="W39" s="23"/>
      <c r="X39" s="23"/>
      <c r="Y39" s="23"/>
      <c r="Z39" s="23"/>
      <c r="AA39" s="23"/>
      <c r="AB39" s="23"/>
      <c r="AC39" s="23"/>
      <c r="AD39" s="23"/>
      <c r="AE39" s="23"/>
      <c r="AF39" s="23"/>
    </row>
    <row r="40" spans="1:32" ht="14.25" customHeight="1">
      <c r="A40" s="23"/>
      <c r="B40" s="23"/>
      <c r="C40" s="260" t="s">
        <v>3148</v>
      </c>
      <c r="D40" s="260">
        <v>20</v>
      </c>
      <c r="E40" s="792"/>
      <c r="F40" s="23"/>
      <c r="G40" s="231"/>
      <c r="H40" s="23"/>
      <c r="I40" s="258"/>
      <c r="J40" s="258"/>
      <c r="K40" s="258"/>
      <c r="L40" s="257"/>
      <c r="M40" s="257"/>
      <c r="N40" s="257"/>
      <c r="O40" s="257"/>
      <c r="P40" s="257"/>
      <c r="Q40" s="23"/>
      <c r="R40" s="23"/>
      <c r="S40" s="23"/>
      <c r="T40" s="23"/>
      <c r="U40" s="23"/>
      <c r="V40" s="23"/>
      <c r="W40" s="23"/>
      <c r="X40" s="23"/>
      <c r="Y40" s="23"/>
      <c r="Z40" s="23"/>
      <c r="AA40" s="23"/>
      <c r="AB40" s="23"/>
      <c r="AC40" s="23"/>
      <c r="AD40" s="23"/>
      <c r="AE40" s="23"/>
      <c r="AF40" s="23"/>
    </row>
    <row r="41" spans="1:32" ht="14.25" customHeight="1">
      <c r="A41" s="23"/>
      <c r="B41" s="23"/>
      <c r="C41" s="260" t="s">
        <v>3149</v>
      </c>
      <c r="D41" s="260">
        <v>0</v>
      </c>
      <c r="E41" s="792"/>
      <c r="F41" s="23"/>
      <c r="G41" s="23"/>
      <c r="H41" s="23"/>
      <c r="I41" s="23"/>
      <c r="J41" s="257"/>
      <c r="K41" s="257"/>
      <c r="L41" s="257"/>
      <c r="M41" s="257"/>
      <c r="N41" s="257"/>
      <c r="O41" s="257"/>
      <c r="P41" s="257"/>
      <c r="Q41" s="23"/>
      <c r="R41" s="23"/>
      <c r="S41" s="23"/>
      <c r="T41" s="23"/>
      <c r="U41" s="23"/>
      <c r="V41" s="23"/>
      <c r="W41" s="23"/>
      <c r="X41" s="23"/>
      <c r="Y41" s="23"/>
      <c r="Z41" s="23"/>
      <c r="AA41" s="23"/>
      <c r="AB41" s="23"/>
      <c r="AC41" s="23"/>
      <c r="AD41" s="23"/>
      <c r="AE41" s="23"/>
      <c r="AF41" s="23"/>
    </row>
    <row r="42" spans="1:32" ht="14.25" customHeight="1">
      <c r="A42" s="23"/>
      <c r="B42" s="23"/>
      <c r="C42" s="260" t="s">
        <v>3150</v>
      </c>
      <c r="D42" s="260"/>
      <c r="E42" s="792"/>
      <c r="F42" s="23"/>
      <c r="G42" s="23"/>
      <c r="H42" s="23"/>
      <c r="I42" s="23"/>
      <c r="J42" s="257"/>
      <c r="K42" s="257"/>
      <c r="L42" s="257"/>
      <c r="M42" s="257"/>
      <c r="N42" s="257"/>
      <c r="O42" s="257"/>
      <c r="P42" s="257"/>
      <c r="Q42" s="23"/>
      <c r="R42" s="23"/>
      <c r="S42" s="23"/>
      <c r="T42" s="23"/>
      <c r="U42" s="23"/>
      <c r="V42" s="23"/>
      <c r="W42" s="23"/>
      <c r="X42" s="23"/>
      <c r="Y42" s="23"/>
      <c r="Z42" s="23"/>
      <c r="AA42" s="23"/>
      <c r="AB42" s="23"/>
      <c r="AC42" s="23"/>
      <c r="AD42" s="23"/>
      <c r="AE42" s="23"/>
      <c r="AF42" s="23"/>
    </row>
    <row r="43" spans="1:32" ht="14.2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row>
    <row r="44" spans="1:32" ht="57.6">
      <c r="A44" s="261" t="s">
        <v>2419</v>
      </c>
      <c r="B44" s="261"/>
      <c r="C44" s="261" t="s">
        <v>3151</v>
      </c>
      <c r="D44" s="261"/>
      <c r="E44" s="261" t="s">
        <v>3128</v>
      </c>
      <c r="F44" s="261" t="s">
        <v>3152</v>
      </c>
      <c r="G44" s="261" t="s">
        <v>3153</v>
      </c>
      <c r="H44" s="261" t="s">
        <v>3154</v>
      </c>
      <c r="I44" s="261" t="s">
        <v>3155</v>
      </c>
      <c r="J44" s="261" t="s">
        <v>3156</v>
      </c>
      <c r="K44" s="23"/>
      <c r="L44" s="23"/>
      <c r="M44" s="23"/>
      <c r="N44" s="23"/>
      <c r="O44" s="23"/>
      <c r="P44" s="23"/>
      <c r="Q44" s="23"/>
      <c r="R44" s="23"/>
      <c r="S44" s="23"/>
      <c r="T44" s="23"/>
      <c r="U44" s="23"/>
      <c r="V44" s="23"/>
      <c r="W44" s="23"/>
      <c r="X44" s="23"/>
      <c r="Y44" s="23"/>
      <c r="Z44" s="23"/>
      <c r="AA44" s="23"/>
      <c r="AB44" s="23"/>
      <c r="AC44" s="23"/>
      <c r="AD44" s="23"/>
      <c r="AE44" s="23"/>
      <c r="AF44" s="23"/>
    </row>
    <row r="45" spans="1:32" ht="14.2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row>
    <row r="46" spans="1:32" ht="14.2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row>
    <row r="47" spans="1:32" ht="14.2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row>
    <row r="48" spans="1:32" ht="14.2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row>
    <row r="49" spans="1:32" ht="14.2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row>
    <row r="50" spans="1:32" ht="14.2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row>
    <row r="51" spans="1:32" ht="14.2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row>
    <row r="52" spans="1:32" ht="14.2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row>
    <row r="53" spans="1:32" ht="14.2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row>
    <row r="54" spans="1:32" ht="14.2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row>
    <row r="55" spans="1:32" ht="14.2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row>
    <row r="56" spans="1:32" ht="14.2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row>
    <row r="57" spans="1:32" ht="14.2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row>
    <row r="58" spans="1:32" ht="14.2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row>
    <row r="59" spans="1:32" ht="14.2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row>
    <row r="60" spans="1:32" ht="14.2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row>
    <row r="61" spans="1:32" ht="14.2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row>
    <row r="62" spans="1:32" ht="14.2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row>
    <row r="63" spans="1:32" ht="14.2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row>
    <row r="64" spans="1:32" ht="14.2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row>
    <row r="65" spans="1:32" ht="14.2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row>
    <row r="66" spans="1:32" ht="14.2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row>
    <row r="67" spans="1:32" ht="14.2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row>
    <row r="68" spans="1:32" ht="14.2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row>
    <row r="69" spans="1:32" ht="14.2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row>
    <row r="70" spans="1:32" ht="14.2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row>
    <row r="71" spans="1:32" ht="14.2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row>
    <row r="72" spans="1:32" ht="14.2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row>
    <row r="73" spans="1:32" ht="14.2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row>
    <row r="74" spans="1:32" ht="14.2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row>
    <row r="75" spans="1:32" ht="14.2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row>
    <row r="76" spans="1:32" ht="14.2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row>
    <row r="77" spans="1:32" ht="14.2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row>
    <row r="78" spans="1:32" ht="14.2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row>
    <row r="79" spans="1:32" ht="14.2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row>
    <row r="80" spans="1:32" ht="14.2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row>
    <row r="81" spans="1:32" ht="14.2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row>
    <row r="82" spans="1:32" ht="14.2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row>
    <row r="83" spans="1:32" ht="14.2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row>
    <row r="84" spans="1:32" ht="14.2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row>
    <row r="85" spans="1:32" ht="14.2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row>
    <row r="86" spans="1:32" ht="14.2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row>
    <row r="87" spans="1:32" ht="14.2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row>
    <row r="88" spans="1:32" ht="14.2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row>
    <row r="89" spans="1:32" ht="14.2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row>
    <row r="90" spans="1:32" ht="14.2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row>
    <row r="91" spans="1:32" ht="14.2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row>
    <row r="92" spans="1:32" ht="14.2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row>
    <row r="93" spans="1:32" ht="14.2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row>
    <row r="94" spans="1:32" ht="14.2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row>
    <row r="95" spans="1:32" ht="14.2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row>
    <row r="96" spans="1:32" ht="14.2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row>
    <row r="97" spans="1:32" ht="14.2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row>
    <row r="98" spans="1:32" ht="14.2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row>
    <row r="99" spans="1:32" ht="14.2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row>
    <row r="100" spans="1:32" ht="14.2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row>
    <row r="101" spans="1:32" ht="14.2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row>
    <row r="102" spans="1:32" ht="14.2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row>
    <row r="103" spans="1:32" ht="14.2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row>
    <row r="104" spans="1:32" ht="14.2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row>
    <row r="105" spans="1:32" ht="14.2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row>
    <row r="106" spans="1:32" ht="14.2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row>
    <row r="107" spans="1:32" ht="14.2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row>
    <row r="108" spans="1:32" ht="14.2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row>
    <row r="109" spans="1:32" ht="14.2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row>
    <row r="110" spans="1:32" ht="14.2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row>
    <row r="111" spans="1:32" ht="14.2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row>
    <row r="112" spans="1:32" ht="14.2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row>
    <row r="113" spans="1:32" ht="14.2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row>
    <row r="114" spans="1:32" ht="14.2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row>
    <row r="115" spans="1:32" ht="14.2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row>
    <row r="116" spans="1:32" ht="14.2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row>
    <row r="117" spans="1:32" ht="14.2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row>
    <row r="118" spans="1:32" ht="14.2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row>
    <row r="119" spans="1:32" ht="14.2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row>
    <row r="120" spans="1:32" ht="14.2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row>
    <row r="121" spans="1:32" ht="14.2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row>
    <row r="122" spans="1:32" ht="14.2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row>
    <row r="123" spans="1:32" ht="14.2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row>
    <row r="124" spans="1:32" ht="14.2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row>
    <row r="125" spans="1:32" ht="14.2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row>
    <row r="126" spans="1:32" ht="14.2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row>
    <row r="127" spans="1:32" ht="14.2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row>
    <row r="128" spans="1:32" ht="14.2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row>
    <row r="129" spans="1:32" ht="14.2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row>
    <row r="130" spans="1:32" ht="14.2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row>
    <row r="131" spans="1:32" ht="14.2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row>
    <row r="132" spans="1:32" ht="14.2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row>
    <row r="133" spans="1:32" ht="14.2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row>
    <row r="134" spans="1:32" ht="14.2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row>
    <row r="135" spans="1:32" ht="14.2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row>
    <row r="136" spans="1:32" ht="14.2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row>
    <row r="137" spans="1:32" ht="14.2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row>
    <row r="138" spans="1:32" ht="14.2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row>
    <row r="139" spans="1:32" ht="14.2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row>
    <row r="140" spans="1:32" ht="14.2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row>
    <row r="141" spans="1:32" ht="14.2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row>
    <row r="142" spans="1:32" ht="14.2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row>
    <row r="143" spans="1:32" ht="14.2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row>
    <row r="144" spans="1:32" ht="14.2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row>
    <row r="145" spans="1:32" ht="14.2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row>
    <row r="146" spans="1:32" ht="14.2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row>
    <row r="147" spans="1:32" ht="14.2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row>
    <row r="148" spans="1:32" ht="14.2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row>
    <row r="149" spans="1:32" ht="14.2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row>
    <row r="150" spans="1:32" ht="14.2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row>
    <row r="151" spans="1:32" ht="14.2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row>
    <row r="152" spans="1:32" ht="14.2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row>
    <row r="153" spans="1:32" ht="14.2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row>
    <row r="154" spans="1:32" ht="14.2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row>
    <row r="155" spans="1:32" ht="14.2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row>
    <row r="156" spans="1:32" ht="14.2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row>
    <row r="157" spans="1:32" ht="14.2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row>
    <row r="158" spans="1:32" ht="14.2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row>
    <row r="159" spans="1:32" ht="14.2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row>
    <row r="160" spans="1:32" ht="14.2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row>
    <row r="161" spans="1:32" ht="14.2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row>
    <row r="162" spans="1:32" ht="14.2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row>
    <row r="163" spans="1:32" ht="14.2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row>
    <row r="164" spans="1:32" ht="14.2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row>
    <row r="165" spans="1:32" ht="14.2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row>
    <row r="166" spans="1:32" ht="14.2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row>
    <row r="167" spans="1:32" ht="14.2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row>
    <row r="168" spans="1:32" ht="14.2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row>
    <row r="169" spans="1:32" ht="14.2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row>
    <row r="170" spans="1:32" ht="14.2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row>
    <row r="171" spans="1:32" ht="14.2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row>
    <row r="172" spans="1:32" ht="14.2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row>
    <row r="173" spans="1:32" ht="14.2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row>
    <row r="174" spans="1:32" ht="14.2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row>
    <row r="175" spans="1:32" ht="14.2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row>
    <row r="176" spans="1:32" ht="14.2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row>
    <row r="177" spans="1:32" ht="14.2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row>
    <row r="178" spans="1:32" ht="14.2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row>
    <row r="179" spans="1:32" ht="14.2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row>
    <row r="180" spans="1:32" ht="14.2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row>
    <row r="181" spans="1:32" ht="14.2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row>
    <row r="182" spans="1:32" ht="14.2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row>
    <row r="183" spans="1:32" ht="14.2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row>
    <row r="184" spans="1:32" ht="14.2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row>
    <row r="185" spans="1:32" ht="14.2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row>
    <row r="186" spans="1:32" ht="14.2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row>
    <row r="187" spans="1:32" ht="14.2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row>
    <row r="188" spans="1:32" ht="14.2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row>
    <row r="189" spans="1:32" ht="14.2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row>
    <row r="190" spans="1:32" ht="14.2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row>
    <row r="191" spans="1:32" ht="14.2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row>
    <row r="192" spans="1:32" ht="14.2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row>
    <row r="193" spans="1:32" ht="14.2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row>
    <row r="194" spans="1:32" ht="14.2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row>
    <row r="195" spans="1:32" ht="14.2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row>
    <row r="196" spans="1:32" ht="14.2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row>
    <row r="197" spans="1:32" ht="14.2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row>
    <row r="198" spans="1:32" ht="14.2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row>
    <row r="199" spans="1:32" ht="14.2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row>
    <row r="200" spans="1:32" ht="14.2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row>
    <row r="201" spans="1:32" ht="14.2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row>
    <row r="202" spans="1:32" ht="14.2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row>
    <row r="203" spans="1:32" ht="14.2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row>
    <row r="204" spans="1:32" ht="14.2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row>
    <row r="205" spans="1:32" ht="14.2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row>
    <row r="206" spans="1:32" ht="14.2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row>
    <row r="207" spans="1:32" ht="14.2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row>
    <row r="208" spans="1:32" ht="14.2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row>
    <row r="209" spans="1:32" ht="14.2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row>
    <row r="210" spans="1:32" ht="14.2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row>
    <row r="211" spans="1:32" ht="14.2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row>
    <row r="212" spans="1:32" ht="14.2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row>
    <row r="213" spans="1:32" ht="14.2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row>
    <row r="214" spans="1:32" ht="14.2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row>
    <row r="215" spans="1:32" ht="14.2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row>
    <row r="216" spans="1:32" ht="14.2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row>
    <row r="217" spans="1:32" ht="14.2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row>
    <row r="218" spans="1:32" ht="14.2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row>
    <row r="219" spans="1:32" ht="14.2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row>
    <row r="220" spans="1:32" ht="14.2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row>
    <row r="221" spans="1:32" ht="14.2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row>
    <row r="222" spans="1:32" ht="14.2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row>
    <row r="223" spans="1:32" ht="14.2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row>
    <row r="224" spans="1:32" ht="14.2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row>
    <row r="225" spans="1:32" ht="14.2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row>
    <row r="226" spans="1:32" ht="14.2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row>
    <row r="227" spans="1:32" ht="14.2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row>
    <row r="228" spans="1:32" ht="14.2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row>
    <row r="229" spans="1:32" ht="14.2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row>
    <row r="230" spans="1:32" ht="14.2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row>
    <row r="231" spans="1:32" ht="14.2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row>
    <row r="232" spans="1:32" ht="14.2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row>
    <row r="233" spans="1:32" ht="14.2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row>
    <row r="234" spans="1:32" ht="14.2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row>
    <row r="235" spans="1:32" ht="14.2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row>
    <row r="236" spans="1:32" ht="14.2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row>
    <row r="237" spans="1:32" ht="14.2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row>
    <row r="238" spans="1:32" ht="14.2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row>
    <row r="239" spans="1:32" ht="14.2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row>
    <row r="240" spans="1:32" ht="14.2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row>
    <row r="241" spans="1:32" ht="14.2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row>
    <row r="242" spans="1:32" ht="14.2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row>
    <row r="243" spans="1:32" ht="15.75" customHeight="1"/>
    <row r="244" spans="1:32" ht="15.75" customHeight="1"/>
    <row r="245" spans="1:32" ht="15.75" customHeight="1"/>
    <row r="246" spans="1:32" ht="15.75" customHeight="1"/>
    <row r="247" spans="1:32" ht="15.75" customHeight="1"/>
    <row r="248" spans="1:32" ht="15.75" customHeight="1"/>
    <row r="249" spans="1:32" ht="15.75" customHeight="1"/>
    <row r="250" spans="1:32" ht="15.75" customHeight="1"/>
    <row r="251" spans="1:32" ht="15.75" customHeight="1"/>
    <row r="252" spans="1:32" ht="15.75" customHeight="1"/>
    <row r="253" spans="1:32" ht="15.75" customHeight="1"/>
    <row r="254" spans="1:32" ht="15.75" customHeight="1"/>
    <row r="255" spans="1:32" ht="15.75" customHeight="1"/>
    <row r="256" spans="1:32"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autoFilter ref="A3:AF24"/>
  <mergeCells count="7">
    <mergeCell ref="Y1:Z1"/>
    <mergeCell ref="AB1:AE1"/>
    <mergeCell ref="A1:A2"/>
    <mergeCell ref="C1:L1"/>
    <mergeCell ref="N1:O1"/>
    <mergeCell ref="Q1:R1"/>
    <mergeCell ref="T1:W1"/>
  </mergeCells>
  <conditionalFormatting sqref="A5:R33">
    <cfRule type="containsText" dxfId="87" priority="2" operator="containsText" text="OFFER_DECLINED">
      <formula>NOT(ISERROR(SEARCH(("OFFER_DECLINED"),(A5))))</formula>
    </cfRule>
    <cfRule type="containsText" dxfId="86" priority="3" operator="containsText" text="OFFER_READY_FOR_POLICY">
      <formula>NOT(ISERROR(SEARCH(("OFFER_READY_FOR_POLICY"),(A5))))</formula>
    </cfRule>
  </conditionalFormatting>
  <conditionalFormatting sqref="A1:AF4 A34:AF1010">
    <cfRule type="containsText" dxfId="85" priority="47" operator="containsText" text="OFFER_DECLINED">
      <formula>NOT(ISERROR(SEARCH(("OFFER_DECLINED"),(A1))))</formula>
    </cfRule>
    <cfRule type="containsText" dxfId="84" priority="48" operator="containsText" text="OFFER_READY_FOR_POLICY">
      <formula>NOT(ISERROR(SEARCH(("OFFER_READY_FOR_POLICY"),(A1))))</formula>
    </cfRule>
  </conditionalFormatting>
  <conditionalFormatting sqref="A1:AF1010">
    <cfRule type="containsText" dxfId="83" priority="1" operator="containsText" text="OFFER_REFERRAL">
      <formula>NOT(ISERROR(SEARCH(("OFFER_REFERRAL"),(A1))))</formula>
    </cfRule>
  </conditionalFormatting>
  <conditionalFormatting sqref="S5:AF33">
    <cfRule type="containsText" dxfId="82" priority="11" operator="containsText" text="OFFER_DECLINED">
      <formula>NOT(ISERROR(SEARCH(("OFFER_DECLINED"),(S5))))</formula>
    </cfRule>
    <cfRule type="containsText" dxfId="81" priority="12" operator="containsText" text="OFFER_READY_FOR_POLICY">
      <formula>NOT(ISERROR(SEARCH(("OFFER_READY_FOR_POLICY"),(S5))))</formula>
    </cfRule>
  </conditionalFormatting>
  <conditionalFormatting sqref="Y4:Z33">
    <cfRule type="cellIs" dxfId="80" priority="7" operator="equal">
      <formula>"X"</formula>
    </cfRule>
    <cfRule type="cellIs" dxfId="79" priority="8" operator="equal">
      <formula>"XXX"</formula>
    </cfRule>
    <cfRule type="cellIs" dxfId="78" priority="9" operator="equal">
      <formula>"XX"</formula>
    </cfRule>
  </conditionalFormatting>
  <pageMargins left="0.7" right="0.7" top="0.78740157499999996" bottom="0.78740157499999996"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AU1009"/>
  <sheetViews>
    <sheetView zoomScaleNormal="100" workbookViewId="0">
      <pane xSplit="3" ySplit="3" topLeftCell="D12" activePane="bottomRight" state="frozen"/>
      <selection activeCell="D28" sqref="D28"/>
      <selection pane="topRight" activeCell="D28" sqref="D28"/>
      <selection pane="bottomLeft" activeCell="D28" sqref="D28"/>
      <selection pane="bottomRight" activeCell="P19" sqref="P19"/>
    </sheetView>
  </sheetViews>
  <sheetFormatPr baseColWidth="10" defaultColWidth="14.33203125" defaultRowHeight="15" customHeight="1" outlineLevelCol="1"/>
  <cols>
    <col min="1" max="2" width="17.33203125" customWidth="1"/>
    <col min="3" max="3" width="2.6640625" customWidth="1"/>
    <col min="4" max="4" width="17.33203125" customWidth="1"/>
    <col min="5" max="5" width="16.33203125" customWidth="1"/>
    <col min="6" max="6" width="26.6640625" customWidth="1"/>
    <col min="7" max="7" width="2.5546875" customWidth="1"/>
    <col min="8" max="8" width="7.5546875" customWidth="1"/>
    <col min="9" max="9" width="12.6640625" customWidth="1"/>
    <col min="10" max="10" width="16.33203125" customWidth="1"/>
    <col min="11" max="11" width="2.6640625" customWidth="1"/>
    <col min="12" max="15" width="9.6640625" customWidth="1"/>
    <col min="16" max="16" width="11" customWidth="1"/>
    <col min="17" max="17" width="2.6640625" customWidth="1"/>
    <col min="18" max="18" width="4.6640625" customWidth="1" outlineLevel="1"/>
    <col min="19" max="19" width="18.33203125" customWidth="1"/>
    <col min="20" max="20" width="16.6640625" customWidth="1" outlineLevel="1"/>
    <col min="21" max="21" width="19.5546875" customWidth="1"/>
    <col min="22" max="22" width="19" customWidth="1" outlineLevel="1"/>
    <col min="23" max="23" width="16.33203125" customWidth="1" outlineLevel="1"/>
    <col min="24" max="24" width="11.5546875" customWidth="1"/>
    <col min="25" max="25" width="4.6640625" customWidth="1" outlineLevel="1"/>
    <col min="26" max="26" width="12.6640625" customWidth="1" outlineLevel="1"/>
    <col min="27" max="27" width="16.33203125" customWidth="1" outlineLevel="1"/>
    <col min="28" max="28" width="8.5546875" customWidth="1" outlineLevel="1"/>
    <col min="29" max="30" width="9.33203125" customWidth="1"/>
    <col min="31" max="38" width="9.6640625" customWidth="1"/>
    <col min="39" max="39" width="9.33203125" customWidth="1"/>
    <col min="40" max="40" width="14.33203125" customWidth="1"/>
    <col min="41" max="42" width="14.5546875" customWidth="1"/>
    <col min="43" max="43" width="15" customWidth="1"/>
    <col min="44" max="44" width="15.6640625" customWidth="1"/>
    <col min="45" max="45" width="24" customWidth="1"/>
    <col min="46" max="46" width="28.33203125" customWidth="1"/>
    <col min="47" max="47" width="7.5546875" customWidth="1"/>
  </cols>
  <sheetData>
    <row r="1" spans="1:47" ht="32.25" customHeight="1">
      <c r="A1" s="1069" t="s">
        <v>3157</v>
      </c>
      <c r="B1" s="1070"/>
      <c r="C1" s="23"/>
      <c r="D1" s="1066" t="s">
        <v>3158</v>
      </c>
      <c r="E1" s="1032"/>
      <c r="F1" s="1037"/>
      <c r="G1" s="23"/>
      <c r="H1" s="1066" t="s">
        <v>3159</v>
      </c>
      <c r="I1" s="1032"/>
      <c r="J1" s="1037"/>
      <c r="K1" s="231"/>
      <c r="L1" s="1066" t="s">
        <v>3128</v>
      </c>
      <c r="M1" s="1032"/>
      <c r="N1" s="1032"/>
      <c r="O1" s="1032"/>
      <c r="P1" s="1037"/>
      <c r="Q1" s="231"/>
      <c r="R1" s="1066" t="s">
        <v>3160</v>
      </c>
      <c r="S1" s="1032"/>
      <c r="T1" s="1032"/>
      <c r="U1" s="1032"/>
      <c r="V1" s="1032"/>
      <c r="W1" s="1032"/>
      <c r="X1" s="1037"/>
      <c r="Y1" s="231"/>
      <c r="Z1" s="1066" t="s">
        <v>3116</v>
      </c>
      <c r="AA1" s="1032"/>
      <c r="AB1" s="1037"/>
      <c r="AC1" s="231"/>
      <c r="AD1" s="1066" t="s">
        <v>3161</v>
      </c>
      <c r="AE1" s="1032"/>
      <c r="AF1" s="1032"/>
      <c r="AG1" s="1032"/>
      <c r="AH1" s="1032"/>
      <c r="AI1" s="1032"/>
      <c r="AJ1" s="1032"/>
      <c r="AK1" s="1032"/>
      <c r="AL1" s="1037"/>
      <c r="AM1" s="262"/>
      <c r="AN1" s="231"/>
      <c r="AO1" s="1066" t="s">
        <v>3112</v>
      </c>
      <c r="AP1" s="1032"/>
      <c r="AQ1" s="1037"/>
      <c r="AR1" s="231"/>
      <c r="AS1" s="262" t="s">
        <v>3162</v>
      </c>
      <c r="AT1" s="262" t="s">
        <v>3163</v>
      </c>
      <c r="AU1" s="231"/>
    </row>
    <row r="2" spans="1:47" ht="14.25" customHeight="1">
      <c r="A2" s="1071"/>
      <c r="B2" s="1072"/>
      <c r="C2" s="23"/>
      <c r="D2" s="23" t="s">
        <v>3164</v>
      </c>
      <c r="E2" s="227">
        <f>MAX(VereinsvermögenGI,AußenumsatzGI)</f>
        <v>0</v>
      </c>
      <c r="F2" s="227"/>
      <c r="G2" s="23"/>
      <c r="H2" s="23"/>
      <c r="I2" s="23"/>
      <c r="J2" s="263">
        <v>0</v>
      </c>
      <c r="K2" s="23"/>
      <c r="L2" s="23"/>
      <c r="M2" s="23"/>
      <c r="N2" s="23"/>
      <c r="O2" s="23"/>
      <c r="P2" s="263">
        <v>0.9</v>
      </c>
      <c r="Q2" s="23"/>
      <c r="R2" s="23"/>
      <c r="S2" s="23"/>
      <c r="T2" s="23"/>
      <c r="U2" s="23"/>
      <c r="V2" s="23"/>
      <c r="W2" s="23"/>
      <c r="X2" s="263">
        <v>0.1</v>
      </c>
      <c r="Y2" s="23"/>
      <c r="Z2" s="23"/>
      <c r="AA2" s="23"/>
      <c r="AB2" s="263">
        <v>0</v>
      </c>
      <c r="AC2" s="23"/>
      <c r="AD2" s="23"/>
      <c r="AE2" s="23"/>
      <c r="AF2" s="23"/>
      <c r="AG2" s="23"/>
      <c r="AH2" s="23"/>
      <c r="AI2" s="23"/>
      <c r="AJ2" s="23"/>
      <c r="AK2" s="23"/>
      <c r="AL2" s="23"/>
      <c r="AM2" s="23"/>
      <c r="AN2" s="23"/>
      <c r="AO2" s="23"/>
      <c r="AP2" s="23"/>
      <c r="AQ2" s="23"/>
      <c r="AR2" s="23"/>
      <c r="AS2" s="23"/>
      <c r="AT2" s="23"/>
      <c r="AU2" s="23"/>
    </row>
    <row r="3" spans="1:47" ht="69.75" customHeight="1">
      <c r="A3" s="264" t="s">
        <v>3165</v>
      </c>
      <c r="B3" s="264" t="s">
        <v>3166</v>
      </c>
      <c r="C3" s="265"/>
      <c r="D3" s="264" t="s">
        <v>3167</v>
      </c>
      <c r="E3" s="264" t="s">
        <v>3168</v>
      </c>
      <c r="F3" s="264" t="s">
        <v>3169</v>
      </c>
      <c r="G3" s="264"/>
      <c r="H3" s="264" t="s">
        <v>3170</v>
      </c>
      <c r="I3" s="264" t="s">
        <v>3171</v>
      </c>
      <c r="J3" s="264" t="s">
        <v>3172</v>
      </c>
      <c r="K3" s="264"/>
      <c r="L3" s="264" t="s">
        <v>3173</v>
      </c>
      <c r="M3" s="264" t="s">
        <v>3174</v>
      </c>
      <c r="N3" s="264" t="s">
        <v>3175</v>
      </c>
      <c r="O3" s="264" t="s">
        <v>3171</v>
      </c>
      <c r="P3" s="264" t="s">
        <v>3172</v>
      </c>
      <c r="Q3" s="264"/>
      <c r="R3" s="264"/>
      <c r="S3" s="264" t="s">
        <v>3142</v>
      </c>
      <c r="T3" s="264" t="s">
        <v>3176</v>
      </c>
      <c r="U3" s="264" t="s">
        <v>3144</v>
      </c>
      <c r="V3" s="264" t="s">
        <v>3177</v>
      </c>
      <c r="W3" s="264" t="s">
        <v>3171</v>
      </c>
      <c r="X3" s="264" t="s">
        <v>3172</v>
      </c>
      <c r="Y3" s="264"/>
      <c r="Z3" s="264"/>
      <c r="AA3" s="264" t="s">
        <v>3171</v>
      </c>
      <c r="AB3" s="264" t="s">
        <v>3172</v>
      </c>
      <c r="AC3" s="264"/>
      <c r="AD3" s="264" t="s">
        <v>3098</v>
      </c>
      <c r="AE3" s="264" t="s">
        <v>3171</v>
      </c>
      <c r="AF3" s="264" t="s">
        <v>3178</v>
      </c>
      <c r="AG3" s="264" t="s">
        <v>3179</v>
      </c>
      <c r="AH3" s="264" t="s">
        <v>3180</v>
      </c>
      <c r="AI3" s="264" t="s">
        <v>3181</v>
      </c>
      <c r="AJ3" s="264" t="s">
        <v>3182</v>
      </c>
      <c r="AK3" s="264" t="s">
        <v>3183</v>
      </c>
      <c r="AL3" s="264" t="s">
        <v>3184</v>
      </c>
      <c r="AM3" s="264" t="s">
        <v>3185</v>
      </c>
      <c r="AN3" s="264"/>
      <c r="AO3" s="264" t="s">
        <v>3113</v>
      </c>
      <c r="AP3" s="264" t="s">
        <v>3114</v>
      </c>
      <c r="AQ3" s="264" t="s">
        <v>3115</v>
      </c>
      <c r="AR3" s="265"/>
      <c r="AS3" s="264"/>
      <c r="AT3" s="264"/>
      <c r="AU3" s="265"/>
    </row>
    <row r="4" spans="1:47" ht="16.5" customHeight="1">
      <c r="A4" s="23" t="s">
        <v>2773</v>
      </c>
      <c r="B4" s="23" t="s">
        <v>2773</v>
      </c>
      <c r="C4" s="23"/>
      <c r="D4" s="23" t="s">
        <v>3186</v>
      </c>
      <c r="E4" s="266">
        <v>150000000</v>
      </c>
      <c r="F4" s="266">
        <v>150000000</v>
      </c>
      <c r="G4" s="23"/>
      <c r="H4" s="267" t="str">
        <f>IFERROR('Inhaltliche Bewertung - GI'!DZ14,"FEHLER")</f>
        <v>FEHLER</v>
      </c>
      <c r="I4" s="268" t="e">
        <f>RANK(H4,H$4:H$33,0)</f>
        <v>#VALUE!</v>
      </c>
      <c r="J4" s="269" t="e">
        <f>J$2*I4</f>
        <v>#VALUE!</v>
      </c>
      <c r="K4" s="23"/>
      <c r="L4" s="268" t="str">
        <f>IFERROR(ABS(S4-U4)/U4,"FEHLER")</f>
        <v>FEHLER</v>
      </c>
      <c r="M4" s="23"/>
      <c r="N4" s="23"/>
      <c r="O4" s="268" t="e">
        <f>RANK(L4,$L$4:$L$33,1)</f>
        <v>#VALUE!</v>
      </c>
      <c r="P4" s="268" t="e">
        <f t="shared" ref="P4:P27" si="0">O4*$P$2</f>
        <v>#VALUE!</v>
      </c>
      <c r="Q4" s="23"/>
      <c r="R4" s="23" t="s">
        <v>3113</v>
      </c>
      <c r="S4" s="270">
        <f>Deckungssumme1GI</f>
        <v>0</v>
      </c>
      <c r="T4" s="23"/>
      <c r="U4" s="270" t="str">
        <f>'WVAG - Preisrechner'!B12</f>
        <v/>
      </c>
      <c r="V4" s="270" t="str">
        <f t="shared" ref="V4:V9" si="1">AS4</f>
        <v/>
      </c>
      <c r="W4" s="271" t="str">
        <f t="shared" ref="W4:W33" si="2">IF(V4="","",RANK(V4,V$4:V$33,1))</f>
        <v/>
      </c>
      <c r="X4" s="268" t="str">
        <f t="shared" ref="X4:X27" si="3">IF(W4="","",X$2*W4)</f>
        <v/>
      </c>
      <c r="Y4" s="23"/>
      <c r="Z4" s="268">
        <v>100</v>
      </c>
      <c r="AA4" s="268">
        <f>RANK(Z4,Z$4:Z$33,0)</f>
        <v>1</v>
      </c>
      <c r="AB4" s="268">
        <f>AB$2*AA4</f>
        <v>0</v>
      </c>
      <c r="AC4" s="23"/>
      <c r="AD4" s="23" t="str">
        <f t="shared" ref="AD4:AD24" si="4">IF($E$2&gt;F4,"",IF(X4="","",SUM(J4+X4+AB4+P4)))</f>
        <v/>
      </c>
      <c r="AE4" s="268" t="str">
        <f t="shared" ref="AE4:AE33" si="5">IF(AD4="","",RANK(AD4,$AD$4:$AD$33,1))</f>
        <v/>
      </c>
      <c r="AF4" s="268" t="str">
        <f t="shared" ref="AF4:AF24" si="6">IF(AE4="","",IF(AT4="Kein Angebot möglich","",IF($E$2&gt;F4,"",IF(X4="","",SUM(J4+X4+AB4+P4)))))</f>
        <v/>
      </c>
      <c r="AG4" s="268" t="str">
        <f>IF($E$2&lt;E4,IF(AF4="","",RANK(AF4,$AF$4:$AF$33,1)),"")</f>
        <v/>
      </c>
      <c r="AH4" s="268" t="str">
        <f>AG4</f>
        <v/>
      </c>
      <c r="AI4" s="268" t="str">
        <f>IF(AH4="","",RANK(AH4,AH$4:AH$33,1))</f>
        <v/>
      </c>
      <c r="AJ4" s="23"/>
      <c r="AK4" s="23"/>
      <c r="AL4" s="23"/>
      <c r="AM4" s="23"/>
      <c r="AN4" s="23"/>
      <c r="AO4" s="272" t="str">
        <f>IF(AT4="Kein Angebot möglich","",IF(AI4=1,"XXX",""))</f>
        <v/>
      </c>
      <c r="AP4" s="238"/>
      <c r="AQ4" s="238"/>
      <c r="AR4" s="23"/>
      <c r="AS4" s="273" t="str">
        <f>'WVAG - Preisrechner'!B11</f>
        <v/>
      </c>
      <c r="AT4" s="23" t="str">
        <f t="shared" ref="AT4:AT27" si="7">IF(OR(AS4=0,AS4=""),"Kein Angebot möglich","")</f>
        <v>Kein Angebot möglich</v>
      </c>
      <c r="AU4" s="23">
        <f t="shared" ref="AU4:AU27" si="8">IF(AS4="",0,IF(AS4="Kein Angebot möglich",0,1))</f>
        <v>0</v>
      </c>
    </row>
    <row r="5" spans="1:47" ht="16.5" customHeight="1">
      <c r="A5" s="23" t="s">
        <v>2773</v>
      </c>
      <c r="B5" s="23" t="s">
        <v>2773</v>
      </c>
      <c r="C5" s="23"/>
      <c r="D5" s="23"/>
      <c r="E5" s="266">
        <v>150000000</v>
      </c>
      <c r="F5" s="266">
        <v>150000000</v>
      </c>
      <c r="G5" s="23"/>
      <c r="H5" s="23"/>
      <c r="I5" s="23"/>
      <c r="J5" s="269" t="e">
        <f>J4</f>
        <v>#VALUE!</v>
      </c>
      <c r="K5" s="23"/>
      <c r="L5" s="23"/>
      <c r="M5" s="268" t="str">
        <f>IFERROR(ABS(S5-U5)/U5,"FEHLER")</f>
        <v>FEHLER</v>
      </c>
      <c r="N5" s="23"/>
      <c r="O5" s="268" t="e">
        <f>RANK(M5,$M$4:$M$33,1)</f>
        <v>#VALUE!</v>
      </c>
      <c r="P5" s="268" t="e">
        <f t="shared" si="0"/>
        <v>#VALUE!</v>
      </c>
      <c r="Q5" s="23"/>
      <c r="R5" s="23" t="s">
        <v>3114</v>
      </c>
      <c r="S5" s="270">
        <f>Deckungssumme2GI</f>
        <v>0</v>
      </c>
      <c r="T5" s="23"/>
      <c r="U5" s="270" t="str">
        <f>'WVAG - Preisrechner'!C12</f>
        <v/>
      </c>
      <c r="V5" s="270" t="str">
        <f t="shared" si="1"/>
        <v/>
      </c>
      <c r="W5" s="271" t="str">
        <f t="shared" si="2"/>
        <v/>
      </c>
      <c r="X5" s="268" t="str">
        <f t="shared" si="3"/>
        <v/>
      </c>
      <c r="Y5" s="23"/>
      <c r="Z5" s="23"/>
      <c r="AA5" s="23"/>
      <c r="AB5" s="268">
        <f>AB4</f>
        <v>0</v>
      </c>
      <c r="AC5" s="23"/>
      <c r="AD5" s="23" t="str">
        <f t="shared" si="4"/>
        <v/>
      </c>
      <c r="AE5" s="268" t="str">
        <f t="shared" si="5"/>
        <v/>
      </c>
      <c r="AF5" s="268" t="str">
        <f t="shared" si="6"/>
        <v/>
      </c>
      <c r="AG5" s="268" t="str">
        <f>IF($E$2&lt;E5,IF(AF5="","",RANK(AF5,$AF$4:$AF$33,1)),"")</f>
        <v/>
      </c>
      <c r="AH5" s="23"/>
      <c r="AI5" s="23"/>
      <c r="AJ5" s="268" t="str">
        <f>AG5</f>
        <v/>
      </c>
      <c r="AK5" s="268" t="str">
        <f>IF(AJ5="","",RANK(AJ5,AJ$4:AJ$33,1))</f>
        <v/>
      </c>
      <c r="AL5" s="23"/>
      <c r="AM5" s="23"/>
      <c r="AN5" s="23"/>
      <c r="AO5" s="238"/>
      <c r="AP5" s="272" t="str">
        <f>IF(AT5="Kein Angebot möglich","",IF(AK5=1,"XXX",""))</f>
        <v/>
      </c>
      <c r="AQ5" s="238"/>
      <c r="AR5" s="23"/>
      <c r="AS5" s="273" t="str">
        <f>'WVAG - Preisrechner'!C11</f>
        <v/>
      </c>
      <c r="AT5" s="23" t="str">
        <f t="shared" si="7"/>
        <v>Kein Angebot möglich</v>
      </c>
      <c r="AU5" s="23">
        <f t="shared" si="8"/>
        <v>0</v>
      </c>
    </row>
    <row r="6" spans="1:47" ht="16.5" customHeight="1">
      <c r="A6" s="240" t="s">
        <v>2773</v>
      </c>
      <c r="B6" s="240" t="s">
        <v>2773</v>
      </c>
      <c r="C6" s="240"/>
      <c r="D6" s="240"/>
      <c r="E6" s="274">
        <v>150000000</v>
      </c>
      <c r="F6" s="274">
        <v>150000000</v>
      </c>
      <c r="G6" s="240"/>
      <c r="H6" s="240"/>
      <c r="I6" s="240"/>
      <c r="J6" s="275" t="e">
        <f>J4</f>
        <v>#VALUE!</v>
      </c>
      <c r="K6" s="240"/>
      <c r="L6" s="240"/>
      <c r="M6" s="240"/>
      <c r="N6" s="276" t="str">
        <f>IFERROR(ABS(S6-U6)/U6,"FEHLER")</f>
        <v>FEHLER</v>
      </c>
      <c r="O6" s="276" t="e">
        <f>RANK(N6,$N$4:$N$33,1)</f>
        <v>#VALUE!</v>
      </c>
      <c r="P6" s="276" t="e">
        <f t="shared" si="0"/>
        <v>#VALUE!</v>
      </c>
      <c r="Q6" s="240"/>
      <c r="R6" s="240" t="s">
        <v>3115</v>
      </c>
      <c r="S6" s="277">
        <f>Deckungssumme3GI</f>
        <v>0</v>
      </c>
      <c r="T6" s="240"/>
      <c r="U6" s="277" t="str">
        <f>'WVAG - Preisrechner'!D12</f>
        <v/>
      </c>
      <c r="V6" s="277" t="str">
        <f t="shared" si="1"/>
        <v/>
      </c>
      <c r="W6" s="278" t="str">
        <f t="shared" si="2"/>
        <v/>
      </c>
      <c r="X6" s="276" t="str">
        <f t="shared" si="3"/>
        <v/>
      </c>
      <c r="Y6" s="240"/>
      <c r="Z6" s="240"/>
      <c r="AA6" s="240"/>
      <c r="AB6" s="276">
        <f>AB4</f>
        <v>0</v>
      </c>
      <c r="AC6" s="240"/>
      <c r="AD6" s="240" t="str">
        <f t="shared" si="4"/>
        <v/>
      </c>
      <c r="AE6" s="276" t="str">
        <f t="shared" si="5"/>
        <v/>
      </c>
      <c r="AF6" s="276" t="str">
        <f t="shared" si="6"/>
        <v/>
      </c>
      <c r="AG6" s="276" t="str">
        <f>IF($E$2&lt;E6,IF(AF6="","",RANK(AF6,$AF$4:$AF$33,1)),"")</f>
        <v/>
      </c>
      <c r="AH6" s="240"/>
      <c r="AI6" s="240"/>
      <c r="AJ6" s="240"/>
      <c r="AK6" s="240"/>
      <c r="AL6" s="276" t="str">
        <f>AG6</f>
        <v/>
      </c>
      <c r="AM6" s="276" t="str">
        <f>IF(AL6="","",RANK(AL6,AL$4:AL$33,1))</f>
        <v/>
      </c>
      <c r="AN6" s="240"/>
      <c r="AO6" s="248"/>
      <c r="AP6" s="248"/>
      <c r="AQ6" s="279" t="str">
        <f>IF(AT6="Kein Angebot möglich","",IF(AM6=1,"XXX",""))</f>
        <v/>
      </c>
      <c r="AR6" s="240"/>
      <c r="AS6" s="280" t="str">
        <f>'WVAG - Preisrechner'!D11</f>
        <v/>
      </c>
      <c r="AT6" s="240" t="str">
        <f t="shared" si="7"/>
        <v>Kein Angebot möglich</v>
      </c>
      <c r="AU6" s="23">
        <f t="shared" si="8"/>
        <v>0</v>
      </c>
    </row>
    <row r="7" spans="1:47" ht="16.5" customHeight="1">
      <c r="A7" s="23" t="s">
        <v>2393</v>
      </c>
      <c r="B7" s="23" t="s">
        <v>2393</v>
      </c>
      <c r="C7" s="23"/>
      <c r="D7" s="23"/>
      <c r="E7" s="281"/>
      <c r="F7" s="266">
        <v>1500000000</v>
      </c>
      <c r="G7" s="23"/>
      <c r="H7" s="267" t="str">
        <f>IFERROR('Inhaltliche Bewertung - GI'!CD14,"FEHLER")</f>
        <v>FEHLER</v>
      </c>
      <c r="I7" s="268" t="e">
        <f>RANK(H7,H$4:H$33,0)</f>
        <v>#VALUE!</v>
      </c>
      <c r="J7" s="269" t="e">
        <f>J$2*I7</f>
        <v>#VALUE!</v>
      </c>
      <c r="K7" s="23"/>
      <c r="L7" s="268" t="str">
        <f>IFERROR(ABS(S7-U7)/U7,"FEHLER")</f>
        <v>FEHLER</v>
      </c>
      <c r="M7" s="23"/>
      <c r="N7" s="23"/>
      <c r="O7" s="268" t="e">
        <f>RANK(L7,$L$4:$L$33,1)</f>
        <v>#VALUE!</v>
      </c>
      <c r="P7" s="268" t="e">
        <f t="shared" si="0"/>
        <v>#VALUE!</v>
      </c>
      <c r="Q7" s="23"/>
      <c r="R7" s="23" t="s">
        <v>3113</v>
      </c>
      <c r="S7" s="270">
        <f>Deckungssumme1GI</f>
        <v>0</v>
      </c>
      <c r="T7" s="23"/>
      <c r="U7" s="270" t="str">
        <f>'AXA - Tarif ab 20230601'!C21</f>
        <v/>
      </c>
      <c r="V7" s="270" t="str">
        <f t="shared" si="1"/>
        <v/>
      </c>
      <c r="W7" s="271" t="str">
        <f t="shared" si="2"/>
        <v/>
      </c>
      <c r="X7" s="268" t="str">
        <f t="shared" si="3"/>
        <v/>
      </c>
      <c r="Y7" s="23"/>
      <c r="Z7" s="268">
        <v>100</v>
      </c>
      <c r="AA7" s="268">
        <f>RANK(Z7,Z$4:Z$33,0)</f>
        <v>1</v>
      </c>
      <c r="AB7" s="268">
        <f>AB$2*AA7</f>
        <v>0</v>
      </c>
      <c r="AC7" s="23"/>
      <c r="AD7" s="23" t="str">
        <f t="shared" si="4"/>
        <v/>
      </c>
      <c r="AE7" s="268" t="str">
        <f t="shared" si="5"/>
        <v/>
      </c>
      <c r="AF7" s="268" t="str">
        <f t="shared" si="6"/>
        <v/>
      </c>
      <c r="AG7" s="268" t="str">
        <f>IF($E$2&gt;E7,IF(AF7="","",RANK(AF7,$AF$4:$AF$33,1)),"")</f>
        <v/>
      </c>
      <c r="AH7" s="268" t="str">
        <f>AG7</f>
        <v/>
      </c>
      <c r="AI7" s="268" t="str">
        <f>IF(AH7="","",RANK(AH7,AH$4:AH$33,1))</f>
        <v/>
      </c>
      <c r="AJ7" s="23"/>
      <c r="AK7" s="23"/>
      <c r="AL7" s="23"/>
      <c r="AM7" s="23"/>
      <c r="AN7" s="23"/>
      <c r="AO7" s="272" t="str">
        <f>IF(AT7="Kein Angebot möglich","",IF(AI7=1,"XXX",""))</f>
        <v/>
      </c>
      <c r="AP7" s="238"/>
      <c r="AQ7" s="238"/>
      <c r="AR7" s="23"/>
      <c r="AS7" s="273" t="str">
        <f>'AXA - Tarif ab 20230601'!C25</f>
        <v/>
      </c>
      <c r="AT7" s="23" t="str">
        <f t="shared" si="7"/>
        <v>Kein Angebot möglich</v>
      </c>
      <c r="AU7" s="23">
        <f t="shared" si="8"/>
        <v>0</v>
      </c>
    </row>
    <row r="8" spans="1:47" ht="16.5" customHeight="1">
      <c r="A8" s="23" t="s">
        <v>2393</v>
      </c>
      <c r="B8" s="23" t="s">
        <v>2393</v>
      </c>
      <c r="C8" s="23"/>
      <c r="D8" s="23"/>
      <c r="E8" s="281"/>
      <c r="F8" s="266">
        <v>1500000000</v>
      </c>
      <c r="G8" s="23"/>
      <c r="H8" s="23"/>
      <c r="I8" s="23"/>
      <c r="J8" s="269" t="e">
        <f>J7</f>
        <v>#VALUE!</v>
      </c>
      <c r="K8" s="23"/>
      <c r="L8" s="23"/>
      <c r="M8" s="268" t="str">
        <f>IFERROR(ABS(S8-U8)/U8,"FEHLER")</f>
        <v>FEHLER</v>
      </c>
      <c r="N8" s="23"/>
      <c r="O8" s="268" t="e">
        <f>RANK(M8,$M$4:$M$33,1)</f>
        <v>#VALUE!</v>
      </c>
      <c r="P8" s="268" t="e">
        <f t="shared" si="0"/>
        <v>#VALUE!</v>
      </c>
      <c r="Q8" s="23"/>
      <c r="R8" s="23" t="s">
        <v>3114</v>
      </c>
      <c r="S8" s="270">
        <f>Deckungssumme2GI</f>
        <v>0</v>
      </c>
      <c r="T8" s="23"/>
      <c r="U8" s="270" t="str">
        <f>'AXA - Tarif ab 20230601'!D21</f>
        <v/>
      </c>
      <c r="V8" s="270" t="str">
        <f t="shared" si="1"/>
        <v/>
      </c>
      <c r="W8" s="271" t="str">
        <f t="shared" si="2"/>
        <v/>
      </c>
      <c r="X8" s="268" t="str">
        <f t="shared" si="3"/>
        <v/>
      </c>
      <c r="Y8" s="23"/>
      <c r="Z8" s="23"/>
      <c r="AA8" s="23"/>
      <c r="AB8" s="268">
        <f>AB7</f>
        <v>0</v>
      </c>
      <c r="AC8" s="23"/>
      <c r="AD8" s="23" t="str">
        <f t="shared" si="4"/>
        <v/>
      </c>
      <c r="AE8" s="268" t="str">
        <f t="shared" si="5"/>
        <v/>
      </c>
      <c r="AF8" s="268" t="str">
        <f t="shared" si="6"/>
        <v/>
      </c>
      <c r="AG8" s="268" t="str">
        <f>IF($E$2&gt;E8,IF(AF8="","",RANK(AF8,$AF$4:$AF$33,1)),"")</f>
        <v/>
      </c>
      <c r="AH8" s="23"/>
      <c r="AI8" s="23"/>
      <c r="AJ8" s="268" t="str">
        <f>AG8</f>
        <v/>
      </c>
      <c r="AK8" s="268" t="str">
        <f>IF(AJ8="","",RANK(AJ8,AJ$4:AJ$33,1))</f>
        <v/>
      </c>
      <c r="AL8" s="23"/>
      <c r="AM8" s="23"/>
      <c r="AN8" s="23"/>
      <c r="AO8" s="238"/>
      <c r="AP8" s="272" t="str">
        <f>IF(AT8="Kein Angebot möglich","",IF(AK8=1,"XXX",""))</f>
        <v/>
      </c>
      <c r="AQ8" s="238"/>
      <c r="AR8" s="23"/>
      <c r="AS8" s="273" t="str">
        <f>'AXA - Tarif ab 20230601'!D25</f>
        <v/>
      </c>
      <c r="AT8" s="23" t="str">
        <f t="shared" si="7"/>
        <v>Kein Angebot möglich</v>
      </c>
      <c r="AU8" s="23">
        <f t="shared" si="8"/>
        <v>0</v>
      </c>
    </row>
    <row r="9" spans="1:47" ht="16.5" customHeight="1">
      <c r="A9" s="240" t="s">
        <v>2393</v>
      </c>
      <c r="B9" s="240" t="s">
        <v>2393</v>
      </c>
      <c r="C9" s="240"/>
      <c r="D9" s="240"/>
      <c r="E9" s="282"/>
      <c r="F9" s="274">
        <v>1500000000</v>
      </c>
      <c r="G9" s="240"/>
      <c r="H9" s="240"/>
      <c r="I9" s="240"/>
      <c r="J9" s="275" t="e">
        <f>J7</f>
        <v>#VALUE!</v>
      </c>
      <c r="K9" s="240"/>
      <c r="L9" s="240"/>
      <c r="M9" s="240"/>
      <c r="N9" s="276" t="str">
        <f>IFERROR(ABS(S9-U9)/U9,"FEHLER")</f>
        <v>FEHLER</v>
      </c>
      <c r="O9" s="276" t="e">
        <f>RANK(N9,$N$4:$N$33,1)</f>
        <v>#VALUE!</v>
      </c>
      <c r="P9" s="276" t="e">
        <f t="shared" si="0"/>
        <v>#VALUE!</v>
      </c>
      <c r="Q9" s="240"/>
      <c r="R9" s="240" t="s">
        <v>3115</v>
      </c>
      <c r="S9" s="277">
        <f>Deckungssumme3GI</f>
        <v>0</v>
      </c>
      <c r="T9" s="240"/>
      <c r="U9" s="277" t="str">
        <f>'AXA - Tarif ab 20230601'!E21</f>
        <v/>
      </c>
      <c r="V9" s="277" t="str">
        <f t="shared" si="1"/>
        <v/>
      </c>
      <c r="W9" s="278" t="str">
        <f t="shared" si="2"/>
        <v/>
      </c>
      <c r="X9" s="276" t="str">
        <f t="shared" si="3"/>
        <v/>
      </c>
      <c r="Y9" s="240"/>
      <c r="Z9" s="240"/>
      <c r="AA9" s="240"/>
      <c r="AB9" s="276">
        <f>AB7</f>
        <v>0</v>
      </c>
      <c r="AC9" s="240"/>
      <c r="AD9" s="240" t="str">
        <f t="shared" si="4"/>
        <v/>
      </c>
      <c r="AE9" s="276" t="str">
        <f t="shared" si="5"/>
        <v/>
      </c>
      <c r="AF9" s="276" t="str">
        <f t="shared" si="6"/>
        <v/>
      </c>
      <c r="AG9" s="276" t="str">
        <f>IF($E$2&gt;E9,IF(AF9="","",RANK(AF9,$AF$4:$AF$33,1)),"")</f>
        <v/>
      </c>
      <c r="AH9" s="240"/>
      <c r="AI9" s="240"/>
      <c r="AJ9" s="240"/>
      <c r="AK9" s="240"/>
      <c r="AL9" s="276" t="str">
        <f>AG9</f>
        <v/>
      </c>
      <c r="AM9" s="276" t="str">
        <f>IF(AL9="","",RANK(AL9,AL$4:AL$33,1))</f>
        <v/>
      </c>
      <c r="AN9" s="240"/>
      <c r="AO9" s="248"/>
      <c r="AP9" s="248"/>
      <c r="AQ9" s="279" t="str">
        <f>IF(AT9="Kein Angebot möglich","",IF(AM9=1,"XXX",""))</f>
        <v/>
      </c>
      <c r="AR9" s="240"/>
      <c r="AS9" s="280" t="str">
        <f>'AXA - Tarif ab 20230601'!E25</f>
        <v/>
      </c>
      <c r="AT9" s="240" t="str">
        <f t="shared" si="7"/>
        <v>Kein Angebot möglich</v>
      </c>
      <c r="AU9" s="23">
        <f t="shared" si="8"/>
        <v>0</v>
      </c>
    </row>
    <row r="10" spans="1:47" ht="16.5" customHeight="1">
      <c r="A10" s="23" t="s">
        <v>2795</v>
      </c>
      <c r="B10" s="23" t="s">
        <v>2795</v>
      </c>
      <c r="C10" s="23"/>
      <c r="D10" s="23"/>
      <c r="E10" s="281"/>
      <c r="F10" s="252">
        <v>150000000</v>
      </c>
      <c r="G10" s="23"/>
      <c r="H10" s="267" t="str">
        <f>IFERROR('Inhaltliche Bewertung - GI'!AH14,"FEHLER")</f>
        <v>FEHLER</v>
      </c>
      <c r="I10" s="268" t="e">
        <f>RANK(H10,H$4:H$33,0)</f>
        <v>#VALUE!</v>
      </c>
      <c r="J10" s="269" t="e">
        <f>J$2*I10</f>
        <v>#VALUE!</v>
      </c>
      <c r="K10" s="23"/>
      <c r="L10" s="268" t="str">
        <f>IFERROR(ABS(S10-U10)/U10,"FEHLER")</f>
        <v>FEHLER</v>
      </c>
      <c r="M10" s="23"/>
      <c r="N10" s="23"/>
      <c r="O10" s="268" t="e">
        <f>RANK(L10,$L$4:$L$33,1)</f>
        <v>#VALUE!</v>
      </c>
      <c r="P10" s="268" t="e">
        <f t="shared" si="0"/>
        <v>#VALUE!</v>
      </c>
      <c r="Q10" s="23"/>
      <c r="R10" s="23" t="s">
        <v>3113</v>
      </c>
      <c r="S10" s="270">
        <f>Deckungssumme1GI</f>
        <v>0</v>
      </c>
      <c r="T10" s="23"/>
      <c r="U10" s="283" t="str">
        <f>U7</f>
        <v/>
      </c>
      <c r="V10" s="283"/>
      <c r="W10" s="271" t="str">
        <f t="shared" si="2"/>
        <v/>
      </c>
      <c r="X10" s="268" t="str">
        <f t="shared" si="3"/>
        <v/>
      </c>
      <c r="Y10" s="23"/>
      <c r="Z10" s="268">
        <v>100</v>
      </c>
      <c r="AA10" s="268">
        <f>RANK(Z10,Z$4:Z$33,0)</f>
        <v>1</v>
      </c>
      <c r="AB10" s="268">
        <f>AB$2*AA10</f>
        <v>0</v>
      </c>
      <c r="AC10" s="23"/>
      <c r="AD10" s="23" t="str">
        <f t="shared" si="4"/>
        <v/>
      </c>
      <c r="AE10" s="268" t="str">
        <f t="shared" si="5"/>
        <v/>
      </c>
      <c r="AF10" s="268" t="str">
        <f t="shared" si="6"/>
        <v/>
      </c>
      <c r="AG10" s="268" t="str">
        <f>IF(AF10="","",RANK(AF10,$AF$4:$AF$33,1))</f>
        <v/>
      </c>
      <c r="AH10" s="268" t="str">
        <f>AG10</f>
        <v/>
      </c>
      <c r="AI10" s="268" t="str">
        <f>IF(AH10="","",RANK(AH10,AH$4:AH$33,1))</f>
        <v/>
      </c>
      <c r="AJ10" s="23"/>
      <c r="AK10" s="23"/>
      <c r="AL10" s="23"/>
      <c r="AM10" s="23"/>
      <c r="AN10" s="23"/>
      <c r="AO10" s="272" t="str">
        <f>IF(AT10="Kein Angebot möglich","",IF(AI10=1,"XXX",""))</f>
        <v/>
      </c>
      <c r="AP10" s="238"/>
      <c r="AQ10" s="238"/>
      <c r="AR10" s="23"/>
      <c r="AS10" s="251">
        <v>0</v>
      </c>
      <c r="AT10" s="23" t="str">
        <f t="shared" si="7"/>
        <v>Kein Angebot möglich</v>
      </c>
      <c r="AU10" s="23">
        <f t="shared" si="8"/>
        <v>1</v>
      </c>
    </row>
    <row r="11" spans="1:47" ht="16.5" customHeight="1">
      <c r="A11" s="23" t="s">
        <v>2795</v>
      </c>
      <c r="B11" s="23" t="s">
        <v>2795</v>
      </c>
      <c r="C11" s="23"/>
      <c r="D11" s="23"/>
      <c r="E11" s="281"/>
      <c r="F11" s="252">
        <v>150000000</v>
      </c>
      <c r="G11" s="23"/>
      <c r="H11" s="23"/>
      <c r="I11" s="23"/>
      <c r="J11" s="269" t="e">
        <f>J10</f>
        <v>#VALUE!</v>
      </c>
      <c r="K11" s="23"/>
      <c r="L11" s="23"/>
      <c r="M11" s="268" t="str">
        <f>IFERROR(ABS(S11-U11)/U11,"FEHLER")</f>
        <v>FEHLER</v>
      </c>
      <c r="N11" s="23"/>
      <c r="O11" s="268" t="e">
        <f>RANK(M11,$M$4:$M$30,1)</f>
        <v>#VALUE!</v>
      </c>
      <c r="P11" s="268" t="e">
        <f t="shared" si="0"/>
        <v>#VALUE!</v>
      </c>
      <c r="Q11" s="23"/>
      <c r="R11" s="23" t="s">
        <v>3114</v>
      </c>
      <c r="S11" s="270">
        <f>Deckungssumme2GI</f>
        <v>0</v>
      </c>
      <c r="T11" s="23"/>
      <c r="U11" s="283" t="str">
        <f>U8</f>
        <v/>
      </c>
      <c r="V11" s="283"/>
      <c r="W11" s="271" t="str">
        <f t="shared" si="2"/>
        <v/>
      </c>
      <c r="X11" s="268" t="str">
        <f t="shared" si="3"/>
        <v/>
      </c>
      <c r="Y11" s="23"/>
      <c r="Z11" s="23"/>
      <c r="AA11" s="23"/>
      <c r="AB11" s="268">
        <f>AB10</f>
        <v>0</v>
      </c>
      <c r="AC11" s="23"/>
      <c r="AD11" s="23" t="str">
        <f t="shared" si="4"/>
        <v/>
      </c>
      <c r="AE11" s="268" t="str">
        <f t="shared" si="5"/>
        <v/>
      </c>
      <c r="AF11" s="268" t="str">
        <f t="shared" si="6"/>
        <v/>
      </c>
      <c r="AG11" s="268" t="str">
        <f>IF(AF11="","",RANK(AF11,$AF$4:$AF$33,1))</f>
        <v/>
      </c>
      <c r="AH11" s="23"/>
      <c r="AI11" s="23"/>
      <c r="AJ11" s="268" t="str">
        <f>AG11</f>
        <v/>
      </c>
      <c r="AK11" s="268" t="str">
        <f>IF(AJ11="","",RANK(AJ11,AJ$4:AJ$33,1))</f>
        <v/>
      </c>
      <c r="AL11" s="23"/>
      <c r="AM11" s="23"/>
      <c r="AN11" s="23"/>
      <c r="AO11" s="238"/>
      <c r="AP11" s="272" t="str">
        <f>IF(AT11="Kein Angebot möglich","",IF(AK11=1,"XXX",""))</f>
        <v/>
      </c>
      <c r="AQ11" s="238"/>
      <c r="AR11" s="23"/>
      <c r="AS11" s="251">
        <v>0</v>
      </c>
      <c r="AT11" s="23" t="str">
        <f t="shared" si="7"/>
        <v>Kein Angebot möglich</v>
      </c>
      <c r="AU11" s="23">
        <f t="shared" si="8"/>
        <v>1</v>
      </c>
    </row>
    <row r="12" spans="1:47" ht="16.5" customHeight="1">
      <c r="A12" s="240" t="s">
        <v>2795</v>
      </c>
      <c r="B12" s="240" t="s">
        <v>2795</v>
      </c>
      <c r="C12" s="240"/>
      <c r="D12" s="240"/>
      <c r="E12" s="282"/>
      <c r="F12" s="254">
        <v>150000000</v>
      </c>
      <c r="G12" s="240"/>
      <c r="H12" s="240"/>
      <c r="I12" s="240"/>
      <c r="J12" s="275" t="e">
        <f>J10</f>
        <v>#VALUE!</v>
      </c>
      <c r="K12" s="240"/>
      <c r="L12" s="240"/>
      <c r="M12" s="240"/>
      <c r="N12" s="276" t="str">
        <f>IFERROR(ABS(S12-U12)/U12,"FEHLER")</f>
        <v>FEHLER</v>
      </c>
      <c r="O12" s="276" t="e">
        <f>RANK(N12,$N$4:$N$33,1)</f>
        <v>#VALUE!</v>
      </c>
      <c r="P12" s="276" t="e">
        <f t="shared" si="0"/>
        <v>#VALUE!</v>
      </c>
      <c r="Q12" s="240"/>
      <c r="R12" s="240" t="s">
        <v>3115</v>
      </c>
      <c r="S12" s="277">
        <f>Deckungssumme3GI</f>
        <v>0</v>
      </c>
      <c r="T12" s="240"/>
      <c r="U12" s="284" t="str">
        <f>U9</f>
        <v/>
      </c>
      <c r="V12" s="284"/>
      <c r="W12" s="278" t="str">
        <f t="shared" si="2"/>
        <v/>
      </c>
      <c r="X12" s="276" t="str">
        <f t="shared" si="3"/>
        <v/>
      </c>
      <c r="Y12" s="240"/>
      <c r="Z12" s="240"/>
      <c r="AA12" s="240"/>
      <c r="AB12" s="276">
        <f>AB10</f>
        <v>0</v>
      </c>
      <c r="AC12" s="240"/>
      <c r="AD12" s="240" t="str">
        <f t="shared" si="4"/>
        <v/>
      </c>
      <c r="AE12" s="276" t="str">
        <f t="shared" si="5"/>
        <v/>
      </c>
      <c r="AF12" s="276" t="str">
        <f t="shared" si="6"/>
        <v/>
      </c>
      <c r="AG12" s="276" t="str">
        <f>IF(AF12="","",RANK(AF12,$AF$4:$AF$33,1))</f>
        <v/>
      </c>
      <c r="AH12" s="240"/>
      <c r="AI12" s="240"/>
      <c r="AJ12" s="240"/>
      <c r="AK12" s="240"/>
      <c r="AL12" s="276" t="str">
        <f>AG12</f>
        <v/>
      </c>
      <c r="AM12" s="276" t="str">
        <f>IF(AL12="","",RANK(AL12,AL$4:AL$33,1))</f>
        <v/>
      </c>
      <c r="AN12" s="240"/>
      <c r="AO12" s="248"/>
      <c r="AP12" s="248"/>
      <c r="AQ12" s="279" t="str">
        <f>IF(AT12="Kein Angebot möglich","",IF(AM12=1,"XXX",""))</f>
        <v/>
      </c>
      <c r="AR12" s="240"/>
      <c r="AS12" s="253">
        <v>0</v>
      </c>
      <c r="AT12" s="240" t="str">
        <f t="shared" si="7"/>
        <v>Kein Angebot möglich</v>
      </c>
      <c r="AU12" s="23">
        <f t="shared" si="8"/>
        <v>1</v>
      </c>
    </row>
    <row r="13" spans="1:47" ht="16.5" customHeight="1">
      <c r="A13" s="23" t="s">
        <v>2391</v>
      </c>
      <c r="B13" s="23" t="s">
        <v>2795</v>
      </c>
      <c r="C13" s="23"/>
      <c r="D13" s="23" t="s">
        <v>3186</v>
      </c>
      <c r="E13" s="266">
        <v>150000000</v>
      </c>
      <c r="F13" s="645">
        <v>150000000</v>
      </c>
      <c r="G13" s="23"/>
      <c r="H13" s="267" t="str">
        <f>IFERROR('Inhaltliche Bewertung - GI'!AX14,"FEHLER")</f>
        <v>FEHLER</v>
      </c>
      <c r="I13" s="268" t="e">
        <f>RANK(H13,H$4:H$33,0)</f>
        <v>#VALUE!</v>
      </c>
      <c r="J13" s="269" t="e">
        <f>J$2*I13</f>
        <v>#VALUE!</v>
      </c>
      <c r="K13" s="23"/>
      <c r="L13" s="268" t="str">
        <f>IFERROR(ABS(S13-U13)/U13,"FEHLER")</f>
        <v>FEHLER</v>
      </c>
      <c r="M13" s="23"/>
      <c r="N13" s="23"/>
      <c r="O13" s="268" t="e">
        <f>RANK(L13,$L$4:$L$33,1)</f>
        <v>#VALUE!</v>
      </c>
      <c r="P13" s="268" t="e">
        <f t="shared" si="0"/>
        <v>#VALUE!</v>
      </c>
      <c r="Q13" s="23"/>
      <c r="R13" s="23" t="s">
        <v>3113</v>
      </c>
      <c r="S13" s="270">
        <f>Deckungssumme1GI</f>
        <v>0</v>
      </c>
      <c r="T13" s="23"/>
      <c r="U13" s="647">
        <f>'AIG Facility - Preisrechner'!B5</f>
        <v>0</v>
      </c>
      <c r="V13" s="647"/>
      <c r="W13" s="271" t="str">
        <f t="shared" si="2"/>
        <v/>
      </c>
      <c r="X13" s="268" t="str">
        <f t="shared" si="3"/>
        <v/>
      </c>
      <c r="Y13" s="23"/>
      <c r="Z13" s="268">
        <v>100</v>
      </c>
      <c r="AA13" s="268">
        <f>RANK(Z13,Z$4:Z$33,0)</f>
        <v>1</v>
      </c>
      <c r="AB13" s="268">
        <f>AB$2*AA13</f>
        <v>0</v>
      </c>
      <c r="AC13" s="23"/>
      <c r="AD13" s="23" t="str">
        <f t="shared" si="4"/>
        <v/>
      </c>
      <c r="AE13" s="268" t="str">
        <f t="shared" si="5"/>
        <v/>
      </c>
      <c r="AF13" s="268" t="str">
        <f t="shared" si="6"/>
        <v/>
      </c>
      <c r="AG13" s="268" t="str">
        <f>IF($E$2&lt;E13,IF(AF13="","",RANK(AF13,$AF$4:$AF$33,1)),"")</f>
        <v/>
      </c>
      <c r="AH13" s="268" t="str">
        <f>AG13</f>
        <v/>
      </c>
      <c r="AI13" s="268" t="str">
        <f>IF(AH13="","",RANK(AH13,AH$4:AH$33,1))</f>
        <v/>
      </c>
      <c r="AJ13" s="23"/>
      <c r="AK13" s="23"/>
      <c r="AL13" s="23"/>
      <c r="AM13" s="23"/>
      <c r="AN13" s="23"/>
      <c r="AO13" s="272" t="str">
        <f>IF(AT13="Kein Angebot möglich","",IF(AI13=1,"XXX",""))</f>
        <v/>
      </c>
      <c r="AP13" s="238"/>
      <c r="AQ13" s="238"/>
      <c r="AR13" s="23"/>
      <c r="AS13" s="649">
        <v>0</v>
      </c>
      <c r="AT13" s="23" t="str">
        <f t="shared" si="7"/>
        <v>Kein Angebot möglich</v>
      </c>
      <c r="AU13" s="23">
        <f t="shared" si="8"/>
        <v>1</v>
      </c>
    </row>
    <row r="14" spans="1:47" ht="16.5" customHeight="1">
      <c r="A14" s="23" t="s">
        <v>2391</v>
      </c>
      <c r="B14" s="23" t="s">
        <v>2795</v>
      </c>
      <c r="C14" s="23"/>
      <c r="D14" s="23"/>
      <c r="E14" s="266">
        <v>150000000</v>
      </c>
      <c r="F14" s="645">
        <v>150000000</v>
      </c>
      <c r="G14" s="23"/>
      <c r="H14" s="23"/>
      <c r="I14" s="23"/>
      <c r="J14" s="269" t="e">
        <f>J13</f>
        <v>#VALUE!</v>
      </c>
      <c r="K14" s="23"/>
      <c r="L14" s="23"/>
      <c r="M14" s="268" t="str">
        <f>IFERROR(ABS(S14-U14)/U14,"FEHLER")</f>
        <v>FEHLER</v>
      </c>
      <c r="N14" s="23"/>
      <c r="O14" s="268" t="e">
        <f>RANK(M14,$M$4:$M$33,1)</f>
        <v>#VALUE!</v>
      </c>
      <c r="P14" s="268" t="e">
        <f t="shared" si="0"/>
        <v>#VALUE!</v>
      </c>
      <c r="Q14" s="23"/>
      <c r="R14" s="23" t="s">
        <v>3114</v>
      </c>
      <c r="S14" s="270">
        <f>Deckungssumme2GI</f>
        <v>0</v>
      </c>
      <c r="T14" s="23"/>
      <c r="U14" s="647">
        <f>'AIG Facility - Preisrechner'!C5</f>
        <v>0</v>
      </c>
      <c r="V14" s="647"/>
      <c r="W14" s="271" t="str">
        <f t="shared" si="2"/>
        <v/>
      </c>
      <c r="X14" s="268" t="str">
        <f t="shared" si="3"/>
        <v/>
      </c>
      <c r="Y14" s="23"/>
      <c r="Z14" s="23"/>
      <c r="AA14" s="23"/>
      <c r="AB14" s="268">
        <f>AB13</f>
        <v>0</v>
      </c>
      <c r="AC14" s="23"/>
      <c r="AD14" s="23" t="str">
        <f t="shared" si="4"/>
        <v/>
      </c>
      <c r="AE14" s="268" t="str">
        <f t="shared" si="5"/>
        <v/>
      </c>
      <c r="AF14" s="268" t="str">
        <f t="shared" si="6"/>
        <v/>
      </c>
      <c r="AG14" s="268" t="str">
        <f>IF($E$2&lt;E14,IF(AF14="","",RANK(AF14,$AF$4:$AF$33,1)),"")</f>
        <v/>
      </c>
      <c r="AH14" s="23"/>
      <c r="AI14" s="23"/>
      <c r="AJ14" s="268" t="str">
        <f>AG14</f>
        <v/>
      </c>
      <c r="AK14" s="268" t="str">
        <f>IF(AJ14="","",RANK(AJ14,AJ$4:AJ$33,1))</f>
        <v/>
      </c>
      <c r="AL14" s="23"/>
      <c r="AM14" s="23"/>
      <c r="AN14" s="23"/>
      <c r="AO14" s="238"/>
      <c r="AP14" s="272" t="str">
        <f>IF(AT14="Kein Angebot möglich","",IF(AK14=1,"XXX",""))</f>
        <v/>
      </c>
      <c r="AQ14" s="238"/>
      <c r="AR14" s="23"/>
      <c r="AS14" s="649">
        <v>0</v>
      </c>
      <c r="AT14" s="23" t="str">
        <f t="shared" si="7"/>
        <v>Kein Angebot möglich</v>
      </c>
      <c r="AU14" s="23">
        <f t="shared" si="8"/>
        <v>1</v>
      </c>
    </row>
    <row r="15" spans="1:47" ht="16.5" customHeight="1">
      <c r="A15" s="240" t="s">
        <v>2391</v>
      </c>
      <c r="B15" s="240" t="s">
        <v>2795</v>
      </c>
      <c r="C15" s="240"/>
      <c r="D15" s="240"/>
      <c r="E15" s="274">
        <v>150000000</v>
      </c>
      <c r="F15" s="646">
        <v>150000000</v>
      </c>
      <c r="G15" s="240"/>
      <c r="H15" s="240"/>
      <c r="I15" s="240"/>
      <c r="J15" s="275" t="e">
        <f>J13</f>
        <v>#VALUE!</v>
      </c>
      <c r="K15" s="240"/>
      <c r="L15" s="240"/>
      <c r="M15" s="240"/>
      <c r="N15" s="276" t="str">
        <f>IFERROR(ABS(S15-U15)/U15,"FEHLER")</f>
        <v>FEHLER</v>
      </c>
      <c r="O15" s="276" t="e">
        <f>RANK(N15,$N$4:$N$33,1)</f>
        <v>#VALUE!</v>
      </c>
      <c r="P15" s="276" t="e">
        <f t="shared" si="0"/>
        <v>#VALUE!</v>
      </c>
      <c r="Q15" s="240"/>
      <c r="R15" s="240" t="s">
        <v>3115</v>
      </c>
      <c r="S15" s="277">
        <f>Deckungssumme3GI</f>
        <v>0</v>
      </c>
      <c r="T15" s="240"/>
      <c r="U15" s="648">
        <f>'AIG Facility - Preisrechner'!D5</f>
        <v>0</v>
      </c>
      <c r="V15" s="648"/>
      <c r="W15" s="278" t="str">
        <f t="shared" si="2"/>
        <v/>
      </c>
      <c r="X15" s="276" t="str">
        <f t="shared" si="3"/>
        <v/>
      </c>
      <c r="Y15" s="240"/>
      <c r="Z15" s="240"/>
      <c r="AA15" s="240"/>
      <c r="AB15" s="276">
        <f>AB13</f>
        <v>0</v>
      </c>
      <c r="AC15" s="240"/>
      <c r="AD15" s="240" t="str">
        <f t="shared" si="4"/>
        <v/>
      </c>
      <c r="AE15" s="276" t="str">
        <f t="shared" si="5"/>
        <v/>
      </c>
      <c r="AF15" s="276" t="str">
        <f t="shared" si="6"/>
        <v/>
      </c>
      <c r="AG15" s="276" t="str">
        <f>IF($E$2&lt;E15,IF(AF15="","",RANK(AF15,$AF$4:$AF$33,1)),"")</f>
        <v/>
      </c>
      <c r="AH15" s="240"/>
      <c r="AI15" s="240"/>
      <c r="AJ15" s="240"/>
      <c r="AK15" s="240"/>
      <c r="AL15" s="276" t="str">
        <f>AG15</f>
        <v/>
      </c>
      <c r="AM15" s="276" t="str">
        <f>IF(AL15="","",RANK(AL15,AL$4:AL$33,1))</f>
        <v/>
      </c>
      <c r="AN15" s="240"/>
      <c r="AO15" s="248"/>
      <c r="AP15" s="248"/>
      <c r="AQ15" s="279" t="str">
        <f>IF(AT15="Kein Angebot möglich","",IF(AM15=1,"XXX",""))</f>
        <v/>
      </c>
      <c r="AR15" s="240"/>
      <c r="AS15" s="650">
        <v>0</v>
      </c>
      <c r="AT15" s="240" t="str">
        <f t="shared" si="7"/>
        <v>Kein Angebot möglich</v>
      </c>
      <c r="AU15" s="23">
        <f t="shared" si="8"/>
        <v>1</v>
      </c>
    </row>
    <row r="16" spans="1:47" ht="16.5" customHeight="1">
      <c r="A16" s="23" t="s">
        <v>2400</v>
      </c>
      <c r="B16" s="23" t="s">
        <v>2400</v>
      </c>
      <c r="C16" s="23"/>
      <c r="D16" s="23"/>
      <c r="E16" s="281"/>
      <c r="F16" s="266">
        <v>500000000</v>
      </c>
      <c r="G16" s="23"/>
      <c r="H16" s="267" t="str">
        <f>IFERROR('Inhaltliche Bewertung - GI'!CT14,"FEHLER")</f>
        <v>FEHLER</v>
      </c>
      <c r="I16" s="268" t="e">
        <f>RANK(H16,H$4:H$33,0)</f>
        <v>#VALUE!</v>
      </c>
      <c r="J16" s="269" t="e">
        <f>J$2*I16</f>
        <v>#VALUE!</v>
      </c>
      <c r="K16" s="23"/>
      <c r="L16" s="268" t="str">
        <f>IFERROR(ABS(S16-U16)/U16,"FEHLER")</f>
        <v>FEHLER</v>
      </c>
      <c r="M16" s="23"/>
      <c r="N16" s="23"/>
      <c r="O16" s="268" t="e">
        <f>RANK(L16,$L$4:$L$33,1)</f>
        <v>#VALUE!</v>
      </c>
      <c r="P16" s="268" t="e">
        <f t="shared" si="0"/>
        <v>#VALUE!</v>
      </c>
      <c r="Q16" s="23"/>
      <c r="R16" s="23" t="s">
        <v>3113</v>
      </c>
      <c r="S16" s="270">
        <f>Deckungssumme1GI</f>
        <v>0</v>
      </c>
      <c r="T16" s="23"/>
      <c r="U16" s="270" t="str">
        <f>'DUAL - Tarif'!C18</f>
        <v/>
      </c>
      <c r="V16" s="270" t="str">
        <f t="shared" ref="V16:V27" si="9">AS16</f>
        <v/>
      </c>
      <c r="W16" s="271" t="str">
        <f t="shared" si="2"/>
        <v/>
      </c>
      <c r="X16" s="268" t="str">
        <f t="shared" si="3"/>
        <v/>
      </c>
      <c r="Y16" s="23"/>
      <c r="Z16" s="268">
        <v>100</v>
      </c>
      <c r="AA16" s="268">
        <f>RANK(Z16,Z$4:Z$33,0)</f>
        <v>1</v>
      </c>
      <c r="AB16" s="268">
        <f>AB$2*AA16</f>
        <v>0</v>
      </c>
      <c r="AC16" s="23"/>
      <c r="AD16" s="23" t="str">
        <f t="shared" si="4"/>
        <v/>
      </c>
      <c r="AE16" s="268" t="str">
        <f t="shared" si="5"/>
        <v/>
      </c>
      <c r="AF16" s="268" t="str">
        <f t="shared" si="6"/>
        <v/>
      </c>
      <c r="AG16" s="268" t="str">
        <f t="shared" ref="AG16:AG33" si="10">IF(AF16="","",RANK(AF16,$AF$4:$AF$33,1))</f>
        <v/>
      </c>
      <c r="AH16" s="268" t="str">
        <f>AG16</f>
        <v/>
      </c>
      <c r="AI16" s="268" t="str">
        <f>IF(AH16="","",RANK(AH16,AH$4:AH$33,1))</f>
        <v/>
      </c>
      <c r="AJ16" s="23"/>
      <c r="AK16" s="23"/>
      <c r="AL16" s="23"/>
      <c r="AM16" s="23"/>
      <c r="AN16" s="23"/>
      <c r="AO16" s="272" t="str">
        <f>IF(AT16="Kein Angebot möglich","",IF(AI16=1,"XXX",""))</f>
        <v/>
      </c>
      <c r="AP16" s="238"/>
      <c r="AQ16" s="238"/>
      <c r="AR16" s="23"/>
      <c r="AS16" s="273" t="str">
        <f>'DUAL - Tarif'!C22</f>
        <v/>
      </c>
      <c r="AT16" s="23" t="str">
        <f t="shared" si="7"/>
        <v>Kein Angebot möglich</v>
      </c>
      <c r="AU16" s="23">
        <f t="shared" si="8"/>
        <v>0</v>
      </c>
    </row>
    <row r="17" spans="1:47" ht="16.5" customHeight="1">
      <c r="A17" s="23" t="s">
        <v>2400</v>
      </c>
      <c r="B17" s="23" t="s">
        <v>2400</v>
      </c>
      <c r="C17" s="23"/>
      <c r="D17" s="23"/>
      <c r="E17" s="281"/>
      <c r="F17" s="266">
        <v>500000000</v>
      </c>
      <c r="G17" s="23"/>
      <c r="H17" s="23"/>
      <c r="I17" s="23"/>
      <c r="J17" s="269" t="e">
        <f>J16</f>
        <v>#VALUE!</v>
      </c>
      <c r="K17" s="23"/>
      <c r="L17" s="23"/>
      <c r="M17" s="268" t="str">
        <f>IFERROR(ABS(S17-U17)/U17,"FEHLER")</f>
        <v>FEHLER</v>
      </c>
      <c r="N17" s="23"/>
      <c r="O17" s="268" t="e">
        <f>RANK(M17,$M$4:$M$33,1)</f>
        <v>#VALUE!</v>
      </c>
      <c r="P17" s="268" t="e">
        <f t="shared" si="0"/>
        <v>#VALUE!</v>
      </c>
      <c r="Q17" s="23"/>
      <c r="R17" s="23" t="s">
        <v>3114</v>
      </c>
      <c r="S17" s="270">
        <f>Deckungssumme2GI</f>
        <v>0</v>
      </c>
      <c r="T17" s="23"/>
      <c r="U17" s="270" t="str">
        <f>'DUAL - Tarif'!D18</f>
        <v/>
      </c>
      <c r="V17" s="270" t="str">
        <f t="shared" si="9"/>
        <v/>
      </c>
      <c r="W17" s="271" t="str">
        <f t="shared" si="2"/>
        <v/>
      </c>
      <c r="X17" s="268" t="str">
        <f t="shared" si="3"/>
        <v/>
      </c>
      <c r="Y17" s="23"/>
      <c r="Z17" s="23"/>
      <c r="AA17" s="23"/>
      <c r="AB17" s="268">
        <f>AB16</f>
        <v>0</v>
      </c>
      <c r="AC17" s="23"/>
      <c r="AD17" s="23" t="str">
        <f t="shared" si="4"/>
        <v/>
      </c>
      <c r="AE17" s="268" t="str">
        <f t="shared" si="5"/>
        <v/>
      </c>
      <c r="AF17" s="268" t="str">
        <f t="shared" si="6"/>
        <v/>
      </c>
      <c r="AG17" s="268" t="str">
        <f t="shared" si="10"/>
        <v/>
      </c>
      <c r="AH17" s="23"/>
      <c r="AI17" s="23"/>
      <c r="AJ17" s="268" t="str">
        <f>AG17</f>
        <v/>
      </c>
      <c r="AK17" s="268" t="str">
        <f>IF(AJ17="","",RANK(AJ17,AJ$4:AJ$33,1))</f>
        <v/>
      </c>
      <c r="AL17" s="23"/>
      <c r="AM17" s="23"/>
      <c r="AN17" s="23"/>
      <c r="AO17" s="238"/>
      <c r="AP17" s="272" t="str">
        <f>IF(AT17="Kein Angebot möglich","",IF(AK17=1,"XXX",""))</f>
        <v/>
      </c>
      <c r="AQ17" s="238"/>
      <c r="AR17" s="23"/>
      <c r="AS17" s="273" t="str">
        <f>'DUAL - Tarif'!D22</f>
        <v/>
      </c>
      <c r="AT17" s="23" t="str">
        <f t="shared" si="7"/>
        <v>Kein Angebot möglich</v>
      </c>
      <c r="AU17" s="23">
        <f t="shared" si="8"/>
        <v>0</v>
      </c>
    </row>
    <row r="18" spans="1:47" ht="16.5" customHeight="1">
      <c r="A18" s="240" t="s">
        <v>2400</v>
      </c>
      <c r="B18" s="240" t="s">
        <v>2400</v>
      </c>
      <c r="C18" s="240"/>
      <c r="D18" s="240"/>
      <c r="E18" s="282"/>
      <c r="F18" s="274">
        <v>500000000</v>
      </c>
      <c r="G18" s="240"/>
      <c r="H18" s="240"/>
      <c r="I18" s="240"/>
      <c r="J18" s="275" t="e">
        <f>J16</f>
        <v>#VALUE!</v>
      </c>
      <c r="K18" s="240"/>
      <c r="L18" s="240"/>
      <c r="M18" s="240"/>
      <c r="N18" s="276" t="str">
        <f>IFERROR(ABS(S18-U18)/U18,"FEHLER")</f>
        <v>FEHLER</v>
      </c>
      <c r="O18" s="276" t="e">
        <f>RANK(N18,$N$4:$N$33,1)</f>
        <v>#VALUE!</v>
      </c>
      <c r="P18" s="276" t="e">
        <f t="shared" si="0"/>
        <v>#VALUE!</v>
      </c>
      <c r="Q18" s="240"/>
      <c r="R18" s="240" t="s">
        <v>3115</v>
      </c>
      <c r="S18" s="277">
        <f>Deckungssumme3GI</f>
        <v>0</v>
      </c>
      <c r="T18" s="240"/>
      <c r="U18" s="277" t="str">
        <f>'DUAL - Tarif'!E18</f>
        <v/>
      </c>
      <c r="V18" s="277" t="str">
        <f t="shared" si="9"/>
        <v/>
      </c>
      <c r="W18" s="278" t="str">
        <f t="shared" si="2"/>
        <v/>
      </c>
      <c r="X18" s="276" t="str">
        <f t="shared" si="3"/>
        <v/>
      </c>
      <c r="Y18" s="240"/>
      <c r="Z18" s="240"/>
      <c r="AA18" s="240"/>
      <c r="AB18" s="276">
        <f>AB16</f>
        <v>0</v>
      </c>
      <c r="AC18" s="240"/>
      <c r="AD18" s="240" t="str">
        <f t="shared" si="4"/>
        <v/>
      </c>
      <c r="AE18" s="276" t="str">
        <f t="shared" si="5"/>
        <v/>
      </c>
      <c r="AF18" s="276" t="str">
        <f t="shared" si="6"/>
        <v/>
      </c>
      <c r="AG18" s="276" t="str">
        <f t="shared" si="10"/>
        <v/>
      </c>
      <c r="AH18" s="240"/>
      <c r="AI18" s="240"/>
      <c r="AJ18" s="240"/>
      <c r="AK18" s="240"/>
      <c r="AL18" s="276" t="str">
        <f>AG18</f>
        <v/>
      </c>
      <c r="AM18" s="276" t="str">
        <f>IF(AL18="","",RANK(AL18,AL$4:AL$33,1))</f>
        <v/>
      </c>
      <c r="AN18" s="240"/>
      <c r="AO18" s="248"/>
      <c r="AP18" s="248"/>
      <c r="AQ18" s="279" t="str">
        <f>IF(AT18="Kein Angebot möglich","",IF(AM18=1,"XXX",""))</f>
        <v/>
      </c>
      <c r="AR18" s="240"/>
      <c r="AS18" s="280" t="str">
        <f>'DUAL - Tarif'!E22</f>
        <v/>
      </c>
      <c r="AT18" s="240" t="str">
        <f t="shared" si="7"/>
        <v>Kein Angebot möglich</v>
      </c>
      <c r="AU18" s="23">
        <f t="shared" si="8"/>
        <v>0</v>
      </c>
    </row>
    <row r="19" spans="1:47" ht="16.5" customHeight="1">
      <c r="A19" s="23" t="s">
        <v>2401</v>
      </c>
      <c r="B19" s="23" t="s">
        <v>2401</v>
      </c>
      <c r="C19" s="23"/>
      <c r="D19" s="23"/>
      <c r="E19" s="281"/>
      <c r="F19" s="266">
        <v>500000000</v>
      </c>
      <c r="G19" s="23"/>
      <c r="H19" s="267" t="str">
        <f>IFERROR('Inhaltliche Bewertung - GI'!DJ14,"FEHLER")</f>
        <v>FEHLER</v>
      </c>
      <c r="I19" s="268" t="e">
        <f>RANK(H19,H$4:H$33,0)</f>
        <v>#VALUE!</v>
      </c>
      <c r="J19" s="269" t="e">
        <f>J$2*I19</f>
        <v>#VALUE!</v>
      </c>
      <c r="K19" s="23"/>
      <c r="L19" s="268" t="str">
        <f>IFERROR(ABS(S19-U19)/U19,"FEHLER")</f>
        <v>FEHLER</v>
      </c>
      <c r="M19" s="23"/>
      <c r="N19" s="23"/>
      <c r="O19" s="268" t="e">
        <f>RANK(L19,$L$4:$L$33,1)</f>
        <v>#VALUE!</v>
      </c>
      <c r="P19" s="268" t="e">
        <f t="shared" si="0"/>
        <v>#VALUE!</v>
      </c>
      <c r="Q19" s="23"/>
      <c r="R19" s="23" t="s">
        <v>3113</v>
      </c>
      <c r="S19" s="270">
        <f>Deckungssumme1GI</f>
        <v>0</v>
      </c>
      <c r="T19" s="23"/>
      <c r="U19" s="270" t="str">
        <f>'Newline - Tarif'!D20</f>
        <v/>
      </c>
      <c r="V19" s="270" t="str">
        <f t="shared" si="9"/>
        <v/>
      </c>
      <c r="W19" s="271" t="str">
        <f t="shared" si="2"/>
        <v/>
      </c>
      <c r="X19" s="268" t="str">
        <f t="shared" si="3"/>
        <v/>
      </c>
      <c r="Y19" s="23"/>
      <c r="Z19" s="268">
        <v>100</v>
      </c>
      <c r="AA19" s="268">
        <f>RANK(Z19,Z$4:Z$33,0)</f>
        <v>1</v>
      </c>
      <c r="AB19" s="268">
        <f>AB$2*AA19</f>
        <v>0</v>
      </c>
      <c r="AC19" s="23"/>
      <c r="AD19" s="23" t="str">
        <f t="shared" si="4"/>
        <v/>
      </c>
      <c r="AE19" s="268" t="str">
        <f t="shared" si="5"/>
        <v/>
      </c>
      <c r="AF19" s="268" t="str">
        <f t="shared" si="6"/>
        <v/>
      </c>
      <c r="AG19" s="268" t="str">
        <f t="shared" si="10"/>
        <v/>
      </c>
      <c r="AH19" s="268" t="str">
        <f>AG19</f>
        <v/>
      </c>
      <c r="AI19" s="268" t="str">
        <f>IF(AH19="","",RANK(AH19,AH$4:AH$33,1))</f>
        <v/>
      </c>
      <c r="AJ19" s="23"/>
      <c r="AK19" s="23"/>
      <c r="AL19" s="23"/>
      <c r="AM19" s="23"/>
      <c r="AN19" s="23"/>
      <c r="AO19" s="272" t="str">
        <f>IF(AT19="Kein Angebot möglich","",IF(AI19=1,"XXX",""))</f>
        <v/>
      </c>
      <c r="AP19" s="238"/>
      <c r="AQ19" s="238"/>
      <c r="AR19" s="23"/>
      <c r="AS19" s="273" t="str">
        <f>'Newline - Tarif'!D24</f>
        <v/>
      </c>
      <c r="AT19" s="23" t="str">
        <f t="shared" si="7"/>
        <v>Kein Angebot möglich</v>
      </c>
      <c r="AU19" s="23">
        <f t="shared" si="8"/>
        <v>0</v>
      </c>
    </row>
    <row r="20" spans="1:47" ht="16.5" customHeight="1">
      <c r="A20" s="23" t="s">
        <v>2401</v>
      </c>
      <c r="B20" s="23" t="s">
        <v>2401</v>
      </c>
      <c r="C20" s="23"/>
      <c r="D20" s="23"/>
      <c r="E20" s="281"/>
      <c r="F20" s="266">
        <v>500000000</v>
      </c>
      <c r="G20" s="23"/>
      <c r="H20" s="23"/>
      <c r="I20" s="23"/>
      <c r="J20" s="269" t="e">
        <f>J19</f>
        <v>#VALUE!</v>
      </c>
      <c r="K20" s="23"/>
      <c r="L20" s="23"/>
      <c r="M20" s="268" t="str">
        <f>IFERROR(ABS(S20-U20)/U20,"FEHLER")</f>
        <v>FEHLER</v>
      </c>
      <c r="N20" s="23"/>
      <c r="O20" s="268" t="e">
        <f>RANK(M20,$M$4:$M$33,1)</f>
        <v>#VALUE!</v>
      </c>
      <c r="P20" s="268" t="e">
        <f t="shared" si="0"/>
        <v>#VALUE!</v>
      </c>
      <c r="Q20" s="23"/>
      <c r="R20" s="23" t="s">
        <v>3114</v>
      </c>
      <c r="S20" s="270">
        <f>Deckungssumme2GI</f>
        <v>0</v>
      </c>
      <c r="T20" s="23"/>
      <c r="U20" s="270" t="str">
        <f>'Newline - Tarif'!E20</f>
        <v/>
      </c>
      <c r="V20" s="270" t="str">
        <f t="shared" si="9"/>
        <v/>
      </c>
      <c r="W20" s="271" t="str">
        <f t="shared" si="2"/>
        <v/>
      </c>
      <c r="X20" s="268" t="str">
        <f t="shared" si="3"/>
        <v/>
      </c>
      <c r="Y20" s="23"/>
      <c r="Z20" s="23"/>
      <c r="AA20" s="23"/>
      <c r="AB20" s="268">
        <f>AB19</f>
        <v>0</v>
      </c>
      <c r="AC20" s="23"/>
      <c r="AD20" s="23" t="str">
        <f t="shared" si="4"/>
        <v/>
      </c>
      <c r="AE20" s="268" t="str">
        <f t="shared" si="5"/>
        <v/>
      </c>
      <c r="AF20" s="268" t="str">
        <f t="shared" si="6"/>
        <v/>
      </c>
      <c r="AG20" s="268" t="str">
        <f t="shared" si="10"/>
        <v/>
      </c>
      <c r="AH20" s="23"/>
      <c r="AI20" s="23"/>
      <c r="AJ20" s="268" t="str">
        <f>AG20</f>
        <v/>
      </c>
      <c r="AK20" s="268" t="str">
        <f>IF(AJ20="","",RANK(AJ20,AJ$4:AJ$33,1))</f>
        <v/>
      </c>
      <c r="AL20" s="23"/>
      <c r="AM20" s="23"/>
      <c r="AN20" s="23"/>
      <c r="AO20" s="238"/>
      <c r="AP20" s="272" t="str">
        <f>IF(AT20="Kein Angebot möglich","",IF(AK20=1,"XXX",""))</f>
        <v/>
      </c>
      <c r="AQ20" s="238"/>
      <c r="AR20" s="23"/>
      <c r="AS20" s="273" t="str">
        <f>'Newline - Tarif'!E24</f>
        <v/>
      </c>
      <c r="AT20" s="23" t="str">
        <f t="shared" si="7"/>
        <v>Kein Angebot möglich</v>
      </c>
      <c r="AU20" s="23">
        <f t="shared" si="8"/>
        <v>0</v>
      </c>
    </row>
    <row r="21" spans="1:47" ht="16.5" customHeight="1">
      <c r="A21" s="240" t="s">
        <v>2401</v>
      </c>
      <c r="B21" s="240" t="s">
        <v>2401</v>
      </c>
      <c r="C21" s="240"/>
      <c r="D21" s="240"/>
      <c r="E21" s="282"/>
      <c r="F21" s="274">
        <v>500000000</v>
      </c>
      <c r="G21" s="240"/>
      <c r="H21" s="240"/>
      <c r="I21" s="240"/>
      <c r="J21" s="275" t="e">
        <f>J19</f>
        <v>#VALUE!</v>
      </c>
      <c r="K21" s="240"/>
      <c r="L21" s="240"/>
      <c r="M21" s="240"/>
      <c r="N21" s="276" t="str">
        <f>IFERROR(ABS(S21-U21)/U21,"FEHLER")</f>
        <v>FEHLER</v>
      </c>
      <c r="O21" s="276" t="e">
        <f>RANK(N21,$N$4:$N$33,1)</f>
        <v>#VALUE!</v>
      </c>
      <c r="P21" s="276" t="e">
        <f t="shared" si="0"/>
        <v>#VALUE!</v>
      </c>
      <c r="Q21" s="240"/>
      <c r="R21" s="240" t="s">
        <v>3115</v>
      </c>
      <c r="S21" s="277">
        <f>Deckungssumme3GI</f>
        <v>0</v>
      </c>
      <c r="T21" s="240"/>
      <c r="U21" s="277" t="str">
        <f>'Newline - Tarif'!F20</f>
        <v/>
      </c>
      <c r="V21" s="277" t="str">
        <f t="shared" si="9"/>
        <v/>
      </c>
      <c r="W21" s="278" t="str">
        <f t="shared" si="2"/>
        <v/>
      </c>
      <c r="X21" s="276" t="str">
        <f t="shared" si="3"/>
        <v/>
      </c>
      <c r="Y21" s="240"/>
      <c r="Z21" s="240"/>
      <c r="AA21" s="240"/>
      <c r="AB21" s="276">
        <f>AB19</f>
        <v>0</v>
      </c>
      <c r="AC21" s="240"/>
      <c r="AD21" s="240" t="str">
        <f t="shared" si="4"/>
        <v/>
      </c>
      <c r="AE21" s="276" t="str">
        <f t="shared" si="5"/>
        <v/>
      </c>
      <c r="AF21" s="276" t="str">
        <f t="shared" si="6"/>
        <v/>
      </c>
      <c r="AG21" s="276" t="str">
        <f t="shared" si="10"/>
        <v/>
      </c>
      <c r="AH21" s="240"/>
      <c r="AI21" s="240"/>
      <c r="AJ21" s="240"/>
      <c r="AK21" s="240"/>
      <c r="AL21" s="276" t="str">
        <f>AG21</f>
        <v/>
      </c>
      <c r="AM21" s="276" t="str">
        <f>IF(AL21="","",RANK(AL21,AL$4:AL$33,1))</f>
        <v/>
      </c>
      <c r="AN21" s="240"/>
      <c r="AO21" s="248"/>
      <c r="AP21" s="248"/>
      <c r="AQ21" s="279" t="str">
        <f>IF(AT21="Kein Angebot möglich","",IF(AM21=1,"XXX",""))</f>
        <v/>
      </c>
      <c r="AR21" s="240"/>
      <c r="AS21" s="280" t="str">
        <f>'Newline - Tarif'!F24</f>
        <v/>
      </c>
      <c r="AT21" s="240" t="str">
        <f t="shared" si="7"/>
        <v>Kein Angebot möglich</v>
      </c>
      <c r="AU21" s="23">
        <f t="shared" si="8"/>
        <v>0</v>
      </c>
    </row>
    <row r="22" spans="1:47" ht="16.5" customHeight="1">
      <c r="A22" s="23" t="s">
        <v>2392</v>
      </c>
      <c r="B22" s="23" t="s">
        <v>2392</v>
      </c>
      <c r="C22" s="23"/>
      <c r="D22" s="23"/>
      <c r="E22" s="281"/>
      <c r="F22" s="266">
        <v>500000000</v>
      </c>
      <c r="G22" s="23"/>
      <c r="H22" s="267" t="str">
        <f>IFERROR('Inhaltliche Bewertung - GI'!R14,"FEHLER")</f>
        <v>FEHLER</v>
      </c>
      <c r="I22" s="268" t="e">
        <f>RANK(H22,H$4:H$33,0)</f>
        <v>#VALUE!</v>
      </c>
      <c r="J22" s="269" t="e">
        <f>J$2*I22</f>
        <v>#VALUE!</v>
      </c>
      <c r="K22" s="23"/>
      <c r="L22" s="268" t="str">
        <f>IFERROR(ABS(S22-U22)/U22,"FEHLER")</f>
        <v>FEHLER</v>
      </c>
      <c r="M22" s="23"/>
      <c r="N22" s="23"/>
      <c r="O22" s="268" t="e">
        <f>RANK(L22,$L$4:$L$33,1)</f>
        <v>#VALUE!</v>
      </c>
      <c r="P22" s="268" t="e">
        <f t="shared" si="0"/>
        <v>#VALUE!</v>
      </c>
      <c r="Q22" s="23"/>
      <c r="R22" s="23" t="s">
        <v>3113</v>
      </c>
      <c r="S22" s="270">
        <f>Deckungssumme1GI</f>
        <v>0</v>
      </c>
      <c r="T22" s="23"/>
      <c r="U22" s="270" t="str">
        <f>'Berkley - Tarif'!D18</f>
        <v/>
      </c>
      <c r="V22" s="270" t="str">
        <f t="shared" si="9"/>
        <v/>
      </c>
      <c r="W22" s="271" t="str">
        <f t="shared" si="2"/>
        <v/>
      </c>
      <c r="X22" s="268" t="str">
        <f t="shared" si="3"/>
        <v/>
      </c>
      <c r="Y22" s="23"/>
      <c r="Z22" s="268">
        <v>100</v>
      </c>
      <c r="AA22" s="268">
        <f>RANK(Z22,Z$4:Z$33,0)</f>
        <v>1</v>
      </c>
      <c r="AB22" s="268">
        <f>AB$2*AA22</f>
        <v>0</v>
      </c>
      <c r="AC22" s="23"/>
      <c r="AD22" s="23" t="str">
        <f t="shared" si="4"/>
        <v/>
      </c>
      <c r="AE22" s="268" t="str">
        <f t="shared" si="5"/>
        <v/>
      </c>
      <c r="AF22" s="268" t="str">
        <f t="shared" si="6"/>
        <v/>
      </c>
      <c r="AG22" s="268" t="str">
        <f t="shared" si="10"/>
        <v/>
      </c>
      <c r="AH22" s="268" t="str">
        <f>AG22</f>
        <v/>
      </c>
      <c r="AI22" s="268" t="str">
        <f>IF(AH22="","",RANK(AH22,AH$4:AH$33,1))</f>
        <v/>
      </c>
      <c r="AJ22" s="23"/>
      <c r="AK22" s="23"/>
      <c r="AL22" s="23"/>
      <c r="AM22" s="23"/>
      <c r="AN22" s="23"/>
      <c r="AO22" s="272" t="str">
        <f>IF(AT22="Kein Angebot möglich","",IF(AI22=1,"XXX",""))</f>
        <v/>
      </c>
      <c r="AP22" s="238"/>
      <c r="AQ22" s="238"/>
      <c r="AR22" s="23"/>
      <c r="AS22" s="771" t="str">
        <f>'Berkley - Tarif'!D22</f>
        <v/>
      </c>
      <c r="AT22" s="23" t="str">
        <f t="shared" si="7"/>
        <v>Kein Angebot möglich</v>
      </c>
      <c r="AU22" s="23">
        <f t="shared" si="8"/>
        <v>0</v>
      </c>
    </row>
    <row r="23" spans="1:47" ht="16.5" customHeight="1">
      <c r="A23" s="23" t="s">
        <v>2392</v>
      </c>
      <c r="B23" s="23" t="s">
        <v>2392</v>
      </c>
      <c r="C23" s="23"/>
      <c r="D23" s="23"/>
      <c r="E23" s="281"/>
      <c r="F23" s="266">
        <v>500000000</v>
      </c>
      <c r="G23" s="23"/>
      <c r="H23" s="23"/>
      <c r="I23" s="23"/>
      <c r="J23" s="269" t="e">
        <f>J22</f>
        <v>#VALUE!</v>
      </c>
      <c r="K23" s="23"/>
      <c r="L23" s="23"/>
      <c r="M23" s="268" t="str">
        <f>IFERROR(ABS(S23-U23)/U23,"FEHLER")</f>
        <v>FEHLER</v>
      </c>
      <c r="N23" s="23"/>
      <c r="O23" s="268" t="e">
        <f>RANK(M23,$M$4:$M$33,1)</f>
        <v>#VALUE!</v>
      </c>
      <c r="P23" s="268" t="e">
        <f t="shared" si="0"/>
        <v>#VALUE!</v>
      </c>
      <c r="Q23" s="23"/>
      <c r="R23" s="23" t="s">
        <v>3114</v>
      </c>
      <c r="S23" s="270">
        <f>Deckungssumme2GI</f>
        <v>0</v>
      </c>
      <c r="T23" s="23"/>
      <c r="U23" s="270" t="str">
        <f>'Berkley - Tarif'!E18</f>
        <v/>
      </c>
      <c r="V23" s="270" t="str">
        <f t="shared" si="9"/>
        <v/>
      </c>
      <c r="W23" s="271" t="str">
        <f t="shared" si="2"/>
        <v/>
      </c>
      <c r="X23" s="268" t="str">
        <f t="shared" si="3"/>
        <v/>
      </c>
      <c r="Y23" s="23"/>
      <c r="Z23" s="23"/>
      <c r="AA23" s="23"/>
      <c r="AB23" s="268">
        <f>AB22</f>
        <v>0</v>
      </c>
      <c r="AC23" s="23"/>
      <c r="AD23" s="23" t="str">
        <f t="shared" si="4"/>
        <v/>
      </c>
      <c r="AE23" s="268" t="str">
        <f t="shared" si="5"/>
        <v/>
      </c>
      <c r="AF23" s="268" t="str">
        <f t="shared" si="6"/>
        <v/>
      </c>
      <c r="AG23" s="268" t="str">
        <f t="shared" si="10"/>
        <v/>
      </c>
      <c r="AH23" s="23"/>
      <c r="AI23" s="23"/>
      <c r="AJ23" s="268" t="str">
        <f>AG23</f>
        <v/>
      </c>
      <c r="AK23" s="268" t="str">
        <f>IF(AJ23="","",RANK(AJ23,AJ$4:AJ$33,1))</f>
        <v/>
      </c>
      <c r="AL23" s="23"/>
      <c r="AM23" s="23"/>
      <c r="AN23" s="23"/>
      <c r="AO23" s="238"/>
      <c r="AP23" s="272" t="str">
        <f>IF(AT23="Kein Angebot möglich","",IF(AK23=1,"XXX",""))</f>
        <v/>
      </c>
      <c r="AQ23" s="238"/>
      <c r="AR23" s="23"/>
      <c r="AS23" s="617" t="str">
        <f>'Berkley - Tarif'!E22</f>
        <v/>
      </c>
      <c r="AT23" s="23" t="str">
        <f t="shared" si="7"/>
        <v>Kein Angebot möglich</v>
      </c>
      <c r="AU23" s="23">
        <f t="shared" si="8"/>
        <v>0</v>
      </c>
    </row>
    <row r="24" spans="1:47" ht="16.5" customHeight="1">
      <c r="A24" s="240" t="s">
        <v>2392</v>
      </c>
      <c r="B24" s="240" t="s">
        <v>2392</v>
      </c>
      <c r="C24" s="240"/>
      <c r="D24" s="240"/>
      <c r="E24" s="282"/>
      <c r="F24" s="274">
        <v>500000000</v>
      </c>
      <c r="G24" s="240"/>
      <c r="H24" s="240"/>
      <c r="I24" s="240"/>
      <c r="J24" s="275" t="e">
        <f>J22</f>
        <v>#VALUE!</v>
      </c>
      <c r="K24" s="240"/>
      <c r="L24" s="240"/>
      <c r="M24" s="240"/>
      <c r="N24" s="276" t="str">
        <f>IFERROR(ABS(S24-U24)/U24,"FEHLER")</f>
        <v>FEHLER</v>
      </c>
      <c r="O24" s="276" t="e">
        <f>RANK(N24,$N$4:$N$33,1)</f>
        <v>#VALUE!</v>
      </c>
      <c r="P24" s="276" t="e">
        <f t="shared" si="0"/>
        <v>#VALUE!</v>
      </c>
      <c r="Q24" s="240"/>
      <c r="R24" s="240" t="s">
        <v>3115</v>
      </c>
      <c r="S24" s="277">
        <f>Deckungssumme3GI</f>
        <v>0</v>
      </c>
      <c r="T24" s="240"/>
      <c r="U24" s="277" t="str">
        <f>'Berkley - Tarif'!F18</f>
        <v/>
      </c>
      <c r="V24" s="277" t="str">
        <f t="shared" si="9"/>
        <v/>
      </c>
      <c r="W24" s="278" t="str">
        <f t="shared" si="2"/>
        <v/>
      </c>
      <c r="X24" s="276" t="str">
        <f t="shared" si="3"/>
        <v/>
      </c>
      <c r="Y24" s="240"/>
      <c r="Z24" s="240"/>
      <c r="AA24" s="240"/>
      <c r="AB24" s="276">
        <f>AB22</f>
        <v>0</v>
      </c>
      <c r="AC24" s="240"/>
      <c r="AD24" s="240" t="str">
        <f t="shared" si="4"/>
        <v/>
      </c>
      <c r="AE24" s="276" t="str">
        <f t="shared" si="5"/>
        <v/>
      </c>
      <c r="AF24" s="276" t="str">
        <f t="shared" si="6"/>
        <v/>
      </c>
      <c r="AG24" s="276" t="str">
        <f t="shared" si="10"/>
        <v/>
      </c>
      <c r="AH24" s="240"/>
      <c r="AI24" s="240"/>
      <c r="AJ24" s="240"/>
      <c r="AK24" s="240"/>
      <c r="AL24" s="276" t="str">
        <f>AG24</f>
        <v/>
      </c>
      <c r="AM24" s="276" t="str">
        <f>IF(AL24="","",RANK(AL24,AL$4:AL$33,1))</f>
        <v/>
      </c>
      <c r="AN24" s="240"/>
      <c r="AO24" s="248"/>
      <c r="AP24" s="248"/>
      <c r="AQ24" s="279" t="str">
        <f>IF(AT24="Kein Angebot möglich","",IF(AM24=1,"XXX",""))</f>
        <v/>
      </c>
      <c r="AR24" s="240"/>
      <c r="AS24" s="746" t="str">
        <f>'Berkley - Tarif'!F22</f>
        <v/>
      </c>
      <c r="AT24" s="240" t="str">
        <f t="shared" si="7"/>
        <v>Kein Angebot möglich</v>
      </c>
      <c r="AU24" s="23">
        <f t="shared" si="8"/>
        <v>0</v>
      </c>
    </row>
    <row r="25" spans="1:47" ht="16.5" customHeight="1">
      <c r="A25" s="600" t="s">
        <v>3727</v>
      </c>
      <c r="B25" s="600" t="s">
        <v>3727</v>
      </c>
      <c r="C25" s="600"/>
      <c r="D25" s="600"/>
      <c r="E25" s="611"/>
      <c r="F25" s="612">
        <v>250000000</v>
      </c>
      <c r="G25" s="600"/>
      <c r="H25" s="618">
        <f>IFERROR('Inhaltliche Bewertung - GI'!ET14,"FEHLER")</f>
        <v>0</v>
      </c>
      <c r="I25" s="600">
        <f>RANK(H25,H$4:H$33,0)</f>
        <v>1</v>
      </c>
      <c r="J25" s="613">
        <f>J$2*I25</f>
        <v>0</v>
      </c>
      <c r="K25" s="600"/>
      <c r="L25" s="268" t="str">
        <f>IFERROR(ABS(S25-U25)/U25,"FEHLER")</f>
        <v>FEHLER</v>
      </c>
      <c r="M25" s="23"/>
      <c r="N25" s="23"/>
      <c r="O25" s="614" t="e">
        <f>RANK(L25,$L$4:$L$33,1)</f>
        <v>#VALUE!</v>
      </c>
      <c r="P25" s="619" t="e">
        <f t="shared" si="0"/>
        <v>#VALUE!</v>
      </c>
      <c r="Q25" s="600"/>
      <c r="R25" s="600" t="s">
        <v>3113</v>
      </c>
      <c r="S25" s="615">
        <f>Deckungssumme1GI</f>
        <v>0</v>
      </c>
      <c r="T25" s="600"/>
      <c r="U25" s="615" t="str">
        <f>'Markel - Tarif'!D22</f>
        <v/>
      </c>
      <c r="V25" s="615" t="e">
        <f>AS25</f>
        <v>#N/A</v>
      </c>
      <c r="W25" s="620" t="e">
        <f t="shared" si="2"/>
        <v>#N/A</v>
      </c>
      <c r="X25" s="614" t="e">
        <f t="shared" si="3"/>
        <v>#N/A</v>
      </c>
      <c r="Y25" s="600"/>
      <c r="Z25" s="614">
        <v>100</v>
      </c>
      <c r="AA25" s="614">
        <f>RANK(Z25,Z$4:Z$33,0)</f>
        <v>1</v>
      </c>
      <c r="AB25" s="614">
        <f>AB$2*AA25</f>
        <v>0</v>
      </c>
      <c r="AC25" s="600"/>
      <c r="AD25" s="23" t="e">
        <f t="shared" ref="AD25:AD33" si="11">IF($E$2&gt;F25,"",IF(X25="","",SUM(J25+X25+AB25+P25)))</f>
        <v>#N/A</v>
      </c>
      <c r="AE25" s="614" t="e">
        <f t="shared" si="5"/>
        <v>#N/A</v>
      </c>
      <c r="AF25" s="614" t="e">
        <f t="shared" ref="AF25:AF33" si="12">IF(AE25="","",IF(AT25="Kein Angebot möglich","",IF($E$2&gt;F25,"",IF(X25="","",SUM(J25+X25+AB25+P25)))))</f>
        <v>#N/A</v>
      </c>
      <c r="AG25" s="614" t="e">
        <f t="shared" si="10"/>
        <v>#N/A</v>
      </c>
      <c r="AH25" s="614" t="e">
        <f>AG25</f>
        <v>#N/A</v>
      </c>
      <c r="AI25" s="614" t="e">
        <f>IF(AH25="","",RANK(AH25,AH$4:AH$33,1))</f>
        <v>#N/A</v>
      </c>
      <c r="AJ25" s="23"/>
      <c r="AK25" s="23"/>
      <c r="AL25" s="23"/>
      <c r="AM25" s="23"/>
      <c r="AN25" s="600"/>
      <c r="AO25" s="616" t="e">
        <f>IF(AT25="Kein Angebot möglich","",IF(AI25=1,"XXX",""))</f>
        <v>#N/A</v>
      </c>
      <c r="AP25" s="238"/>
      <c r="AQ25" s="238"/>
      <c r="AR25" s="600"/>
      <c r="AS25" s="617" t="e">
        <f>IF(GesellschaftsformGI="Verein",'Markel - Tarif Vereine'!D$22,'Markel - Tarif'!D$26)</f>
        <v>#N/A</v>
      </c>
      <c r="AT25" s="23" t="e">
        <f t="shared" si="7"/>
        <v>#N/A</v>
      </c>
      <c r="AU25" s="23" t="e">
        <f t="shared" si="8"/>
        <v>#N/A</v>
      </c>
    </row>
    <row r="26" spans="1:47" ht="16.5" customHeight="1">
      <c r="A26" s="600" t="s">
        <v>3727</v>
      </c>
      <c r="B26" s="600" t="s">
        <v>3727</v>
      </c>
      <c r="C26" s="600"/>
      <c r="D26" s="600"/>
      <c r="E26" s="611"/>
      <c r="F26" s="612">
        <v>250000000</v>
      </c>
      <c r="G26" s="600"/>
      <c r="H26" s="600"/>
      <c r="I26" s="600"/>
      <c r="J26" s="613">
        <f>J25</f>
        <v>0</v>
      </c>
      <c r="K26" s="600"/>
      <c r="L26" s="23"/>
      <c r="M26" s="268" t="str">
        <f>IFERROR(ABS(S26-U26)/U26,"FEHLER")</f>
        <v>FEHLER</v>
      </c>
      <c r="N26" s="23"/>
      <c r="O26" s="614" t="e">
        <f>RANK(M26,$M$4:$M$33,1)</f>
        <v>#VALUE!</v>
      </c>
      <c r="P26" s="619" t="e">
        <f t="shared" si="0"/>
        <v>#VALUE!</v>
      </c>
      <c r="Q26" s="600"/>
      <c r="R26" s="600" t="s">
        <v>3114</v>
      </c>
      <c r="S26" s="615">
        <f>Deckungssumme2GI</f>
        <v>0</v>
      </c>
      <c r="T26" s="600"/>
      <c r="U26" s="615" t="str">
        <f>'Markel - Tarif'!E22</f>
        <v/>
      </c>
      <c r="V26" s="615" t="e">
        <f t="shared" si="9"/>
        <v>#N/A</v>
      </c>
      <c r="W26" s="620" t="e">
        <f t="shared" si="2"/>
        <v>#N/A</v>
      </c>
      <c r="X26" s="614" t="e">
        <f t="shared" si="3"/>
        <v>#N/A</v>
      </c>
      <c r="Y26" s="600"/>
      <c r="Z26" s="600"/>
      <c r="AA26" s="600"/>
      <c r="AB26" s="614">
        <f>AB25</f>
        <v>0</v>
      </c>
      <c r="AC26" s="600"/>
      <c r="AD26" s="23" t="e">
        <f t="shared" si="11"/>
        <v>#N/A</v>
      </c>
      <c r="AE26" s="614" t="e">
        <f t="shared" si="5"/>
        <v>#N/A</v>
      </c>
      <c r="AF26" s="614" t="e">
        <f t="shared" si="12"/>
        <v>#N/A</v>
      </c>
      <c r="AG26" s="614" t="e">
        <f t="shared" si="10"/>
        <v>#N/A</v>
      </c>
      <c r="AH26" s="600"/>
      <c r="AI26" s="600"/>
      <c r="AJ26" s="614" t="e">
        <f>AG26</f>
        <v>#N/A</v>
      </c>
      <c r="AK26" s="614" t="e">
        <f>IF(AJ26="","",RANK(AJ26,AJ$4:AJ$33,1))</f>
        <v>#N/A</v>
      </c>
      <c r="AL26" s="23"/>
      <c r="AM26" s="23"/>
      <c r="AN26" s="600"/>
      <c r="AO26" s="238"/>
      <c r="AP26" s="616" t="e">
        <f>IF(AT26="Kein Angebot möglich","",IF(AK26=1,"XXX",""))</f>
        <v>#N/A</v>
      </c>
      <c r="AQ26" s="238"/>
      <c r="AR26" s="600"/>
      <c r="AS26" s="617" t="e">
        <f>IF(GesellschaftsformGI="Verein",'Markel - Tarif Vereine'!E22,'Markel - Tarif'!E26)</f>
        <v>#N/A</v>
      </c>
      <c r="AT26" s="23" t="e">
        <f t="shared" si="7"/>
        <v>#N/A</v>
      </c>
      <c r="AU26" s="23" t="e">
        <f t="shared" si="8"/>
        <v>#N/A</v>
      </c>
    </row>
    <row r="27" spans="1:47" s="658" customFormat="1" ht="16.5" customHeight="1">
      <c r="A27" s="600" t="s">
        <v>3727</v>
      </c>
      <c r="B27" s="600" t="s">
        <v>3727</v>
      </c>
      <c r="C27" s="600"/>
      <c r="D27" s="600"/>
      <c r="E27" s="611"/>
      <c r="F27" s="739">
        <v>250000000</v>
      </c>
      <c r="G27" s="600"/>
      <c r="H27" s="600"/>
      <c r="I27" s="600"/>
      <c r="J27" s="613">
        <f>J25</f>
        <v>0</v>
      </c>
      <c r="K27" s="600"/>
      <c r="L27" s="600"/>
      <c r="M27" s="600"/>
      <c r="N27" s="276" t="str">
        <f>IFERROR(ABS(S27-U27)/U27,"FEHLER")</f>
        <v>FEHLER</v>
      </c>
      <c r="O27" s="614" t="e">
        <f>RANK(N27,$N$4:$N$33,1)</f>
        <v>#VALUE!</v>
      </c>
      <c r="P27" s="614" t="e">
        <f t="shared" si="0"/>
        <v>#VALUE!</v>
      </c>
      <c r="Q27" s="600"/>
      <c r="R27" s="600" t="s">
        <v>3115</v>
      </c>
      <c r="S27" s="615">
        <f>Deckungssumme3GI</f>
        <v>0</v>
      </c>
      <c r="T27" s="600"/>
      <c r="U27" s="615" t="str">
        <f>'Markel - Tarif'!F22</f>
        <v/>
      </c>
      <c r="V27" s="615" t="e">
        <f t="shared" si="9"/>
        <v>#N/A</v>
      </c>
      <c r="W27" s="620" t="e">
        <f t="shared" si="2"/>
        <v>#N/A</v>
      </c>
      <c r="X27" s="614" t="e">
        <f t="shared" si="3"/>
        <v>#N/A</v>
      </c>
      <c r="Y27" s="600"/>
      <c r="Z27" s="600"/>
      <c r="AA27" s="600"/>
      <c r="AB27" s="614">
        <f>AB25</f>
        <v>0</v>
      </c>
      <c r="AC27" s="600"/>
      <c r="AD27" s="600" t="e">
        <f t="shared" si="11"/>
        <v>#N/A</v>
      </c>
      <c r="AE27" s="614" t="e">
        <f t="shared" si="5"/>
        <v>#N/A</v>
      </c>
      <c r="AF27" s="614" t="e">
        <f t="shared" si="12"/>
        <v>#N/A</v>
      </c>
      <c r="AG27" s="614" t="e">
        <f t="shared" si="10"/>
        <v>#N/A</v>
      </c>
      <c r="AH27" s="600"/>
      <c r="AI27" s="600"/>
      <c r="AJ27" s="600"/>
      <c r="AK27" s="600"/>
      <c r="AL27" s="614" t="e">
        <f>AG27</f>
        <v>#N/A</v>
      </c>
      <c r="AM27" s="614" t="e">
        <f>IF(AL27="","",RANK(AL27,AL$4:AL$33,1))</f>
        <v>#N/A</v>
      </c>
      <c r="AN27" s="600"/>
      <c r="AO27" s="719"/>
      <c r="AP27" s="719"/>
      <c r="AQ27" s="616" t="e">
        <f>IF(AT27="Kein Angebot möglich","",IF(AM27=1,"XXX",""))</f>
        <v>#N/A</v>
      </c>
      <c r="AR27" s="600"/>
      <c r="AS27" s="617" t="e">
        <f>IF(GesellschaftsformGI="Verein",'Markel - Tarif Vereine'!F22,'Markel - Tarif'!F26)</f>
        <v>#N/A</v>
      </c>
      <c r="AT27" s="600" t="e">
        <f t="shared" si="7"/>
        <v>#N/A</v>
      </c>
      <c r="AU27" s="600" t="e">
        <f t="shared" si="8"/>
        <v>#N/A</v>
      </c>
    </row>
    <row r="28" spans="1:47" s="731" customFormat="1" ht="16.5" customHeight="1">
      <c r="A28" s="720" t="s">
        <v>3747</v>
      </c>
      <c r="B28" s="721" t="s">
        <v>3747</v>
      </c>
      <c r="C28" s="722"/>
      <c r="D28" s="722"/>
      <c r="E28" s="723"/>
      <c r="F28" s="612">
        <v>250000000</v>
      </c>
      <c r="G28" s="722"/>
      <c r="H28" s="724">
        <f>IFERROR('Inhaltliche Bewertung - GI'!R20,"FEHLER")</f>
        <v>0</v>
      </c>
      <c r="I28" s="725">
        <f>RANK(H28,H$4:H$33,0)</f>
        <v>1</v>
      </c>
      <c r="J28" s="726">
        <f>J$2*I28</f>
        <v>0</v>
      </c>
      <c r="K28" s="722"/>
      <c r="L28" s="268" t="str">
        <f>IFERROR(ABS(S28-U28)/U28,"FEHLER")</f>
        <v>FEHLER</v>
      </c>
      <c r="M28" s="722"/>
      <c r="N28" s="722"/>
      <c r="O28" s="725" t="e">
        <f>RANK(L28,$L$4:$L$33,1)</f>
        <v>#VALUE!</v>
      </c>
      <c r="P28" s="725" t="e">
        <f t="shared" ref="P28:P33" si="13">O28*$P$2</f>
        <v>#VALUE!</v>
      </c>
      <c r="Q28" s="722"/>
      <c r="R28" s="722" t="s">
        <v>3113</v>
      </c>
      <c r="S28" s="727">
        <f>Deckungssumme1GI</f>
        <v>0</v>
      </c>
      <c r="T28" s="722"/>
      <c r="U28" s="727" t="str">
        <f>'Liberty - Tarif'!D$18</f>
        <v/>
      </c>
      <c r="V28" s="727" t="e">
        <f t="shared" ref="V28:V33" si="14">AS28</f>
        <v>#N/A</v>
      </c>
      <c r="W28" s="728" t="e">
        <f t="shared" si="2"/>
        <v>#N/A</v>
      </c>
      <c r="X28" s="725" t="e">
        <f t="shared" ref="X28:X33" si="15">IF(W28="","",X$2*W28)</f>
        <v>#N/A</v>
      </c>
      <c r="Y28" s="722"/>
      <c r="Z28" s="725">
        <v>100</v>
      </c>
      <c r="AA28" s="725">
        <f>RANK(Z28,Z$4:Z$33,0)</f>
        <v>1</v>
      </c>
      <c r="AB28" s="725">
        <f>AB$2*AA28</f>
        <v>0</v>
      </c>
      <c r="AC28" s="722"/>
      <c r="AD28" s="722" t="e">
        <f t="shared" si="11"/>
        <v>#N/A</v>
      </c>
      <c r="AE28" s="725" t="e">
        <f t="shared" si="5"/>
        <v>#N/A</v>
      </c>
      <c r="AF28" s="725" t="e">
        <f t="shared" si="12"/>
        <v>#N/A</v>
      </c>
      <c r="AG28" s="725" t="e">
        <f t="shared" si="10"/>
        <v>#N/A</v>
      </c>
      <c r="AH28" s="725" t="e">
        <f>AG28</f>
        <v>#N/A</v>
      </c>
      <c r="AI28" s="725" t="e">
        <f>IF(AH28="","",RANK(AH28,AH$4:AH$33,1))</f>
        <v>#N/A</v>
      </c>
      <c r="AJ28" s="722"/>
      <c r="AK28" s="722"/>
      <c r="AL28" s="722"/>
      <c r="AM28" s="722"/>
      <c r="AN28" s="722"/>
      <c r="AO28" s="729" t="e">
        <f>IF(AT28="Kein Angebot möglich","",IF(AI28=1,"XXX",""))</f>
        <v>#N/A</v>
      </c>
      <c r="AP28" s="730"/>
      <c r="AQ28" s="730"/>
      <c r="AR28" s="722"/>
      <c r="AS28" s="771" t="e">
        <f>IF(GesellschaftsformGI="Verein",'Liberty - Tarif Verein'!D$26,'Liberty - Tarif'!D$22)</f>
        <v>#N/A</v>
      </c>
      <c r="AT28" s="722" t="e">
        <f t="shared" ref="AT28:AT33" si="16">IF(OR(AS28=0,AS28=""),"Kein Angebot möglich","")</f>
        <v>#N/A</v>
      </c>
      <c r="AU28" s="722" t="e">
        <f t="shared" ref="AU28:AU33" si="17">IF(AS28="",0,IF(AS28="Kein Angebot möglich",0,1))</f>
        <v>#N/A</v>
      </c>
    </row>
    <row r="29" spans="1:47" s="658" customFormat="1" ht="16.5" customHeight="1">
      <c r="A29" s="732" t="s">
        <v>3747</v>
      </c>
      <c r="B29" s="733" t="s">
        <v>3747</v>
      </c>
      <c r="C29" s="600"/>
      <c r="D29" s="600"/>
      <c r="E29" s="611"/>
      <c r="F29" s="612">
        <v>250000000</v>
      </c>
      <c r="G29" s="600"/>
      <c r="H29" s="600"/>
      <c r="I29" s="600"/>
      <c r="J29" s="613">
        <f>J28</f>
        <v>0</v>
      </c>
      <c r="K29" s="600"/>
      <c r="L29" s="600"/>
      <c r="M29" s="268" t="str">
        <f>IFERROR(ABS(S29-U29)/U29,"FEHLER")</f>
        <v>FEHLER</v>
      </c>
      <c r="N29" s="600"/>
      <c r="O29" s="614" t="e">
        <f>RANK(M29,$M$4:$M$33,1)</f>
        <v>#VALUE!</v>
      </c>
      <c r="P29" s="614" t="e">
        <f t="shared" si="13"/>
        <v>#VALUE!</v>
      </c>
      <c r="Q29" s="600"/>
      <c r="R29" s="600" t="s">
        <v>3114</v>
      </c>
      <c r="S29" s="615">
        <f>Deckungssumme2GI</f>
        <v>0</v>
      </c>
      <c r="T29" s="600"/>
      <c r="U29" s="615" t="str">
        <f>'Liberty - Tarif'!E$18</f>
        <v/>
      </c>
      <c r="V29" s="615" t="e">
        <f t="shared" si="14"/>
        <v>#N/A</v>
      </c>
      <c r="W29" s="734" t="e">
        <f t="shared" si="2"/>
        <v>#N/A</v>
      </c>
      <c r="X29" s="614" t="e">
        <f t="shared" si="15"/>
        <v>#N/A</v>
      </c>
      <c r="Y29" s="600"/>
      <c r="Z29" s="600"/>
      <c r="AA29" s="600"/>
      <c r="AB29" s="614">
        <f>AB28</f>
        <v>0</v>
      </c>
      <c r="AC29" s="600"/>
      <c r="AD29" s="600" t="e">
        <f t="shared" si="11"/>
        <v>#N/A</v>
      </c>
      <c r="AE29" s="614" t="e">
        <f t="shared" si="5"/>
        <v>#N/A</v>
      </c>
      <c r="AF29" s="614" t="e">
        <f t="shared" si="12"/>
        <v>#N/A</v>
      </c>
      <c r="AG29" s="614" t="e">
        <f t="shared" si="10"/>
        <v>#N/A</v>
      </c>
      <c r="AH29" s="600"/>
      <c r="AI29" s="600"/>
      <c r="AJ29" s="614" t="e">
        <f>AG29</f>
        <v>#N/A</v>
      </c>
      <c r="AK29" s="614" t="e">
        <f>IF(AJ29="","",RANK(AJ29,AJ$4:AJ$33,1))</f>
        <v>#N/A</v>
      </c>
      <c r="AL29" s="600"/>
      <c r="AM29" s="600"/>
      <c r="AN29" s="600"/>
      <c r="AO29" s="719"/>
      <c r="AP29" s="616" t="e">
        <f>IF(AT29="Kein Angebot möglich","",IF(AK29=1,"XXX",""))</f>
        <v>#N/A</v>
      </c>
      <c r="AQ29" s="719"/>
      <c r="AR29" s="600"/>
      <c r="AS29" s="617" t="e">
        <f>IF(GesellschaftsformGI="Verein",'Liberty - Tarif Verein'!E$26,'Liberty - Tarif'!F$22)</f>
        <v>#N/A</v>
      </c>
      <c r="AT29" s="600" t="e">
        <f t="shared" si="16"/>
        <v>#N/A</v>
      </c>
      <c r="AU29" s="600" t="e">
        <f t="shared" si="17"/>
        <v>#N/A</v>
      </c>
    </row>
    <row r="30" spans="1:47" s="747" customFormat="1" ht="16.5" customHeight="1">
      <c r="A30" s="735" t="s">
        <v>3747</v>
      </c>
      <c r="B30" s="736" t="s">
        <v>3747</v>
      </c>
      <c r="C30" s="737"/>
      <c r="D30" s="737"/>
      <c r="E30" s="738"/>
      <c r="F30" s="739">
        <v>250000000</v>
      </c>
      <c r="G30" s="737"/>
      <c r="H30" s="737"/>
      <c r="I30" s="737"/>
      <c r="J30" s="740">
        <f>J28</f>
        <v>0</v>
      </c>
      <c r="K30" s="737"/>
      <c r="L30" s="737"/>
      <c r="M30" s="737"/>
      <c r="N30" s="276" t="str">
        <f>IFERROR(ABS(S30-U30)/U30,"FEHLER")</f>
        <v>FEHLER</v>
      </c>
      <c r="O30" s="741" t="e">
        <f>RANK(N30,$N$4:$N$33,1)</f>
        <v>#VALUE!</v>
      </c>
      <c r="P30" s="741" t="e">
        <f t="shared" si="13"/>
        <v>#VALUE!</v>
      </c>
      <c r="Q30" s="737"/>
      <c r="R30" s="737" t="s">
        <v>3115</v>
      </c>
      <c r="S30" s="742">
        <f>Deckungssumme3GI</f>
        <v>0</v>
      </c>
      <c r="T30" s="737"/>
      <c r="U30" s="742" t="str">
        <f>'Liberty - Tarif'!F$18</f>
        <v/>
      </c>
      <c r="V30" s="742" t="e">
        <f t="shared" si="14"/>
        <v>#N/A</v>
      </c>
      <c r="W30" s="743" t="e">
        <f t="shared" si="2"/>
        <v>#N/A</v>
      </c>
      <c r="X30" s="741" t="e">
        <f t="shared" si="15"/>
        <v>#N/A</v>
      </c>
      <c r="Y30" s="737"/>
      <c r="Z30" s="737"/>
      <c r="AA30" s="737"/>
      <c r="AB30" s="741">
        <f>AB28</f>
        <v>0</v>
      </c>
      <c r="AC30" s="737"/>
      <c r="AD30" s="737" t="e">
        <f t="shared" si="11"/>
        <v>#N/A</v>
      </c>
      <c r="AE30" s="741" t="e">
        <f t="shared" si="5"/>
        <v>#N/A</v>
      </c>
      <c r="AF30" s="741" t="e">
        <f t="shared" si="12"/>
        <v>#N/A</v>
      </c>
      <c r="AG30" s="741" t="e">
        <f t="shared" si="10"/>
        <v>#N/A</v>
      </c>
      <c r="AH30" s="737"/>
      <c r="AI30" s="737"/>
      <c r="AJ30" s="737"/>
      <c r="AK30" s="737"/>
      <c r="AL30" s="741" t="e">
        <f>AG30</f>
        <v>#N/A</v>
      </c>
      <c r="AM30" s="741" t="e">
        <f>IF(AL30="","",RANK(AL30,AL$4:AL$33,1))</f>
        <v>#N/A</v>
      </c>
      <c r="AN30" s="737"/>
      <c r="AO30" s="744"/>
      <c r="AP30" s="744"/>
      <c r="AQ30" s="745" t="e">
        <f>IF(AT30="Kein Angebot möglich","",IF(AM30=1,"XXX",""))</f>
        <v>#N/A</v>
      </c>
      <c r="AR30" s="737"/>
      <c r="AS30" s="746" t="e">
        <f>IF(GesellschaftsformGI="Verein",'Liberty - Tarif Verein'!F$26,'Liberty - Tarif'!F$22)</f>
        <v>#N/A</v>
      </c>
      <c r="AT30" s="737" t="e">
        <f t="shared" si="16"/>
        <v>#N/A</v>
      </c>
      <c r="AU30" s="737" t="e">
        <f t="shared" si="17"/>
        <v>#N/A</v>
      </c>
    </row>
    <row r="31" spans="1:47" s="658" customFormat="1" ht="16.5" customHeight="1">
      <c r="A31" s="846" t="s">
        <v>3797</v>
      </c>
      <c r="B31" s="846" t="s">
        <v>3797</v>
      </c>
      <c r="C31" s="600"/>
      <c r="D31" s="600"/>
      <c r="E31" s="611"/>
      <c r="F31" s="612">
        <v>500000000</v>
      </c>
      <c r="G31" s="600"/>
      <c r="H31" s="600">
        <f>IFERROR('Inhaltliche Bewertung - GI'!ET14,"FEHLER")</f>
        <v>0</v>
      </c>
      <c r="I31" s="600">
        <f>RANK(H28,H$4:H$33,0)</f>
        <v>1</v>
      </c>
      <c r="J31" s="613">
        <f>J$2*I31</f>
        <v>0</v>
      </c>
      <c r="K31" s="600"/>
      <c r="L31" s="268" t="str">
        <f>IFERROR(ABS(S31-U31)/U31,"FEHLER")</f>
        <v>FEHLER</v>
      </c>
      <c r="M31" s="600"/>
      <c r="N31" s="600"/>
      <c r="O31" s="725" t="e">
        <f>RANK(L31,$L$4:$L$33,1)</f>
        <v>#VALUE!</v>
      </c>
      <c r="P31" s="725" t="e">
        <f t="shared" si="13"/>
        <v>#VALUE!</v>
      </c>
      <c r="Q31" s="600"/>
      <c r="R31" s="722" t="s">
        <v>3113</v>
      </c>
      <c r="S31" s="727">
        <f>Deckungssumme1GI</f>
        <v>0</v>
      </c>
      <c r="T31" s="600"/>
      <c r="U31" s="615" t="str">
        <f>'ERGO - Tarif'!C17</f>
        <v/>
      </c>
      <c r="V31" s="727" t="str">
        <f t="shared" si="14"/>
        <v/>
      </c>
      <c r="W31" s="728" t="str">
        <f t="shared" si="2"/>
        <v/>
      </c>
      <c r="X31" s="725" t="str">
        <f t="shared" si="15"/>
        <v/>
      </c>
      <c r="Y31" s="600"/>
      <c r="Z31" s="725">
        <v>100</v>
      </c>
      <c r="AA31" s="725">
        <f>RANK(Z31,Z$4:Z$33,0)</f>
        <v>1</v>
      </c>
      <c r="AB31" s="725">
        <f>AB$2*AA31</f>
        <v>0</v>
      </c>
      <c r="AC31" s="600"/>
      <c r="AD31" s="722" t="str">
        <f t="shared" si="11"/>
        <v/>
      </c>
      <c r="AE31" s="725" t="str">
        <f t="shared" si="5"/>
        <v/>
      </c>
      <c r="AF31" s="725" t="str">
        <f t="shared" si="12"/>
        <v/>
      </c>
      <c r="AG31" s="725" t="str">
        <f t="shared" si="10"/>
        <v/>
      </c>
      <c r="AH31" s="725" t="str">
        <f>AG31</f>
        <v/>
      </c>
      <c r="AI31" s="725" t="str">
        <f>IF(AH31="","",RANK(AH31,AH$4:AH$33,1))</f>
        <v/>
      </c>
      <c r="AJ31" s="600"/>
      <c r="AK31" s="600"/>
      <c r="AL31" s="600"/>
      <c r="AM31" s="600"/>
      <c r="AN31" s="600"/>
      <c r="AO31" s="729" t="str">
        <f>IF(AT31="Kein Angebot möglich","",IF(AI31=1,"XXX",""))</f>
        <v/>
      </c>
      <c r="AP31" s="719"/>
      <c r="AQ31" s="719"/>
      <c r="AR31" s="600"/>
      <c r="AS31" s="617" t="str">
        <f>'ERGO - Tarif'!C21</f>
        <v/>
      </c>
      <c r="AT31" s="722" t="str">
        <f t="shared" si="16"/>
        <v>Kein Angebot möglich</v>
      </c>
      <c r="AU31" s="722">
        <f t="shared" si="17"/>
        <v>0</v>
      </c>
    </row>
    <row r="32" spans="1:47" s="658" customFormat="1" ht="16.5" customHeight="1">
      <c r="A32" s="846" t="s">
        <v>3797</v>
      </c>
      <c r="B32" s="846" t="s">
        <v>3797</v>
      </c>
      <c r="C32" s="600"/>
      <c r="D32" s="600"/>
      <c r="E32" s="611"/>
      <c r="F32" s="612">
        <v>500000000</v>
      </c>
      <c r="G32" s="600"/>
      <c r="H32" s="600"/>
      <c r="I32" s="600"/>
      <c r="J32" s="613">
        <f>J31</f>
        <v>0</v>
      </c>
      <c r="K32" s="600"/>
      <c r="L32" s="600"/>
      <c r="M32" s="268" t="str">
        <f>IFERROR(ABS(S32-U32)/U32,"FEHLER")</f>
        <v>FEHLER</v>
      </c>
      <c r="N32" s="600"/>
      <c r="O32" s="614" t="e">
        <f>RANK(M32,$M$4:$M$33,1)</f>
        <v>#VALUE!</v>
      </c>
      <c r="P32" s="614" t="e">
        <f t="shared" si="13"/>
        <v>#VALUE!</v>
      </c>
      <c r="Q32" s="600"/>
      <c r="R32" s="600" t="s">
        <v>3114</v>
      </c>
      <c r="S32" s="615">
        <f>Deckungssumme2GI</f>
        <v>0</v>
      </c>
      <c r="T32" s="600"/>
      <c r="U32" s="615" t="str">
        <f>'ERGO - Tarif'!D17</f>
        <v/>
      </c>
      <c r="V32" s="615" t="str">
        <f t="shared" si="14"/>
        <v/>
      </c>
      <c r="W32" s="734" t="str">
        <f t="shared" si="2"/>
        <v/>
      </c>
      <c r="X32" s="614" t="str">
        <f t="shared" si="15"/>
        <v/>
      </c>
      <c r="Y32" s="600"/>
      <c r="Z32" s="600"/>
      <c r="AA32" s="600"/>
      <c r="AB32" s="614">
        <f>AB31</f>
        <v>0</v>
      </c>
      <c r="AC32" s="600"/>
      <c r="AD32" s="600" t="str">
        <f t="shared" si="11"/>
        <v/>
      </c>
      <c r="AE32" s="614" t="str">
        <f t="shared" si="5"/>
        <v/>
      </c>
      <c r="AF32" s="614" t="str">
        <f t="shared" si="12"/>
        <v/>
      </c>
      <c r="AG32" s="614" t="str">
        <f t="shared" si="10"/>
        <v/>
      </c>
      <c r="AH32" s="600"/>
      <c r="AI32" s="600"/>
      <c r="AJ32" s="614" t="str">
        <f>AG32</f>
        <v/>
      </c>
      <c r="AK32" s="614" t="str">
        <f>IF(AJ32="","",RANK(AJ32,AJ$4:AJ$33,1))</f>
        <v/>
      </c>
      <c r="AL32" s="600"/>
      <c r="AM32" s="600"/>
      <c r="AN32" s="600"/>
      <c r="AO32" s="719"/>
      <c r="AP32" s="616" t="str">
        <f>IF(AT32="Kein Angebot möglich","",IF(AK32=1,"XXX",""))</f>
        <v/>
      </c>
      <c r="AQ32" s="719"/>
      <c r="AR32" s="600"/>
      <c r="AS32" s="617" t="str">
        <f>'ERGO - Tarif'!D21</f>
        <v/>
      </c>
      <c r="AT32" s="600" t="str">
        <f t="shared" si="16"/>
        <v>Kein Angebot möglich</v>
      </c>
      <c r="AU32" s="600">
        <f t="shared" si="17"/>
        <v>0</v>
      </c>
    </row>
    <row r="33" spans="1:47" s="658" customFormat="1" ht="16.5" customHeight="1">
      <c r="A33" s="846" t="s">
        <v>3797</v>
      </c>
      <c r="B33" s="846" t="s">
        <v>3797</v>
      </c>
      <c r="C33" s="600"/>
      <c r="D33" s="600"/>
      <c r="E33" s="611"/>
      <c r="F33" s="612">
        <v>500000000</v>
      </c>
      <c r="G33" s="600"/>
      <c r="H33" s="600"/>
      <c r="I33" s="600"/>
      <c r="J33" s="613">
        <f>J31</f>
        <v>0</v>
      </c>
      <c r="K33" s="600"/>
      <c r="L33" s="600"/>
      <c r="M33" s="600"/>
      <c r="N33" s="276" t="str">
        <f>IFERROR(ABS(S33-U33)/U33,"FEHLER")</f>
        <v>FEHLER</v>
      </c>
      <c r="O33" s="741" t="e">
        <f>RANK(N33,$N$4:$N$33,1)</f>
        <v>#VALUE!</v>
      </c>
      <c r="P33" s="741" t="e">
        <f t="shared" si="13"/>
        <v>#VALUE!</v>
      </c>
      <c r="Q33" s="600"/>
      <c r="R33" s="737" t="s">
        <v>3115</v>
      </c>
      <c r="S33" s="742">
        <f>Deckungssumme3GI</f>
        <v>0</v>
      </c>
      <c r="T33" s="600"/>
      <c r="U33" s="615" t="str">
        <f>'ERGO - Tarif'!E17</f>
        <v/>
      </c>
      <c r="V33" s="742" t="str">
        <f t="shared" si="14"/>
        <v/>
      </c>
      <c r="W33" s="743" t="str">
        <f t="shared" si="2"/>
        <v/>
      </c>
      <c r="X33" s="741" t="str">
        <f t="shared" si="15"/>
        <v/>
      </c>
      <c r="Y33" s="600"/>
      <c r="Z33" s="600"/>
      <c r="AA33" s="600"/>
      <c r="AB33" s="741">
        <f>AB31</f>
        <v>0</v>
      </c>
      <c r="AC33" s="600"/>
      <c r="AD33" s="737" t="str">
        <f t="shared" si="11"/>
        <v/>
      </c>
      <c r="AE33" s="741" t="str">
        <f t="shared" si="5"/>
        <v/>
      </c>
      <c r="AF33" s="741" t="str">
        <f t="shared" si="12"/>
        <v/>
      </c>
      <c r="AG33" s="741" t="str">
        <f t="shared" si="10"/>
        <v/>
      </c>
      <c r="AH33" s="600"/>
      <c r="AI33" s="600"/>
      <c r="AJ33" s="600"/>
      <c r="AK33" s="600"/>
      <c r="AL33" s="741" t="str">
        <f>AG33</f>
        <v/>
      </c>
      <c r="AM33" s="741" t="str">
        <f>IF(AL33="","",RANK(AL33,AL$4:AL$33,1))</f>
        <v/>
      </c>
      <c r="AN33" s="600"/>
      <c r="AO33" s="719"/>
      <c r="AP33" s="719"/>
      <c r="AQ33" s="745" t="str">
        <f>IF(AT33="Kein Angebot möglich","",IF(AM33=1,"XXX",""))</f>
        <v/>
      </c>
      <c r="AR33" s="600"/>
      <c r="AS33" s="617" t="str">
        <f>'ERGO - Tarif'!E21</f>
        <v/>
      </c>
      <c r="AT33" s="737" t="str">
        <f t="shared" si="16"/>
        <v>Kein Angebot möglich</v>
      </c>
      <c r="AU33" s="737">
        <f t="shared" si="17"/>
        <v>0</v>
      </c>
    </row>
    <row r="34" spans="1:47" ht="14.2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row>
    <row r="35" spans="1:47" ht="14.25" customHeight="1">
      <c r="A35" s="23"/>
      <c r="B35" s="1073"/>
      <c r="C35" s="1074"/>
      <c r="D35" s="1070"/>
      <c r="E35" s="23"/>
      <c r="F35" s="285" t="s">
        <v>3187</v>
      </c>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row>
    <row r="36" spans="1:47" ht="14.25" customHeight="1">
      <c r="A36" s="23"/>
      <c r="B36" s="1071"/>
      <c r="C36" s="1075"/>
      <c r="D36" s="1072"/>
      <c r="E36" s="23"/>
      <c r="F36" s="23"/>
      <c r="G36" s="23"/>
      <c r="H36" s="23"/>
      <c r="I36" s="23"/>
      <c r="J36" s="23"/>
      <c r="K36" s="23"/>
      <c r="L36" s="23"/>
      <c r="M36" s="23"/>
      <c r="N36" s="23"/>
      <c r="O36" s="23"/>
      <c r="P36" s="23"/>
      <c r="Q36" s="23"/>
      <c r="R36" s="23"/>
      <c r="S36" s="23"/>
      <c r="T36" s="1066" t="s">
        <v>3188</v>
      </c>
      <c r="U36" s="1032"/>
      <c r="V36" s="1032"/>
      <c r="W36" s="1032"/>
      <c r="X36" s="1037"/>
      <c r="Y36" s="23"/>
      <c r="Z36" s="23"/>
      <c r="AA36" s="23"/>
      <c r="AB36" s="23"/>
      <c r="AC36" s="23"/>
      <c r="AD36" s="23"/>
      <c r="AE36" s="23"/>
      <c r="AF36" s="23"/>
      <c r="AG36" s="23"/>
      <c r="AH36" s="23"/>
      <c r="AI36" s="23"/>
      <c r="AJ36" s="23"/>
      <c r="AK36" s="23"/>
      <c r="AL36" s="23"/>
      <c r="AM36" s="23"/>
      <c r="AN36" s="23"/>
      <c r="AO36" s="23"/>
      <c r="AP36" s="23"/>
      <c r="AQ36" s="23"/>
      <c r="AR36" s="23"/>
      <c r="AS36" s="23"/>
      <c r="AT36" s="23"/>
      <c r="AU36" s="23"/>
    </row>
    <row r="37" spans="1:47" ht="14.2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row>
    <row r="38" spans="1:47" ht="14.25" customHeight="1">
      <c r="A38" s="23"/>
      <c r="B38" s="1076" t="s">
        <v>3189</v>
      </c>
      <c r="C38" s="1074"/>
      <c r="D38" s="1070"/>
      <c r="E38" s="23"/>
      <c r="F38" s="23"/>
      <c r="G38" s="23"/>
      <c r="H38" s="23"/>
      <c r="I38" s="23"/>
      <c r="J38" s="23"/>
      <c r="K38" s="23"/>
      <c r="L38" s="23"/>
      <c r="M38" s="23"/>
      <c r="N38" s="23"/>
      <c r="O38" s="23"/>
      <c r="P38" s="23"/>
      <c r="Q38" s="23"/>
      <c r="R38" s="23"/>
      <c r="S38" s="23"/>
      <c r="T38" s="264" t="s">
        <v>3142</v>
      </c>
      <c r="U38" s="264" t="s">
        <v>3112</v>
      </c>
      <c r="V38" s="264" t="s">
        <v>3116</v>
      </c>
      <c r="W38" s="264" t="s">
        <v>3144</v>
      </c>
      <c r="X38" s="264" t="s">
        <v>3118</v>
      </c>
      <c r="Y38" s="23"/>
      <c r="Z38" s="23"/>
      <c r="AA38" s="23"/>
      <c r="AB38" s="23"/>
      <c r="AC38" s="23"/>
      <c r="AD38" s="23"/>
      <c r="AE38" s="23"/>
      <c r="AF38" s="23"/>
      <c r="AG38" s="23"/>
      <c r="AH38" s="23"/>
      <c r="AI38" s="23"/>
      <c r="AJ38" s="23"/>
      <c r="AK38" s="23"/>
      <c r="AL38" s="23"/>
      <c r="AM38" s="23"/>
      <c r="AN38" s="23"/>
      <c r="AO38" s="23"/>
      <c r="AP38" s="23"/>
      <c r="AQ38" s="23"/>
      <c r="AR38" s="23"/>
      <c r="AS38" s="23"/>
      <c r="AT38" s="23"/>
      <c r="AU38" s="23"/>
    </row>
    <row r="39" spans="1:47" ht="14.25" customHeight="1">
      <c r="A39" s="23"/>
      <c r="B39" s="1071"/>
      <c r="C39" s="1075"/>
      <c r="D39" s="1072"/>
      <c r="E39" s="23"/>
      <c r="F39" s="23"/>
      <c r="G39" s="23"/>
      <c r="H39" s="23"/>
      <c r="I39" s="23"/>
      <c r="J39" s="23"/>
      <c r="K39" s="23"/>
      <c r="L39" s="23"/>
      <c r="M39" s="23"/>
      <c r="N39" s="23"/>
      <c r="O39" s="23"/>
      <c r="P39" s="23"/>
      <c r="Q39" s="23"/>
      <c r="R39" s="23"/>
      <c r="S39" s="23"/>
      <c r="T39" s="270">
        <f>Deckungssumme1GI</f>
        <v>0</v>
      </c>
      <c r="U39" s="286" t="s">
        <v>2798</v>
      </c>
      <c r="V39" s="268" t="str">
        <f>IFERROR(IF(T43="Es können keine Angebote gerechnet werden","Es können keine Angebote gerechnet werden",INDEX(B$4:B$33,MATCH(U39,AO$4:AO$33,0))),"Kein Angebot möglich!")</f>
        <v>Kein Angebot möglich!</v>
      </c>
      <c r="W39" s="266" t="str">
        <f>IFERROR(INDEX(U$4:U$33,MATCH(U39,AO$4:AO$33,0)),"")</f>
        <v/>
      </c>
      <c r="X39" s="287" t="str">
        <f>IFERROR(INDEX(AS$4:AS$33,MATCH(U39,AO$4:AO$33,0)),"")</f>
        <v/>
      </c>
      <c r="Y39" s="23"/>
      <c r="Z39" s="23"/>
      <c r="AA39" s="23"/>
      <c r="AB39" s="23"/>
      <c r="AC39" s="23"/>
      <c r="AD39" s="23"/>
      <c r="AE39" s="23"/>
      <c r="AF39" s="23"/>
      <c r="AG39" s="23"/>
      <c r="AH39" s="23"/>
      <c r="AI39" s="23"/>
      <c r="AJ39" s="23"/>
      <c r="AK39" s="23"/>
      <c r="AL39" s="23"/>
      <c r="AM39" s="23"/>
      <c r="AN39" s="23"/>
      <c r="AO39" s="23"/>
      <c r="AP39" s="23"/>
      <c r="AQ39" s="23"/>
      <c r="AR39" s="23"/>
      <c r="AS39" s="23"/>
      <c r="AT39" s="23"/>
      <c r="AU39" s="23"/>
    </row>
    <row r="40" spans="1:47" ht="14.25" customHeight="1">
      <c r="A40" s="23"/>
      <c r="B40" s="23"/>
      <c r="C40" s="23"/>
      <c r="D40" s="23"/>
      <c r="E40" s="23"/>
      <c r="F40" s="23"/>
      <c r="G40" s="23"/>
      <c r="H40" s="23"/>
      <c r="I40" s="23"/>
      <c r="J40" s="23"/>
      <c r="K40" s="23"/>
      <c r="L40" s="23"/>
      <c r="M40" s="23"/>
      <c r="N40" s="23"/>
      <c r="O40" s="23"/>
      <c r="P40" s="23"/>
      <c r="Q40" s="23"/>
      <c r="R40" s="23"/>
      <c r="S40" s="23"/>
      <c r="T40" s="270">
        <f>Deckungssumme2GI</f>
        <v>0</v>
      </c>
      <c r="U40" s="286" t="s">
        <v>2798</v>
      </c>
      <c r="V40" s="268" t="str">
        <f>IFERROR(IF(T43="Es können keine Angebote gerechnet werden","Es können keine Angebote gerechnet werden",INDEX(B$4:B$33,MATCH(U40,AP$4:AP$33,0))),"Kein Angebot möglich!")</f>
        <v>Kein Angebot möglich!</v>
      </c>
      <c r="W40" s="266" t="str">
        <f>IFERROR(INDEX(U$4:U$33,MATCH(U40,AP$4:AP$33,0)),"")</f>
        <v/>
      </c>
      <c r="X40" s="287" t="str">
        <f>IFERROR(INDEX(AS$4:AS$33,MATCH(U40,AP$4:AP$33,0)),"")</f>
        <v/>
      </c>
      <c r="Y40" s="23"/>
      <c r="Z40" s="23"/>
      <c r="AA40" s="23"/>
      <c r="AB40" s="23"/>
      <c r="AC40" s="23"/>
      <c r="AD40" s="23"/>
      <c r="AE40" s="23"/>
      <c r="AF40" s="23"/>
      <c r="AG40" s="23"/>
      <c r="AH40" s="23"/>
      <c r="AI40" s="23"/>
      <c r="AJ40" s="23"/>
      <c r="AK40" s="23"/>
      <c r="AL40" s="23"/>
      <c r="AM40" s="23"/>
      <c r="AN40" s="23"/>
      <c r="AO40" s="23"/>
      <c r="AP40" s="23"/>
      <c r="AQ40" s="23"/>
      <c r="AR40" s="23"/>
      <c r="AS40" s="23"/>
      <c r="AT40" s="23"/>
      <c r="AU40" s="23"/>
    </row>
    <row r="41" spans="1:47" ht="14.25" customHeight="1">
      <c r="A41" s="23"/>
      <c r="B41" s="1077" t="s">
        <v>3190</v>
      </c>
      <c r="C41" s="1074"/>
      <c r="D41" s="1074"/>
      <c r="E41" s="1074"/>
      <c r="F41" s="1074"/>
      <c r="G41" s="1074"/>
      <c r="H41" s="1074"/>
      <c r="I41" s="1070"/>
      <c r="J41" s="23"/>
      <c r="K41" s="23"/>
      <c r="L41" s="23"/>
      <c r="M41" s="23"/>
      <c r="N41" s="23"/>
      <c r="O41" s="23"/>
      <c r="P41" s="23"/>
      <c r="Q41" s="23"/>
      <c r="R41" s="23"/>
      <c r="S41" s="23"/>
      <c r="T41" s="270">
        <f>Deckungssumme3GI</f>
        <v>0</v>
      </c>
      <c r="U41" s="286" t="s">
        <v>2798</v>
      </c>
      <c r="V41" s="268" t="str">
        <f>IFERROR(IF(T43="Es können keine Angebote gerechnet werden","Es können keine Angebote gerechnet werden",INDEX(B$4:B$33,MATCH(U41,AQ$4:AQ$33,0))),"Kein Angebot möglich!")</f>
        <v>Kein Angebot möglich!</v>
      </c>
      <c r="W41" s="266" t="str">
        <f>IFERROR(INDEX(U$4:U$33,MATCH(U41,AQ$4:AQ$33,0)),"")</f>
        <v/>
      </c>
      <c r="X41" s="287" t="str">
        <f>IFERROR(INDEX(AS$4:AS$33,MATCH(U41,AQ$4:AQ$33,0)),"")</f>
        <v/>
      </c>
      <c r="Y41" s="23"/>
      <c r="Z41" s="23"/>
      <c r="AA41" s="23"/>
      <c r="AB41" s="23"/>
      <c r="AC41" s="23"/>
      <c r="AD41" s="23"/>
      <c r="AE41" s="23"/>
      <c r="AF41" s="23"/>
      <c r="AG41" s="23"/>
      <c r="AH41" s="23"/>
      <c r="AI41" s="23"/>
      <c r="AJ41" s="23"/>
      <c r="AK41" s="23"/>
      <c r="AL41" s="23"/>
      <c r="AM41" s="23"/>
      <c r="AN41" s="23"/>
      <c r="AO41" s="23"/>
      <c r="AP41" s="23"/>
      <c r="AQ41" s="23"/>
      <c r="AR41" s="23"/>
      <c r="AS41" s="23"/>
      <c r="AT41" s="23"/>
      <c r="AU41" s="23"/>
    </row>
    <row r="42" spans="1:47" ht="14.25" customHeight="1">
      <c r="A42" s="23"/>
      <c r="B42" s="1078"/>
      <c r="C42" s="1035"/>
      <c r="D42" s="1035"/>
      <c r="E42" s="1035"/>
      <c r="F42" s="1035"/>
      <c r="G42" s="1035"/>
      <c r="H42" s="1035"/>
      <c r="I42" s="1039"/>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row>
    <row r="43" spans="1:47" ht="14.25" customHeight="1">
      <c r="A43" s="23"/>
      <c r="B43" s="1078"/>
      <c r="C43" s="1035"/>
      <c r="D43" s="1035"/>
      <c r="E43" s="1035"/>
      <c r="F43" s="1035"/>
      <c r="G43" s="1035"/>
      <c r="H43" s="1035"/>
      <c r="I43" s="1039"/>
      <c r="J43" s="23"/>
      <c r="K43" s="23"/>
      <c r="L43" s="23"/>
      <c r="M43" s="23"/>
      <c r="N43" s="23"/>
      <c r="O43" s="23"/>
      <c r="P43" s="23"/>
      <c r="Q43" s="23"/>
      <c r="R43" s="23"/>
      <c r="S43" s="23"/>
      <c r="T43" s="288" t="str">
        <f>IF(SUM(AU4:AU24)=0,"Es können keine Angebote gerechnet werden","Es kann mindestens 1 Angebot gerechnet werden")</f>
        <v>Es kann mindestens 1 Angebot gerechnet werden</v>
      </c>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row>
    <row r="44" spans="1:47" ht="14.25" customHeight="1">
      <c r="A44" s="23"/>
      <c r="B44" s="1071"/>
      <c r="C44" s="1075"/>
      <c r="D44" s="1075"/>
      <c r="E44" s="1075"/>
      <c r="F44" s="1075"/>
      <c r="G44" s="1075"/>
      <c r="H44" s="1075"/>
      <c r="I44" s="1072"/>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row>
    <row r="45" spans="1:47" ht="14.2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row>
    <row r="46" spans="1:47" ht="14.2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row>
    <row r="47" spans="1:47" ht="14.2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row>
    <row r="48" spans="1:47" ht="14.2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row>
    <row r="49" spans="1:47" ht="14.2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row>
    <row r="50" spans="1:47" ht="14.2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row>
    <row r="51" spans="1:47" ht="14.2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row>
    <row r="52" spans="1:47" ht="14.2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row>
    <row r="53" spans="1:47" ht="14.2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row>
    <row r="54" spans="1:47" ht="14.2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row>
    <row r="55" spans="1:47" ht="14.2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row>
    <row r="56" spans="1:47" ht="14.2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row>
    <row r="57" spans="1:47" ht="14.2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row>
    <row r="58" spans="1:47" ht="14.2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row>
    <row r="59" spans="1:47" ht="14.2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row>
    <row r="60" spans="1:47" ht="14.2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row>
    <row r="61" spans="1:47" ht="14.2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row>
    <row r="62" spans="1:47" ht="14.2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row>
    <row r="63" spans="1:47" ht="14.2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row>
    <row r="64" spans="1:47" ht="14.2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row>
    <row r="65" spans="1:47" ht="14.2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row>
    <row r="66" spans="1:47" ht="14.2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row>
    <row r="67" spans="1:47" ht="14.2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row>
    <row r="68" spans="1:47" ht="14.2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row>
    <row r="69" spans="1:47" ht="14.2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row>
    <row r="70" spans="1:47" ht="14.2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row>
    <row r="71" spans="1:47" ht="14.2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row>
    <row r="72" spans="1:47" ht="14.2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row>
    <row r="73" spans="1:47" ht="14.2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row>
    <row r="74" spans="1:47" ht="14.2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row>
    <row r="75" spans="1:47" ht="14.2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row>
    <row r="76" spans="1:47" ht="14.2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row>
    <row r="77" spans="1:47" ht="14.2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row>
    <row r="78" spans="1:47" ht="14.2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row>
    <row r="79" spans="1:47" ht="14.2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row>
    <row r="80" spans="1:47" ht="14.2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row>
    <row r="81" spans="1:47" ht="14.2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row>
    <row r="82" spans="1:47" ht="14.2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row>
    <row r="83" spans="1:47" ht="14.2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row>
    <row r="84" spans="1:47" ht="14.2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row>
    <row r="85" spans="1:47" ht="14.2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row>
    <row r="86" spans="1:47" ht="14.2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row>
    <row r="87" spans="1:47" ht="14.2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row>
    <row r="88" spans="1:47" ht="14.2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row>
    <row r="89" spans="1:47" ht="14.2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row>
    <row r="90" spans="1:47" ht="14.2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row>
    <row r="91" spans="1:47" ht="14.2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row>
    <row r="92" spans="1:47" ht="14.2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row>
    <row r="93" spans="1:47" ht="14.2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row>
    <row r="94" spans="1:47" ht="14.2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row>
    <row r="95" spans="1:47" ht="14.2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row>
    <row r="96" spans="1:47" ht="14.2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row>
    <row r="97" spans="1:47" ht="14.2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row>
    <row r="98" spans="1:47" ht="14.2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row>
    <row r="99" spans="1:47" ht="14.2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row>
    <row r="100" spans="1:47" ht="14.2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row>
    <row r="101" spans="1:47" ht="14.2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row>
    <row r="102" spans="1:47" ht="14.2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row>
    <row r="103" spans="1:47" ht="14.2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row>
    <row r="104" spans="1:47" ht="14.2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row>
    <row r="105" spans="1:47" ht="14.2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row>
    <row r="106" spans="1:47" ht="14.2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row>
    <row r="107" spans="1:47" ht="14.2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row>
    <row r="108" spans="1:47" ht="14.2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row>
    <row r="109" spans="1:47" ht="14.2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row>
    <row r="110" spans="1:47" ht="14.2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row>
    <row r="111" spans="1:47" ht="14.2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row>
    <row r="112" spans="1:47" ht="14.2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row>
    <row r="113" spans="1:47" ht="14.2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row>
    <row r="114" spans="1:47" ht="14.2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row>
    <row r="115" spans="1:47" ht="14.2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row>
    <row r="116" spans="1:47" ht="14.2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row>
    <row r="117" spans="1:47" ht="14.2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row>
    <row r="118" spans="1:47" ht="14.2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row>
    <row r="119" spans="1:47" ht="14.2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row>
    <row r="120" spans="1:47" ht="14.2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row>
    <row r="121" spans="1:47" ht="14.2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row>
    <row r="122" spans="1:47" ht="14.2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row>
    <row r="123" spans="1:47" ht="14.2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row>
    <row r="124" spans="1:47" ht="14.2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row>
    <row r="125" spans="1:47" ht="14.2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row>
    <row r="126" spans="1:47" ht="14.2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row>
    <row r="127" spans="1:47" ht="14.2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row>
    <row r="128" spans="1:47" ht="14.2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row>
    <row r="129" spans="1:47" ht="14.2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row>
    <row r="130" spans="1:47" ht="14.2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row>
    <row r="131" spans="1:47" ht="14.2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row>
    <row r="132" spans="1:47" ht="14.2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row>
    <row r="133" spans="1:47" ht="14.2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row>
    <row r="134" spans="1:47" ht="14.2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row>
    <row r="135" spans="1:47" ht="14.2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row>
    <row r="136" spans="1:47" ht="14.2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row>
    <row r="137" spans="1:47" ht="14.2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row>
    <row r="138" spans="1:47" ht="14.2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row>
    <row r="139" spans="1:47" ht="14.2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row>
    <row r="140" spans="1:47" ht="14.2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row>
    <row r="141" spans="1:47" ht="14.2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row>
    <row r="142" spans="1:47" ht="14.2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row>
    <row r="143" spans="1:47" ht="14.2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row>
    <row r="144" spans="1:47" ht="14.2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row>
    <row r="145" spans="1:47" ht="14.2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row>
    <row r="146" spans="1:47" ht="14.2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row>
    <row r="147" spans="1:47" ht="14.2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row>
    <row r="148" spans="1:47" ht="14.2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row>
    <row r="149" spans="1:47" ht="14.2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row>
    <row r="150" spans="1:47" ht="14.2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row>
    <row r="151" spans="1:47" ht="14.2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row>
    <row r="152" spans="1:47" ht="14.2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row>
    <row r="153" spans="1:47" ht="14.2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row>
    <row r="154" spans="1:47" ht="14.2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row>
    <row r="155" spans="1:47" ht="14.2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row>
    <row r="156" spans="1:47" ht="14.2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row>
    <row r="157" spans="1:47" ht="14.2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row>
    <row r="158" spans="1:47" ht="14.2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row>
    <row r="159" spans="1:47" ht="14.2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row>
    <row r="160" spans="1:47" ht="14.2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row>
    <row r="161" spans="1:47" ht="14.2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row>
    <row r="162" spans="1:47" ht="14.2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row>
    <row r="163" spans="1:47" ht="14.2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row>
    <row r="164" spans="1:47" ht="14.2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row>
    <row r="165" spans="1:47" ht="14.2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row>
    <row r="166" spans="1:47" ht="14.2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row>
    <row r="167" spans="1:47" ht="14.2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row>
    <row r="168" spans="1:47" ht="14.2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row>
    <row r="169" spans="1:47" ht="14.2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row>
    <row r="170" spans="1:47" ht="14.2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row>
    <row r="171" spans="1:47" ht="14.2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row>
    <row r="172" spans="1:47" ht="14.2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row>
    <row r="173" spans="1:47" ht="14.2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row>
    <row r="174" spans="1:47" ht="14.2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row>
    <row r="175" spans="1:47" ht="14.2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row>
    <row r="176" spans="1:47" ht="14.2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row>
    <row r="177" spans="1:47" ht="14.2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row>
    <row r="178" spans="1:47" ht="14.2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row>
    <row r="179" spans="1:47" ht="14.2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row>
    <row r="180" spans="1:47" ht="14.2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row>
    <row r="181" spans="1:47" ht="14.2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row>
    <row r="182" spans="1:47" ht="14.2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row>
    <row r="183" spans="1:47" ht="14.2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row>
    <row r="184" spans="1:47" ht="14.2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row>
    <row r="185" spans="1:47" ht="14.2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row>
    <row r="186" spans="1:47" ht="14.2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row>
    <row r="187" spans="1:47" ht="14.2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row>
    <row r="188" spans="1:47" ht="14.2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row>
    <row r="189" spans="1:47" ht="14.2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row>
    <row r="190" spans="1:47" ht="14.2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row>
    <row r="191" spans="1:47" ht="14.2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row>
    <row r="192" spans="1:47" ht="14.2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row>
    <row r="193" spans="1:47" ht="14.2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row>
    <row r="194" spans="1:47" ht="14.2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row>
    <row r="195" spans="1:47" ht="14.2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row>
    <row r="196" spans="1:47" ht="14.2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row>
    <row r="197" spans="1:47" ht="14.2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row>
    <row r="198" spans="1:47" ht="14.2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row>
    <row r="199" spans="1:47" ht="14.2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row>
    <row r="200" spans="1:47" ht="14.2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row>
    <row r="201" spans="1:47" ht="14.2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row>
    <row r="202" spans="1:47" ht="14.2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row>
    <row r="203" spans="1:47" ht="14.2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row>
    <row r="204" spans="1:47" ht="14.2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row>
    <row r="205" spans="1:47" ht="14.2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row>
    <row r="206" spans="1:47" ht="14.2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row>
    <row r="207" spans="1:47" ht="14.2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row>
    <row r="208" spans="1:47" ht="14.2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row>
    <row r="209" spans="1:47" ht="14.2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row>
    <row r="210" spans="1:47" ht="14.2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row>
    <row r="211" spans="1:47" ht="14.2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row>
    <row r="212" spans="1:47" ht="14.2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row>
    <row r="213" spans="1:47" ht="14.2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row>
    <row r="214" spans="1:47" ht="14.2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row>
    <row r="215" spans="1:47" ht="14.2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row>
    <row r="216" spans="1:47" ht="14.2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row>
    <row r="217" spans="1:47" ht="14.2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row>
    <row r="218" spans="1:47" ht="14.2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row>
    <row r="219" spans="1:47" ht="14.2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row>
    <row r="220" spans="1:47" ht="14.2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row>
    <row r="221" spans="1:47" ht="14.2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row>
    <row r="222" spans="1:47" ht="14.2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row>
    <row r="223" spans="1:47" ht="14.2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row>
    <row r="224" spans="1:47" ht="14.2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row>
    <row r="225" spans="1:47" ht="14.2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row>
    <row r="226" spans="1:47" ht="14.2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row>
    <row r="227" spans="1:47" ht="14.2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row>
    <row r="228" spans="1:47" ht="14.2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row>
    <row r="229" spans="1:47" ht="14.2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row>
    <row r="230" spans="1:47" ht="14.2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row>
    <row r="231" spans="1:47" ht="14.2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row>
    <row r="232" spans="1:47" ht="14.2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row>
    <row r="233" spans="1:47" ht="14.2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row>
    <row r="234" spans="1:47" ht="14.2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row>
    <row r="235" spans="1:47" ht="14.2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row>
    <row r="236" spans="1:47" ht="14.2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row>
    <row r="237" spans="1:47" ht="14.2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row>
    <row r="238" spans="1:47" ht="14.2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row>
    <row r="239" spans="1:47" ht="14.2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row>
    <row r="240" spans="1:47" ht="14.2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row>
    <row r="241" spans="1:47" ht="14.2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row>
    <row r="242" spans="1:47" ht="14.2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row>
    <row r="243" spans="1:47" ht="14.2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row>
    <row r="244" spans="1:47" ht="15.75" customHeight="1"/>
    <row r="245" spans="1:47" ht="15.75" customHeight="1"/>
    <row r="246" spans="1:47" ht="15.75" customHeight="1"/>
    <row r="247" spans="1:47" ht="15.75" customHeight="1"/>
    <row r="248" spans="1:47" ht="15.75" customHeight="1"/>
    <row r="249" spans="1:47" ht="15.75" customHeight="1"/>
    <row r="250" spans="1:47" ht="15.75" customHeight="1"/>
    <row r="251" spans="1:47" ht="15.75" customHeight="1"/>
    <row r="252" spans="1:47" ht="15.75" customHeight="1"/>
    <row r="253" spans="1:47" ht="15.75" customHeight="1"/>
    <row r="254" spans="1:47" ht="15.75" customHeight="1"/>
    <row r="255" spans="1:47" ht="15.75" customHeight="1"/>
    <row r="256" spans="1:47"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autoFilter ref="B3:AU24"/>
  <mergeCells count="12">
    <mergeCell ref="B38:D39"/>
    <mergeCell ref="B41:I44"/>
    <mergeCell ref="D1:F1"/>
    <mergeCell ref="H1:J1"/>
    <mergeCell ref="L1:P1"/>
    <mergeCell ref="Z1:AB1"/>
    <mergeCell ref="AD1:AL1"/>
    <mergeCell ref="AO1:AQ1"/>
    <mergeCell ref="A1:B2"/>
    <mergeCell ref="B35:D36"/>
    <mergeCell ref="T36:X36"/>
    <mergeCell ref="R1:X1"/>
  </mergeCells>
  <conditionalFormatting sqref="AD4:AD24">
    <cfRule type="colorScale" priority="12">
      <colorScale>
        <cfvo type="min"/>
        <cfvo type="percentile" val="50"/>
        <cfvo type="max"/>
        <color rgb="FF63BE7B"/>
        <color rgb="FFFFEB84"/>
        <color rgb="FFF8696B"/>
      </colorScale>
    </cfRule>
  </conditionalFormatting>
  <conditionalFormatting sqref="AD25:AD27">
    <cfRule type="colorScale" priority="8">
      <colorScale>
        <cfvo type="min"/>
        <cfvo type="percentile" val="50"/>
        <cfvo type="max"/>
        <color rgb="FF63BE7B"/>
        <color rgb="FFFFEB84"/>
        <color rgb="FFF8696B"/>
      </colorScale>
    </cfRule>
  </conditionalFormatting>
  <conditionalFormatting sqref="AD28:AD33">
    <cfRule type="colorScale" priority="4">
      <colorScale>
        <cfvo type="min"/>
        <cfvo type="percentile" val="50"/>
        <cfvo type="max"/>
        <color rgb="FF63BE7B"/>
        <color rgb="FFFFEB84"/>
        <color rgb="FFF8696B"/>
      </colorScale>
    </cfRule>
  </conditionalFormatting>
  <conditionalFormatting sqref="AF4:AF24">
    <cfRule type="colorScale" priority="10">
      <colorScale>
        <cfvo type="min"/>
        <cfvo type="percentile" val="50"/>
        <cfvo type="max"/>
        <color rgb="FF63BE7B"/>
        <color rgb="FFFFEB84"/>
        <color rgb="FFF8696B"/>
      </colorScale>
    </cfRule>
  </conditionalFormatting>
  <conditionalFormatting sqref="AF25:AF27">
    <cfRule type="colorScale" priority="6">
      <colorScale>
        <cfvo type="min"/>
        <cfvo type="percentile" val="50"/>
        <cfvo type="max"/>
        <color rgb="FF63BE7B"/>
        <color rgb="FFFFEB84"/>
        <color rgb="FFF8696B"/>
      </colorScale>
    </cfRule>
  </conditionalFormatting>
  <conditionalFormatting sqref="AF28:AF33">
    <cfRule type="colorScale" priority="2">
      <colorScale>
        <cfvo type="min"/>
        <cfvo type="percentile" val="50"/>
        <cfvo type="max"/>
        <color rgb="FF63BE7B"/>
        <color rgb="FFFFEB84"/>
        <color rgb="FFF8696B"/>
      </colorScale>
    </cfRule>
  </conditionalFormatting>
  <conditionalFormatting sqref="AO4:AQ33">
    <cfRule type="cellIs" dxfId="77" priority="1" operator="equal">
      <formula>"XXX"</formula>
    </cfRule>
  </conditionalFormatting>
  <conditionalFormatting sqref="AT4:AU33">
    <cfRule type="cellIs" dxfId="76" priority="3" operator="equal">
      <formula>"Kein Angebot möglich"</formula>
    </cfRule>
  </conditionalFormatting>
  <pageMargins left="0.7" right="0.7" top="0.78740157499999996" bottom="0.78740157499999996" header="0" footer="0"/>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2:J1000"/>
  <sheetViews>
    <sheetView zoomScale="85" zoomScaleNormal="85" workbookViewId="0"/>
  </sheetViews>
  <sheetFormatPr baseColWidth="10" defaultColWidth="14.33203125" defaultRowHeight="15" customHeight="1"/>
  <cols>
    <col min="1" max="1" width="35.44140625" customWidth="1"/>
    <col min="2" max="6" width="35" bestFit="1" customWidth="1"/>
    <col min="7" max="7" width="32.33203125" customWidth="1"/>
    <col min="8" max="8" width="34.5546875" customWidth="1"/>
    <col min="9" max="9" width="33.33203125" bestFit="1" customWidth="1"/>
    <col min="10" max="10" width="34.5546875" customWidth="1"/>
  </cols>
  <sheetData>
    <row r="2" spans="1:10" ht="15" customHeight="1">
      <c r="A2" s="894" t="s">
        <v>3726</v>
      </c>
    </row>
    <row r="3" spans="1:10" ht="16.2" thickBot="1">
      <c r="A3" s="894"/>
    </row>
    <row r="4" spans="1:10" ht="14.4">
      <c r="A4" s="901"/>
      <c r="B4" s="902" t="s">
        <v>2795</v>
      </c>
      <c r="C4" s="902" t="s">
        <v>2393</v>
      </c>
      <c r="D4" s="902" t="s">
        <v>2400</v>
      </c>
      <c r="E4" s="902" t="s">
        <v>2401</v>
      </c>
      <c r="F4" s="902" t="s">
        <v>2392</v>
      </c>
      <c r="G4" s="902" t="s">
        <v>2402</v>
      </c>
      <c r="H4" s="902" t="s">
        <v>3727</v>
      </c>
      <c r="I4" s="902" t="s">
        <v>3747</v>
      </c>
      <c r="J4" s="903" t="s">
        <v>3796</v>
      </c>
    </row>
    <row r="5" spans="1:10" ht="14.4">
      <c r="A5" s="904" t="s">
        <v>4064</v>
      </c>
      <c r="B5" s="829" t="str">
        <f>CONCATENATE(B6,IF(LEN(B7)&gt;0,",",""),B7,IF(LEN(B8)&gt;0,",",""),B8,IF(LEN(B9)&gt;0,",",""),B9,IF(LEN(B10)&gt;0,",",""),B10,IF(LEN(B11)&gt;0,",",""),B11,IF(LEN(B12)&gt;0,",",""),B12,,IF(LEN(B13)&gt;0,",",""),B13,IF(LEN(B14)&gt;0,",",""),B14,,IF(LEN(B15)&gt;0,",",""),B15,IF(LEN(B16)&gt;0,",",""),B16)</f>
        <v/>
      </c>
      <c r="C5" s="829" t="str">
        <f t="shared" ref="C5:I5" si="0">CONCATENATE(C6,IF(LEN(C7)&gt;0,",",""),C7,IF(LEN(C8)&gt;0,",",""),C8,IF(LEN(C9)&gt;0,",",""),C9,IF(LEN(C10)&gt;0,",",""),C10,IF(LEN(C11)&gt;0,",",""),C11,IF(LEN(C12)&gt;0,",",""),C12,,IF(LEN(C13)&gt;0,",",""),C13,IF(LEN(C14)&gt;0,",",""),C14,,IF(LEN(C15)&gt;0,",",""),C15,IF(LEN(C16)&gt;0,",",""),C16)</f>
        <v/>
      </c>
      <c r="D5" s="829" t="str">
        <f t="shared" si="0"/>
        <v/>
      </c>
      <c r="E5" s="829" t="str">
        <f t="shared" si="0"/>
        <v/>
      </c>
      <c r="F5" s="829" t="str">
        <f t="shared" si="0"/>
        <v/>
      </c>
      <c r="G5" s="829" t="str">
        <f t="shared" si="0"/>
        <v/>
      </c>
      <c r="H5" s="829" t="str">
        <f t="shared" si="0"/>
        <v/>
      </c>
      <c r="I5" s="829" t="str">
        <f t="shared" si="0"/>
        <v/>
      </c>
      <c r="J5" s="905" t="str">
        <f>CONCATENATE(J6,IF(LEN(J7)&gt;0,",",""),J7,IF(LEN(J8)&gt;0,",",""),J8,IF(LEN(J9)&gt;0,",",""),J9,IF(LEN(J10)&gt;0,",",""),J10,IF(LEN(J11)&gt;0,",",""),J11,IF(LEN(J12)&gt;0,",",""),J12,,IF(LEN(J13)&gt;0,",",""),J13,IF(LEN(J14)&gt;0,",",""),J14,,IF(LEN(J15)&gt;0,",",""),J15,IF(LEN(J16)&gt;0,",",""),J16)</f>
        <v/>
      </c>
    </row>
    <row r="6" spans="1:10" ht="14.4">
      <c r="A6" s="897" t="s">
        <v>4065</v>
      </c>
      <c r="B6" s="899"/>
      <c r="C6" s="899"/>
      <c r="D6" s="899"/>
      <c r="E6" s="899"/>
      <c r="F6" s="899"/>
      <c r="G6" s="899"/>
      <c r="H6" s="899"/>
      <c r="I6" s="899"/>
      <c r="J6" s="895"/>
    </row>
    <row r="7" spans="1:10" ht="15" customHeight="1">
      <c r="A7" s="897"/>
      <c r="B7" s="899"/>
      <c r="C7" s="899"/>
      <c r="D7" s="899"/>
      <c r="E7" s="899"/>
      <c r="F7" s="899"/>
      <c r="G7" s="899"/>
      <c r="H7" s="899"/>
      <c r="I7" s="899"/>
      <c r="J7" s="895"/>
    </row>
    <row r="8" spans="1:10" ht="15" customHeight="1">
      <c r="A8" s="897"/>
      <c r="B8" s="899"/>
      <c r="C8" s="899"/>
      <c r="D8" s="899"/>
      <c r="E8" s="899"/>
      <c r="F8" s="899"/>
      <c r="G8" s="899"/>
      <c r="H8" s="899"/>
      <c r="I8" s="899"/>
      <c r="J8" s="895"/>
    </row>
    <row r="9" spans="1:10" ht="15" customHeight="1">
      <c r="A9" s="897"/>
      <c r="B9" s="899"/>
      <c r="C9" s="899"/>
      <c r="D9" s="899"/>
      <c r="E9" s="899"/>
      <c r="F9" s="899"/>
      <c r="G9" s="899"/>
      <c r="H9" s="899"/>
      <c r="I9" s="899"/>
      <c r="J9" s="895"/>
    </row>
    <row r="10" spans="1:10" ht="15" customHeight="1">
      <c r="A10" s="897"/>
      <c r="B10" s="899"/>
      <c r="C10" s="899"/>
      <c r="D10" s="899"/>
      <c r="E10" s="899"/>
      <c r="F10" s="899"/>
      <c r="G10" s="899"/>
      <c r="H10" s="899"/>
      <c r="I10" s="899"/>
      <c r="J10" s="895"/>
    </row>
    <row r="11" spans="1:10" ht="15" customHeight="1">
      <c r="A11" s="897"/>
      <c r="B11" s="899"/>
      <c r="C11" s="899"/>
      <c r="D11" s="899"/>
      <c r="E11" s="899"/>
      <c r="F11" s="899"/>
      <c r="G11" s="899"/>
      <c r="H11" s="899"/>
      <c r="I11" s="899"/>
      <c r="J11" s="895"/>
    </row>
    <row r="12" spans="1:10" ht="15" customHeight="1">
      <c r="A12" s="897"/>
      <c r="B12" s="899"/>
      <c r="C12" s="899"/>
      <c r="D12" s="899"/>
      <c r="E12" s="899"/>
      <c r="F12" s="899"/>
      <c r="G12" s="899"/>
      <c r="H12" s="899"/>
      <c r="I12" s="899"/>
      <c r="J12" s="895"/>
    </row>
    <row r="13" spans="1:10" ht="15" customHeight="1">
      <c r="A13" s="897"/>
      <c r="B13" s="899"/>
      <c r="C13" s="899"/>
      <c r="D13" s="899"/>
      <c r="E13" s="899"/>
      <c r="F13" s="899"/>
      <c r="G13" s="899"/>
      <c r="H13" s="899"/>
      <c r="I13" s="899"/>
      <c r="J13" s="895"/>
    </row>
    <row r="14" spans="1:10" ht="15" customHeight="1">
      <c r="A14" s="897"/>
      <c r="B14" s="899"/>
      <c r="C14" s="899"/>
      <c r="D14" s="899"/>
      <c r="E14" s="899"/>
      <c r="F14" s="899"/>
      <c r="G14" s="899"/>
      <c r="H14" s="899"/>
      <c r="I14" s="899"/>
      <c r="J14" s="895"/>
    </row>
    <row r="15" spans="1:10" ht="15" customHeight="1">
      <c r="A15" s="897"/>
      <c r="B15" s="899"/>
      <c r="C15" s="899"/>
      <c r="D15" s="899"/>
      <c r="E15" s="899"/>
      <c r="F15" s="899"/>
      <c r="G15" s="899"/>
      <c r="H15" s="899"/>
      <c r="I15" s="899"/>
      <c r="J15" s="895"/>
    </row>
    <row r="16" spans="1:10" ht="15" customHeight="1" thickBot="1">
      <c r="A16" s="898"/>
      <c r="B16" s="900"/>
      <c r="C16" s="900"/>
      <c r="D16" s="900"/>
      <c r="E16" s="900"/>
      <c r="F16" s="900"/>
      <c r="G16" s="900"/>
      <c r="H16" s="900"/>
      <c r="I16" s="900"/>
      <c r="J16" s="89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8740157499999996" bottom="0.78740157499999996" header="0" footer="0"/>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AN1008"/>
  <sheetViews>
    <sheetView zoomScale="70" zoomScaleNormal="70" workbookViewId="0">
      <pane xSplit="1" ySplit="3" topLeftCell="B4" activePane="bottomRight" state="frozen"/>
      <selection pane="topRight" activeCell="B1" sqref="B1"/>
      <selection pane="bottomLeft" activeCell="A4" sqref="A4"/>
      <selection pane="bottomRight" activeCell="B13" sqref="B13"/>
    </sheetView>
  </sheetViews>
  <sheetFormatPr baseColWidth="10" defaultColWidth="14.33203125" defaultRowHeight="15" customHeight="1" outlineLevelRow="1" outlineLevelCol="1"/>
  <cols>
    <col min="1" max="1" width="19.33203125" customWidth="1"/>
    <col min="2" max="4" width="11.33203125" customWidth="1"/>
    <col min="5" max="5" width="3.33203125" customWidth="1"/>
    <col min="6" max="6" width="15.6640625" customWidth="1"/>
    <col min="7" max="9" width="11.33203125" customWidth="1"/>
    <col min="10" max="10" width="3.33203125" customWidth="1"/>
    <col min="11" max="13" width="3.6640625" hidden="1" customWidth="1" outlineLevel="1"/>
    <col min="14" max="14" width="14.33203125" customWidth="1" collapsed="1"/>
    <col min="15" max="15" width="14" bestFit="1" customWidth="1"/>
    <col min="16" max="40" width="14.33203125" customWidth="1"/>
  </cols>
  <sheetData>
    <row r="1" spans="1:40" ht="95.25" customHeight="1">
      <c r="A1" s="446"/>
      <c r="B1" s="1080" t="s">
        <v>3603</v>
      </c>
      <c r="C1" s="1032"/>
      <c r="D1" s="1037"/>
      <c r="E1" s="447"/>
      <c r="F1" s="1080" t="s">
        <v>3604</v>
      </c>
      <c r="G1" s="1032"/>
      <c r="H1" s="1032"/>
      <c r="I1" s="1037"/>
      <c r="J1" s="447"/>
      <c r="K1" s="1080" t="s">
        <v>3605</v>
      </c>
      <c r="L1" s="1032"/>
      <c r="M1" s="1032"/>
      <c r="N1" s="1032"/>
      <c r="O1" s="1032"/>
      <c r="P1" s="1032"/>
      <c r="Q1" s="1032"/>
      <c r="R1" s="1032"/>
      <c r="S1" s="1032"/>
      <c r="T1" s="1032"/>
      <c r="U1" s="1032"/>
      <c r="V1" s="1032"/>
      <c r="W1" s="1032"/>
      <c r="X1" s="1032"/>
      <c r="Y1" s="1032"/>
      <c r="Z1" s="1032"/>
      <c r="AA1" s="1032"/>
      <c r="AB1" s="1032"/>
      <c r="AC1" s="1032"/>
      <c r="AD1" s="1032"/>
      <c r="AE1" s="1032"/>
      <c r="AF1" s="1032"/>
      <c r="AG1" s="1032"/>
      <c r="AH1" s="1032"/>
      <c r="AI1" s="1032"/>
      <c r="AJ1" s="1032"/>
      <c r="AK1" s="1032"/>
      <c r="AL1" s="1032"/>
      <c r="AM1" s="1032"/>
      <c r="AN1" s="1037"/>
    </row>
    <row r="2" spans="1:40" ht="78.75" customHeight="1" outlineLevel="1">
      <c r="A2" s="446"/>
      <c r="B2" s="1081" t="s">
        <v>3111</v>
      </c>
      <c r="C2" s="1032"/>
      <c r="D2" s="1037"/>
      <c r="E2" s="447"/>
      <c r="F2" s="447"/>
      <c r="G2" s="1081" t="s">
        <v>3111</v>
      </c>
      <c r="H2" s="1032"/>
      <c r="I2" s="1037"/>
      <c r="J2" s="447"/>
      <c r="K2" s="1082" t="s">
        <v>2398</v>
      </c>
      <c r="L2" s="1032"/>
      <c r="M2" s="1037"/>
      <c r="N2" s="1081" t="s">
        <v>3111</v>
      </c>
      <c r="O2" s="1032"/>
      <c r="P2" s="1032"/>
      <c r="Q2" s="1032"/>
      <c r="R2" s="1032"/>
      <c r="S2" s="1032"/>
      <c r="T2" s="1032"/>
      <c r="U2" s="1032"/>
      <c r="V2" s="1032"/>
      <c r="W2" s="1032"/>
      <c r="X2" s="1032"/>
      <c r="Y2" s="1032"/>
      <c r="Z2" s="1032"/>
      <c r="AA2" s="1032"/>
      <c r="AB2" s="1032"/>
      <c r="AC2" s="1032"/>
      <c r="AD2" s="1032"/>
      <c r="AE2" s="1037"/>
      <c r="AF2" s="446"/>
      <c r="AG2" s="446"/>
      <c r="AH2" s="446"/>
      <c r="AI2" s="446"/>
      <c r="AJ2" s="446"/>
      <c r="AK2" s="446"/>
      <c r="AL2" s="446"/>
      <c r="AM2" s="446"/>
      <c r="AN2" s="446"/>
    </row>
    <row r="3" spans="1:40" ht="84" customHeight="1">
      <c r="A3" s="446"/>
      <c r="B3" s="166" t="s">
        <v>3113</v>
      </c>
      <c r="C3" s="166" t="s">
        <v>3114</v>
      </c>
      <c r="D3" s="166" t="s">
        <v>3115</v>
      </c>
      <c r="E3" s="23"/>
      <c r="F3" s="163" t="s">
        <v>2396</v>
      </c>
      <c r="G3" s="166" t="s">
        <v>3113</v>
      </c>
      <c r="H3" s="166" t="s">
        <v>3114</v>
      </c>
      <c r="I3" s="166" t="s">
        <v>3115</v>
      </c>
      <c r="J3" s="23"/>
      <c r="K3" s="448" t="s">
        <v>3113</v>
      </c>
      <c r="L3" s="448" t="s">
        <v>3114</v>
      </c>
      <c r="M3" s="448" t="s">
        <v>3115</v>
      </c>
      <c r="N3" s="163" t="s">
        <v>2771</v>
      </c>
      <c r="O3" s="163" t="s">
        <v>3606</v>
      </c>
      <c r="P3" s="163" t="s">
        <v>3607</v>
      </c>
      <c r="Q3" s="163" t="s">
        <v>3608</v>
      </c>
      <c r="R3" s="166" t="s">
        <v>3609</v>
      </c>
      <c r="S3" s="166" t="s">
        <v>3610</v>
      </c>
      <c r="T3" s="166" t="s">
        <v>3611</v>
      </c>
      <c r="U3" s="166" t="s">
        <v>3612</v>
      </c>
      <c r="V3" s="166" t="s">
        <v>3613</v>
      </c>
      <c r="W3" s="166" t="s">
        <v>3614</v>
      </c>
      <c r="X3" s="166" t="s">
        <v>3615</v>
      </c>
      <c r="Y3" s="166" t="s">
        <v>3616</v>
      </c>
      <c r="Z3" s="449" t="s">
        <v>3617</v>
      </c>
      <c r="AA3" s="166" t="s">
        <v>3618</v>
      </c>
      <c r="AB3" s="166" t="s">
        <v>3619</v>
      </c>
      <c r="AC3" s="166" t="s">
        <v>3620</v>
      </c>
      <c r="AD3" s="449" t="s">
        <v>3621</v>
      </c>
      <c r="AE3" s="166" t="s">
        <v>3622</v>
      </c>
      <c r="AF3" s="166" t="s">
        <v>3623</v>
      </c>
      <c r="AG3" s="166" t="s">
        <v>3624</v>
      </c>
      <c r="AH3" s="449" t="s">
        <v>3625</v>
      </c>
      <c r="AI3" s="166" t="s">
        <v>3626</v>
      </c>
      <c r="AJ3" s="166" t="s">
        <v>3627</v>
      </c>
      <c r="AK3" s="450" t="s">
        <v>3628</v>
      </c>
      <c r="AL3" s="451" t="s">
        <v>3620</v>
      </c>
      <c r="AM3" s="451" t="s">
        <v>3624</v>
      </c>
      <c r="AN3" s="451" t="s">
        <v>3628</v>
      </c>
    </row>
    <row r="4" spans="1:40" ht="14.25" customHeight="1">
      <c r="A4" s="446"/>
      <c r="B4" s="446"/>
      <c r="C4" s="446"/>
      <c r="D4" s="446"/>
      <c r="E4" s="446"/>
      <c r="F4" s="446"/>
      <c r="G4" s="446"/>
      <c r="H4" s="446"/>
      <c r="I4" s="446"/>
      <c r="J4" s="446"/>
      <c r="K4" s="446"/>
      <c r="L4" s="446"/>
      <c r="M4" s="446"/>
      <c r="N4" s="446"/>
      <c r="O4" s="446"/>
      <c r="P4" s="446"/>
      <c r="Q4" s="446"/>
      <c r="R4" s="446"/>
      <c r="S4" s="446"/>
      <c r="T4" s="446"/>
      <c r="U4" s="446"/>
      <c r="V4" s="446"/>
      <c r="W4" s="446"/>
      <c r="X4" s="446"/>
      <c r="Y4" s="446"/>
      <c r="Z4" s="452"/>
      <c r="AA4" s="446"/>
      <c r="AB4" s="446"/>
      <c r="AC4" s="446"/>
      <c r="AD4" s="452"/>
      <c r="AE4" s="446"/>
      <c r="AF4" s="446"/>
      <c r="AG4" s="446"/>
      <c r="AH4" s="452"/>
      <c r="AI4" s="446"/>
      <c r="AJ4" s="446"/>
      <c r="AK4" s="453"/>
      <c r="AL4" s="446"/>
      <c r="AM4" s="446"/>
      <c r="AN4" s="446"/>
    </row>
    <row r="5" spans="1:40" ht="14.25" customHeight="1">
      <c r="A5" s="446" t="s">
        <v>2773</v>
      </c>
      <c r="B5" s="454" t="str">
        <f>'Sterne-Rechner - Angebot'!N4</f>
        <v/>
      </c>
      <c r="C5" s="454" t="str">
        <f>'Sterne-Rechner - Angebot'!N5</f>
        <v/>
      </c>
      <c r="D5" s="454" t="str">
        <f>'Sterne-Rechner - Angebot'!N6</f>
        <v/>
      </c>
      <c r="E5" s="446"/>
      <c r="F5" s="455">
        <f>Fragenkatalog!AW6</f>
        <v>0</v>
      </c>
      <c r="G5" s="454" t="str">
        <f t="shared" ref="G5:I10" si="0">IFERROR(B5*(1+$F5),"")</f>
        <v/>
      </c>
      <c r="H5" s="454" t="str">
        <f t="shared" si="0"/>
        <v/>
      </c>
      <c r="I5" s="454" t="str">
        <f>IFERROR(D5*(1+$F5),"")</f>
        <v/>
      </c>
      <c r="J5" s="446"/>
      <c r="K5" s="446"/>
      <c r="L5" s="446"/>
      <c r="M5" s="446"/>
      <c r="N5" s="456">
        <f>Fragenkatalog!K$149</f>
        <v>0</v>
      </c>
      <c r="O5" s="457">
        <f ca="1">IF(wvagLimit1Offered&gt;3000000,30%,35%)</f>
        <v>0.35</v>
      </c>
      <c r="P5" s="457">
        <f ca="1">IF(wvagLimit2Offered&gt;3000000,30%,35%)</f>
        <v>0.35</v>
      </c>
      <c r="Q5" s="457">
        <f ca="1">IF(wvagLimit3Offered&gt;3000000,30%,35%)</f>
        <v>0.35</v>
      </c>
      <c r="R5" s="456">
        <f t="shared" ref="R5:R12" ca="1" si="1">O5-X5</f>
        <v>0.35</v>
      </c>
      <c r="S5" s="456">
        <f t="shared" ref="S5:S12" ca="1" si="2">P5-X5</f>
        <v>0.35</v>
      </c>
      <c r="T5" s="456">
        <f t="shared" ref="T5:T12" ca="1" si="3">Q5-X5</f>
        <v>0.35</v>
      </c>
      <c r="U5" s="456">
        <f ca="1">IFERROR(G5*R5/AC5, 0)</f>
        <v>0</v>
      </c>
      <c r="V5" s="456">
        <f t="shared" ref="V5:V11" ca="1" si="4">IFERROR(H5*S5/AG5, 0)</f>
        <v>0</v>
      </c>
      <c r="W5" s="456">
        <f t="shared" ref="W5:W11" ca="1" si="5">IFERROR(I5*T5/AK5, 0)</f>
        <v>0</v>
      </c>
      <c r="X5" s="456">
        <f>KoopMakler!B4</f>
        <v>0</v>
      </c>
      <c r="Y5" s="456">
        <f t="shared" ref="Y5:Y11" si="6">IFERROR(G5*X5*N5/AC5, 0)</f>
        <v>0</v>
      </c>
      <c r="Z5" s="458" t="e">
        <f t="shared" ref="Z5:Z12" ca="1" si="7">AC5-AB5-AA5</f>
        <v>#VALUE!</v>
      </c>
      <c r="AA5" s="454" t="e">
        <f t="shared" ref="AA5:AA12" ca="1" si="8">AC5*U5</f>
        <v>#VALUE!</v>
      </c>
      <c r="AB5" s="454" t="e">
        <f t="shared" ref="AB5:AB12" si="9">AC5*Y5</f>
        <v>#VALUE!</v>
      </c>
      <c r="AC5" s="454" t="e">
        <f t="shared" ref="AC5:AC11" si="10">(G5-G5*X5*(100%-N5))</f>
        <v>#VALUE!</v>
      </c>
      <c r="AD5" s="458" t="e">
        <f t="shared" ref="AD5:AD12" ca="1" si="11">AG5-AF5-AE5</f>
        <v>#VALUE!</v>
      </c>
      <c r="AE5" s="454" t="e">
        <f t="shared" ref="AE5:AE12" ca="1" si="12">AG5*V5</f>
        <v>#VALUE!</v>
      </c>
      <c r="AF5" s="454" t="e">
        <f t="shared" ref="AF5:AF12" si="13">AG5*Y5</f>
        <v>#VALUE!</v>
      </c>
      <c r="AG5" s="454" t="e">
        <f t="shared" ref="AG5:AG11" si="14">(H5-H5*X5*(100%-N5))</f>
        <v>#VALUE!</v>
      </c>
      <c r="AH5" s="458" t="e">
        <f t="shared" ref="AH5:AH12" ca="1" si="15">AK5-AJ5-AI5</f>
        <v>#VALUE!</v>
      </c>
      <c r="AI5" s="454" t="e">
        <f t="shared" ref="AI5:AI12" ca="1" si="16">AK5*W5</f>
        <v>#VALUE!</v>
      </c>
      <c r="AJ5" s="454" t="e">
        <f t="shared" ref="AJ5:AJ12" si="17">AK5*Y5</f>
        <v>#VALUE!</v>
      </c>
      <c r="AK5" s="454" t="e">
        <f>(I5-I5*X5*(100%-N5))</f>
        <v>#VALUE!</v>
      </c>
      <c r="AL5" s="459" t="str">
        <f t="shared" ref="AL5:AL11" si="18">IFERROR(ROUND(AC5,2),"")</f>
        <v/>
      </c>
      <c r="AM5" s="459" t="str">
        <f t="shared" ref="AM5:AM11" si="19">IFERROR(ROUND(AG5,2),"")</f>
        <v/>
      </c>
      <c r="AN5" s="459" t="str">
        <f t="shared" ref="AN5:AN11" si="20">IFERROR(ROUND(AK5,2),"")</f>
        <v/>
      </c>
    </row>
    <row r="6" spans="1:40" ht="14.25" customHeight="1">
      <c r="A6" s="446" t="s">
        <v>2393</v>
      </c>
      <c r="B6" s="454" t="str">
        <f>'Sterne-Rechner - Angebot'!N7</f>
        <v/>
      </c>
      <c r="C6" s="454" t="str">
        <f>'Sterne-Rechner - Angebot'!N8</f>
        <v/>
      </c>
      <c r="D6" s="454" t="str">
        <f>'Sterne-Rechner - Angebot'!N9</f>
        <v/>
      </c>
      <c r="E6" s="446"/>
      <c r="F6" s="454">
        <f>Fragenkatalog!AQ6</f>
        <v>0</v>
      </c>
      <c r="G6" s="454" t="str">
        <f t="shared" si="0"/>
        <v/>
      </c>
      <c r="H6" s="454" t="str">
        <f t="shared" si="0"/>
        <v/>
      </c>
      <c r="I6" s="454" t="str">
        <f t="shared" si="0"/>
        <v/>
      </c>
      <c r="J6" s="446"/>
      <c r="K6" s="446"/>
      <c r="L6" s="446"/>
      <c r="M6" s="446"/>
      <c r="N6" s="456">
        <f>Fragenkatalog!K$149</f>
        <v>0</v>
      </c>
      <c r="O6" s="457">
        <v>0.35</v>
      </c>
      <c r="P6" s="457">
        <v>0.35</v>
      </c>
      <c r="Q6" s="457">
        <v>0.35</v>
      </c>
      <c r="R6" s="456">
        <f t="shared" si="1"/>
        <v>0.35</v>
      </c>
      <c r="S6" s="456">
        <f t="shared" si="2"/>
        <v>0.35</v>
      </c>
      <c r="T6" s="456">
        <f t="shared" si="3"/>
        <v>0.35</v>
      </c>
      <c r="U6" s="456">
        <f t="shared" ref="U6:U11" si="21">IFERROR(G6*R6/AC6, 0)</f>
        <v>0</v>
      </c>
      <c r="V6" s="456">
        <f t="shared" si="4"/>
        <v>0</v>
      </c>
      <c r="W6" s="456">
        <f t="shared" si="5"/>
        <v>0</v>
      </c>
      <c r="X6" s="456">
        <f>KoopMakler!B3</f>
        <v>0</v>
      </c>
      <c r="Y6" s="456">
        <f t="shared" si="6"/>
        <v>0</v>
      </c>
      <c r="Z6" s="458" t="e">
        <f t="shared" si="7"/>
        <v>#VALUE!</v>
      </c>
      <c r="AA6" s="454" t="e">
        <f t="shared" si="8"/>
        <v>#VALUE!</v>
      </c>
      <c r="AB6" s="454" t="e">
        <f t="shared" si="9"/>
        <v>#VALUE!</v>
      </c>
      <c r="AC6" s="454" t="e">
        <f t="shared" si="10"/>
        <v>#VALUE!</v>
      </c>
      <c r="AD6" s="458" t="e">
        <f t="shared" si="11"/>
        <v>#VALUE!</v>
      </c>
      <c r="AE6" s="454" t="e">
        <f t="shared" si="12"/>
        <v>#VALUE!</v>
      </c>
      <c r="AF6" s="454" t="e">
        <f t="shared" si="13"/>
        <v>#VALUE!</v>
      </c>
      <c r="AG6" s="454" t="e">
        <f t="shared" si="14"/>
        <v>#VALUE!</v>
      </c>
      <c r="AH6" s="458" t="e">
        <f t="shared" si="15"/>
        <v>#VALUE!</v>
      </c>
      <c r="AI6" s="454" t="e">
        <f t="shared" si="16"/>
        <v>#VALUE!</v>
      </c>
      <c r="AJ6" s="454" t="e">
        <f t="shared" si="17"/>
        <v>#VALUE!</v>
      </c>
      <c r="AK6" s="454" t="e">
        <f t="shared" ref="AK6:AK11" si="22">(I6-I6*X6*(100%-N6))</f>
        <v>#VALUE!</v>
      </c>
      <c r="AL6" s="459" t="str">
        <f t="shared" si="18"/>
        <v/>
      </c>
      <c r="AM6" s="459" t="str">
        <f t="shared" si="19"/>
        <v/>
      </c>
      <c r="AN6" s="459" t="str">
        <f t="shared" si="20"/>
        <v/>
      </c>
    </row>
    <row r="7" spans="1:40" ht="14.25" customHeight="1">
      <c r="A7" s="446" t="s">
        <v>2795</v>
      </c>
      <c r="B7" s="459">
        <v>0</v>
      </c>
      <c r="C7" s="459">
        <v>0</v>
      </c>
      <c r="D7" s="459">
        <v>0</v>
      </c>
      <c r="E7" s="446"/>
      <c r="F7" s="459"/>
      <c r="G7" s="454">
        <f t="shared" si="0"/>
        <v>0</v>
      </c>
      <c r="H7" s="454">
        <f t="shared" si="0"/>
        <v>0</v>
      </c>
      <c r="I7" s="454">
        <f t="shared" si="0"/>
        <v>0</v>
      </c>
      <c r="J7" s="446"/>
      <c r="K7" s="446"/>
      <c r="L7" s="446"/>
      <c r="M7" s="446"/>
      <c r="N7" s="456">
        <f>Fragenkatalog!K$149</f>
        <v>0</v>
      </c>
      <c r="O7" s="457">
        <v>0.27</v>
      </c>
      <c r="P7" s="457">
        <v>0.27</v>
      </c>
      <c r="Q7" s="457">
        <v>0.27</v>
      </c>
      <c r="R7" s="456">
        <f t="shared" si="1"/>
        <v>0.27</v>
      </c>
      <c r="S7" s="456">
        <f t="shared" si="2"/>
        <v>0.27</v>
      </c>
      <c r="T7" s="456">
        <f t="shared" si="3"/>
        <v>0.27</v>
      </c>
      <c r="U7" s="456">
        <f t="shared" si="21"/>
        <v>0</v>
      </c>
      <c r="V7" s="456">
        <f t="shared" si="4"/>
        <v>0</v>
      </c>
      <c r="W7" s="456">
        <f t="shared" si="5"/>
        <v>0</v>
      </c>
      <c r="X7" s="456">
        <f>KoopMakler!B5</f>
        <v>0</v>
      </c>
      <c r="Y7" s="456">
        <f t="shared" si="6"/>
        <v>0</v>
      </c>
      <c r="Z7" s="458">
        <f t="shared" si="7"/>
        <v>0</v>
      </c>
      <c r="AA7" s="454">
        <f t="shared" si="8"/>
        <v>0</v>
      </c>
      <c r="AB7" s="454">
        <f t="shared" si="9"/>
        <v>0</v>
      </c>
      <c r="AC7" s="454">
        <f t="shared" si="10"/>
        <v>0</v>
      </c>
      <c r="AD7" s="458">
        <f t="shared" si="11"/>
        <v>0</v>
      </c>
      <c r="AE7" s="454">
        <f t="shared" si="12"/>
        <v>0</v>
      </c>
      <c r="AF7" s="454">
        <f t="shared" si="13"/>
        <v>0</v>
      </c>
      <c r="AG7" s="454">
        <f t="shared" si="14"/>
        <v>0</v>
      </c>
      <c r="AH7" s="458">
        <f t="shared" si="15"/>
        <v>0</v>
      </c>
      <c r="AI7" s="454">
        <f t="shared" si="16"/>
        <v>0</v>
      </c>
      <c r="AJ7" s="454">
        <f t="shared" si="17"/>
        <v>0</v>
      </c>
      <c r="AK7" s="454">
        <f t="shared" si="22"/>
        <v>0</v>
      </c>
      <c r="AL7" s="459">
        <f t="shared" si="18"/>
        <v>0</v>
      </c>
      <c r="AM7" s="459">
        <f t="shared" si="19"/>
        <v>0</v>
      </c>
      <c r="AN7" s="459">
        <f t="shared" si="20"/>
        <v>0</v>
      </c>
    </row>
    <row r="8" spans="1:40" ht="14.25" customHeight="1">
      <c r="A8" s="446" t="s">
        <v>2391</v>
      </c>
      <c r="B8" s="454" t="str">
        <f>'AIG Facility - Preisrechner'!E8</f>
        <v/>
      </c>
      <c r="C8" s="454" t="str">
        <f>'AIG Facility - Preisrechner'!F8</f>
        <v/>
      </c>
      <c r="D8" s="454" t="str">
        <f>'AIG Facility - Preisrechner'!G8</f>
        <v/>
      </c>
      <c r="E8" s="446"/>
      <c r="F8" s="454">
        <f>Fragenkatalog!Y6</f>
        <v>0</v>
      </c>
      <c r="G8" s="454" t="str">
        <f t="shared" si="0"/>
        <v/>
      </c>
      <c r="H8" s="454" t="str">
        <f t="shared" si="0"/>
        <v/>
      </c>
      <c r="I8" s="454" t="str">
        <f t="shared" si="0"/>
        <v/>
      </c>
      <c r="J8" s="446"/>
      <c r="K8" s="446"/>
      <c r="L8" s="446"/>
      <c r="M8" s="446"/>
      <c r="N8" s="456">
        <f>Fragenkatalog!K$149</f>
        <v>0</v>
      </c>
      <c r="O8" s="457">
        <v>0.38</v>
      </c>
      <c r="P8" s="457">
        <v>0.38</v>
      </c>
      <c r="Q8" s="457">
        <v>0.38</v>
      </c>
      <c r="R8" s="456">
        <f t="shared" si="1"/>
        <v>0.38</v>
      </c>
      <c r="S8" s="456">
        <f t="shared" si="2"/>
        <v>0.38</v>
      </c>
      <c r="T8" s="456">
        <f t="shared" si="3"/>
        <v>0.38</v>
      </c>
      <c r="U8" s="456">
        <f t="shared" si="21"/>
        <v>0</v>
      </c>
      <c r="V8" s="456">
        <f t="shared" si="4"/>
        <v>0</v>
      </c>
      <c r="W8" s="456">
        <f t="shared" si="5"/>
        <v>0</v>
      </c>
      <c r="X8" s="456">
        <f>KoopMakler!B3</f>
        <v>0</v>
      </c>
      <c r="Y8" s="456">
        <f t="shared" si="6"/>
        <v>0</v>
      </c>
      <c r="Z8" s="458" t="e">
        <f t="shared" si="7"/>
        <v>#VALUE!</v>
      </c>
      <c r="AA8" s="454" t="e">
        <f t="shared" si="8"/>
        <v>#VALUE!</v>
      </c>
      <c r="AB8" s="454" t="e">
        <f t="shared" si="9"/>
        <v>#VALUE!</v>
      </c>
      <c r="AC8" s="454" t="e">
        <f t="shared" si="10"/>
        <v>#VALUE!</v>
      </c>
      <c r="AD8" s="458" t="e">
        <f t="shared" si="11"/>
        <v>#VALUE!</v>
      </c>
      <c r="AE8" s="454" t="e">
        <f t="shared" si="12"/>
        <v>#VALUE!</v>
      </c>
      <c r="AF8" s="454" t="e">
        <f t="shared" si="13"/>
        <v>#VALUE!</v>
      </c>
      <c r="AG8" s="454" t="e">
        <f t="shared" si="14"/>
        <v>#VALUE!</v>
      </c>
      <c r="AH8" s="458" t="e">
        <f t="shared" si="15"/>
        <v>#VALUE!</v>
      </c>
      <c r="AI8" s="454" t="e">
        <f t="shared" si="16"/>
        <v>#VALUE!</v>
      </c>
      <c r="AJ8" s="454" t="e">
        <f t="shared" si="17"/>
        <v>#VALUE!</v>
      </c>
      <c r="AK8" s="454" t="e">
        <f t="shared" si="22"/>
        <v>#VALUE!</v>
      </c>
      <c r="AL8" s="459" t="str">
        <f t="shared" si="18"/>
        <v/>
      </c>
      <c r="AM8" s="459" t="str">
        <f t="shared" si="19"/>
        <v/>
      </c>
      <c r="AN8" s="459" t="str">
        <f t="shared" si="20"/>
        <v/>
      </c>
    </row>
    <row r="9" spans="1:40" ht="14.25" customHeight="1">
      <c r="A9" s="446" t="s">
        <v>2400</v>
      </c>
      <c r="B9" s="454" t="str">
        <f>'Sterne-Rechner - Angebot'!N16</f>
        <v/>
      </c>
      <c r="C9" s="454" t="str">
        <f>'Sterne-Rechner - Angebot'!N17</f>
        <v/>
      </c>
      <c r="D9" s="454" t="str">
        <f>'Sterne-Rechner - Angebot'!N18</f>
        <v/>
      </c>
      <c r="E9" s="446"/>
      <c r="F9" s="454">
        <f>Fragenkatalog!S6</f>
        <v>0</v>
      </c>
      <c r="G9" s="454" t="str">
        <f t="shared" si="0"/>
        <v/>
      </c>
      <c r="H9" s="454" t="str">
        <f t="shared" si="0"/>
        <v/>
      </c>
      <c r="I9" s="454" t="str">
        <f t="shared" si="0"/>
        <v/>
      </c>
      <c r="J9" s="446"/>
      <c r="K9" s="446"/>
      <c r="L9" s="446"/>
      <c r="M9" s="446"/>
      <c r="N9" s="456">
        <f>Fragenkatalog!K$149</f>
        <v>0</v>
      </c>
      <c r="O9" s="457">
        <f>IF(PolicenBeginn&lt;=DATE(2020,12,31), 27.5 %,26 %)</f>
        <v>0.27500000000000002</v>
      </c>
      <c r="P9" s="457">
        <f>IF(PolicenBeginn&lt;=DATE(2020,12,31), 27.5 %,26 %)</f>
        <v>0.27500000000000002</v>
      </c>
      <c r="Q9" s="457">
        <f>IF(PolicenBeginn&lt;=DATE(2020,12,31), 27.5 %,26 %)</f>
        <v>0.27500000000000002</v>
      </c>
      <c r="R9" s="456">
        <f t="shared" si="1"/>
        <v>0.27500000000000002</v>
      </c>
      <c r="S9" s="456">
        <f t="shared" si="2"/>
        <v>0.27500000000000002</v>
      </c>
      <c r="T9" s="456">
        <f t="shared" si="3"/>
        <v>0.27500000000000002</v>
      </c>
      <c r="U9" s="456">
        <f t="shared" si="21"/>
        <v>0</v>
      </c>
      <c r="V9" s="456">
        <f t="shared" si="4"/>
        <v>0</v>
      </c>
      <c r="W9" s="456">
        <f t="shared" si="5"/>
        <v>0</v>
      </c>
      <c r="X9" s="456">
        <f>KoopMakler!B5</f>
        <v>0</v>
      </c>
      <c r="Y9" s="456">
        <f t="shared" si="6"/>
        <v>0</v>
      </c>
      <c r="Z9" s="458" t="e">
        <f t="shared" si="7"/>
        <v>#VALUE!</v>
      </c>
      <c r="AA9" s="454" t="e">
        <f t="shared" si="8"/>
        <v>#VALUE!</v>
      </c>
      <c r="AB9" s="454" t="e">
        <f t="shared" si="9"/>
        <v>#VALUE!</v>
      </c>
      <c r="AC9" s="454" t="e">
        <f t="shared" si="10"/>
        <v>#VALUE!</v>
      </c>
      <c r="AD9" s="458" t="e">
        <f t="shared" si="11"/>
        <v>#VALUE!</v>
      </c>
      <c r="AE9" s="454" t="e">
        <f t="shared" si="12"/>
        <v>#VALUE!</v>
      </c>
      <c r="AF9" s="454" t="e">
        <f t="shared" si="13"/>
        <v>#VALUE!</v>
      </c>
      <c r="AG9" s="454" t="e">
        <f t="shared" si="14"/>
        <v>#VALUE!</v>
      </c>
      <c r="AH9" s="458" t="e">
        <f t="shared" si="15"/>
        <v>#VALUE!</v>
      </c>
      <c r="AI9" s="454" t="e">
        <f t="shared" si="16"/>
        <v>#VALUE!</v>
      </c>
      <c r="AJ9" s="454" t="e">
        <f t="shared" si="17"/>
        <v>#VALUE!</v>
      </c>
      <c r="AK9" s="454" t="e">
        <f t="shared" si="22"/>
        <v>#VALUE!</v>
      </c>
      <c r="AL9" s="459" t="str">
        <f t="shared" si="18"/>
        <v/>
      </c>
      <c r="AM9" s="459" t="str">
        <f t="shared" si="19"/>
        <v/>
      </c>
      <c r="AN9" s="459" t="str">
        <f t="shared" si="20"/>
        <v/>
      </c>
    </row>
    <row r="10" spans="1:40" ht="14.25" customHeight="1">
      <c r="A10" s="446" t="s">
        <v>2401</v>
      </c>
      <c r="B10" s="454" t="str">
        <f>'Sterne-Rechner - Angebot'!N19</f>
        <v/>
      </c>
      <c r="C10" s="454" t="str">
        <f>'Sterne-Rechner - Angebot'!N20</f>
        <v/>
      </c>
      <c r="D10" s="454" t="str">
        <f>'Sterne-Rechner - Angebot'!N21</f>
        <v/>
      </c>
      <c r="E10" s="446"/>
      <c r="F10" s="454">
        <f ca="1">Fragenkatalog!AK6</f>
        <v>0</v>
      </c>
      <c r="G10" s="454" t="str">
        <f t="shared" ca="1" si="0"/>
        <v/>
      </c>
      <c r="H10" s="454" t="str">
        <f t="shared" ca="1" si="0"/>
        <v/>
      </c>
      <c r="I10" s="454" t="str">
        <f t="shared" ca="1" si="0"/>
        <v/>
      </c>
      <c r="J10" s="446"/>
      <c r="K10" s="446"/>
      <c r="L10" s="446"/>
      <c r="M10" s="446"/>
      <c r="N10" s="456">
        <f>Fragenkatalog!K$149</f>
        <v>0</v>
      </c>
      <c r="O10" s="457">
        <v>0.28499999999999998</v>
      </c>
      <c r="P10" s="457">
        <v>0.28499999999999998</v>
      </c>
      <c r="Q10" s="457">
        <v>0.28499999999999998</v>
      </c>
      <c r="R10" s="456">
        <f t="shared" si="1"/>
        <v>0.28499999999999998</v>
      </c>
      <c r="S10" s="456">
        <f t="shared" si="2"/>
        <v>0.28499999999999998</v>
      </c>
      <c r="T10" s="456">
        <f t="shared" si="3"/>
        <v>0.28499999999999998</v>
      </c>
      <c r="U10" s="456">
        <f t="shared" ca="1" si="21"/>
        <v>0</v>
      </c>
      <c r="V10" s="456">
        <f t="shared" ca="1" si="4"/>
        <v>0</v>
      </c>
      <c r="W10" s="456">
        <f t="shared" ca="1" si="5"/>
        <v>0</v>
      </c>
      <c r="X10" s="456">
        <f>KoopMakler!B5</f>
        <v>0</v>
      </c>
      <c r="Y10" s="456">
        <f t="shared" ca="1" si="6"/>
        <v>0</v>
      </c>
      <c r="Z10" s="458" t="e">
        <f t="shared" ca="1" si="7"/>
        <v>#VALUE!</v>
      </c>
      <c r="AA10" s="454" t="e">
        <f t="shared" ca="1" si="8"/>
        <v>#VALUE!</v>
      </c>
      <c r="AB10" s="454" t="e">
        <f t="shared" ca="1" si="9"/>
        <v>#VALUE!</v>
      </c>
      <c r="AC10" s="454" t="e">
        <f t="shared" ca="1" si="10"/>
        <v>#VALUE!</v>
      </c>
      <c r="AD10" s="458" t="e">
        <f t="shared" ca="1" si="11"/>
        <v>#VALUE!</v>
      </c>
      <c r="AE10" s="454" t="e">
        <f t="shared" ca="1" si="12"/>
        <v>#VALUE!</v>
      </c>
      <c r="AF10" s="454" t="e">
        <f t="shared" ca="1" si="13"/>
        <v>#VALUE!</v>
      </c>
      <c r="AG10" s="454" t="e">
        <f t="shared" ca="1" si="14"/>
        <v>#VALUE!</v>
      </c>
      <c r="AH10" s="458" t="e">
        <f t="shared" ca="1" si="15"/>
        <v>#VALUE!</v>
      </c>
      <c r="AI10" s="454" t="e">
        <f t="shared" ca="1" si="16"/>
        <v>#VALUE!</v>
      </c>
      <c r="AJ10" s="454" t="e">
        <f t="shared" ca="1" si="17"/>
        <v>#VALUE!</v>
      </c>
      <c r="AK10" s="454" t="e">
        <f t="shared" ca="1" si="22"/>
        <v>#VALUE!</v>
      </c>
      <c r="AL10" s="459" t="str">
        <f t="shared" ca="1" si="18"/>
        <v/>
      </c>
      <c r="AM10" s="459" t="str">
        <f t="shared" ca="1" si="19"/>
        <v/>
      </c>
      <c r="AN10" s="459" t="str">
        <f t="shared" ca="1" si="20"/>
        <v/>
      </c>
    </row>
    <row r="11" spans="1:40" ht="14.25" customHeight="1">
      <c r="A11" s="446" t="s">
        <v>2392</v>
      </c>
      <c r="B11" s="454" t="str">
        <f>'Sterne-Rechner - Angebot'!N22</f>
        <v/>
      </c>
      <c r="C11" s="454" t="str">
        <f>'Sterne-Rechner - Angebot'!N23</f>
        <v/>
      </c>
      <c r="D11" s="454" t="str">
        <f>'Sterne-Rechner - Angebot'!N24</f>
        <v/>
      </c>
      <c r="E11" s="446"/>
      <c r="F11" s="454">
        <f>Fragenkatalog!AE6</f>
        <v>0</v>
      </c>
      <c r="G11" s="454" t="str">
        <f t="shared" ref="G11:I12" si="23">IFERROR(B11*(1+$F11),"")</f>
        <v/>
      </c>
      <c r="H11" s="454" t="str">
        <f t="shared" si="23"/>
        <v/>
      </c>
      <c r="I11" s="454" t="str">
        <f t="shared" si="23"/>
        <v/>
      </c>
      <c r="J11" s="446"/>
      <c r="K11" s="446"/>
      <c r="L11" s="446"/>
      <c r="M11" s="446"/>
      <c r="N11" s="456">
        <f>Fragenkatalog!K$149</f>
        <v>0</v>
      </c>
      <c r="O11" s="457">
        <v>0.3</v>
      </c>
      <c r="P11" s="457">
        <v>0.3</v>
      </c>
      <c r="Q11" s="457">
        <v>0.3</v>
      </c>
      <c r="R11" s="456">
        <f t="shared" si="1"/>
        <v>0.3</v>
      </c>
      <c r="S11" s="456">
        <f t="shared" si="2"/>
        <v>0.3</v>
      </c>
      <c r="T11" s="456">
        <f t="shared" si="3"/>
        <v>0.3</v>
      </c>
      <c r="U11" s="456">
        <f t="shared" si="21"/>
        <v>0</v>
      </c>
      <c r="V11" s="456">
        <f t="shared" si="4"/>
        <v>0</v>
      </c>
      <c r="W11" s="456">
        <f t="shared" si="5"/>
        <v>0</v>
      </c>
      <c r="X11" s="456">
        <f>KoopMakler!B5</f>
        <v>0</v>
      </c>
      <c r="Y11" s="456">
        <f t="shared" si="6"/>
        <v>0</v>
      </c>
      <c r="Z11" s="458" t="e">
        <f t="shared" si="7"/>
        <v>#VALUE!</v>
      </c>
      <c r="AA11" s="454" t="e">
        <f t="shared" si="8"/>
        <v>#VALUE!</v>
      </c>
      <c r="AB11" s="454" t="e">
        <f t="shared" si="9"/>
        <v>#VALUE!</v>
      </c>
      <c r="AC11" s="454" t="e">
        <f t="shared" si="10"/>
        <v>#VALUE!</v>
      </c>
      <c r="AD11" s="458" t="e">
        <f t="shared" si="11"/>
        <v>#VALUE!</v>
      </c>
      <c r="AE11" s="454" t="e">
        <f t="shared" si="12"/>
        <v>#VALUE!</v>
      </c>
      <c r="AF11" s="454" t="e">
        <f t="shared" si="13"/>
        <v>#VALUE!</v>
      </c>
      <c r="AG11" s="454" t="e">
        <f t="shared" si="14"/>
        <v>#VALUE!</v>
      </c>
      <c r="AH11" s="458" t="e">
        <f t="shared" si="15"/>
        <v>#VALUE!</v>
      </c>
      <c r="AI11" s="454" t="e">
        <f t="shared" si="16"/>
        <v>#VALUE!</v>
      </c>
      <c r="AJ11" s="454" t="e">
        <f t="shared" si="17"/>
        <v>#VALUE!</v>
      </c>
      <c r="AK11" s="454" t="e">
        <f t="shared" si="22"/>
        <v>#VALUE!</v>
      </c>
      <c r="AL11" s="459" t="str">
        <f t="shared" si="18"/>
        <v/>
      </c>
      <c r="AM11" s="459" t="str">
        <f t="shared" si="19"/>
        <v/>
      </c>
      <c r="AN11" s="459" t="str">
        <f t="shared" si="20"/>
        <v/>
      </c>
    </row>
    <row r="12" spans="1:40" ht="14.25" customHeight="1">
      <c r="A12" s="446" t="s">
        <v>3727</v>
      </c>
      <c r="B12" s="621" t="str">
        <f>'Sterne-Rechner - Angebot'!N25</f>
        <v/>
      </c>
      <c r="C12" s="621" t="str">
        <f>'Sterne-Rechner - Angebot'!N26</f>
        <v/>
      </c>
      <c r="D12" s="621" t="str">
        <f>'Sterne-Rechner - Angebot'!N27</f>
        <v/>
      </c>
      <c r="E12" s="446"/>
      <c r="F12" s="621">
        <f>Fragenkatalog!BC6</f>
        <v>0</v>
      </c>
      <c r="G12" s="621" t="str">
        <f t="shared" si="23"/>
        <v/>
      </c>
      <c r="H12" s="621" t="str">
        <f t="shared" si="23"/>
        <v/>
      </c>
      <c r="I12" s="621" t="str">
        <f t="shared" si="23"/>
        <v/>
      </c>
      <c r="J12" s="446"/>
      <c r="K12" s="446"/>
      <c r="L12" s="446"/>
      <c r="M12" s="446"/>
      <c r="N12" s="622">
        <f>Fragenkatalog!K$149</f>
        <v>0</v>
      </c>
      <c r="O12" s="623">
        <v>0.35</v>
      </c>
      <c r="P12" s="623">
        <v>0.35</v>
      </c>
      <c r="Q12" s="623">
        <v>0.35</v>
      </c>
      <c r="R12" s="622">
        <f t="shared" si="1"/>
        <v>0.35</v>
      </c>
      <c r="S12" s="622">
        <f t="shared" si="2"/>
        <v>0.35</v>
      </c>
      <c r="T12" s="622">
        <f t="shared" si="3"/>
        <v>0.35</v>
      </c>
      <c r="U12" s="622">
        <f>IFERROR(G12*R12/AC12,0)</f>
        <v>0</v>
      </c>
      <c r="V12" s="622">
        <f>IFERROR(H12*S12/AG12,0)</f>
        <v>0</v>
      </c>
      <c r="W12" s="622">
        <f>IFERROR(I12*T12/AK12,0)</f>
        <v>0</v>
      </c>
      <c r="X12" s="622">
        <f>KoopMakler!B5</f>
        <v>0</v>
      </c>
      <c r="Y12" s="622">
        <f>IFERROR(G12*X12*N12/AC12,0)</f>
        <v>0</v>
      </c>
      <c r="Z12" s="624" t="e">
        <f t="shared" si="7"/>
        <v>#VALUE!</v>
      </c>
      <c r="AA12" s="621" t="e">
        <f t="shared" si="8"/>
        <v>#VALUE!</v>
      </c>
      <c r="AB12" s="621" t="e">
        <f t="shared" si="9"/>
        <v>#VALUE!</v>
      </c>
      <c r="AC12" s="621" t="e">
        <f>(G12-G12*X12*(100%-N12))</f>
        <v>#VALUE!</v>
      </c>
      <c r="AD12" s="624" t="e">
        <f t="shared" si="11"/>
        <v>#VALUE!</v>
      </c>
      <c r="AE12" s="621" t="e">
        <f t="shared" si="12"/>
        <v>#VALUE!</v>
      </c>
      <c r="AF12" s="621" t="e">
        <f t="shared" si="13"/>
        <v>#VALUE!</v>
      </c>
      <c r="AG12" s="621" t="e">
        <f>(H12-H12*X12*(100%-N12))</f>
        <v>#VALUE!</v>
      </c>
      <c r="AH12" s="624" t="e">
        <f t="shared" si="15"/>
        <v>#VALUE!</v>
      </c>
      <c r="AI12" s="621" t="e">
        <f t="shared" si="16"/>
        <v>#VALUE!</v>
      </c>
      <c r="AJ12" s="621" t="e">
        <f t="shared" si="17"/>
        <v>#VALUE!</v>
      </c>
      <c r="AK12" s="621" t="e">
        <f>(I12-I12*X12*(100%-N12))</f>
        <v>#VALUE!</v>
      </c>
      <c r="AL12" s="459" t="str">
        <f>IFERROR(ROUND(AC12,2),"")</f>
        <v/>
      </c>
      <c r="AM12" s="459" t="str">
        <f>IFERROR(ROUND(AG12,2),"")</f>
        <v/>
      </c>
      <c r="AN12" s="459" t="str">
        <f>IFERROR(ROUND(AK12,2),"")</f>
        <v/>
      </c>
    </row>
    <row r="13" spans="1:40" ht="14.25" customHeight="1">
      <c r="A13" s="772" t="s">
        <v>3747</v>
      </c>
      <c r="B13" s="621" t="str">
        <f>'Sterne-Rechner - Angebot'!$N28</f>
        <v/>
      </c>
      <c r="C13" s="621" t="str">
        <f>'Sterne-Rechner - Angebot'!$N29</f>
        <v/>
      </c>
      <c r="D13" s="621" t="str">
        <f>'Sterne-Rechner - Angebot'!$N30</f>
        <v/>
      </c>
      <c r="E13" s="446"/>
      <c r="F13" s="621">
        <f>Fragenkatalog!BI6</f>
        <v>0</v>
      </c>
      <c r="G13" s="621" t="str">
        <f>IFERROR(B13*(1+$F13),"")</f>
        <v/>
      </c>
      <c r="H13" s="621" t="str">
        <f t="shared" ref="G13:I14" si="24">IFERROR(C13*(1+$F13),"")</f>
        <v/>
      </c>
      <c r="I13" s="621" t="str">
        <f t="shared" si="24"/>
        <v/>
      </c>
      <c r="J13" s="446"/>
      <c r="K13" s="446"/>
      <c r="L13" s="446"/>
      <c r="M13" s="446"/>
      <c r="N13" s="622">
        <f>Fragenkatalog!K$149</f>
        <v>0</v>
      </c>
      <c r="O13" s="623">
        <v>0.38</v>
      </c>
      <c r="P13" s="623">
        <v>0.38</v>
      </c>
      <c r="Q13" s="623">
        <v>0.38</v>
      </c>
      <c r="R13" s="622">
        <f>O13-X13</f>
        <v>0.38</v>
      </c>
      <c r="S13" s="622">
        <f>P13-X13</f>
        <v>0.38</v>
      </c>
      <c r="T13" s="622">
        <f>Q13-X13</f>
        <v>0.38</v>
      </c>
      <c r="U13" s="622">
        <f>IFERROR(G13*R13/AC13,0)</f>
        <v>0</v>
      </c>
      <c r="V13" s="622">
        <f>IFERROR(H13*S13/AG13,0)</f>
        <v>0</v>
      </c>
      <c r="W13" s="622">
        <f>IFERROR(I13*T13/AK13,0)</f>
        <v>0</v>
      </c>
      <c r="X13" s="622">
        <f>KoopMakler!B5</f>
        <v>0</v>
      </c>
      <c r="Y13" s="622">
        <f>IFERROR(G13*X13*N13/AC13,0)</f>
        <v>0</v>
      </c>
      <c r="Z13" s="624" t="e">
        <f>AC13-AB13-AA13</f>
        <v>#VALUE!</v>
      </c>
      <c r="AA13" s="621" t="e">
        <f>AC13*U13</f>
        <v>#VALUE!</v>
      </c>
      <c r="AB13" s="621" t="e">
        <f>AC13*Y13</f>
        <v>#VALUE!</v>
      </c>
      <c r="AC13" s="621" t="e">
        <f>(G13-G13*X13*(100%-N13))</f>
        <v>#VALUE!</v>
      </c>
      <c r="AD13" s="624" t="e">
        <f>AG13-AF13-AE13</f>
        <v>#VALUE!</v>
      </c>
      <c r="AE13" s="621" t="e">
        <f>AG13*V13</f>
        <v>#VALUE!</v>
      </c>
      <c r="AF13" s="621" t="e">
        <f>AG13*Y13</f>
        <v>#VALUE!</v>
      </c>
      <c r="AG13" s="621" t="e">
        <f>(H13-H13*X13*(100%-N13))</f>
        <v>#VALUE!</v>
      </c>
      <c r="AH13" s="624" t="e">
        <f>AK13-AJ13-AI13</f>
        <v>#VALUE!</v>
      </c>
      <c r="AI13" s="621" t="e">
        <f>AK13*W13</f>
        <v>#VALUE!</v>
      </c>
      <c r="AJ13" s="621" t="e">
        <f>AK13*Y13</f>
        <v>#VALUE!</v>
      </c>
      <c r="AK13" s="621" t="e">
        <f>(I13-I13*X13*(100%-N13))</f>
        <v>#VALUE!</v>
      </c>
      <c r="AL13" s="459" t="str">
        <f>IFERROR(ROUND(AC13,2),"")</f>
        <v/>
      </c>
      <c r="AM13" s="459" t="str">
        <f>IFERROR(ROUND(AG13,2),"")</f>
        <v/>
      </c>
      <c r="AN13" s="459" t="str">
        <f>IFERROR(ROUND(AK13,2),"")</f>
        <v/>
      </c>
    </row>
    <row r="14" spans="1:40" ht="14.25" customHeight="1">
      <c r="A14" s="825" t="s">
        <v>3797</v>
      </c>
      <c r="B14" s="621" t="str">
        <f>'Sterne-Rechner - Angebot'!$N31</f>
        <v/>
      </c>
      <c r="C14" s="621" t="str">
        <f>'Sterne-Rechner - Angebot'!$N32</f>
        <v/>
      </c>
      <c r="D14" s="621" t="str">
        <f>'Sterne-Rechner - Angebot'!$N33</f>
        <v/>
      </c>
      <c r="E14" s="446"/>
      <c r="F14" s="621">
        <f>Fragenkatalog!BO6</f>
        <v>0</v>
      </c>
      <c r="G14" s="621" t="str">
        <f t="shared" si="24"/>
        <v/>
      </c>
      <c r="H14" s="621" t="str">
        <f t="shared" si="24"/>
        <v/>
      </c>
      <c r="I14" s="621" t="str">
        <f t="shared" si="24"/>
        <v/>
      </c>
      <c r="J14" s="446"/>
      <c r="K14" s="446"/>
      <c r="L14" s="446"/>
      <c r="M14" s="446"/>
      <c r="N14" s="622">
        <f>Fragenkatalog!K$149</f>
        <v>0</v>
      </c>
      <c r="O14" s="623">
        <v>0.3</v>
      </c>
      <c r="P14" s="623">
        <v>0.3</v>
      </c>
      <c r="Q14" s="623">
        <v>0.3</v>
      </c>
      <c r="R14" s="622">
        <f>O14-X14</f>
        <v>0.3</v>
      </c>
      <c r="S14" s="622">
        <f>P14-X14</f>
        <v>0.3</v>
      </c>
      <c r="T14" s="622">
        <f>Q14-X14</f>
        <v>0.3</v>
      </c>
      <c r="U14" s="622">
        <f>IFERROR(G14*R14/AC14,0)</f>
        <v>0</v>
      </c>
      <c r="V14" s="622">
        <f>IFERROR(H14*S14/AG14,0)</f>
        <v>0</v>
      </c>
      <c r="W14" s="622">
        <f>IFERROR(I14*T14/AK14,0)</f>
        <v>0</v>
      </c>
      <c r="X14" s="622">
        <f>KoopMakler!B5</f>
        <v>0</v>
      </c>
      <c r="Y14" s="622">
        <f>IFERROR(G14*X14*N14/AC14,0)</f>
        <v>0</v>
      </c>
      <c r="Z14" s="624" t="e">
        <f>AC14-AB14-AA14</f>
        <v>#VALUE!</v>
      </c>
      <c r="AA14" s="621" t="e">
        <f>AC14*U14</f>
        <v>#VALUE!</v>
      </c>
      <c r="AB14" s="621" t="e">
        <f>AC14*Y14</f>
        <v>#VALUE!</v>
      </c>
      <c r="AC14" s="621" t="e">
        <f>(G14-G14*X14*(100%-N14))</f>
        <v>#VALUE!</v>
      </c>
      <c r="AD14" s="624" t="e">
        <f>AG14-AF14-AE14</f>
        <v>#VALUE!</v>
      </c>
      <c r="AE14" s="621" t="e">
        <f>AG14*V14</f>
        <v>#VALUE!</v>
      </c>
      <c r="AF14" s="621" t="e">
        <f>AG14*Y14</f>
        <v>#VALUE!</v>
      </c>
      <c r="AG14" s="621" t="e">
        <f>(H14-H14*X14*(100%-N14))</f>
        <v>#VALUE!</v>
      </c>
      <c r="AH14" s="624" t="e">
        <f>AK14-AJ14-AI14</f>
        <v>#VALUE!</v>
      </c>
      <c r="AI14" s="621" t="e">
        <f>AK14*W14</f>
        <v>#VALUE!</v>
      </c>
      <c r="AJ14" s="621" t="e">
        <f>AK14*Y14</f>
        <v>#VALUE!</v>
      </c>
      <c r="AK14" s="621" t="e">
        <f>(I14-I14*X14*(100%-N14))</f>
        <v>#VALUE!</v>
      </c>
      <c r="AL14" s="459" t="str">
        <f>IFERROR(ROUND(AC14,2),"")</f>
        <v/>
      </c>
      <c r="AM14" s="459" t="str">
        <f>IFERROR(ROUND(AG14,2),"")</f>
        <v/>
      </c>
      <c r="AN14" s="459" t="str">
        <f>IFERROR(ROUND(AK14,2),"")</f>
        <v/>
      </c>
    </row>
    <row r="15" spans="1:40" ht="14.25" customHeight="1">
      <c r="A15" s="446"/>
      <c r="B15" s="446"/>
      <c r="C15" s="446"/>
      <c r="D15" s="446"/>
      <c r="E15" s="446"/>
      <c r="F15" s="446"/>
      <c r="G15" s="446"/>
      <c r="H15" s="446"/>
      <c r="I15" s="446"/>
      <c r="J15" s="446"/>
      <c r="K15" s="446"/>
      <c r="L15" s="446"/>
      <c r="M15" s="446"/>
      <c r="N15" s="446"/>
      <c r="O15" s="446"/>
      <c r="P15" s="446"/>
      <c r="Q15" s="446"/>
      <c r="R15" s="446"/>
      <c r="S15" s="446"/>
      <c r="T15" s="446"/>
      <c r="U15" s="446"/>
      <c r="V15" s="446"/>
      <c r="W15" s="446"/>
      <c r="X15" s="446"/>
      <c r="Y15" s="446"/>
      <c r="Z15" s="446"/>
      <c r="AA15" s="446"/>
      <c r="AB15" s="446"/>
      <c r="AC15" s="446"/>
      <c r="AD15" s="446"/>
      <c r="AE15" s="446"/>
      <c r="AF15" s="446"/>
      <c r="AG15" s="446"/>
      <c r="AH15" s="446"/>
      <c r="AI15" s="446"/>
      <c r="AJ15" s="446"/>
      <c r="AK15" s="446"/>
      <c r="AL15" s="446"/>
      <c r="AM15" s="446"/>
      <c r="AN15" s="446"/>
    </row>
    <row r="16" spans="1:40" ht="14.25" customHeight="1">
      <c r="A16" s="446"/>
      <c r="B16" s="446"/>
      <c r="C16" s="446"/>
      <c r="D16" s="446"/>
      <c r="E16" s="446"/>
      <c r="F16" s="446"/>
      <c r="G16" s="446"/>
      <c r="H16" s="446"/>
      <c r="I16" s="446"/>
      <c r="J16" s="446"/>
      <c r="K16" s="446"/>
      <c r="L16" s="446"/>
      <c r="M16" s="446"/>
      <c r="N16" s="446"/>
      <c r="O16" s="446"/>
      <c r="P16" s="446"/>
      <c r="Q16" s="446"/>
      <c r="R16" s="446"/>
      <c r="S16" s="446"/>
      <c r="T16" s="446"/>
      <c r="U16" s="446"/>
      <c r="V16" s="446"/>
      <c r="W16" s="446"/>
      <c r="X16" s="446"/>
      <c r="Y16" s="446"/>
      <c r="Z16" s="446"/>
      <c r="AA16" s="446"/>
      <c r="AB16" s="446"/>
      <c r="AC16" s="446"/>
      <c r="AD16" s="446"/>
      <c r="AE16" s="446"/>
      <c r="AF16" s="446"/>
      <c r="AG16" s="446"/>
      <c r="AH16" s="446"/>
      <c r="AI16" s="446"/>
      <c r="AJ16" s="446"/>
      <c r="AK16" s="446"/>
      <c r="AL16" s="446"/>
      <c r="AM16" s="446"/>
      <c r="AN16" s="446"/>
    </row>
    <row r="17" spans="1:40" ht="14.25" customHeight="1">
      <c r="A17" s="446"/>
      <c r="B17" s="446"/>
      <c r="C17" s="446"/>
      <c r="D17" s="446"/>
      <c r="E17" s="446"/>
      <c r="F17" s="446"/>
      <c r="G17" s="446"/>
      <c r="H17" s="446"/>
      <c r="I17" s="446"/>
      <c r="J17" s="446"/>
      <c r="K17" s="446"/>
      <c r="L17" s="446"/>
      <c r="M17" s="446"/>
      <c r="N17" s="1079" t="s">
        <v>3629</v>
      </c>
      <c r="O17" s="1035"/>
      <c r="P17" s="1035"/>
      <c r="Q17" s="1035"/>
      <c r="R17" s="1035"/>
      <c r="S17" s="1035"/>
      <c r="T17" s="1035"/>
      <c r="U17" s="1035"/>
      <c r="V17" s="1035"/>
      <c r="W17" s="1035"/>
      <c r="X17" s="1035"/>
      <c r="Y17" s="1035"/>
      <c r="Z17" s="1035"/>
      <c r="AA17" s="1035"/>
      <c r="AB17" s="1035"/>
      <c r="AC17" s="1035"/>
      <c r="AD17" s="1035"/>
      <c r="AE17" s="1035"/>
      <c r="AF17" s="1035"/>
      <c r="AG17" s="1035"/>
      <c r="AH17" s="1035"/>
      <c r="AI17" s="1035"/>
      <c r="AJ17" s="1035"/>
      <c r="AK17" s="1035"/>
      <c r="AL17" s="1035"/>
      <c r="AM17" s="1035"/>
      <c r="AN17" s="1035"/>
    </row>
    <row r="18" spans="1:40" ht="14.25" customHeight="1">
      <c r="A18" s="446"/>
      <c r="B18" s="446"/>
      <c r="C18" s="446"/>
      <c r="D18" s="446"/>
      <c r="E18" s="446"/>
      <c r="F18" s="446"/>
      <c r="G18" s="446"/>
      <c r="H18" s="446"/>
      <c r="I18" s="446"/>
      <c r="J18" s="446"/>
      <c r="K18" s="446"/>
      <c r="L18" s="446"/>
      <c r="M18" s="446"/>
      <c r="N18" s="446"/>
      <c r="O18" s="446"/>
      <c r="P18" s="446"/>
      <c r="Q18" s="446"/>
      <c r="R18" s="166" t="s">
        <v>3609</v>
      </c>
      <c r="S18" s="166" t="s">
        <v>3610</v>
      </c>
      <c r="T18" s="166" t="s">
        <v>3611</v>
      </c>
      <c r="U18" s="166" t="s">
        <v>3612</v>
      </c>
      <c r="V18" s="166" t="s">
        <v>3613</v>
      </c>
      <c r="W18" s="166" t="s">
        <v>3614</v>
      </c>
      <c r="X18" s="166" t="s">
        <v>3615</v>
      </c>
      <c r="Y18" s="166" t="s">
        <v>3616</v>
      </c>
      <c r="Z18" s="449" t="s">
        <v>3617</v>
      </c>
      <c r="AA18" s="166" t="s">
        <v>3618</v>
      </c>
      <c r="AB18" s="166" t="s">
        <v>3619</v>
      </c>
      <c r="AC18" s="166" t="s">
        <v>3620</v>
      </c>
      <c r="AD18" s="449" t="s">
        <v>3621</v>
      </c>
      <c r="AE18" s="166" t="s">
        <v>3622</v>
      </c>
      <c r="AF18" s="166" t="s">
        <v>3623</v>
      </c>
      <c r="AG18" s="166" t="s">
        <v>3624</v>
      </c>
      <c r="AH18" s="449" t="s">
        <v>3625</v>
      </c>
      <c r="AI18" s="166" t="s">
        <v>3626</v>
      </c>
      <c r="AJ18" s="166" t="s">
        <v>3627</v>
      </c>
      <c r="AK18" s="450" t="s">
        <v>3628</v>
      </c>
      <c r="AL18" s="451" t="s">
        <v>3620</v>
      </c>
      <c r="AM18" s="451" t="s">
        <v>3624</v>
      </c>
      <c r="AN18" s="451" t="s">
        <v>3628</v>
      </c>
    </row>
    <row r="19" spans="1:40" ht="14.25" customHeight="1">
      <c r="A19" s="446"/>
      <c r="B19" s="446"/>
      <c r="C19" s="446"/>
      <c r="D19" s="446"/>
      <c r="E19" s="446"/>
      <c r="F19" s="446"/>
      <c r="G19" s="446"/>
      <c r="H19" s="446"/>
      <c r="I19" s="446"/>
      <c r="J19" s="446"/>
      <c r="K19" s="446"/>
      <c r="L19" s="446"/>
      <c r="M19" s="446"/>
      <c r="N19" s="446"/>
      <c r="O19" s="446"/>
      <c r="P19" s="446"/>
      <c r="Q19" s="446"/>
      <c r="R19" s="446"/>
      <c r="S19" s="446"/>
      <c r="T19" s="446"/>
      <c r="U19" s="446"/>
      <c r="V19" s="446"/>
      <c r="W19" s="446"/>
      <c r="X19" s="460"/>
      <c r="Y19" s="446"/>
      <c r="Z19" s="446"/>
      <c r="AA19" s="446"/>
      <c r="AB19" s="446"/>
      <c r="AC19" s="446"/>
      <c r="AD19" s="446"/>
      <c r="AE19" s="446"/>
      <c r="AF19" s="446"/>
      <c r="AG19" s="446"/>
      <c r="AH19" s="446"/>
      <c r="AI19" s="446"/>
      <c r="AJ19" s="446"/>
      <c r="AK19" s="446"/>
      <c r="AL19" s="446"/>
      <c r="AM19" s="446"/>
      <c r="AN19" s="446"/>
    </row>
    <row r="20" spans="1:40" ht="14.25" customHeight="1">
      <c r="A20" s="446" t="s">
        <v>2773</v>
      </c>
      <c r="B20" s="446"/>
      <c r="C20" s="446"/>
      <c r="D20" s="446"/>
      <c r="E20" s="446"/>
      <c r="F20" s="446"/>
      <c r="G20" s="446"/>
      <c r="H20" s="446"/>
      <c r="I20" s="446"/>
      <c r="J20" s="446"/>
      <c r="K20" s="446"/>
      <c r="L20" s="446"/>
      <c r="M20" s="446"/>
      <c r="N20" s="446"/>
      <c r="O20" s="446"/>
      <c r="P20" s="446"/>
      <c r="Q20" s="446"/>
      <c r="R20" s="456">
        <f t="shared" ref="R20:R29" ca="1" si="25">O5-X20</f>
        <v>0.35</v>
      </c>
      <c r="S20" s="456">
        <f t="shared" ref="S20:S29" ca="1" si="26">P5-X20</f>
        <v>0.35</v>
      </c>
      <c r="T20" s="456">
        <f t="shared" ref="T20:T29" ca="1" si="27">Q5-X20</f>
        <v>0.35</v>
      </c>
      <c r="U20" s="456">
        <f t="shared" ref="U20:U29" ca="1" si="28">IFERROR(G5*R20/AC20, 0)</f>
        <v>0</v>
      </c>
      <c r="V20" s="456">
        <f t="shared" ref="V20:V29" ca="1" si="29">IFERROR(H5*S20/AG20, 0)</f>
        <v>0</v>
      </c>
      <c r="W20" s="456">
        <f t="shared" ref="W20:W29" ca="1" si="30">IFERROR(I5*T20/AK20, 0)</f>
        <v>0</v>
      </c>
      <c r="X20" s="456">
        <f>KoopMakler!B9</f>
        <v>0</v>
      </c>
      <c r="Y20" s="456">
        <f t="shared" ref="Y20:Y26" si="31">IFERROR(G5*X20*N5/AC20, 0)</f>
        <v>0</v>
      </c>
      <c r="Z20" s="458" t="e">
        <f t="shared" ref="Z20:Z27" ca="1" si="32">AC20-AB20-AA20</f>
        <v>#VALUE!</v>
      </c>
      <c r="AA20" s="454" t="e">
        <f t="shared" ref="AA20:AA27" ca="1" si="33">AC20*U20</f>
        <v>#VALUE!</v>
      </c>
      <c r="AB20" s="454" t="e">
        <f t="shared" ref="AB20:AB27" si="34">AC20*Y20</f>
        <v>#VALUE!</v>
      </c>
      <c r="AC20" s="454" t="e">
        <f t="shared" ref="AC20:AC29" si="35">(G5-G5*X20*(100%-N5))</f>
        <v>#VALUE!</v>
      </c>
      <c r="AD20" s="458" t="e">
        <f t="shared" ref="AD20:AD27" ca="1" si="36">AG20-AF20-AE20</f>
        <v>#VALUE!</v>
      </c>
      <c r="AE20" s="454" t="e">
        <f t="shared" ref="AE20:AE27" ca="1" si="37">AG20*V20</f>
        <v>#VALUE!</v>
      </c>
      <c r="AF20" s="454" t="e">
        <f t="shared" ref="AF20:AF27" si="38">AG20*Y20</f>
        <v>#VALUE!</v>
      </c>
      <c r="AG20" s="454" t="e">
        <f t="shared" ref="AG20:AG29" si="39">(H5-H5*X20*(100%-N5))</f>
        <v>#VALUE!</v>
      </c>
      <c r="AH20" s="458" t="e">
        <f t="shared" ref="AH20:AH27" ca="1" si="40">AK20-AJ20-AI20</f>
        <v>#VALUE!</v>
      </c>
      <c r="AI20" s="454" t="e">
        <f t="shared" ref="AI20:AI27" ca="1" si="41">AK20*W20</f>
        <v>#VALUE!</v>
      </c>
      <c r="AJ20" s="454" t="e">
        <f t="shared" ref="AJ20:AJ27" si="42">AK20*Y20</f>
        <v>#VALUE!</v>
      </c>
      <c r="AK20" s="454" t="e">
        <f t="shared" ref="AK20:AK29" si="43">(I5-I5*X20*(100%-N5))</f>
        <v>#VALUE!</v>
      </c>
      <c r="AL20" s="459" t="str">
        <f t="shared" ref="AL20:AL26" si="44">IFERROR(ROUND(AC20,2),"")</f>
        <v/>
      </c>
      <c r="AM20" s="459" t="str">
        <f t="shared" ref="AM20:AM26" si="45">IFERROR(ROUND(AG20,2),"")</f>
        <v/>
      </c>
      <c r="AN20" s="459" t="str">
        <f t="shared" ref="AN20:AN26" si="46">IFERROR(ROUND(AK20,2),"")</f>
        <v/>
      </c>
    </row>
    <row r="21" spans="1:40" ht="14.25" customHeight="1">
      <c r="A21" s="446" t="s">
        <v>2393</v>
      </c>
      <c r="B21" s="446"/>
      <c r="C21" s="446"/>
      <c r="D21" s="446"/>
      <c r="E21" s="446"/>
      <c r="F21" s="446"/>
      <c r="G21" s="446"/>
      <c r="H21" s="446"/>
      <c r="I21" s="446"/>
      <c r="J21" s="446"/>
      <c r="K21" s="446"/>
      <c r="L21" s="446"/>
      <c r="M21" s="446"/>
      <c r="N21" s="446"/>
      <c r="O21" s="446"/>
      <c r="P21" s="446"/>
      <c r="Q21" s="446"/>
      <c r="R21" s="456">
        <f t="shared" si="25"/>
        <v>0.35</v>
      </c>
      <c r="S21" s="456">
        <f t="shared" si="26"/>
        <v>0.35</v>
      </c>
      <c r="T21" s="456">
        <f t="shared" si="27"/>
        <v>0.35</v>
      </c>
      <c r="U21" s="456">
        <f t="shared" si="28"/>
        <v>0</v>
      </c>
      <c r="V21" s="456">
        <f t="shared" si="29"/>
        <v>0</v>
      </c>
      <c r="W21" s="456">
        <f t="shared" si="30"/>
        <v>0</v>
      </c>
      <c r="X21" s="456">
        <f>KoopMakler!B8</f>
        <v>0</v>
      </c>
      <c r="Y21" s="456">
        <f t="shared" si="31"/>
        <v>0</v>
      </c>
      <c r="Z21" s="458" t="e">
        <f t="shared" si="32"/>
        <v>#VALUE!</v>
      </c>
      <c r="AA21" s="454" t="e">
        <f t="shared" si="33"/>
        <v>#VALUE!</v>
      </c>
      <c r="AB21" s="454" t="e">
        <f t="shared" si="34"/>
        <v>#VALUE!</v>
      </c>
      <c r="AC21" s="454" t="e">
        <f t="shared" si="35"/>
        <v>#VALUE!</v>
      </c>
      <c r="AD21" s="458" t="e">
        <f t="shared" si="36"/>
        <v>#VALUE!</v>
      </c>
      <c r="AE21" s="454" t="e">
        <f t="shared" si="37"/>
        <v>#VALUE!</v>
      </c>
      <c r="AF21" s="454" t="e">
        <f t="shared" si="38"/>
        <v>#VALUE!</v>
      </c>
      <c r="AG21" s="454" t="e">
        <f t="shared" si="39"/>
        <v>#VALUE!</v>
      </c>
      <c r="AH21" s="458" t="e">
        <f t="shared" si="40"/>
        <v>#VALUE!</v>
      </c>
      <c r="AI21" s="454" t="e">
        <f t="shared" si="41"/>
        <v>#VALUE!</v>
      </c>
      <c r="AJ21" s="454" t="e">
        <f t="shared" si="42"/>
        <v>#VALUE!</v>
      </c>
      <c r="AK21" s="454" t="e">
        <f t="shared" si="43"/>
        <v>#VALUE!</v>
      </c>
      <c r="AL21" s="459" t="str">
        <f t="shared" si="44"/>
        <v/>
      </c>
      <c r="AM21" s="459" t="str">
        <f t="shared" si="45"/>
        <v/>
      </c>
      <c r="AN21" s="459" t="str">
        <f t="shared" si="46"/>
        <v/>
      </c>
    </row>
    <row r="22" spans="1:40" ht="14.25" customHeight="1">
      <c r="A22" s="446" t="s">
        <v>2795</v>
      </c>
      <c r="B22" s="446"/>
      <c r="C22" s="446"/>
      <c r="D22" s="446"/>
      <c r="E22" s="446"/>
      <c r="F22" s="446"/>
      <c r="G22" s="446"/>
      <c r="H22" s="446"/>
      <c r="I22" s="446"/>
      <c r="J22" s="446"/>
      <c r="K22" s="446"/>
      <c r="L22" s="446"/>
      <c r="M22" s="446"/>
      <c r="N22" s="446"/>
      <c r="O22" s="446"/>
      <c r="P22" s="446"/>
      <c r="Q22" s="446"/>
      <c r="R22" s="456">
        <f t="shared" si="25"/>
        <v>0.27</v>
      </c>
      <c r="S22" s="456">
        <f t="shared" si="26"/>
        <v>0.27</v>
      </c>
      <c r="T22" s="456">
        <f t="shared" si="27"/>
        <v>0.27</v>
      </c>
      <c r="U22" s="456">
        <f t="shared" si="28"/>
        <v>0</v>
      </c>
      <c r="V22" s="456">
        <f t="shared" si="29"/>
        <v>0</v>
      </c>
      <c r="W22" s="456">
        <f t="shared" si="30"/>
        <v>0</v>
      </c>
      <c r="X22" s="456">
        <f>KoopMakler!B10</f>
        <v>0</v>
      </c>
      <c r="Y22" s="456">
        <f t="shared" si="31"/>
        <v>0</v>
      </c>
      <c r="Z22" s="458">
        <f t="shared" si="32"/>
        <v>0</v>
      </c>
      <c r="AA22" s="454">
        <f t="shared" si="33"/>
        <v>0</v>
      </c>
      <c r="AB22" s="454">
        <f t="shared" si="34"/>
        <v>0</v>
      </c>
      <c r="AC22" s="454">
        <f t="shared" si="35"/>
        <v>0</v>
      </c>
      <c r="AD22" s="458">
        <f t="shared" si="36"/>
        <v>0</v>
      </c>
      <c r="AE22" s="454">
        <f t="shared" si="37"/>
        <v>0</v>
      </c>
      <c r="AF22" s="454">
        <f t="shared" si="38"/>
        <v>0</v>
      </c>
      <c r="AG22" s="454">
        <f t="shared" si="39"/>
        <v>0</v>
      </c>
      <c r="AH22" s="458">
        <f t="shared" si="40"/>
        <v>0</v>
      </c>
      <c r="AI22" s="454">
        <f t="shared" si="41"/>
        <v>0</v>
      </c>
      <c r="AJ22" s="454">
        <f t="shared" si="42"/>
        <v>0</v>
      </c>
      <c r="AK22" s="454">
        <f t="shared" si="43"/>
        <v>0</v>
      </c>
      <c r="AL22" s="459">
        <f t="shared" si="44"/>
        <v>0</v>
      </c>
      <c r="AM22" s="459">
        <f t="shared" si="45"/>
        <v>0</v>
      </c>
      <c r="AN22" s="459">
        <f t="shared" si="46"/>
        <v>0</v>
      </c>
    </row>
    <row r="23" spans="1:40" ht="14.25" customHeight="1">
      <c r="A23" s="446" t="s">
        <v>2391</v>
      </c>
      <c r="B23" s="446"/>
      <c r="C23" s="446"/>
      <c r="D23" s="446"/>
      <c r="E23" s="446"/>
      <c r="F23" s="446"/>
      <c r="G23" s="446"/>
      <c r="H23" s="446"/>
      <c r="I23" s="446"/>
      <c r="J23" s="446"/>
      <c r="K23" s="446"/>
      <c r="L23" s="446"/>
      <c r="M23" s="446"/>
      <c r="N23" s="446"/>
      <c r="O23" s="446"/>
      <c r="P23" s="446"/>
      <c r="Q23" s="446"/>
      <c r="R23" s="456">
        <f t="shared" si="25"/>
        <v>0.38</v>
      </c>
      <c r="S23" s="456">
        <f t="shared" si="26"/>
        <v>0.38</v>
      </c>
      <c r="T23" s="456">
        <f t="shared" si="27"/>
        <v>0.38</v>
      </c>
      <c r="U23" s="456">
        <f t="shared" si="28"/>
        <v>0</v>
      </c>
      <c r="V23" s="456">
        <f t="shared" si="29"/>
        <v>0</v>
      </c>
      <c r="W23" s="456">
        <f t="shared" si="30"/>
        <v>0</v>
      </c>
      <c r="X23" s="456">
        <f>KoopMakler!B8</f>
        <v>0</v>
      </c>
      <c r="Y23" s="456">
        <f t="shared" si="31"/>
        <v>0</v>
      </c>
      <c r="Z23" s="458" t="e">
        <f t="shared" si="32"/>
        <v>#VALUE!</v>
      </c>
      <c r="AA23" s="454" t="e">
        <f t="shared" si="33"/>
        <v>#VALUE!</v>
      </c>
      <c r="AB23" s="454" t="e">
        <f t="shared" si="34"/>
        <v>#VALUE!</v>
      </c>
      <c r="AC23" s="454" t="e">
        <f t="shared" si="35"/>
        <v>#VALUE!</v>
      </c>
      <c r="AD23" s="458" t="e">
        <f t="shared" si="36"/>
        <v>#VALUE!</v>
      </c>
      <c r="AE23" s="454" t="e">
        <f t="shared" si="37"/>
        <v>#VALUE!</v>
      </c>
      <c r="AF23" s="454" t="e">
        <f t="shared" si="38"/>
        <v>#VALUE!</v>
      </c>
      <c r="AG23" s="454" t="e">
        <f t="shared" si="39"/>
        <v>#VALUE!</v>
      </c>
      <c r="AH23" s="458" t="e">
        <f t="shared" si="40"/>
        <v>#VALUE!</v>
      </c>
      <c r="AI23" s="454" t="e">
        <f t="shared" si="41"/>
        <v>#VALUE!</v>
      </c>
      <c r="AJ23" s="454" t="e">
        <f t="shared" si="42"/>
        <v>#VALUE!</v>
      </c>
      <c r="AK23" s="454" t="e">
        <f t="shared" si="43"/>
        <v>#VALUE!</v>
      </c>
      <c r="AL23" s="459" t="str">
        <f t="shared" si="44"/>
        <v/>
      </c>
      <c r="AM23" s="459" t="str">
        <f t="shared" si="45"/>
        <v/>
      </c>
      <c r="AN23" s="459" t="str">
        <f t="shared" si="46"/>
        <v/>
      </c>
    </row>
    <row r="24" spans="1:40" ht="14.25" customHeight="1">
      <c r="A24" s="446" t="s">
        <v>2400</v>
      </c>
      <c r="B24" s="446"/>
      <c r="C24" s="446"/>
      <c r="D24" s="446"/>
      <c r="E24" s="446"/>
      <c r="F24" s="446"/>
      <c r="G24" s="446"/>
      <c r="H24" s="446"/>
      <c r="I24" s="446"/>
      <c r="J24" s="446"/>
      <c r="K24" s="446"/>
      <c r="L24" s="446"/>
      <c r="M24" s="446"/>
      <c r="N24" s="446"/>
      <c r="O24" s="446"/>
      <c r="P24" s="446"/>
      <c r="Q24" s="446"/>
      <c r="R24" s="456">
        <f t="shared" si="25"/>
        <v>0.27500000000000002</v>
      </c>
      <c r="S24" s="456">
        <f t="shared" si="26"/>
        <v>0.27500000000000002</v>
      </c>
      <c r="T24" s="456">
        <f t="shared" si="27"/>
        <v>0.27500000000000002</v>
      </c>
      <c r="U24" s="456">
        <f t="shared" si="28"/>
        <v>0</v>
      </c>
      <c r="V24" s="456">
        <f t="shared" si="29"/>
        <v>0</v>
      </c>
      <c r="W24" s="456">
        <f t="shared" si="30"/>
        <v>0</v>
      </c>
      <c r="X24" s="456">
        <f>KoopMakler!B10</f>
        <v>0</v>
      </c>
      <c r="Y24" s="456">
        <f t="shared" si="31"/>
        <v>0</v>
      </c>
      <c r="Z24" s="458" t="e">
        <f t="shared" si="32"/>
        <v>#VALUE!</v>
      </c>
      <c r="AA24" s="454" t="e">
        <f t="shared" si="33"/>
        <v>#VALUE!</v>
      </c>
      <c r="AB24" s="454" t="e">
        <f t="shared" si="34"/>
        <v>#VALUE!</v>
      </c>
      <c r="AC24" s="454" t="e">
        <f t="shared" si="35"/>
        <v>#VALUE!</v>
      </c>
      <c r="AD24" s="458" t="e">
        <f t="shared" si="36"/>
        <v>#VALUE!</v>
      </c>
      <c r="AE24" s="454" t="e">
        <f t="shared" si="37"/>
        <v>#VALUE!</v>
      </c>
      <c r="AF24" s="454" t="e">
        <f t="shared" si="38"/>
        <v>#VALUE!</v>
      </c>
      <c r="AG24" s="454" t="e">
        <f t="shared" si="39"/>
        <v>#VALUE!</v>
      </c>
      <c r="AH24" s="458" t="e">
        <f t="shared" si="40"/>
        <v>#VALUE!</v>
      </c>
      <c r="AI24" s="454" t="e">
        <f t="shared" si="41"/>
        <v>#VALUE!</v>
      </c>
      <c r="AJ24" s="454" t="e">
        <f t="shared" si="42"/>
        <v>#VALUE!</v>
      </c>
      <c r="AK24" s="454" t="e">
        <f t="shared" si="43"/>
        <v>#VALUE!</v>
      </c>
      <c r="AL24" s="459" t="str">
        <f t="shared" si="44"/>
        <v/>
      </c>
      <c r="AM24" s="459" t="str">
        <f t="shared" si="45"/>
        <v/>
      </c>
      <c r="AN24" s="459" t="str">
        <f t="shared" si="46"/>
        <v/>
      </c>
    </row>
    <row r="25" spans="1:40" ht="14.25" customHeight="1">
      <c r="A25" s="446" t="s">
        <v>2401</v>
      </c>
      <c r="B25" s="446"/>
      <c r="C25" s="446"/>
      <c r="D25" s="446"/>
      <c r="E25" s="446"/>
      <c r="F25" s="446"/>
      <c r="G25" s="446"/>
      <c r="H25" s="446"/>
      <c r="I25" s="446"/>
      <c r="J25" s="446"/>
      <c r="K25" s="446"/>
      <c r="L25" s="446"/>
      <c r="M25" s="446"/>
      <c r="N25" s="446"/>
      <c r="O25" s="446"/>
      <c r="P25" s="446"/>
      <c r="Q25" s="446"/>
      <c r="R25" s="456">
        <f t="shared" si="25"/>
        <v>0.28499999999999998</v>
      </c>
      <c r="S25" s="456">
        <f t="shared" si="26"/>
        <v>0.28499999999999998</v>
      </c>
      <c r="T25" s="456">
        <f t="shared" si="27"/>
        <v>0.28499999999999998</v>
      </c>
      <c r="U25" s="456">
        <f t="shared" ca="1" si="28"/>
        <v>0</v>
      </c>
      <c r="V25" s="456">
        <f t="shared" ca="1" si="29"/>
        <v>0</v>
      </c>
      <c r="W25" s="456">
        <f t="shared" ca="1" si="30"/>
        <v>0</v>
      </c>
      <c r="X25" s="456">
        <f>KoopMakler!B10</f>
        <v>0</v>
      </c>
      <c r="Y25" s="456">
        <f t="shared" ca="1" si="31"/>
        <v>0</v>
      </c>
      <c r="Z25" s="458" t="e">
        <f t="shared" ca="1" si="32"/>
        <v>#VALUE!</v>
      </c>
      <c r="AA25" s="454" t="e">
        <f t="shared" ca="1" si="33"/>
        <v>#VALUE!</v>
      </c>
      <c r="AB25" s="454" t="e">
        <f t="shared" ca="1" si="34"/>
        <v>#VALUE!</v>
      </c>
      <c r="AC25" s="454" t="e">
        <f t="shared" ca="1" si="35"/>
        <v>#VALUE!</v>
      </c>
      <c r="AD25" s="458" t="e">
        <f t="shared" ca="1" si="36"/>
        <v>#VALUE!</v>
      </c>
      <c r="AE25" s="454" t="e">
        <f t="shared" ca="1" si="37"/>
        <v>#VALUE!</v>
      </c>
      <c r="AF25" s="454" t="e">
        <f t="shared" ca="1" si="38"/>
        <v>#VALUE!</v>
      </c>
      <c r="AG25" s="454" t="e">
        <f t="shared" ca="1" si="39"/>
        <v>#VALUE!</v>
      </c>
      <c r="AH25" s="458" t="e">
        <f t="shared" ca="1" si="40"/>
        <v>#VALUE!</v>
      </c>
      <c r="AI25" s="454" t="e">
        <f t="shared" ca="1" si="41"/>
        <v>#VALUE!</v>
      </c>
      <c r="AJ25" s="454" t="e">
        <f t="shared" ca="1" si="42"/>
        <v>#VALUE!</v>
      </c>
      <c r="AK25" s="454" t="e">
        <f t="shared" ca="1" si="43"/>
        <v>#VALUE!</v>
      </c>
      <c r="AL25" s="459" t="str">
        <f t="shared" ca="1" si="44"/>
        <v/>
      </c>
      <c r="AM25" s="459" t="str">
        <f t="shared" ca="1" si="45"/>
        <v/>
      </c>
      <c r="AN25" s="459" t="str">
        <f t="shared" ca="1" si="46"/>
        <v/>
      </c>
    </row>
    <row r="26" spans="1:40" ht="14.25" customHeight="1">
      <c r="A26" s="446" t="s">
        <v>2392</v>
      </c>
      <c r="B26" s="446"/>
      <c r="C26" s="446"/>
      <c r="D26" s="446"/>
      <c r="E26" s="446"/>
      <c r="F26" s="446"/>
      <c r="G26" s="446"/>
      <c r="H26" s="446"/>
      <c r="I26" s="446"/>
      <c r="J26" s="446"/>
      <c r="K26" s="446"/>
      <c r="L26" s="446"/>
      <c r="M26" s="446"/>
      <c r="N26" s="446"/>
      <c r="O26" s="446"/>
      <c r="P26" s="446"/>
      <c r="Q26" s="446"/>
      <c r="R26" s="456">
        <f t="shared" si="25"/>
        <v>0.3</v>
      </c>
      <c r="S26" s="456">
        <f t="shared" si="26"/>
        <v>0.3</v>
      </c>
      <c r="T26" s="456">
        <f t="shared" si="27"/>
        <v>0.3</v>
      </c>
      <c r="U26" s="456">
        <f t="shared" si="28"/>
        <v>0</v>
      </c>
      <c r="V26" s="456">
        <f t="shared" si="29"/>
        <v>0</v>
      </c>
      <c r="W26" s="456">
        <f t="shared" si="30"/>
        <v>0</v>
      </c>
      <c r="X26" s="456">
        <f>KoopMakler!B10</f>
        <v>0</v>
      </c>
      <c r="Y26" s="456">
        <f t="shared" si="31"/>
        <v>0</v>
      </c>
      <c r="Z26" s="458" t="e">
        <f t="shared" si="32"/>
        <v>#VALUE!</v>
      </c>
      <c r="AA26" s="454" t="e">
        <f t="shared" si="33"/>
        <v>#VALUE!</v>
      </c>
      <c r="AB26" s="454" t="e">
        <f t="shared" si="34"/>
        <v>#VALUE!</v>
      </c>
      <c r="AC26" s="454" t="e">
        <f t="shared" si="35"/>
        <v>#VALUE!</v>
      </c>
      <c r="AD26" s="458" t="e">
        <f t="shared" si="36"/>
        <v>#VALUE!</v>
      </c>
      <c r="AE26" s="454" t="e">
        <f t="shared" si="37"/>
        <v>#VALUE!</v>
      </c>
      <c r="AF26" s="454" t="e">
        <f t="shared" si="38"/>
        <v>#VALUE!</v>
      </c>
      <c r="AG26" s="454" t="e">
        <f t="shared" si="39"/>
        <v>#VALUE!</v>
      </c>
      <c r="AH26" s="458" t="e">
        <f t="shared" si="40"/>
        <v>#VALUE!</v>
      </c>
      <c r="AI26" s="454" t="e">
        <f t="shared" si="41"/>
        <v>#VALUE!</v>
      </c>
      <c r="AJ26" s="454" t="e">
        <f t="shared" si="42"/>
        <v>#VALUE!</v>
      </c>
      <c r="AK26" s="454" t="e">
        <f t="shared" si="43"/>
        <v>#VALUE!</v>
      </c>
      <c r="AL26" s="459" t="str">
        <f t="shared" si="44"/>
        <v/>
      </c>
      <c r="AM26" s="459" t="str">
        <f t="shared" si="45"/>
        <v/>
      </c>
      <c r="AN26" s="459" t="str">
        <f t="shared" si="46"/>
        <v/>
      </c>
    </row>
    <row r="27" spans="1:40" ht="14.25" customHeight="1">
      <c r="A27" s="446" t="s">
        <v>3727</v>
      </c>
      <c r="B27" s="446"/>
      <c r="C27" s="446"/>
      <c r="D27" s="446"/>
      <c r="E27" s="446"/>
      <c r="F27" s="446"/>
      <c r="G27" s="446"/>
      <c r="H27" s="446"/>
      <c r="I27" s="446"/>
      <c r="J27" s="446"/>
      <c r="K27" s="446"/>
      <c r="L27" s="446"/>
      <c r="M27" s="446"/>
      <c r="N27" s="446"/>
      <c r="O27" s="446"/>
      <c r="P27" s="446"/>
      <c r="Q27" s="446"/>
      <c r="R27" s="622">
        <f t="shared" si="25"/>
        <v>0.35</v>
      </c>
      <c r="S27" s="622">
        <f t="shared" si="26"/>
        <v>0.35</v>
      </c>
      <c r="T27" s="622">
        <f t="shared" si="27"/>
        <v>0.35</v>
      </c>
      <c r="U27" s="622">
        <f t="shared" si="28"/>
        <v>0</v>
      </c>
      <c r="V27" s="622">
        <f t="shared" si="29"/>
        <v>0</v>
      </c>
      <c r="W27" s="622">
        <f t="shared" si="30"/>
        <v>0</v>
      </c>
      <c r="X27" s="622">
        <f>KoopMakler!B10</f>
        <v>0</v>
      </c>
      <c r="Y27" s="622">
        <f>IFERROR(G12*X27*N12/AC27,0)</f>
        <v>0</v>
      </c>
      <c r="Z27" s="624" t="e">
        <f t="shared" si="32"/>
        <v>#VALUE!</v>
      </c>
      <c r="AA27" s="621" t="e">
        <f t="shared" si="33"/>
        <v>#VALUE!</v>
      </c>
      <c r="AB27" s="621" t="e">
        <f t="shared" si="34"/>
        <v>#VALUE!</v>
      </c>
      <c r="AC27" s="621" t="e">
        <f t="shared" si="35"/>
        <v>#VALUE!</v>
      </c>
      <c r="AD27" s="624" t="e">
        <f t="shared" si="36"/>
        <v>#VALUE!</v>
      </c>
      <c r="AE27" s="621" t="e">
        <f t="shared" si="37"/>
        <v>#VALUE!</v>
      </c>
      <c r="AF27" s="621" t="e">
        <f t="shared" si="38"/>
        <v>#VALUE!</v>
      </c>
      <c r="AG27" s="621" t="e">
        <f t="shared" si="39"/>
        <v>#VALUE!</v>
      </c>
      <c r="AH27" s="624" t="e">
        <f t="shared" si="40"/>
        <v>#VALUE!</v>
      </c>
      <c r="AI27" s="621" t="e">
        <f t="shared" si="41"/>
        <v>#VALUE!</v>
      </c>
      <c r="AJ27" s="621" t="e">
        <f t="shared" si="42"/>
        <v>#VALUE!</v>
      </c>
      <c r="AK27" s="621" t="e">
        <f t="shared" si="43"/>
        <v>#VALUE!</v>
      </c>
      <c r="AL27" s="459" t="str">
        <f>IFERROR(ROUND(AC27,2),"")</f>
        <v/>
      </c>
      <c r="AM27" s="459" t="str">
        <f>IFERROR(ROUND(AG27,2),"")</f>
        <v/>
      </c>
      <c r="AN27" s="459" t="str">
        <f>IFERROR(ROUND(AK27,2),"")</f>
        <v/>
      </c>
    </row>
    <row r="28" spans="1:40" ht="14.25" customHeight="1">
      <c r="A28" s="772" t="s">
        <v>3747</v>
      </c>
      <c r="B28" s="446"/>
      <c r="C28" s="446"/>
      <c r="D28" s="446"/>
      <c r="E28" s="446"/>
      <c r="F28" s="446"/>
      <c r="G28" s="446"/>
      <c r="H28" s="446"/>
      <c r="I28" s="446"/>
      <c r="J28" s="446"/>
      <c r="K28" s="446"/>
      <c r="L28" s="446"/>
      <c r="M28" s="446"/>
      <c r="N28" s="446"/>
      <c r="O28" s="446"/>
      <c r="P28" s="446"/>
      <c r="Q28" s="446"/>
      <c r="R28" s="622">
        <f t="shared" si="25"/>
        <v>0.38</v>
      </c>
      <c r="S28" s="622">
        <f t="shared" si="26"/>
        <v>0.38</v>
      </c>
      <c r="T28" s="622">
        <f t="shared" si="27"/>
        <v>0.38</v>
      </c>
      <c r="U28" s="622">
        <f t="shared" si="28"/>
        <v>0</v>
      </c>
      <c r="V28" s="622">
        <f t="shared" si="29"/>
        <v>0</v>
      </c>
      <c r="W28" s="622">
        <f t="shared" si="30"/>
        <v>0</v>
      </c>
      <c r="X28" s="622">
        <f>KoopMakler!B10</f>
        <v>0</v>
      </c>
      <c r="Y28" s="622">
        <f>IFERROR(G13*X28*N13/AC28,0)</f>
        <v>0</v>
      </c>
      <c r="Z28" s="624" t="e">
        <f>AC28-AB28-AA28</f>
        <v>#VALUE!</v>
      </c>
      <c r="AA28" s="621" t="e">
        <f>AC28*U28</f>
        <v>#VALUE!</v>
      </c>
      <c r="AB28" s="621" t="e">
        <f>AC28*Y28</f>
        <v>#VALUE!</v>
      </c>
      <c r="AC28" s="621" t="e">
        <f>(G13-G13*X28*(100%-N13))</f>
        <v>#VALUE!</v>
      </c>
      <c r="AD28" s="624" t="e">
        <f>AG28-AF28-AE28</f>
        <v>#VALUE!</v>
      </c>
      <c r="AE28" s="621" t="e">
        <f>AG28*V28</f>
        <v>#VALUE!</v>
      </c>
      <c r="AF28" s="621" t="e">
        <f>AG28*Y28</f>
        <v>#VALUE!</v>
      </c>
      <c r="AG28" s="621" t="e">
        <f t="shared" si="39"/>
        <v>#VALUE!</v>
      </c>
      <c r="AH28" s="624" t="e">
        <f>AK28-AJ28-AI28</f>
        <v>#VALUE!</v>
      </c>
      <c r="AI28" s="621" t="e">
        <f>AK28*W28</f>
        <v>#VALUE!</v>
      </c>
      <c r="AJ28" s="621" t="e">
        <f>AK28*Y28</f>
        <v>#VALUE!</v>
      </c>
      <c r="AK28" s="621" t="e">
        <f t="shared" si="43"/>
        <v>#VALUE!</v>
      </c>
      <c r="AL28" s="459" t="str">
        <f>IFERROR(ROUND(AC28,2),"")</f>
        <v/>
      </c>
      <c r="AM28" s="459" t="str">
        <f>IFERROR(ROUND(AG28,2),"")</f>
        <v/>
      </c>
      <c r="AN28" s="459" t="str">
        <f>IFERROR(ROUND(AK28,2),"")</f>
        <v/>
      </c>
    </row>
    <row r="29" spans="1:40" ht="14.25" customHeight="1">
      <c r="A29" s="825" t="s">
        <v>3797</v>
      </c>
      <c r="B29" s="446"/>
      <c r="C29" s="446"/>
      <c r="D29" s="446"/>
      <c r="E29" s="446"/>
      <c r="F29" s="446"/>
      <c r="G29" s="446"/>
      <c r="H29" s="446"/>
      <c r="I29" s="446"/>
      <c r="J29" s="446"/>
      <c r="K29" s="446"/>
      <c r="L29" s="446"/>
      <c r="M29" s="446"/>
      <c r="N29" s="446"/>
      <c r="O29" s="446"/>
      <c r="P29" s="446"/>
      <c r="Q29" s="446"/>
      <c r="R29" s="622">
        <f t="shared" si="25"/>
        <v>0.3</v>
      </c>
      <c r="S29" s="622">
        <f t="shared" si="26"/>
        <v>0.3</v>
      </c>
      <c r="T29" s="622">
        <f t="shared" si="27"/>
        <v>0.3</v>
      </c>
      <c r="U29" s="622">
        <f t="shared" si="28"/>
        <v>0</v>
      </c>
      <c r="V29" s="622">
        <f t="shared" si="29"/>
        <v>0</v>
      </c>
      <c r="W29" s="622">
        <f t="shared" si="30"/>
        <v>0</v>
      </c>
      <c r="X29" s="622">
        <f>KoopMakler!B10</f>
        <v>0</v>
      </c>
      <c r="Y29" s="622">
        <f>IFERROR(G14*X29*N14/AC29,0)</f>
        <v>0</v>
      </c>
      <c r="Z29" s="624" t="e">
        <f>AC29-AB29-AA29</f>
        <v>#VALUE!</v>
      </c>
      <c r="AA29" s="621" t="e">
        <f>AC29*U29</f>
        <v>#VALUE!</v>
      </c>
      <c r="AB29" s="621" t="e">
        <f>AC29*Y29</f>
        <v>#VALUE!</v>
      </c>
      <c r="AC29" s="621" t="e">
        <f t="shared" si="35"/>
        <v>#VALUE!</v>
      </c>
      <c r="AD29" s="624" t="e">
        <f>AG29-AF29-AE29</f>
        <v>#VALUE!</v>
      </c>
      <c r="AE29" s="621" t="e">
        <f>AG29*V29</f>
        <v>#VALUE!</v>
      </c>
      <c r="AF29" s="621" t="e">
        <f>AG29*Y29</f>
        <v>#VALUE!</v>
      </c>
      <c r="AG29" s="621" t="e">
        <f t="shared" si="39"/>
        <v>#VALUE!</v>
      </c>
      <c r="AH29" s="624" t="e">
        <f>AK29-AJ29-AI29</f>
        <v>#VALUE!</v>
      </c>
      <c r="AI29" s="621" t="e">
        <f>AK29*W29</f>
        <v>#VALUE!</v>
      </c>
      <c r="AJ29" s="621" t="e">
        <f>AK29*Y29</f>
        <v>#VALUE!</v>
      </c>
      <c r="AK29" s="621" t="e">
        <f t="shared" si="43"/>
        <v>#VALUE!</v>
      </c>
      <c r="AL29" s="459" t="str">
        <f>IFERROR(ROUND(AC29,2),"")</f>
        <v/>
      </c>
      <c r="AM29" s="459" t="str">
        <f>IFERROR(ROUND(AG29,2),"")</f>
        <v/>
      </c>
      <c r="AN29" s="459" t="str">
        <f>IFERROR(ROUND(AK29,2),"")</f>
        <v/>
      </c>
    </row>
    <row r="30" spans="1:40" ht="14.25" customHeight="1">
      <c r="A30" s="446"/>
      <c r="B30" s="446"/>
      <c r="C30" s="446"/>
      <c r="D30" s="446"/>
      <c r="E30" s="446"/>
      <c r="F30" s="446"/>
      <c r="G30" s="446"/>
      <c r="H30" s="446"/>
      <c r="I30" s="446"/>
      <c r="J30" s="446"/>
      <c r="K30" s="446"/>
      <c r="L30" s="446"/>
      <c r="M30" s="446"/>
      <c r="N30" s="446"/>
      <c r="O30" s="446"/>
      <c r="P30" s="446"/>
      <c r="Q30" s="446"/>
      <c r="R30" s="446"/>
      <c r="S30" s="446"/>
      <c r="T30" s="446"/>
      <c r="U30" s="446"/>
      <c r="V30" s="446"/>
      <c r="W30" s="446"/>
      <c r="X30" s="446"/>
      <c r="Y30" s="446"/>
      <c r="Z30" s="446"/>
      <c r="AA30" s="446"/>
      <c r="AB30" s="446"/>
      <c r="AC30" s="446"/>
      <c r="AD30" s="446"/>
      <c r="AE30" s="446"/>
      <c r="AF30" s="446"/>
      <c r="AG30" s="446"/>
      <c r="AH30" s="446"/>
      <c r="AI30" s="446"/>
      <c r="AJ30" s="446"/>
      <c r="AK30" s="446"/>
      <c r="AL30" s="446"/>
      <c r="AM30" s="446"/>
      <c r="AN30" s="446"/>
    </row>
    <row r="31" spans="1:40" ht="14.25" customHeight="1">
      <c r="A31" s="446"/>
      <c r="B31" s="446"/>
      <c r="C31" s="446"/>
      <c r="D31" s="446"/>
      <c r="E31" s="446"/>
      <c r="F31" s="446"/>
      <c r="G31" s="446"/>
      <c r="H31" s="446"/>
      <c r="I31" s="446"/>
      <c r="J31" s="446"/>
      <c r="K31" s="446"/>
      <c r="L31" s="446"/>
      <c r="M31" s="446"/>
      <c r="N31" s="446"/>
      <c r="O31" s="446"/>
      <c r="P31" s="446"/>
      <c r="Q31" s="446"/>
      <c r="R31" s="446"/>
      <c r="S31" s="446"/>
      <c r="T31" s="446"/>
      <c r="U31" s="446"/>
      <c r="V31" s="446"/>
      <c r="W31" s="446"/>
      <c r="X31" s="446"/>
      <c r="Y31" s="446"/>
      <c r="Z31" s="446"/>
      <c r="AA31" s="446"/>
      <c r="AB31" s="446"/>
      <c r="AC31" s="446"/>
      <c r="AD31" s="446"/>
      <c r="AE31" s="446"/>
      <c r="AF31" s="446"/>
      <c r="AG31" s="446"/>
      <c r="AH31" s="446"/>
      <c r="AI31" s="446"/>
      <c r="AJ31" s="446"/>
      <c r="AK31" s="446"/>
      <c r="AL31" s="446"/>
      <c r="AM31" s="446"/>
      <c r="AN31" s="446"/>
    </row>
    <row r="32" spans="1:40" ht="14.25" customHeight="1">
      <c r="A32" s="446"/>
      <c r="B32" s="446"/>
      <c r="C32" s="446"/>
      <c r="D32" s="446"/>
      <c r="E32" s="446"/>
      <c r="F32" s="446"/>
      <c r="G32" s="446"/>
      <c r="H32" s="446"/>
      <c r="I32" s="446"/>
      <c r="J32" s="446"/>
      <c r="K32" s="446"/>
      <c r="L32" s="446"/>
      <c r="M32" s="446"/>
      <c r="N32" s="446"/>
      <c r="O32" s="446"/>
      <c r="P32" s="446"/>
      <c r="Q32" s="446"/>
      <c r="R32" s="1079" t="s">
        <v>3630</v>
      </c>
      <c r="S32" s="1035"/>
      <c r="T32" s="1035"/>
      <c r="U32" s="1035"/>
      <c r="V32" s="1035"/>
      <c r="W32" s="1035"/>
      <c r="X32" s="1035"/>
      <c r="Y32" s="1035"/>
      <c r="Z32" s="446"/>
      <c r="AA32" s="446"/>
      <c r="AB32" s="446"/>
      <c r="AC32" s="446"/>
      <c r="AD32" s="446"/>
      <c r="AE32" s="446"/>
      <c r="AF32" s="446"/>
      <c r="AG32" s="446"/>
      <c r="AH32" s="446"/>
      <c r="AI32" s="446"/>
      <c r="AJ32" s="446"/>
      <c r="AK32" s="446"/>
      <c r="AL32" s="446"/>
      <c r="AM32" s="446"/>
      <c r="AN32" s="446"/>
    </row>
    <row r="33" spans="1:40" ht="14.25" customHeight="1">
      <c r="A33" s="446"/>
      <c r="B33" s="446"/>
      <c r="C33" s="446"/>
      <c r="D33" s="446"/>
      <c r="E33" s="446"/>
      <c r="F33" s="446"/>
      <c r="G33" s="446"/>
      <c r="H33" s="446"/>
      <c r="I33" s="446"/>
      <c r="J33" s="446"/>
      <c r="K33" s="446"/>
      <c r="L33" s="446"/>
      <c r="M33" s="446"/>
      <c r="N33" s="446"/>
      <c r="O33" s="446"/>
      <c r="P33" s="446"/>
      <c r="Q33" s="446"/>
      <c r="R33" s="1079" t="s">
        <v>3631</v>
      </c>
      <c r="S33" s="1035"/>
      <c r="T33" s="1035"/>
      <c r="U33" s="1035"/>
      <c r="V33" s="1079" t="s">
        <v>3632</v>
      </c>
      <c r="W33" s="1035"/>
      <c r="X33" s="1035"/>
      <c r="Y33" s="1035"/>
      <c r="Z33" s="446"/>
      <c r="AA33" s="446"/>
      <c r="AB33" s="446"/>
      <c r="AC33" s="446"/>
      <c r="AD33" s="446"/>
      <c r="AE33" s="446"/>
      <c r="AF33" s="446"/>
      <c r="AG33" s="446"/>
      <c r="AH33" s="446"/>
      <c r="AI33" s="446"/>
      <c r="AJ33" s="446"/>
      <c r="AK33" s="446"/>
      <c r="AL33" s="446"/>
      <c r="AM33" s="446"/>
      <c r="AN33" s="446"/>
    </row>
    <row r="34" spans="1:40" ht="14.25" customHeight="1">
      <c r="A34" s="446" t="s">
        <v>2773</v>
      </c>
      <c r="B34" s="446"/>
      <c r="C34" s="446"/>
      <c r="D34" s="446"/>
      <c r="E34" s="446"/>
      <c r="F34" s="446"/>
      <c r="G34" s="446"/>
      <c r="H34" s="446"/>
      <c r="I34" s="446"/>
      <c r="J34" s="446"/>
      <c r="K34" s="446"/>
      <c r="L34" s="446"/>
      <c r="M34" s="446"/>
      <c r="N34" s="446"/>
      <c r="O34" s="446"/>
      <c r="P34" s="446"/>
      <c r="Q34" s="446"/>
      <c r="R34" s="971">
        <f ca="1">ROUND(IF(wvagLimit1Status=OfferReady,U20,U5),4)</f>
        <v>0</v>
      </c>
      <c r="S34" s="971">
        <f ca="1">ROUND(IF(wvagLimit2Status=OfferReady,V20,V5),4)</f>
        <v>0</v>
      </c>
      <c r="T34" s="971">
        <f ca="1">ROUND(IF(wvagLimit3Status=OfferReady,W20,W5),4)</f>
        <v>0</v>
      </c>
      <c r="U34" s="446"/>
      <c r="V34" s="971">
        <f ca="1">ROUND(IF(wvagLimit1Status=OfferReady,$Y20,$Y5),4)</f>
        <v>0</v>
      </c>
      <c r="W34" s="971">
        <f ca="1">ROUND(IF(wvagLimit2Status=OfferReady,$Y20,$Y5),4)</f>
        <v>0</v>
      </c>
      <c r="X34" s="971">
        <f ca="1">ROUND(IF(wvagLimit3Status=OfferReady,$Y20,$Y5),4)</f>
        <v>0</v>
      </c>
      <c r="Y34" s="446"/>
      <c r="Z34" s="446"/>
      <c r="AA34" s="446"/>
      <c r="AB34" s="446"/>
      <c r="AC34" s="446"/>
      <c r="AD34" s="446"/>
      <c r="AE34" s="446"/>
      <c r="AF34" s="446"/>
      <c r="AG34" s="446"/>
      <c r="AH34" s="446"/>
      <c r="AI34" s="446"/>
      <c r="AJ34" s="446"/>
      <c r="AK34" s="446"/>
      <c r="AL34" s="446"/>
      <c r="AM34" s="446"/>
      <c r="AN34" s="446"/>
    </row>
    <row r="35" spans="1:40" ht="14.25" customHeight="1">
      <c r="A35" s="446" t="s">
        <v>2393</v>
      </c>
      <c r="B35" s="446"/>
      <c r="C35" s="446"/>
      <c r="D35" s="446"/>
      <c r="E35" s="446"/>
      <c r="F35" s="446"/>
      <c r="G35" s="446"/>
      <c r="H35" s="446"/>
      <c r="I35" s="446"/>
      <c r="J35" s="446"/>
      <c r="K35" s="446"/>
      <c r="L35" s="446"/>
      <c r="M35" s="446"/>
      <c r="N35" s="446"/>
      <c r="O35" s="446"/>
      <c r="P35" s="446"/>
      <c r="Q35" s="446"/>
      <c r="R35" s="971">
        <f>ROUND(IF(axaLimit1Status=OfferReady,U21,U6),4)</f>
        <v>0</v>
      </c>
      <c r="S35" s="971">
        <f>ROUND(IF(axaLimit2Status=OfferReady,V21,V6),4)</f>
        <v>0</v>
      </c>
      <c r="T35" s="971">
        <f>ROUND(IF(axaLimit3Status=OfferReady,W21,W6),4)</f>
        <v>0</v>
      </c>
      <c r="U35" s="446"/>
      <c r="V35" s="971">
        <f>ROUND(IF(axaLimit1Status=OfferReady,$Y21,$Y6),4)</f>
        <v>0</v>
      </c>
      <c r="W35" s="971">
        <f>ROUND(IF(axaLimit2Status=OfferReady,$Y21,$Y6),4)</f>
        <v>0</v>
      </c>
      <c r="X35" s="971">
        <f>ROUND(IF(axaLimit3Status=OfferReady,$Y21,$Y6),4)</f>
        <v>0</v>
      </c>
      <c r="Y35" s="446"/>
      <c r="Z35" s="446"/>
      <c r="AA35" s="446"/>
      <c r="AB35" s="446"/>
      <c r="AC35" s="446"/>
      <c r="AD35" s="446"/>
      <c r="AE35" s="446"/>
      <c r="AF35" s="446"/>
      <c r="AG35" s="446"/>
      <c r="AH35" s="446"/>
      <c r="AI35" s="446"/>
      <c r="AJ35" s="446"/>
      <c r="AK35" s="446"/>
      <c r="AL35" s="446"/>
      <c r="AM35" s="446"/>
      <c r="AN35" s="446"/>
    </row>
    <row r="36" spans="1:40" ht="14.25" customHeight="1">
      <c r="A36" s="446" t="s">
        <v>2795</v>
      </c>
      <c r="B36" s="446"/>
      <c r="C36" s="446"/>
      <c r="D36" s="446"/>
      <c r="E36" s="446"/>
      <c r="F36" s="446"/>
      <c r="G36" s="446"/>
      <c r="H36" s="446"/>
      <c r="I36" s="446"/>
      <c r="J36" s="446"/>
      <c r="K36" s="446"/>
      <c r="L36" s="446"/>
      <c r="M36" s="446"/>
      <c r="N36" s="446"/>
      <c r="O36" s="446"/>
      <c r="P36" s="446"/>
      <c r="Q36" s="446"/>
      <c r="R36" s="971">
        <f ca="1">ROUND(IF(aigLimit1Status=OfferReady,U22,U7),4)</f>
        <v>0</v>
      </c>
      <c r="S36" s="971">
        <f ca="1">ROUND(IF(aigLimit2Status=OfferReady,V22,V7),4)</f>
        <v>0</v>
      </c>
      <c r="T36" s="971">
        <f ca="1">ROUND(IF(aigLimit3Status=OfferReady,W22,W7),4)</f>
        <v>0</v>
      </c>
      <c r="U36" s="446"/>
      <c r="V36" s="971">
        <f ca="1">ROUND(IF(aigLimit1Status=OfferReady,$Y22,$Y7),4)</f>
        <v>0</v>
      </c>
      <c r="W36" s="971">
        <f ca="1">ROUND(IF(aigLimit2Status=OfferReady,$Y22,$Y7),4)</f>
        <v>0</v>
      </c>
      <c r="X36" s="971">
        <f ca="1">ROUND(IF(aigLimit3Status=OfferReady,$Y22,$Y7),4)</f>
        <v>0</v>
      </c>
      <c r="Y36" s="446"/>
      <c r="Z36" s="446"/>
      <c r="AA36" s="446"/>
      <c r="AB36" s="446"/>
      <c r="AC36" s="446"/>
      <c r="AD36" s="446"/>
      <c r="AE36" s="446"/>
      <c r="AF36" s="446"/>
      <c r="AG36" s="446"/>
      <c r="AH36" s="446"/>
      <c r="AI36" s="446"/>
      <c r="AJ36" s="446"/>
      <c r="AK36" s="446"/>
      <c r="AL36" s="446"/>
      <c r="AM36" s="446"/>
      <c r="AN36" s="446"/>
    </row>
    <row r="37" spans="1:40" ht="14.25" customHeight="1">
      <c r="A37" s="446" t="s">
        <v>2391</v>
      </c>
      <c r="B37" s="446"/>
      <c r="C37" s="446"/>
      <c r="D37" s="446"/>
      <c r="E37" s="446"/>
      <c r="F37" s="446"/>
      <c r="G37" s="446"/>
      <c r="H37" s="446"/>
      <c r="I37" s="446"/>
      <c r="J37" s="446"/>
      <c r="K37" s="446"/>
      <c r="L37" s="446"/>
      <c r="M37" s="446"/>
      <c r="N37" s="446"/>
      <c r="O37" s="446"/>
      <c r="P37" s="446"/>
      <c r="Q37" s="446"/>
      <c r="R37" s="971">
        <f ca="1">ROUND(IF(aigLimit1Status=OfferReady,U23,U8),4)</f>
        <v>0</v>
      </c>
      <c r="S37" s="971">
        <f ca="1">ROUND(IF(aigLimit2Status=OfferReady,V23,V8),4)</f>
        <v>0</v>
      </c>
      <c r="T37" s="971">
        <f ca="1">ROUND(IF(aigLimit3Status=OfferReady,W23,W8),4)</f>
        <v>0</v>
      </c>
      <c r="U37" s="446"/>
      <c r="V37" s="971">
        <f ca="1">ROUND(IF(aigLimit1Status=OfferReady,$Y23,$Y8),4)</f>
        <v>0</v>
      </c>
      <c r="W37" s="971">
        <f ca="1">ROUND(IF(aigLimit2Status=OfferReady,$Y23,$Y8),4)</f>
        <v>0</v>
      </c>
      <c r="X37" s="971">
        <f ca="1">ROUND(IF(aigLimit3Status=OfferReady,$Y23,$Y8),4)</f>
        <v>0</v>
      </c>
      <c r="Y37" s="446"/>
      <c r="Z37" s="446"/>
      <c r="AA37" s="446"/>
      <c r="AB37" s="446"/>
      <c r="AC37" s="446"/>
      <c r="AD37" s="446"/>
      <c r="AE37" s="446"/>
      <c r="AF37" s="446"/>
      <c r="AG37" s="446"/>
      <c r="AH37" s="446"/>
      <c r="AI37" s="446"/>
      <c r="AJ37" s="446"/>
      <c r="AK37" s="446"/>
      <c r="AL37" s="446"/>
      <c r="AM37" s="446"/>
      <c r="AN37" s="446"/>
    </row>
    <row r="38" spans="1:40" ht="14.25" customHeight="1">
      <c r="A38" s="446" t="s">
        <v>2400</v>
      </c>
      <c r="B38" s="446"/>
      <c r="C38" s="446"/>
      <c r="D38" s="446"/>
      <c r="E38" s="446"/>
      <c r="F38" s="446"/>
      <c r="G38" s="446"/>
      <c r="H38" s="446"/>
      <c r="I38" s="446"/>
      <c r="J38" s="446"/>
      <c r="K38" s="446"/>
      <c r="L38" s="446"/>
      <c r="M38" s="446"/>
      <c r="N38" s="446"/>
      <c r="O38" s="446"/>
      <c r="P38" s="446"/>
      <c r="Q38" s="446"/>
      <c r="R38" s="971">
        <f ca="1">ROUND(IF(dualLimit1Status=OfferReady,U24,U9),4)</f>
        <v>0</v>
      </c>
      <c r="S38" s="971">
        <f ca="1">ROUND(IF(dualLimit2Status=OfferReady,V24,V9),4)</f>
        <v>0</v>
      </c>
      <c r="T38" s="971">
        <f ca="1">ROUND(IF(dualLimit3Status=OfferReady,W24,W9),4)</f>
        <v>0</v>
      </c>
      <c r="U38" s="446"/>
      <c r="V38" s="971">
        <f ca="1">ROUND(IF(dualLimit1Status=OfferReady,$Y24,$Y9),4)</f>
        <v>0</v>
      </c>
      <c r="W38" s="971">
        <f ca="1">ROUND(IF(dualLimit2Status=OfferReady,$Y24,$Y9),4)</f>
        <v>0</v>
      </c>
      <c r="X38" s="971">
        <f ca="1">ROUND(IF(dualLimit3Status=OfferReady,$Y24,$Y9),4)</f>
        <v>0</v>
      </c>
      <c r="Y38" s="446"/>
      <c r="Z38" s="446"/>
      <c r="AA38" s="446"/>
      <c r="AB38" s="446"/>
      <c r="AC38" s="446"/>
      <c r="AD38" s="446"/>
      <c r="AE38" s="446"/>
      <c r="AF38" s="446"/>
      <c r="AG38" s="446"/>
      <c r="AH38" s="446"/>
      <c r="AI38" s="446"/>
      <c r="AJ38" s="446"/>
      <c r="AK38" s="446"/>
      <c r="AL38" s="446"/>
      <c r="AM38" s="446"/>
      <c r="AN38" s="446"/>
    </row>
    <row r="39" spans="1:40" ht="14.25" customHeight="1">
      <c r="A39" s="446" t="s">
        <v>2401</v>
      </c>
      <c r="B39" s="446"/>
      <c r="C39" s="446"/>
      <c r="D39" s="446"/>
      <c r="E39" s="446"/>
      <c r="F39" s="446"/>
      <c r="G39" s="446"/>
      <c r="H39" s="446"/>
      <c r="I39" s="446"/>
      <c r="J39" s="446"/>
      <c r="K39" s="446"/>
      <c r="L39" s="446"/>
      <c r="M39" s="446"/>
      <c r="N39" s="446"/>
      <c r="O39" s="446"/>
      <c r="P39" s="446"/>
      <c r="Q39" s="446"/>
      <c r="R39" s="971">
        <f ca="1">ROUND(IF(newlineLimit1Status=OfferReady,U25,U10),4)</f>
        <v>0</v>
      </c>
      <c r="S39" s="971">
        <f ca="1">ROUND(IF(newlineLimit2Status=OfferReady,V25,V10),4)</f>
        <v>0</v>
      </c>
      <c r="T39" s="971">
        <f ca="1">ROUND(IF(newlineLimit3Status=OfferReady,W25,W10),4)</f>
        <v>0</v>
      </c>
      <c r="U39" s="446"/>
      <c r="V39" s="971">
        <f ca="1">ROUND(IF(newlineLimit1Status=OfferReady,$Y25,$Y10),4)</f>
        <v>0</v>
      </c>
      <c r="W39" s="971">
        <f ca="1">ROUND(IF(newlineLimit2Status=OfferReady,$Y25,$Y10),4)</f>
        <v>0</v>
      </c>
      <c r="X39" s="971">
        <f ca="1">ROUND(IF(newlineLimit3Status=OfferReady,$Y25,$Y10),4)</f>
        <v>0</v>
      </c>
      <c r="Y39" s="446"/>
      <c r="Z39" s="446"/>
      <c r="AA39" s="446"/>
      <c r="AB39" s="446"/>
      <c r="AC39" s="446"/>
      <c r="AD39" s="446"/>
      <c r="AE39" s="446"/>
      <c r="AF39" s="446"/>
      <c r="AG39" s="446"/>
      <c r="AH39" s="446"/>
      <c r="AI39" s="446"/>
      <c r="AJ39" s="446"/>
      <c r="AK39" s="446"/>
      <c r="AL39" s="446"/>
      <c r="AM39" s="446"/>
      <c r="AN39" s="446"/>
    </row>
    <row r="40" spans="1:40" ht="14.25" customHeight="1">
      <c r="A40" s="446" t="s">
        <v>2392</v>
      </c>
      <c r="B40" s="446"/>
      <c r="C40" s="446"/>
      <c r="D40" s="446"/>
      <c r="E40" s="446"/>
      <c r="F40" s="446"/>
      <c r="G40" s="446"/>
      <c r="H40" s="446"/>
      <c r="I40" s="446"/>
      <c r="J40" s="446"/>
      <c r="K40" s="446"/>
      <c r="L40" s="446"/>
      <c r="M40" s="446"/>
      <c r="N40" s="446"/>
      <c r="O40" s="446"/>
      <c r="P40" s="446"/>
      <c r="Q40" s="446"/>
      <c r="R40" s="971">
        <f ca="1">ROUND(IF(berkleyLimit1Status=OfferReady,U26,U11),4)</f>
        <v>0</v>
      </c>
      <c r="S40" s="971">
        <f ca="1">ROUND(IF(berkleyLimit2Status=OfferReady,V26,V11),4)</f>
        <v>0</v>
      </c>
      <c r="T40" s="971">
        <f ca="1">ROUND(IF(berkleyLimit3Status=OfferReady,W26,W11),4)</f>
        <v>0</v>
      </c>
      <c r="U40" s="446"/>
      <c r="V40" s="971">
        <f ca="1">ROUND(IF(berkleyLimit1Status=OfferReady,$Y26,$Y11),4)</f>
        <v>0</v>
      </c>
      <c r="W40" s="971">
        <f ca="1">ROUND(IF(berkleyLimit2Status=OfferReady,$Y26,$Y11),4)</f>
        <v>0</v>
      </c>
      <c r="X40" s="971">
        <f ca="1">ROUND(IF(berkleyLimit3Status=OfferReady,$Y26,$Y11),4)</f>
        <v>0</v>
      </c>
      <c r="Y40" s="446"/>
      <c r="Z40" s="446"/>
      <c r="AA40" s="446"/>
      <c r="AB40" s="446"/>
      <c r="AC40" s="446"/>
      <c r="AD40" s="446"/>
      <c r="AE40" s="446"/>
      <c r="AF40" s="446"/>
      <c r="AG40" s="446"/>
      <c r="AH40" s="446"/>
      <c r="AI40" s="446"/>
      <c r="AJ40" s="446"/>
      <c r="AK40" s="446"/>
      <c r="AL40" s="446"/>
      <c r="AM40" s="446"/>
      <c r="AN40" s="446"/>
    </row>
    <row r="41" spans="1:40" ht="14.25" customHeight="1">
      <c r="A41" s="446" t="s">
        <v>3727</v>
      </c>
      <c r="B41" s="446"/>
      <c r="C41" s="446"/>
      <c r="D41" s="446"/>
      <c r="E41" s="446"/>
      <c r="F41" s="446"/>
      <c r="G41" s="446"/>
      <c r="H41" s="446"/>
      <c r="I41" s="446"/>
      <c r="J41" s="446"/>
      <c r="K41" s="446"/>
      <c r="L41" s="446"/>
      <c r="M41" s="446"/>
      <c r="N41" s="446"/>
      <c r="O41" s="446"/>
      <c r="P41" s="446"/>
      <c r="Q41" s="446"/>
      <c r="R41" s="971">
        <f ca="1">ROUND(IF(markelLimit1Status=OfferReady,U27,U12),4)</f>
        <v>0</v>
      </c>
      <c r="S41" s="971">
        <f ca="1">ROUND(IF(markelLimit2Status=OfferReady,V27,V12),4)</f>
        <v>0</v>
      </c>
      <c r="T41" s="971">
        <f ca="1">ROUND(IF(markelLimit3Status=OfferReady,W27,W12),4)</f>
        <v>0</v>
      </c>
      <c r="U41" s="446"/>
      <c r="V41" s="971">
        <f ca="1">ROUND(IF(markelLimit1Status=OfferReady,$Y27,$Y12),4)</f>
        <v>0</v>
      </c>
      <c r="W41" s="971">
        <f ca="1">ROUND(IF(markelLimit2Status=OfferReady,$Y27,$Y12),4)</f>
        <v>0</v>
      </c>
      <c r="X41" s="971">
        <f ca="1">ROUND(IF(markelLimit3Status=OfferReady,$Y27,$Y12),4)</f>
        <v>0</v>
      </c>
      <c r="Y41" s="446"/>
      <c r="Z41" s="446"/>
      <c r="AA41" s="446"/>
      <c r="AB41" s="446"/>
      <c r="AC41" s="446"/>
      <c r="AD41" s="446"/>
      <c r="AE41" s="446"/>
      <c r="AF41" s="446"/>
      <c r="AG41" s="446"/>
      <c r="AH41" s="446"/>
      <c r="AI41" s="446"/>
      <c r="AJ41" s="446"/>
      <c r="AK41" s="446"/>
      <c r="AL41" s="446"/>
      <c r="AM41" s="446"/>
      <c r="AN41" s="446"/>
    </row>
    <row r="42" spans="1:40" ht="14.25" customHeight="1">
      <c r="A42" s="772" t="s">
        <v>3747</v>
      </c>
      <c r="B42" s="446"/>
      <c r="C42" s="446"/>
      <c r="D42" s="446"/>
      <c r="E42" s="446"/>
      <c r="F42" s="446"/>
      <c r="G42" s="446"/>
      <c r="H42" s="446"/>
      <c r="I42" s="446"/>
      <c r="J42" s="446"/>
      <c r="K42" s="446"/>
      <c r="L42" s="446"/>
      <c r="M42" s="446"/>
      <c r="N42" s="446"/>
      <c r="O42" s="446"/>
      <c r="P42" s="446"/>
      <c r="Q42" s="446"/>
      <c r="R42" s="971">
        <f ca="1">ROUND(IF(libertyLimit1Status=OfferReady,U28,U13),4)</f>
        <v>0</v>
      </c>
      <c r="S42" s="971">
        <f ca="1">ROUND(IF(libertyLimit2Status=OfferReady,V28,V13),4)</f>
        <v>0</v>
      </c>
      <c r="T42" s="971">
        <f ca="1">ROUND(IF(libertyLimit3Status=OfferReady,W28,W13),4)</f>
        <v>0</v>
      </c>
      <c r="U42" s="446"/>
      <c r="V42" s="971">
        <f ca="1">ROUND(IF(libertyLimit1Status=OfferReady,$Y28,$Y13),4)</f>
        <v>0</v>
      </c>
      <c r="W42" s="971">
        <f ca="1">ROUND(IF(libertyLimit2Status=OfferReady,$Y28,$Y13),4)</f>
        <v>0</v>
      </c>
      <c r="X42" s="971">
        <f ca="1">ROUND(IF(libertyLimit3Status=OfferReady,$Y28,$Y13),4)</f>
        <v>0</v>
      </c>
      <c r="Y42" s="446"/>
      <c r="Z42" s="446"/>
      <c r="AA42" s="446"/>
      <c r="AB42" s="446"/>
      <c r="AC42" s="446"/>
      <c r="AD42" s="446"/>
      <c r="AE42" s="446"/>
      <c r="AF42" s="446"/>
      <c r="AG42" s="446"/>
      <c r="AH42" s="446"/>
      <c r="AI42" s="446"/>
      <c r="AJ42" s="446"/>
      <c r="AK42" s="446"/>
      <c r="AL42" s="446"/>
      <c r="AM42" s="446"/>
      <c r="AN42" s="446"/>
    </row>
    <row r="43" spans="1:40" ht="14.25" customHeight="1">
      <c r="A43" s="446" t="s">
        <v>3797</v>
      </c>
      <c r="B43" s="446"/>
      <c r="C43" s="446"/>
      <c r="D43" s="446"/>
      <c r="E43" s="446"/>
      <c r="F43" s="446"/>
      <c r="G43" s="446"/>
      <c r="H43" s="446"/>
      <c r="I43" s="446"/>
      <c r="J43" s="446"/>
      <c r="K43" s="446"/>
      <c r="L43" s="446"/>
      <c r="M43" s="446"/>
      <c r="N43" s="446"/>
      <c r="O43" s="446"/>
      <c r="P43" s="446"/>
      <c r="Q43" s="446"/>
      <c r="R43" s="971">
        <f ca="1">ROUND(IF(ergoLimit1Status=OfferReady,U29,U14),4)</f>
        <v>0</v>
      </c>
      <c r="S43" s="971">
        <f ca="1">ROUND(IF(ergoLimit2Status=OfferReady,V29,V14),4)</f>
        <v>0</v>
      </c>
      <c r="T43" s="971">
        <f ca="1">ROUND(IF(ergoLimit3Status=OfferReady,W29,W14),4)</f>
        <v>0</v>
      </c>
      <c r="U43" s="446"/>
      <c r="V43" s="971">
        <f ca="1">ROUND(IF(ergoLimit1Status=OfferReady,$Y29,$Y14),4)</f>
        <v>0</v>
      </c>
      <c r="W43" s="971">
        <f ca="1">ROUND(IF(ergoLimit2Status=OfferReady,$Y29,$Y14),4)</f>
        <v>0</v>
      </c>
      <c r="X43" s="971">
        <f ca="1">ROUND(IF(ergoLimit3Status=OfferReady,$Y29,$Y14),4)</f>
        <v>0</v>
      </c>
      <c r="Y43" s="446"/>
      <c r="Z43" s="446"/>
      <c r="AA43" s="446"/>
      <c r="AB43" s="446"/>
      <c r="AC43" s="446"/>
      <c r="AD43" s="446"/>
      <c r="AE43" s="446"/>
      <c r="AF43" s="446"/>
      <c r="AG43" s="446"/>
      <c r="AH43" s="446"/>
      <c r="AI43" s="446"/>
      <c r="AJ43" s="446"/>
      <c r="AK43" s="446"/>
      <c r="AL43" s="446"/>
      <c r="AM43" s="446"/>
      <c r="AN43" s="446"/>
    </row>
    <row r="44" spans="1:40" ht="14.25" customHeight="1">
      <c r="A44" s="446"/>
      <c r="B44" s="446"/>
      <c r="C44" s="446"/>
      <c r="D44" s="446"/>
      <c r="E44" s="446"/>
      <c r="F44" s="446"/>
      <c r="G44" s="446"/>
      <c r="H44" s="446"/>
      <c r="I44" s="446"/>
      <c r="J44" s="446"/>
      <c r="K44" s="446"/>
      <c r="L44" s="446"/>
      <c r="M44" s="446"/>
      <c r="N44" s="446"/>
      <c r="O44" s="446"/>
      <c r="P44" s="446"/>
      <c r="Q44" s="446"/>
      <c r="R44" s="446"/>
      <c r="S44" s="446"/>
      <c r="T44" s="446"/>
      <c r="U44" s="446"/>
      <c r="V44" s="446"/>
      <c r="W44" s="446"/>
      <c r="X44" s="446"/>
      <c r="Y44" s="446"/>
      <c r="Z44" s="446"/>
      <c r="AA44" s="446"/>
      <c r="AB44" s="446"/>
      <c r="AC44" s="446"/>
      <c r="AD44" s="446"/>
      <c r="AE44" s="446"/>
      <c r="AF44" s="446"/>
      <c r="AG44" s="446"/>
      <c r="AH44" s="446"/>
      <c r="AI44" s="446"/>
      <c r="AJ44" s="446"/>
      <c r="AK44" s="446"/>
      <c r="AL44" s="446"/>
      <c r="AM44" s="446"/>
      <c r="AN44" s="446"/>
    </row>
    <row r="45" spans="1:40" ht="14.25" customHeight="1">
      <c r="A45" s="446"/>
      <c r="B45" s="446"/>
      <c r="C45" s="446"/>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row>
    <row r="46" spans="1:40" ht="14.25" customHeight="1">
      <c r="A46" s="446"/>
      <c r="B46" s="446"/>
      <c r="C46" s="446"/>
      <c r="D46" s="446"/>
      <c r="E46" s="446"/>
      <c r="F46" s="446"/>
      <c r="G46" s="446"/>
      <c r="H46" s="446"/>
      <c r="I46" s="446"/>
      <c r="J46" s="446"/>
      <c r="K46" s="446"/>
      <c r="L46" s="446"/>
      <c r="M46" s="446"/>
      <c r="N46" s="446"/>
      <c r="O46" s="446"/>
      <c r="P46" s="446"/>
      <c r="Q46" s="446"/>
      <c r="R46" s="446"/>
      <c r="S46" s="446"/>
      <c r="T46" s="446"/>
      <c r="U46" s="446"/>
      <c r="V46" s="446"/>
      <c r="W46" s="446"/>
      <c r="X46" s="446"/>
      <c r="Y46" s="446"/>
      <c r="Z46" s="446"/>
      <c r="AA46" s="446"/>
      <c r="AB46" s="446"/>
      <c r="AC46" s="446"/>
      <c r="AD46" s="446"/>
      <c r="AE46" s="446"/>
      <c r="AF46" s="446"/>
      <c r="AG46" s="446"/>
      <c r="AH46" s="446"/>
      <c r="AI46" s="446"/>
      <c r="AJ46" s="446"/>
      <c r="AK46" s="446"/>
      <c r="AL46" s="446"/>
      <c r="AM46" s="446"/>
      <c r="AN46" s="446"/>
    </row>
    <row r="47" spans="1:40" ht="14.25" customHeight="1">
      <c r="A47" s="446"/>
      <c r="B47" s="446"/>
      <c r="C47" s="446"/>
      <c r="D47" s="446"/>
      <c r="E47" s="446"/>
      <c r="F47" s="446"/>
      <c r="G47" s="446"/>
      <c r="H47" s="446"/>
      <c r="I47" s="446"/>
      <c r="J47" s="446"/>
      <c r="K47" s="446"/>
      <c r="L47" s="446"/>
      <c r="M47" s="446"/>
      <c r="N47" s="446"/>
      <c r="O47" s="446"/>
      <c r="P47" s="446"/>
      <c r="Q47" s="446"/>
      <c r="R47" s="446"/>
      <c r="S47" s="446"/>
      <c r="T47" s="446"/>
      <c r="U47" s="446"/>
      <c r="V47" s="446"/>
      <c r="W47" s="446"/>
      <c r="X47" s="446"/>
      <c r="Y47" s="446"/>
      <c r="Z47" s="446"/>
      <c r="AA47" s="446"/>
      <c r="AB47" s="446"/>
      <c r="AC47" s="446"/>
      <c r="AD47" s="446"/>
      <c r="AE47" s="446"/>
      <c r="AF47" s="446"/>
      <c r="AG47" s="446"/>
      <c r="AH47" s="446"/>
      <c r="AI47" s="446"/>
      <c r="AJ47" s="446"/>
      <c r="AK47" s="446"/>
      <c r="AL47" s="446"/>
      <c r="AM47" s="446"/>
      <c r="AN47" s="446"/>
    </row>
    <row r="48" spans="1:40" ht="14.25" customHeight="1">
      <c r="A48" s="446"/>
      <c r="B48" s="446"/>
      <c r="C48" s="446"/>
      <c r="D48" s="446"/>
      <c r="E48" s="446"/>
      <c r="F48" s="446"/>
      <c r="G48" s="446"/>
      <c r="H48" s="446"/>
      <c r="I48" s="446"/>
      <c r="J48" s="446"/>
      <c r="K48" s="446"/>
      <c r="L48" s="446"/>
      <c r="M48" s="446"/>
      <c r="N48" s="446"/>
      <c r="O48" s="446"/>
      <c r="P48" s="446"/>
      <c r="Q48" s="446"/>
      <c r="R48" s="446"/>
      <c r="S48" s="446"/>
      <c r="T48" s="446"/>
      <c r="U48" s="446"/>
      <c r="V48" s="446"/>
      <c r="W48" s="446"/>
      <c r="X48" s="446"/>
      <c r="Y48" s="446"/>
      <c r="Z48" s="446"/>
      <c r="AA48" s="446"/>
      <c r="AB48" s="446"/>
      <c r="AC48" s="446"/>
      <c r="AD48" s="446"/>
      <c r="AE48" s="446"/>
      <c r="AF48" s="446"/>
      <c r="AG48" s="446"/>
      <c r="AH48" s="446"/>
      <c r="AI48" s="446"/>
      <c r="AJ48" s="446"/>
      <c r="AK48" s="446"/>
      <c r="AL48" s="446"/>
      <c r="AM48" s="446"/>
      <c r="AN48" s="446"/>
    </row>
    <row r="49" spans="1:40" ht="14.25" customHeight="1">
      <c r="A49" s="446"/>
      <c r="B49" s="446"/>
      <c r="C49" s="446"/>
      <c r="D49" s="446"/>
      <c r="E49" s="446"/>
      <c r="F49" s="446"/>
      <c r="G49" s="446"/>
      <c r="H49" s="446"/>
      <c r="I49" s="446"/>
      <c r="J49" s="446"/>
      <c r="K49" s="446"/>
      <c r="L49" s="446"/>
      <c r="M49" s="446"/>
      <c r="N49" s="446"/>
      <c r="O49" s="446"/>
      <c r="P49" s="446"/>
      <c r="Q49" s="446"/>
      <c r="R49" s="446"/>
      <c r="S49" s="446"/>
      <c r="T49" s="446"/>
      <c r="U49" s="446"/>
      <c r="V49" s="446"/>
      <c r="W49" s="446"/>
      <c r="X49" s="446"/>
      <c r="Y49" s="446"/>
      <c r="Z49" s="446"/>
      <c r="AA49" s="446"/>
      <c r="AB49" s="446"/>
      <c r="AC49" s="446"/>
      <c r="AD49" s="446"/>
      <c r="AE49" s="446"/>
      <c r="AF49" s="446"/>
      <c r="AG49" s="446"/>
      <c r="AH49" s="446"/>
      <c r="AI49" s="446"/>
      <c r="AJ49" s="446"/>
      <c r="AK49" s="446"/>
      <c r="AL49" s="446"/>
      <c r="AM49" s="446"/>
      <c r="AN49" s="446"/>
    </row>
    <row r="50" spans="1:40" ht="14.25" customHeight="1">
      <c r="A50" s="446"/>
      <c r="B50" s="446"/>
      <c r="C50" s="446"/>
      <c r="D50" s="446"/>
      <c r="E50" s="446"/>
      <c r="F50" s="446"/>
      <c r="G50" s="446"/>
      <c r="H50" s="446"/>
      <c r="I50" s="446"/>
      <c r="J50" s="446"/>
      <c r="K50" s="446"/>
      <c r="L50" s="446"/>
      <c r="M50" s="446"/>
      <c r="N50" s="446"/>
      <c r="O50" s="446"/>
      <c r="P50" s="446"/>
      <c r="Q50" s="446"/>
      <c r="R50" s="446"/>
      <c r="S50" s="446"/>
      <c r="T50" s="446"/>
      <c r="U50" s="446"/>
      <c r="V50" s="446"/>
      <c r="W50" s="446"/>
      <c r="X50" s="446"/>
      <c r="Y50" s="446"/>
      <c r="Z50" s="446"/>
      <c r="AA50" s="446"/>
      <c r="AB50" s="446"/>
      <c r="AC50" s="446"/>
      <c r="AD50" s="446"/>
      <c r="AE50" s="446"/>
      <c r="AF50" s="446"/>
      <c r="AG50" s="446"/>
      <c r="AH50" s="446"/>
      <c r="AI50" s="446"/>
      <c r="AJ50" s="446"/>
      <c r="AK50" s="446"/>
      <c r="AL50" s="446"/>
      <c r="AM50" s="446"/>
      <c r="AN50" s="446"/>
    </row>
    <row r="51" spans="1:40" ht="14.25" customHeight="1">
      <c r="A51" s="446"/>
      <c r="B51" s="446"/>
      <c r="C51" s="446"/>
      <c r="D51" s="446"/>
      <c r="E51" s="446"/>
      <c r="F51" s="446"/>
      <c r="G51" s="446"/>
      <c r="H51" s="446"/>
      <c r="I51" s="446"/>
      <c r="J51" s="446"/>
      <c r="K51" s="446"/>
      <c r="L51" s="446"/>
      <c r="M51" s="446"/>
      <c r="N51" s="446"/>
      <c r="O51" s="446"/>
      <c r="P51" s="446"/>
      <c r="Q51" s="446"/>
      <c r="R51" s="446"/>
      <c r="S51" s="446"/>
      <c r="T51" s="446"/>
      <c r="U51" s="446"/>
      <c r="V51" s="446"/>
      <c r="W51" s="446"/>
      <c r="X51" s="446"/>
      <c r="Y51" s="446"/>
      <c r="Z51" s="446"/>
      <c r="AA51" s="446"/>
      <c r="AB51" s="446"/>
      <c r="AC51" s="446"/>
      <c r="AD51" s="446"/>
      <c r="AE51" s="446"/>
      <c r="AF51" s="446"/>
      <c r="AG51" s="446"/>
      <c r="AH51" s="446"/>
      <c r="AI51" s="446"/>
      <c r="AJ51" s="446"/>
      <c r="AK51" s="446"/>
      <c r="AL51" s="446"/>
      <c r="AM51" s="446"/>
      <c r="AN51" s="446"/>
    </row>
    <row r="52" spans="1:40" ht="14.25" customHeight="1">
      <c r="A52" s="446"/>
      <c r="B52" s="446"/>
      <c r="C52" s="446"/>
      <c r="D52" s="446"/>
      <c r="E52" s="446"/>
      <c r="F52" s="446"/>
      <c r="G52" s="446"/>
      <c r="H52" s="446"/>
      <c r="I52" s="446"/>
      <c r="J52" s="446"/>
      <c r="K52" s="446"/>
      <c r="L52" s="446"/>
      <c r="M52" s="446"/>
      <c r="N52" s="446"/>
      <c r="O52" s="446"/>
      <c r="P52" s="446"/>
      <c r="Q52" s="446"/>
      <c r="R52" s="446"/>
      <c r="S52" s="446"/>
      <c r="T52" s="446"/>
      <c r="U52" s="446"/>
      <c r="V52" s="446"/>
      <c r="W52" s="446"/>
      <c r="X52" s="446"/>
      <c r="Y52" s="446"/>
      <c r="Z52" s="446"/>
      <c r="AA52" s="446"/>
      <c r="AB52" s="446"/>
      <c r="AC52" s="446"/>
      <c r="AD52" s="446"/>
      <c r="AE52" s="446"/>
      <c r="AF52" s="446"/>
      <c r="AG52" s="446"/>
      <c r="AH52" s="446"/>
      <c r="AI52" s="446"/>
      <c r="AJ52" s="446"/>
      <c r="AK52" s="446"/>
      <c r="AL52" s="446"/>
      <c r="AM52" s="446"/>
      <c r="AN52" s="446"/>
    </row>
    <row r="53" spans="1:40" ht="14.25" customHeight="1">
      <c r="A53" s="446"/>
      <c r="B53" s="446"/>
      <c r="C53" s="446"/>
      <c r="D53" s="446"/>
      <c r="E53" s="446"/>
      <c r="F53" s="446"/>
      <c r="G53" s="446"/>
      <c r="H53" s="446"/>
      <c r="I53" s="446"/>
      <c r="J53" s="446"/>
      <c r="K53" s="446"/>
      <c r="L53" s="446"/>
      <c r="M53" s="446"/>
      <c r="N53" s="446"/>
      <c r="O53" s="446"/>
      <c r="P53" s="446"/>
      <c r="Q53" s="446"/>
      <c r="R53" s="446"/>
      <c r="S53" s="446"/>
      <c r="T53" s="446"/>
      <c r="U53" s="446"/>
      <c r="V53" s="446"/>
      <c r="W53" s="446"/>
      <c r="X53" s="446"/>
      <c r="Y53" s="446"/>
      <c r="Z53" s="446"/>
      <c r="AA53" s="446"/>
      <c r="AB53" s="446"/>
      <c r="AC53" s="446"/>
      <c r="AD53" s="446"/>
      <c r="AE53" s="446"/>
      <c r="AF53" s="446"/>
      <c r="AG53" s="446"/>
      <c r="AH53" s="446"/>
      <c r="AI53" s="446"/>
      <c r="AJ53" s="446"/>
      <c r="AK53" s="446"/>
      <c r="AL53" s="446"/>
      <c r="AM53" s="446"/>
      <c r="AN53" s="446"/>
    </row>
    <row r="54" spans="1:40" ht="14.25" customHeight="1">
      <c r="A54" s="446"/>
      <c r="B54" s="446"/>
      <c r="C54" s="446"/>
      <c r="D54" s="446"/>
      <c r="E54" s="446"/>
      <c r="F54" s="446"/>
      <c r="G54" s="446"/>
      <c r="H54" s="446"/>
      <c r="I54" s="446"/>
      <c r="J54" s="446"/>
      <c r="K54" s="446"/>
      <c r="L54" s="446"/>
      <c r="M54" s="446"/>
      <c r="N54" s="446"/>
      <c r="O54" s="446"/>
      <c r="P54" s="446"/>
      <c r="Q54" s="446"/>
      <c r="R54" s="446"/>
      <c r="S54" s="446"/>
      <c r="T54" s="446"/>
      <c r="U54" s="446"/>
      <c r="V54" s="446"/>
      <c r="W54" s="446"/>
      <c r="X54" s="446"/>
      <c r="Y54" s="446"/>
      <c r="Z54" s="446"/>
      <c r="AA54" s="446"/>
      <c r="AB54" s="446"/>
      <c r="AC54" s="446"/>
      <c r="AD54" s="446"/>
      <c r="AE54" s="446"/>
      <c r="AF54" s="446"/>
      <c r="AG54" s="446"/>
      <c r="AH54" s="446"/>
      <c r="AI54" s="446"/>
      <c r="AJ54" s="446"/>
      <c r="AK54" s="446"/>
      <c r="AL54" s="446"/>
      <c r="AM54" s="446"/>
      <c r="AN54" s="446"/>
    </row>
    <row r="55" spans="1:40" ht="14.25" customHeight="1">
      <c r="A55" s="446"/>
      <c r="B55" s="446"/>
      <c r="C55" s="446"/>
      <c r="D55" s="446"/>
      <c r="E55" s="446"/>
      <c r="F55" s="446"/>
      <c r="G55" s="446"/>
      <c r="H55" s="446"/>
      <c r="I55" s="446"/>
      <c r="J55" s="446"/>
      <c r="K55" s="446"/>
      <c r="L55" s="446"/>
      <c r="M55" s="446"/>
      <c r="N55" s="446"/>
      <c r="O55" s="446"/>
      <c r="P55" s="446"/>
      <c r="Q55" s="446"/>
      <c r="R55" s="446"/>
      <c r="S55" s="446"/>
      <c r="T55" s="446"/>
      <c r="U55" s="446"/>
      <c r="V55" s="446"/>
      <c r="W55" s="446"/>
      <c r="X55" s="446"/>
      <c r="Y55" s="446"/>
      <c r="Z55" s="446"/>
      <c r="AA55" s="446"/>
      <c r="AB55" s="446"/>
      <c r="AC55" s="446"/>
      <c r="AD55" s="446"/>
      <c r="AE55" s="446"/>
      <c r="AF55" s="446"/>
      <c r="AG55" s="446"/>
      <c r="AH55" s="446"/>
      <c r="AI55" s="446"/>
      <c r="AJ55" s="446"/>
      <c r="AK55" s="446"/>
      <c r="AL55" s="446"/>
      <c r="AM55" s="446"/>
      <c r="AN55" s="446"/>
    </row>
    <row r="56" spans="1:40" ht="14.25" customHeight="1">
      <c r="A56" s="446"/>
      <c r="B56" s="446"/>
      <c r="C56" s="446"/>
      <c r="D56" s="446"/>
      <c r="E56" s="446"/>
      <c r="F56" s="446"/>
      <c r="G56" s="446"/>
      <c r="H56" s="446"/>
      <c r="I56" s="446"/>
      <c r="J56" s="446"/>
      <c r="K56" s="446"/>
      <c r="L56" s="446"/>
      <c r="M56" s="446"/>
      <c r="N56" s="446"/>
      <c r="O56" s="446"/>
      <c r="P56" s="446"/>
      <c r="Q56" s="446"/>
      <c r="R56" s="446"/>
      <c r="S56" s="446"/>
      <c r="T56" s="446"/>
      <c r="U56" s="446"/>
      <c r="V56" s="446"/>
      <c r="W56" s="446"/>
      <c r="X56" s="446"/>
      <c r="Y56" s="446"/>
      <c r="Z56" s="446"/>
      <c r="AA56" s="446"/>
      <c r="AB56" s="446"/>
      <c r="AC56" s="446"/>
      <c r="AD56" s="446"/>
      <c r="AE56" s="446"/>
      <c r="AF56" s="446"/>
      <c r="AG56" s="446"/>
      <c r="AH56" s="446"/>
      <c r="AI56" s="446"/>
      <c r="AJ56" s="446"/>
      <c r="AK56" s="446"/>
      <c r="AL56" s="446"/>
      <c r="AM56" s="446"/>
      <c r="AN56" s="446"/>
    </row>
    <row r="57" spans="1:40" ht="14.25" customHeight="1">
      <c r="A57" s="446"/>
      <c r="B57" s="446"/>
      <c r="C57" s="446"/>
      <c r="D57" s="446"/>
      <c r="E57" s="446"/>
      <c r="F57" s="446"/>
      <c r="G57" s="446"/>
      <c r="H57" s="446"/>
      <c r="I57" s="446"/>
      <c r="J57" s="446"/>
      <c r="K57" s="446"/>
      <c r="L57" s="446"/>
      <c r="M57" s="446"/>
      <c r="N57" s="446"/>
      <c r="O57" s="446"/>
      <c r="P57" s="446"/>
      <c r="Q57" s="446"/>
      <c r="R57" s="446"/>
      <c r="S57" s="446"/>
      <c r="T57" s="446"/>
      <c r="U57" s="446"/>
      <c r="V57" s="446"/>
      <c r="W57" s="446"/>
      <c r="X57" s="446"/>
      <c r="Y57" s="446"/>
      <c r="Z57" s="446"/>
      <c r="AA57" s="446"/>
      <c r="AB57" s="446"/>
      <c r="AC57" s="446"/>
      <c r="AD57" s="446"/>
      <c r="AE57" s="446"/>
      <c r="AF57" s="446"/>
      <c r="AG57" s="446"/>
      <c r="AH57" s="446"/>
      <c r="AI57" s="446"/>
      <c r="AJ57" s="446"/>
      <c r="AK57" s="446"/>
      <c r="AL57" s="446"/>
      <c r="AM57" s="446"/>
      <c r="AN57" s="446"/>
    </row>
    <row r="58" spans="1:40" ht="14.25" customHeight="1">
      <c r="A58" s="446"/>
      <c r="B58" s="446"/>
      <c r="C58" s="446"/>
      <c r="D58" s="446"/>
      <c r="E58" s="446"/>
      <c r="F58" s="446"/>
      <c r="G58" s="446"/>
      <c r="H58" s="446"/>
      <c r="I58" s="446"/>
      <c r="J58" s="446"/>
      <c r="K58" s="446"/>
      <c r="L58" s="446"/>
      <c r="M58" s="446"/>
      <c r="N58" s="446"/>
      <c r="O58" s="446"/>
      <c r="P58" s="446"/>
      <c r="Q58" s="446"/>
      <c r="R58" s="446"/>
      <c r="S58" s="446"/>
      <c r="T58" s="446"/>
      <c r="U58" s="446"/>
      <c r="V58" s="446"/>
      <c r="W58" s="446"/>
      <c r="X58" s="446"/>
      <c r="Y58" s="446"/>
      <c r="Z58" s="446"/>
      <c r="AA58" s="446"/>
      <c r="AB58" s="446"/>
      <c r="AC58" s="446"/>
      <c r="AD58" s="446"/>
      <c r="AE58" s="446"/>
      <c r="AF58" s="446"/>
      <c r="AG58" s="446"/>
      <c r="AH58" s="446"/>
      <c r="AI58" s="446"/>
      <c r="AJ58" s="446"/>
      <c r="AK58" s="446"/>
      <c r="AL58" s="446"/>
      <c r="AM58" s="446"/>
      <c r="AN58" s="446"/>
    </row>
    <row r="59" spans="1:40" ht="14.25" customHeight="1">
      <c r="A59" s="446"/>
      <c r="B59" s="446"/>
      <c r="C59" s="446"/>
      <c r="D59" s="446"/>
      <c r="E59" s="446"/>
      <c r="F59" s="446"/>
      <c r="G59" s="446"/>
      <c r="H59" s="446"/>
      <c r="I59" s="446"/>
      <c r="J59" s="446"/>
      <c r="K59" s="446"/>
      <c r="L59" s="446"/>
      <c r="M59" s="446"/>
      <c r="N59" s="446"/>
      <c r="O59" s="446"/>
      <c r="P59" s="446"/>
      <c r="Q59" s="446"/>
      <c r="R59" s="446"/>
      <c r="S59" s="446"/>
      <c r="T59" s="446"/>
      <c r="U59" s="446"/>
      <c r="V59" s="446"/>
      <c r="W59" s="446"/>
      <c r="X59" s="446"/>
      <c r="Y59" s="446"/>
      <c r="Z59" s="446"/>
      <c r="AA59" s="446"/>
      <c r="AB59" s="446"/>
      <c r="AC59" s="446"/>
      <c r="AD59" s="446"/>
      <c r="AE59" s="446"/>
      <c r="AF59" s="446"/>
      <c r="AG59" s="446"/>
      <c r="AH59" s="446"/>
      <c r="AI59" s="446"/>
      <c r="AJ59" s="446"/>
      <c r="AK59" s="446"/>
      <c r="AL59" s="446"/>
      <c r="AM59" s="446"/>
      <c r="AN59" s="446"/>
    </row>
    <row r="60" spans="1:40" ht="14.25" customHeight="1">
      <c r="A60" s="446"/>
      <c r="B60" s="446"/>
      <c r="C60" s="446"/>
      <c r="D60" s="446"/>
      <c r="E60" s="446"/>
      <c r="F60" s="446"/>
      <c r="G60" s="446"/>
      <c r="H60" s="446"/>
      <c r="I60" s="446"/>
      <c r="J60" s="446"/>
      <c r="K60" s="446"/>
      <c r="L60" s="446"/>
      <c r="M60" s="446"/>
      <c r="N60" s="446"/>
      <c r="O60" s="446"/>
      <c r="P60" s="446"/>
      <c r="Q60" s="446"/>
      <c r="R60" s="446"/>
      <c r="S60" s="446"/>
      <c r="T60" s="446"/>
      <c r="U60" s="446"/>
      <c r="V60" s="446"/>
      <c r="W60" s="446"/>
      <c r="X60" s="446"/>
      <c r="Y60" s="446"/>
      <c r="Z60" s="446"/>
      <c r="AA60" s="446"/>
      <c r="AB60" s="446"/>
      <c r="AC60" s="446"/>
      <c r="AD60" s="446"/>
      <c r="AE60" s="446"/>
      <c r="AF60" s="446"/>
      <c r="AG60" s="446"/>
      <c r="AH60" s="446"/>
      <c r="AI60" s="446"/>
      <c r="AJ60" s="446"/>
      <c r="AK60" s="446"/>
      <c r="AL60" s="446"/>
      <c r="AM60" s="446"/>
      <c r="AN60" s="446"/>
    </row>
    <row r="61" spans="1:40" ht="14.25" customHeight="1">
      <c r="A61" s="446"/>
      <c r="B61" s="446"/>
      <c r="C61" s="446"/>
      <c r="D61" s="446"/>
      <c r="E61" s="446"/>
      <c r="F61" s="446"/>
      <c r="G61" s="446"/>
      <c r="H61" s="446"/>
      <c r="I61" s="446"/>
      <c r="J61" s="446"/>
      <c r="K61" s="446"/>
      <c r="L61" s="446"/>
      <c r="M61" s="446"/>
      <c r="N61" s="446"/>
      <c r="O61" s="446"/>
      <c r="P61" s="446"/>
      <c r="Q61" s="446"/>
      <c r="R61" s="446"/>
      <c r="S61" s="446"/>
      <c r="T61" s="446"/>
      <c r="U61" s="446"/>
      <c r="V61" s="446"/>
      <c r="W61" s="446"/>
      <c r="X61" s="446"/>
      <c r="Y61" s="446"/>
      <c r="Z61" s="446"/>
      <c r="AA61" s="446"/>
      <c r="AB61" s="446"/>
      <c r="AC61" s="446"/>
      <c r="AD61" s="446"/>
      <c r="AE61" s="446"/>
      <c r="AF61" s="446"/>
      <c r="AG61" s="446"/>
      <c r="AH61" s="446"/>
      <c r="AI61" s="446"/>
      <c r="AJ61" s="446"/>
      <c r="AK61" s="446"/>
      <c r="AL61" s="446"/>
      <c r="AM61" s="446"/>
      <c r="AN61" s="446"/>
    </row>
    <row r="62" spans="1:40" ht="14.25" customHeight="1">
      <c r="A62" s="446"/>
      <c r="B62" s="446"/>
      <c r="C62" s="446"/>
      <c r="D62" s="446"/>
      <c r="E62" s="446"/>
      <c r="F62" s="446"/>
      <c r="G62" s="446"/>
      <c r="H62" s="446"/>
      <c r="I62" s="446"/>
      <c r="J62" s="446"/>
      <c r="K62" s="446"/>
      <c r="L62" s="446"/>
      <c r="M62" s="446"/>
      <c r="N62" s="446"/>
      <c r="O62" s="446"/>
      <c r="P62" s="446"/>
      <c r="Q62" s="446"/>
      <c r="R62" s="446"/>
      <c r="S62" s="446"/>
      <c r="T62" s="446"/>
      <c r="U62" s="446"/>
      <c r="V62" s="446"/>
      <c r="W62" s="446"/>
      <c r="X62" s="446"/>
      <c r="Y62" s="446"/>
      <c r="Z62" s="446"/>
      <c r="AA62" s="446"/>
      <c r="AB62" s="446"/>
      <c r="AC62" s="446"/>
      <c r="AD62" s="446"/>
      <c r="AE62" s="446"/>
      <c r="AF62" s="446"/>
      <c r="AG62" s="446"/>
      <c r="AH62" s="446"/>
      <c r="AI62" s="446"/>
      <c r="AJ62" s="446"/>
      <c r="AK62" s="446"/>
      <c r="AL62" s="446"/>
      <c r="AM62" s="446"/>
      <c r="AN62" s="446"/>
    </row>
    <row r="63" spans="1:40" ht="14.25" customHeight="1">
      <c r="A63" s="446"/>
      <c r="B63" s="446"/>
      <c r="C63" s="446"/>
      <c r="D63" s="446"/>
      <c r="E63" s="446"/>
      <c r="F63" s="446"/>
      <c r="G63" s="446"/>
      <c r="H63" s="446"/>
      <c r="I63" s="446"/>
      <c r="J63" s="446"/>
      <c r="K63" s="446"/>
      <c r="L63" s="446"/>
      <c r="M63" s="446"/>
      <c r="N63" s="446"/>
      <c r="O63" s="446"/>
      <c r="P63" s="446"/>
      <c r="Q63" s="446"/>
      <c r="R63" s="446"/>
      <c r="S63" s="446"/>
      <c r="T63" s="446"/>
      <c r="U63" s="446"/>
      <c r="V63" s="446"/>
      <c r="W63" s="446"/>
      <c r="X63" s="446"/>
      <c r="Y63" s="446"/>
      <c r="Z63" s="446"/>
      <c r="AA63" s="446"/>
      <c r="AB63" s="446"/>
      <c r="AC63" s="446"/>
      <c r="AD63" s="446"/>
      <c r="AE63" s="446"/>
      <c r="AF63" s="446"/>
      <c r="AG63" s="446"/>
      <c r="AH63" s="446"/>
      <c r="AI63" s="446"/>
      <c r="AJ63" s="446"/>
      <c r="AK63" s="446"/>
      <c r="AL63" s="446"/>
      <c r="AM63" s="446"/>
      <c r="AN63" s="446"/>
    </row>
    <row r="64" spans="1:40" ht="14.25" customHeight="1">
      <c r="A64" s="446"/>
      <c r="B64" s="446"/>
      <c r="C64" s="446"/>
      <c r="D64" s="446"/>
      <c r="E64" s="446"/>
      <c r="F64" s="446"/>
      <c r="G64" s="446"/>
      <c r="H64" s="446"/>
      <c r="I64" s="446"/>
      <c r="J64" s="446"/>
      <c r="K64" s="446"/>
      <c r="L64" s="446"/>
      <c r="M64" s="446"/>
      <c r="N64" s="446"/>
      <c r="O64" s="446"/>
      <c r="P64" s="446"/>
      <c r="Q64" s="446"/>
      <c r="R64" s="446"/>
      <c r="S64" s="446"/>
      <c r="T64" s="446"/>
      <c r="U64" s="446"/>
      <c r="V64" s="446"/>
      <c r="W64" s="446"/>
      <c r="X64" s="446"/>
      <c r="Y64" s="446"/>
      <c r="Z64" s="446"/>
      <c r="AA64" s="446"/>
      <c r="AB64" s="446"/>
      <c r="AC64" s="446"/>
      <c r="AD64" s="446"/>
      <c r="AE64" s="446"/>
      <c r="AF64" s="446"/>
      <c r="AG64" s="446"/>
      <c r="AH64" s="446"/>
      <c r="AI64" s="446"/>
      <c r="AJ64" s="446"/>
      <c r="AK64" s="446"/>
      <c r="AL64" s="446"/>
      <c r="AM64" s="446"/>
      <c r="AN64" s="446"/>
    </row>
    <row r="65" spans="1:40" ht="14.25" customHeight="1">
      <c r="A65" s="446"/>
      <c r="B65" s="446"/>
      <c r="C65" s="446"/>
      <c r="D65" s="446"/>
      <c r="E65" s="446"/>
      <c r="F65" s="446"/>
      <c r="G65" s="446"/>
      <c r="H65" s="446"/>
      <c r="I65" s="446"/>
      <c r="J65" s="446"/>
      <c r="K65" s="446"/>
      <c r="L65" s="446"/>
      <c r="M65" s="446"/>
      <c r="N65" s="446"/>
      <c r="O65" s="446"/>
      <c r="P65" s="446"/>
      <c r="Q65" s="446"/>
      <c r="R65" s="446"/>
      <c r="S65" s="446"/>
      <c r="T65" s="446"/>
      <c r="U65" s="446"/>
      <c r="V65" s="446"/>
      <c r="W65" s="446"/>
      <c r="X65" s="446"/>
      <c r="Y65" s="446"/>
      <c r="Z65" s="446"/>
      <c r="AA65" s="446"/>
      <c r="AB65" s="446"/>
      <c r="AC65" s="446"/>
      <c r="AD65" s="446"/>
      <c r="AE65" s="446"/>
      <c r="AF65" s="446"/>
      <c r="AG65" s="446"/>
      <c r="AH65" s="446"/>
      <c r="AI65" s="446"/>
      <c r="AJ65" s="446"/>
      <c r="AK65" s="446"/>
      <c r="AL65" s="446"/>
      <c r="AM65" s="446"/>
      <c r="AN65" s="446"/>
    </row>
    <row r="66" spans="1:40" ht="14.25" customHeight="1">
      <c r="A66" s="446"/>
      <c r="B66" s="446"/>
      <c r="C66" s="446"/>
      <c r="D66" s="446"/>
      <c r="E66" s="446"/>
      <c r="F66" s="446"/>
      <c r="G66" s="446"/>
      <c r="H66" s="446"/>
      <c r="I66" s="446"/>
      <c r="J66" s="446"/>
      <c r="K66" s="446"/>
      <c r="L66" s="446"/>
      <c r="M66" s="446"/>
      <c r="N66" s="446"/>
      <c r="O66" s="446"/>
      <c r="P66" s="446"/>
      <c r="Q66" s="446"/>
      <c r="R66" s="446"/>
      <c r="S66" s="446"/>
      <c r="T66" s="446"/>
      <c r="U66" s="446"/>
      <c r="V66" s="446"/>
      <c r="W66" s="446"/>
      <c r="X66" s="446"/>
      <c r="Y66" s="446"/>
      <c r="Z66" s="446"/>
      <c r="AA66" s="446"/>
      <c r="AB66" s="446"/>
      <c r="AC66" s="446"/>
      <c r="AD66" s="446"/>
      <c r="AE66" s="446"/>
      <c r="AF66" s="446"/>
      <c r="AG66" s="446"/>
      <c r="AH66" s="446"/>
      <c r="AI66" s="446"/>
      <c r="AJ66" s="446"/>
      <c r="AK66" s="446"/>
      <c r="AL66" s="446"/>
      <c r="AM66" s="446"/>
      <c r="AN66" s="446"/>
    </row>
    <row r="67" spans="1:40" ht="14.25" customHeight="1">
      <c r="A67" s="446"/>
      <c r="B67" s="446"/>
      <c r="C67" s="446"/>
      <c r="D67" s="446"/>
      <c r="E67" s="446"/>
      <c r="F67" s="446"/>
      <c r="G67" s="446"/>
      <c r="H67" s="446"/>
      <c r="I67" s="446"/>
      <c r="J67" s="446"/>
      <c r="K67" s="446"/>
      <c r="L67" s="446"/>
      <c r="M67" s="446"/>
      <c r="N67" s="446"/>
      <c r="O67" s="446"/>
      <c r="P67" s="446"/>
      <c r="Q67" s="446"/>
      <c r="R67" s="446"/>
      <c r="S67" s="446"/>
      <c r="T67" s="446"/>
      <c r="U67" s="446"/>
      <c r="V67" s="446"/>
      <c r="W67" s="446"/>
      <c r="X67" s="446"/>
      <c r="Y67" s="446"/>
      <c r="Z67" s="446"/>
      <c r="AA67" s="446"/>
      <c r="AB67" s="446"/>
      <c r="AC67" s="446"/>
      <c r="AD67" s="446"/>
      <c r="AE67" s="446"/>
      <c r="AF67" s="446"/>
      <c r="AG67" s="446"/>
      <c r="AH67" s="446"/>
      <c r="AI67" s="446"/>
      <c r="AJ67" s="446"/>
      <c r="AK67" s="446"/>
      <c r="AL67" s="446"/>
      <c r="AM67" s="446"/>
      <c r="AN67" s="446"/>
    </row>
    <row r="68" spans="1:40" ht="14.25" customHeight="1">
      <c r="A68" s="446"/>
      <c r="B68" s="446"/>
      <c r="C68" s="446"/>
      <c r="D68" s="446"/>
      <c r="E68" s="446"/>
      <c r="F68" s="446"/>
      <c r="G68" s="446"/>
      <c r="H68" s="446"/>
      <c r="I68" s="446"/>
      <c r="J68" s="446"/>
      <c r="K68" s="446"/>
      <c r="L68" s="446"/>
      <c r="M68" s="446"/>
      <c r="N68" s="446"/>
      <c r="O68" s="446"/>
      <c r="P68" s="446"/>
      <c r="Q68" s="446"/>
      <c r="R68" s="446"/>
      <c r="S68" s="446"/>
      <c r="T68" s="446"/>
      <c r="U68" s="446"/>
      <c r="V68" s="446"/>
      <c r="W68" s="446"/>
      <c r="X68" s="446"/>
      <c r="Y68" s="446"/>
      <c r="Z68" s="446"/>
      <c r="AA68" s="446"/>
      <c r="AB68" s="446"/>
      <c r="AC68" s="446"/>
      <c r="AD68" s="446"/>
      <c r="AE68" s="446"/>
      <c r="AF68" s="446"/>
      <c r="AG68" s="446"/>
      <c r="AH68" s="446"/>
      <c r="AI68" s="446"/>
      <c r="AJ68" s="446"/>
      <c r="AK68" s="446"/>
      <c r="AL68" s="446"/>
      <c r="AM68" s="446"/>
      <c r="AN68" s="446"/>
    </row>
    <row r="69" spans="1:40" ht="14.25" customHeight="1">
      <c r="A69" s="446"/>
      <c r="B69" s="446"/>
      <c r="C69" s="446"/>
      <c r="D69" s="446"/>
      <c r="E69" s="446"/>
      <c r="F69" s="446"/>
      <c r="G69" s="446"/>
      <c r="H69" s="446"/>
      <c r="I69" s="446"/>
      <c r="J69" s="446"/>
      <c r="K69" s="446"/>
      <c r="L69" s="446"/>
      <c r="M69" s="446"/>
      <c r="N69" s="446"/>
      <c r="O69" s="446"/>
      <c r="P69" s="446"/>
      <c r="Q69" s="446"/>
      <c r="R69" s="446"/>
      <c r="S69" s="446"/>
      <c r="T69" s="446"/>
      <c r="U69" s="446"/>
      <c r="V69" s="446"/>
      <c r="W69" s="446"/>
      <c r="X69" s="446"/>
      <c r="Y69" s="446"/>
      <c r="Z69" s="446"/>
      <c r="AA69" s="446"/>
      <c r="AB69" s="446"/>
      <c r="AC69" s="446"/>
      <c r="AD69" s="446"/>
      <c r="AE69" s="446"/>
      <c r="AF69" s="446"/>
      <c r="AG69" s="446"/>
      <c r="AH69" s="446"/>
      <c r="AI69" s="446"/>
      <c r="AJ69" s="446"/>
      <c r="AK69" s="446"/>
      <c r="AL69" s="446"/>
      <c r="AM69" s="446"/>
      <c r="AN69" s="446"/>
    </row>
    <row r="70" spans="1:40" ht="14.25" customHeight="1">
      <c r="A70" s="446"/>
      <c r="B70" s="446"/>
      <c r="C70" s="446"/>
      <c r="D70" s="446"/>
      <c r="E70" s="446"/>
      <c r="F70" s="446"/>
      <c r="G70" s="446"/>
      <c r="H70" s="446"/>
      <c r="I70" s="446"/>
      <c r="J70" s="446"/>
      <c r="K70" s="446"/>
      <c r="L70" s="446"/>
      <c r="M70" s="446"/>
      <c r="N70" s="446"/>
      <c r="O70" s="446"/>
      <c r="P70" s="446"/>
      <c r="Q70" s="446"/>
      <c r="R70" s="446"/>
      <c r="S70" s="446"/>
      <c r="T70" s="446"/>
      <c r="U70" s="446"/>
      <c r="V70" s="446"/>
      <c r="W70" s="446"/>
      <c r="X70" s="446"/>
      <c r="Y70" s="446"/>
      <c r="Z70" s="446"/>
      <c r="AA70" s="446"/>
      <c r="AB70" s="446"/>
      <c r="AC70" s="446"/>
      <c r="AD70" s="446"/>
      <c r="AE70" s="446"/>
      <c r="AF70" s="446"/>
      <c r="AG70" s="446"/>
      <c r="AH70" s="446"/>
      <c r="AI70" s="446"/>
      <c r="AJ70" s="446"/>
      <c r="AK70" s="446"/>
      <c r="AL70" s="446"/>
      <c r="AM70" s="446"/>
      <c r="AN70" s="446"/>
    </row>
    <row r="71" spans="1:40" ht="14.25" customHeight="1">
      <c r="A71" s="446"/>
      <c r="B71" s="446"/>
      <c r="C71" s="446"/>
      <c r="D71" s="446"/>
      <c r="E71" s="446"/>
      <c r="F71" s="446"/>
      <c r="G71" s="446"/>
      <c r="H71" s="446"/>
      <c r="I71" s="446"/>
      <c r="J71" s="446"/>
      <c r="K71" s="446"/>
      <c r="L71" s="446"/>
      <c r="M71" s="446"/>
      <c r="N71" s="446"/>
      <c r="O71" s="446"/>
      <c r="P71" s="446"/>
      <c r="Q71" s="446"/>
      <c r="R71" s="446"/>
      <c r="S71" s="446"/>
      <c r="T71" s="446"/>
      <c r="U71" s="446"/>
      <c r="V71" s="446"/>
      <c r="W71" s="446"/>
      <c r="X71" s="446"/>
      <c r="Y71" s="446"/>
      <c r="Z71" s="446"/>
      <c r="AA71" s="446"/>
      <c r="AB71" s="446"/>
      <c r="AC71" s="446"/>
      <c r="AD71" s="446"/>
      <c r="AE71" s="446"/>
      <c r="AF71" s="446"/>
      <c r="AG71" s="446"/>
      <c r="AH71" s="446"/>
      <c r="AI71" s="446"/>
      <c r="AJ71" s="446"/>
      <c r="AK71" s="446"/>
      <c r="AL71" s="446"/>
      <c r="AM71" s="446"/>
      <c r="AN71" s="446"/>
    </row>
    <row r="72" spans="1:40" ht="14.25" customHeight="1">
      <c r="A72" s="446"/>
      <c r="B72" s="446"/>
      <c r="C72" s="446"/>
      <c r="D72" s="446"/>
      <c r="E72" s="446"/>
      <c r="F72" s="446"/>
      <c r="G72" s="446"/>
      <c r="H72" s="446"/>
      <c r="I72" s="446"/>
      <c r="J72" s="446"/>
      <c r="K72" s="446"/>
      <c r="L72" s="446"/>
      <c r="M72" s="446"/>
      <c r="N72" s="446"/>
      <c r="O72" s="446"/>
      <c r="P72" s="446"/>
      <c r="Q72" s="446"/>
      <c r="R72" s="446"/>
      <c r="S72" s="446"/>
      <c r="T72" s="446"/>
      <c r="U72" s="446"/>
      <c r="V72" s="446"/>
      <c r="W72" s="446"/>
      <c r="X72" s="446"/>
      <c r="Y72" s="446"/>
      <c r="Z72" s="446"/>
      <c r="AA72" s="446"/>
      <c r="AB72" s="446"/>
      <c r="AC72" s="446"/>
      <c r="AD72" s="446"/>
      <c r="AE72" s="446"/>
      <c r="AF72" s="446"/>
      <c r="AG72" s="446"/>
      <c r="AH72" s="446"/>
      <c r="AI72" s="446"/>
      <c r="AJ72" s="446"/>
      <c r="AK72" s="446"/>
      <c r="AL72" s="446"/>
      <c r="AM72" s="446"/>
      <c r="AN72" s="446"/>
    </row>
    <row r="73" spans="1:40" ht="14.25" customHeight="1">
      <c r="A73" s="446"/>
      <c r="B73" s="446"/>
      <c r="C73" s="446"/>
      <c r="D73" s="446"/>
      <c r="E73" s="446"/>
      <c r="F73" s="446"/>
      <c r="G73" s="446"/>
      <c r="H73" s="446"/>
      <c r="I73" s="446"/>
      <c r="J73" s="446"/>
      <c r="K73" s="446"/>
      <c r="L73" s="446"/>
      <c r="M73" s="446"/>
      <c r="N73" s="446"/>
      <c r="O73" s="446"/>
      <c r="P73" s="446"/>
      <c r="Q73" s="446"/>
      <c r="R73" s="446"/>
      <c r="S73" s="446"/>
      <c r="T73" s="446"/>
      <c r="U73" s="446"/>
      <c r="V73" s="446"/>
      <c r="W73" s="446"/>
      <c r="X73" s="446"/>
      <c r="Y73" s="446"/>
      <c r="Z73" s="446"/>
      <c r="AA73" s="446"/>
      <c r="AB73" s="446"/>
      <c r="AC73" s="446"/>
      <c r="AD73" s="446"/>
      <c r="AE73" s="446"/>
      <c r="AF73" s="446"/>
      <c r="AG73" s="446"/>
      <c r="AH73" s="446"/>
      <c r="AI73" s="446"/>
      <c r="AJ73" s="446"/>
      <c r="AK73" s="446"/>
      <c r="AL73" s="446"/>
      <c r="AM73" s="446"/>
      <c r="AN73" s="446"/>
    </row>
    <row r="74" spans="1:40" ht="14.25" customHeight="1">
      <c r="A74" s="446"/>
      <c r="B74" s="446"/>
      <c r="C74" s="446"/>
      <c r="D74" s="446"/>
      <c r="E74" s="446"/>
      <c r="F74" s="446"/>
      <c r="G74" s="446"/>
      <c r="H74" s="446"/>
      <c r="I74" s="446"/>
      <c r="J74" s="446"/>
      <c r="K74" s="446"/>
      <c r="L74" s="446"/>
      <c r="M74" s="446"/>
      <c r="N74" s="446"/>
      <c r="O74" s="446"/>
      <c r="P74" s="446"/>
      <c r="Q74" s="446"/>
      <c r="R74" s="446"/>
      <c r="S74" s="446"/>
      <c r="T74" s="446"/>
      <c r="U74" s="446"/>
      <c r="V74" s="446"/>
      <c r="W74" s="446"/>
      <c r="X74" s="446"/>
      <c r="Y74" s="446"/>
      <c r="Z74" s="446"/>
      <c r="AA74" s="446"/>
      <c r="AB74" s="446"/>
      <c r="AC74" s="446"/>
      <c r="AD74" s="446"/>
      <c r="AE74" s="446"/>
      <c r="AF74" s="446"/>
      <c r="AG74" s="446"/>
      <c r="AH74" s="446"/>
      <c r="AI74" s="446"/>
      <c r="AJ74" s="446"/>
      <c r="AK74" s="446"/>
      <c r="AL74" s="446"/>
      <c r="AM74" s="446"/>
      <c r="AN74" s="446"/>
    </row>
    <row r="75" spans="1:40" ht="14.25" customHeight="1">
      <c r="A75" s="446"/>
      <c r="B75" s="446"/>
      <c r="C75" s="446"/>
      <c r="D75" s="446"/>
      <c r="E75" s="446"/>
      <c r="F75" s="446"/>
      <c r="G75" s="446"/>
      <c r="H75" s="446"/>
      <c r="I75" s="446"/>
      <c r="J75" s="446"/>
      <c r="K75" s="446"/>
      <c r="L75" s="446"/>
      <c r="M75" s="446"/>
      <c r="N75" s="446"/>
      <c r="O75" s="446"/>
      <c r="P75" s="446"/>
      <c r="Q75" s="446"/>
      <c r="R75" s="446"/>
      <c r="S75" s="446"/>
      <c r="T75" s="446"/>
      <c r="U75" s="446"/>
      <c r="V75" s="446"/>
      <c r="W75" s="446"/>
      <c r="X75" s="446"/>
      <c r="Y75" s="446"/>
      <c r="Z75" s="446"/>
      <c r="AA75" s="446"/>
      <c r="AB75" s="446"/>
      <c r="AC75" s="446"/>
      <c r="AD75" s="446"/>
      <c r="AE75" s="446"/>
      <c r="AF75" s="446"/>
      <c r="AG75" s="446"/>
      <c r="AH75" s="446"/>
      <c r="AI75" s="446"/>
      <c r="AJ75" s="446"/>
      <c r="AK75" s="446"/>
      <c r="AL75" s="446"/>
      <c r="AM75" s="446"/>
      <c r="AN75" s="446"/>
    </row>
    <row r="76" spans="1:40" ht="14.25" customHeight="1">
      <c r="A76" s="446"/>
      <c r="B76" s="446"/>
      <c r="C76" s="446"/>
      <c r="D76" s="446"/>
      <c r="E76" s="446"/>
      <c r="F76" s="446"/>
      <c r="G76" s="446"/>
      <c r="H76" s="446"/>
      <c r="I76" s="446"/>
      <c r="J76" s="446"/>
      <c r="K76" s="446"/>
      <c r="L76" s="446"/>
      <c r="M76" s="446"/>
      <c r="N76" s="446"/>
      <c r="O76" s="446"/>
      <c r="P76" s="446"/>
      <c r="Q76" s="446"/>
      <c r="R76" s="446"/>
      <c r="S76" s="446"/>
      <c r="T76" s="446"/>
      <c r="U76" s="446"/>
      <c r="V76" s="446"/>
      <c r="W76" s="446"/>
      <c r="X76" s="446"/>
      <c r="Y76" s="446"/>
      <c r="Z76" s="446"/>
      <c r="AA76" s="446"/>
      <c r="AB76" s="446"/>
      <c r="AC76" s="446"/>
      <c r="AD76" s="446"/>
      <c r="AE76" s="446"/>
      <c r="AF76" s="446"/>
      <c r="AG76" s="446"/>
      <c r="AH76" s="446"/>
      <c r="AI76" s="446"/>
      <c r="AJ76" s="446"/>
      <c r="AK76" s="446"/>
      <c r="AL76" s="446"/>
      <c r="AM76" s="446"/>
      <c r="AN76" s="446"/>
    </row>
    <row r="77" spans="1:40" ht="14.25" customHeight="1">
      <c r="A77" s="446"/>
      <c r="B77" s="446"/>
      <c r="C77" s="446"/>
      <c r="D77" s="446"/>
      <c r="E77" s="446"/>
      <c r="F77" s="446"/>
      <c r="G77" s="446"/>
      <c r="H77" s="446"/>
      <c r="I77" s="446"/>
      <c r="J77" s="446"/>
      <c r="K77" s="446"/>
      <c r="L77" s="446"/>
      <c r="M77" s="446"/>
      <c r="N77" s="446"/>
      <c r="O77" s="446"/>
      <c r="P77" s="446"/>
      <c r="Q77" s="446"/>
      <c r="R77" s="446"/>
      <c r="S77" s="446"/>
      <c r="T77" s="446"/>
      <c r="U77" s="446"/>
      <c r="V77" s="446"/>
      <c r="W77" s="446"/>
      <c r="X77" s="446"/>
      <c r="Y77" s="446"/>
      <c r="Z77" s="446"/>
      <c r="AA77" s="446"/>
      <c r="AB77" s="446"/>
      <c r="AC77" s="446"/>
      <c r="AD77" s="446"/>
      <c r="AE77" s="446"/>
      <c r="AF77" s="446"/>
      <c r="AG77" s="446"/>
      <c r="AH77" s="446"/>
      <c r="AI77" s="446"/>
      <c r="AJ77" s="446"/>
      <c r="AK77" s="446"/>
      <c r="AL77" s="446"/>
      <c r="AM77" s="446"/>
      <c r="AN77" s="446"/>
    </row>
    <row r="78" spans="1:40" ht="14.25" customHeight="1">
      <c r="A78" s="446"/>
      <c r="B78" s="446"/>
      <c r="C78" s="446"/>
      <c r="D78" s="446"/>
      <c r="E78" s="446"/>
      <c r="F78" s="446"/>
      <c r="G78" s="446"/>
      <c r="H78" s="446"/>
      <c r="I78" s="446"/>
      <c r="J78" s="446"/>
      <c r="K78" s="446"/>
      <c r="L78" s="446"/>
      <c r="M78" s="446"/>
      <c r="N78" s="446"/>
      <c r="O78" s="446"/>
      <c r="P78" s="446"/>
      <c r="Q78" s="446"/>
      <c r="R78" s="446"/>
      <c r="S78" s="446"/>
      <c r="T78" s="446"/>
      <c r="U78" s="446"/>
      <c r="V78" s="446"/>
      <c r="W78" s="446"/>
      <c r="X78" s="446"/>
      <c r="Y78" s="446"/>
      <c r="Z78" s="446"/>
      <c r="AA78" s="446"/>
      <c r="AB78" s="446"/>
      <c r="AC78" s="446"/>
      <c r="AD78" s="446"/>
      <c r="AE78" s="446"/>
      <c r="AF78" s="446"/>
      <c r="AG78" s="446"/>
      <c r="AH78" s="446"/>
      <c r="AI78" s="446"/>
      <c r="AJ78" s="446"/>
      <c r="AK78" s="446"/>
      <c r="AL78" s="446"/>
      <c r="AM78" s="446"/>
      <c r="AN78" s="446"/>
    </row>
    <row r="79" spans="1:40" ht="14.25" customHeight="1">
      <c r="A79" s="446"/>
      <c r="B79" s="446"/>
      <c r="C79" s="446"/>
      <c r="D79" s="446"/>
      <c r="E79" s="446"/>
      <c r="F79" s="446"/>
      <c r="G79" s="446"/>
      <c r="H79" s="446"/>
      <c r="I79" s="446"/>
      <c r="J79" s="446"/>
      <c r="K79" s="446"/>
      <c r="L79" s="446"/>
      <c r="M79" s="446"/>
      <c r="N79" s="446"/>
      <c r="O79" s="446"/>
      <c r="P79" s="446"/>
      <c r="Q79" s="446"/>
      <c r="R79" s="446"/>
      <c r="S79" s="446"/>
      <c r="T79" s="446"/>
      <c r="U79" s="446"/>
      <c r="V79" s="446"/>
      <c r="W79" s="446"/>
      <c r="X79" s="446"/>
      <c r="Y79" s="446"/>
      <c r="Z79" s="446"/>
      <c r="AA79" s="446"/>
      <c r="AB79" s="446"/>
      <c r="AC79" s="446"/>
      <c r="AD79" s="446"/>
      <c r="AE79" s="446"/>
      <c r="AF79" s="446"/>
      <c r="AG79" s="446"/>
      <c r="AH79" s="446"/>
      <c r="AI79" s="446"/>
      <c r="AJ79" s="446"/>
      <c r="AK79" s="446"/>
      <c r="AL79" s="446"/>
      <c r="AM79" s="446"/>
      <c r="AN79" s="446"/>
    </row>
    <row r="80" spans="1:40" ht="14.25" customHeight="1">
      <c r="A80" s="446"/>
      <c r="B80" s="446"/>
      <c r="C80" s="446"/>
      <c r="D80" s="446"/>
      <c r="E80" s="446"/>
      <c r="F80" s="446"/>
      <c r="G80" s="446"/>
      <c r="H80" s="446"/>
      <c r="I80" s="446"/>
      <c r="J80" s="446"/>
      <c r="K80" s="446"/>
      <c r="L80" s="446"/>
      <c r="M80" s="446"/>
      <c r="N80" s="446"/>
      <c r="O80" s="446"/>
      <c r="P80" s="446"/>
      <c r="Q80" s="446"/>
      <c r="R80" s="446"/>
      <c r="S80" s="446"/>
      <c r="T80" s="446"/>
      <c r="U80" s="446"/>
      <c r="V80" s="446"/>
      <c r="W80" s="446"/>
      <c r="X80" s="446"/>
      <c r="Y80" s="446"/>
      <c r="Z80" s="446"/>
      <c r="AA80" s="446"/>
      <c r="AB80" s="446"/>
      <c r="AC80" s="446"/>
      <c r="AD80" s="446"/>
      <c r="AE80" s="446"/>
      <c r="AF80" s="446"/>
      <c r="AG80" s="446"/>
      <c r="AH80" s="446"/>
      <c r="AI80" s="446"/>
      <c r="AJ80" s="446"/>
      <c r="AK80" s="446"/>
      <c r="AL80" s="446"/>
      <c r="AM80" s="446"/>
      <c r="AN80" s="446"/>
    </row>
    <row r="81" spans="1:40" ht="14.25" customHeight="1">
      <c r="A81" s="446"/>
      <c r="B81" s="446"/>
      <c r="C81" s="446"/>
      <c r="D81" s="446"/>
      <c r="E81" s="446"/>
      <c r="F81" s="446"/>
      <c r="G81" s="446"/>
      <c r="H81" s="446"/>
      <c r="I81" s="446"/>
      <c r="J81" s="446"/>
      <c r="K81" s="446"/>
      <c r="L81" s="446"/>
      <c r="M81" s="446"/>
      <c r="N81" s="446"/>
      <c r="O81" s="446"/>
      <c r="P81" s="446"/>
      <c r="Q81" s="446"/>
      <c r="R81" s="446"/>
      <c r="S81" s="446"/>
      <c r="T81" s="446"/>
      <c r="U81" s="446"/>
      <c r="V81" s="446"/>
      <c r="W81" s="446"/>
      <c r="X81" s="446"/>
      <c r="Y81" s="446"/>
      <c r="Z81" s="446"/>
      <c r="AA81" s="446"/>
      <c r="AB81" s="446"/>
      <c r="AC81" s="446"/>
      <c r="AD81" s="446"/>
      <c r="AE81" s="446"/>
      <c r="AF81" s="446"/>
      <c r="AG81" s="446"/>
      <c r="AH81" s="446"/>
      <c r="AI81" s="446"/>
      <c r="AJ81" s="446"/>
      <c r="AK81" s="446"/>
      <c r="AL81" s="446"/>
      <c r="AM81" s="446"/>
      <c r="AN81" s="446"/>
    </row>
    <row r="82" spans="1:40" ht="14.25" customHeight="1">
      <c r="A82" s="446"/>
      <c r="B82" s="446"/>
      <c r="C82" s="446"/>
      <c r="D82" s="446"/>
      <c r="E82" s="446"/>
      <c r="F82" s="446"/>
      <c r="G82" s="446"/>
      <c r="H82" s="446"/>
      <c r="I82" s="446"/>
      <c r="J82" s="446"/>
      <c r="K82" s="446"/>
      <c r="L82" s="446"/>
      <c r="M82" s="446"/>
      <c r="N82" s="446"/>
      <c r="O82" s="446"/>
      <c r="P82" s="446"/>
      <c r="Q82" s="446"/>
      <c r="R82" s="446"/>
      <c r="S82" s="446"/>
      <c r="T82" s="446"/>
      <c r="U82" s="446"/>
      <c r="V82" s="446"/>
      <c r="W82" s="446"/>
      <c r="X82" s="446"/>
      <c r="Y82" s="446"/>
      <c r="Z82" s="446"/>
      <c r="AA82" s="446"/>
      <c r="AB82" s="446"/>
      <c r="AC82" s="446"/>
      <c r="AD82" s="446"/>
      <c r="AE82" s="446"/>
      <c r="AF82" s="446"/>
      <c r="AG82" s="446"/>
      <c r="AH82" s="446"/>
      <c r="AI82" s="446"/>
      <c r="AJ82" s="446"/>
      <c r="AK82" s="446"/>
      <c r="AL82" s="446"/>
      <c r="AM82" s="446"/>
      <c r="AN82" s="446"/>
    </row>
    <row r="83" spans="1:40" ht="14.25" customHeight="1">
      <c r="A83" s="446"/>
      <c r="B83" s="446"/>
      <c r="C83" s="446"/>
      <c r="D83" s="446"/>
      <c r="E83" s="446"/>
      <c r="F83" s="446"/>
      <c r="G83" s="446"/>
      <c r="H83" s="446"/>
      <c r="I83" s="446"/>
      <c r="J83" s="446"/>
      <c r="K83" s="446"/>
      <c r="L83" s="446"/>
      <c r="M83" s="446"/>
      <c r="N83" s="446"/>
      <c r="O83" s="446"/>
      <c r="P83" s="446"/>
      <c r="Q83" s="446"/>
      <c r="R83" s="446"/>
      <c r="S83" s="446"/>
      <c r="T83" s="446"/>
      <c r="U83" s="446"/>
      <c r="V83" s="446"/>
      <c r="W83" s="446"/>
      <c r="X83" s="446"/>
      <c r="Y83" s="446"/>
      <c r="Z83" s="446"/>
      <c r="AA83" s="446"/>
      <c r="AB83" s="446"/>
      <c r="AC83" s="446"/>
      <c r="AD83" s="446"/>
      <c r="AE83" s="446"/>
      <c r="AF83" s="446"/>
      <c r="AG83" s="446"/>
      <c r="AH83" s="446"/>
      <c r="AI83" s="446"/>
      <c r="AJ83" s="446"/>
      <c r="AK83" s="446"/>
      <c r="AL83" s="446"/>
      <c r="AM83" s="446"/>
      <c r="AN83" s="446"/>
    </row>
    <row r="84" spans="1:40" ht="14.25" customHeight="1">
      <c r="A84" s="446"/>
      <c r="B84" s="446"/>
      <c r="C84" s="446"/>
      <c r="D84" s="446"/>
      <c r="E84" s="446"/>
      <c r="F84" s="446"/>
      <c r="G84" s="446"/>
      <c r="H84" s="446"/>
      <c r="I84" s="446"/>
      <c r="J84" s="446"/>
      <c r="K84" s="446"/>
      <c r="L84" s="446"/>
      <c r="M84" s="446"/>
      <c r="N84" s="446"/>
      <c r="O84" s="446"/>
      <c r="P84" s="446"/>
      <c r="Q84" s="446"/>
      <c r="R84" s="446"/>
      <c r="S84" s="446"/>
      <c r="T84" s="446"/>
      <c r="U84" s="446"/>
      <c r="V84" s="446"/>
      <c r="W84" s="446"/>
      <c r="X84" s="446"/>
      <c r="Y84" s="446"/>
      <c r="Z84" s="446"/>
      <c r="AA84" s="446"/>
      <c r="AB84" s="446"/>
      <c r="AC84" s="446"/>
      <c r="AD84" s="446"/>
      <c r="AE84" s="446"/>
      <c r="AF84" s="446"/>
      <c r="AG84" s="446"/>
      <c r="AH84" s="446"/>
      <c r="AI84" s="446"/>
      <c r="AJ84" s="446"/>
      <c r="AK84" s="446"/>
      <c r="AL84" s="446"/>
      <c r="AM84" s="446"/>
      <c r="AN84" s="446"/>
    </row>
    <row r="85" spans="1:40" ht="14.25" customHeight="1">
      <c r="A85" s="446"/>
      <c r="B85" s="446"/>
      <c r="C85" s="446"/>
      <c r="D85" s="446"/>
      <c r="E85" s="446"/>
      <c r="F85" s="446"/>
      <c r="G85" s="446"/>
      <c r="H85" s="446"/>
      <c r="I85" s="446"/>
      <c r="J85" s="446"/>
      <c r="K85" s="446"/>
      <c r="L85" s="446"/>
      <c r="M85" s="446"/>
      <c r="N85" s="446"/>
      <c r="O85" s="446"/>
      <c r="P85" s="446"/>
      <c r="Q85" s="446"/>
      <c r="R85" s="446"/>
      <c r="S85" s="446"/>
      <c r="T85" s="446"/>
      <c r="U85" s="446"/>
      <c r="V85" s="446"/>
      <c r="W85" s="446"/>
      <c r="X85" s="446"/>
      <c r="Y85" s="446"/>
      <c r="Z85" s="446"/>
      <c r="AA85" s="446"/>
      <c r="AB85" s="446"/>
      <c r="AC85" s="446"/>
      <c r="AD85" s="446"/>
      <c r="AE85" s="446"/>
      <c r="AF85" s="446"/>
      <c r="AG85" s="446"/>
      <c r="AH85" s="446"/>
      <c r="AI85" s="446"/>
      <c r="AJ85" s="446"/>
      <c r="AK85" s="446"/>
      <c r="AL85" s="446"/>
      <c r="AM85" s="446"/>
      <c r="AN85" s="446"/>
    </row>
    <row r="86" spans="1:40" ht="14.25" customHeight="1">
      <c r="A86" s="446"/>
      <c r="B86" s="446"/>
      <c r="C86" s="446"/>
      <c r="D86" s="446"/>
      <c r="E86" s="446"/>
      <c r="F86" s="446"/>
      <c r="G86" s="446"/>
      <c r="H86" s="446"/>
      <c r="I86" s="446"/>
      <c r="J86" s="446"/>
      <c r="K86" s="446"/>
      <c r="L86" s="446"/>
      <c r="M86" s="446"/>
      <c r="N86" s="446"/>
      <c r="O86" s="446"/>
      <c r="P86" s="446"/>
      <c r="Q86" s="446"/>
      <c r="R86" s="446"/>
      <c r="S86" s="446"/>
      <c r="T86" s="446"/>
      <c r="U86" s="446"/>
      <c r="V86" s="446"/>
      <c r="W86" s="446"/>
      <c r="X86" s="446"/>
      <c r="Y86" s="446"/>
      <c r="Z86" s="446"/>
      <c r="AA86" s="446"/>
      <c r="AB86" s="446"/>
      <c r="AC86" s="446"/>
      <c r="AD86" s="446"/>
      <c r="AE86" s="446"/>
      <c r="AF86" s="446"/>
      <c r="AG86" s="446"/>
      <c r="AH86" s="446"/>
      <c r="AI86" s="446"/>
      <c r="AJ86" s="446"/>
      <c r="AK86" s="446"/>
      <c r="AL86" s="446"/>
      <c r="AM86" s="446"/>
      <c r="AN86" s="446"/>
    </row>
    <row r="87" spans="1:40" ht="14.25" customHeight="1">
      <c r="A87" s="446"/>
      <c r="B87" s="446"/>
      <c r="C87" s="446"/>
      <c r="D87" s="446"/>
      <c r="E87" s="446"/>
      <c r="F87" s="446"/>
      <c r="G87" s="446"/>
      <c r="H87" s="446"/>
      <c r="I87" s="446"/>
      <c r="J87" s="446"/>
      <c r="K87" s="446"/>
      <c r="L87" s="446"/>
      <c r="M87" s="446"/>
      <c r="N87" s="446"/>
      <c r="O87" s="446"/>
      <c r="P87" s="446"/>
      <c r="Q87" s="446"/>
      <c r="R87" s="446"/>
      <c r="S87" s="446"/>
      <c r="T87" s="446"/>
      <c r="U87" s="446"/>
      <c r="V87" s="446"/>
      <c r="W87" s="446"/>
      <c r="X87" s="446"/>
      <c r="Y87" s="446"/>
      <c r="Z87" s="446"/>
      <c r="AA87" s="446"/>
      <c r="AB87" s="446"/>
      <c r="AC87" s="446"/>
      <c r="AD87" s="446"/>
      <c r="AE87" s="446"/>
      <c r="AF87" s="446"/>
      <c r="AG87" s="446"/>
      <c r="AH87" s="446"/>
      <c r="AI87" s="446"/>
      <c r="AJ87" s="446"/>
      <c r="AK87" s="446"/>
      <c r="AL87" s="446"/>
      <c r="AM87" s="446"/>
      <c r="AN87" s="446"/>
    </row>
    <row r="88" spans="1:40" ht="14.25" customHeight="1">
      <c r="A88" s="446"/>
      <c r="B88" s="446"/>
      <c r="C88" s="446"/>
      <c r="D88" s="446"/>
      <c r="E88" s="446"/>
      <c r="F88" s="446"/>
      <c r="G88" s="446"/>
      <c r="H88" s="446"/>
      <c r="I88" s="446"/>
      <c r="J88" s="446"/>
      <c r="K88" s="446"/>
      <c r="L88" s="446"/>
      <c r="M88" s="446"/>
      <c r="N88" s="446"/>
      <c r="O88" s="446"/>
      <c r="P88" s="446"/>
      <c r="Q88" s="446"/>
      <c r="R88" s="446"/>
      <c r="S88" s="446"/>
      <c r="T88" s="446"/>
      <c r="U88" s="446"/>
      <c r="V88" s="446"/>
      <c r="W88" s="446"/>
      <c r="X88" s="446"/>
      <c r="Y88" s="446"/>
      <c r="Z88" s="446"/>
      <c r="AA88" s="446"/>
      <c r="AB88" s="446"/>
      <c r="AC88" s="446"/>
      <c r="AD88" s="446"/>
      <c r="AE88" s="446"/>
      <c r="AF88" s="446"/>
      <c r="AG88" s="446"/>
      <c r="AH88" s="446"/>
      <c r="AI88" s="446"/>
      <c r="AJ88" s="446"/>
      <c r="AK88" s="446"/>
      <c r="AL88" s="446"/>
      <c r="AM88" s="446"/>
      <c r="AN88" s="446"/>
    </row>
    <row r="89" spans="1:40" ht="14.25" customHeight="1">
      <c r="A89" s="446"/>
      <c r="B89" s="446"/>
      <c r="C89" s="446"/>
      <c r="D89" s="446"/>
      <c r="E89" s="446"/>
      <c r="F89" s="446"/>
      <c r="G89" s="446"/>
      <c r="H89" s="446"/>
      <c r="I89" s="446"/>
      <c r="J89" s="446"/>
      <c r="K89" s="446"/>
      <c r="L89" s="446"/>
      <c r="M89" s="446"/>
      <c r="N89" s="446"/>
      <c r="O89" s="446"/>
      <c r="P89" s="446"/>
      <c r="Q89" s="446"/>
      <c r="R89" s="446"/>
      <c r="S89" s="446"/>
      <c r="T89" s="446"/>
      <c r="U89" s="446"/>
      <c r="V89" s="446"/>
      <c r="W89" s="446"/>
      <c r="X89" s="446"/>
      <c r="Y89" s="446"/>
      <c r="Z89" s="446"/>
      <c r="AA89" s="446"/>
      <c r="AB89" s="446"/>
      <c r="AC89" s="446"/>
      <c r="AD89" s="446"/>
      <c r="AE89" s="446"/>
      <c r="AF89" s="446"/>
      <c r="AG89" s="446"/>
      <c r="AH89" s="446"/>
      <c r="AI89" s="446"/>
      <c r="AJ89" s="446"/>
      <c r="AK89" s="446"/>
      <c r="AL89" s="446"/>
      <c r="AM89" s="446"/>
      <c r="AN89" s="446"/>
    </row>
    <row r="90" spans="1:40" ht="14.25" customHeight="1">
      <c r="A90" s="446"/>
      <c r="B90" s="446"/>
      <c r="C90" s="446"/>
      <c r="D90" s="446"/>
      <c r="E90" s="446"/>
      <c r="F90" s="446"/>
      <c r="G90" s="446"/>
      <c r="H90" s="446"/>
      <c r="I90" s="446"/>
      <c r="J90" s="446"/>
      <c r="K90" s="446"/>
      <c r="L90" s="446"/>
      <c r="M90" s="446"/>
      <c r="N90" s="446"/>
      <c r="O90" s="446"/>
      <c r="P90" s="446"/>
      <c r="Q90" s="446"/>
      <c r="R90" s="446"/>
      <c r="S90" s="446"/>
      <c r="T90" s="446"/>
      <c r="U90" s="446"/>
      <c r="V90" s="446"/>
      <c r="W90" s="446"/>
      <c r="X90" s="446"/>
      <c r="Y90" s="446"/>
      <c r="Z90" s="446"/>
      <c r="AA90" s="446"/>
      <c r="AB90" s="446"/>
      <c r="AC90" s="446"/>
      <c r="AD90" s="446"/>
      <c r="AE90" s="446"/>
      <c r="AF90" s="446"/>
      <c r="AG90" s="446"/>
      <c r="AH90" s="446"/>
      <c r="AI90" s="446"/>
      <c r="AJ90" s="446"/>
      <c r="AK90" s="446"/>
      <c r="AL90" s="446"/>
      <c r="AM90" s="446"/>
      <c r="AN90" s="446"/>
    </row>
    <row r="91" spans="1:40" ht="14.25" customHeight="1">
      <c r="A91" s="446"/>
      <c r="B91" s="446"/>
      <c r="C91" s="446"/>
      <c r="D91" s="446"/>
      <c r="E91" s="446"/>
      <c r="F91" s="446"/>
      <c r="G91" s="446"/>
      <c r="H91" s="446"/>
      <c r="I91" s="446"/>
      <c r="J91" s="446"/>
      <c r="K91" s="446"/>
      <c r="L91" s="446"/>
      <c r="M91" s="446"/>
      <c r="N91" s="446"/>
      <c r="O91" s="446"/>
      <c r="P91" s="446"/>
      <c r="Q91" s="446"/>
      <c r="R91" s="446"/>
      <c r="S91" s="446"/>
      <c r="T91" s="446"/>
      <c r="U91" s="446"/>
      <c r="V91" s="446"/>
      <c r="W91" s="446"/>
      <c r="X91" s="446"/>
      <c r="Y91" s="446"/>
      <c r="Z91" s="446"/>
      <c r="AA91" s="446"/>
      <c r="AB91" s="446"/>
      <c r="AC91" s="446"/>
      <c r="AD91" s="446"/>
      <c r="AE91" s="446"/>
      <c r="AF91" s="446"/>
      <c r="AG91" s="446"/>
      <c r="AH91" s="446"/>
      <c r="AI91" s="446"/>
      <c r="AJ91" s="446"/>
      <c r="AK91" s="446"/>
      <c r="AL91" s="446"/>
      <c r="AM91" s="446"/>
      <c r="AN91" s="446"/>
    </row>
    <row r="92" spans="1:40" ht="14.25" customHeight="1">
      <c r="A92" s="446"/>
      <c r="B92" s="446"/>
      <c r="C92" s="446"/>
      <c r="D92" s="446"/>
      <c r="E92" s="446"/>
      <c r="F92" s="446"/>
      <c r="G92" s="446"/>
      <c r="H92" s="446"/>
      <c r="I92" s="446"/>
      <c r="J92" s="446"/>
      <c r="K92" s="446"/>
      <c r="L92" s="446"/>
      <c r="M92" s="446"/>
      <c r="N92" s="446"/>
      <c r="O92" s="446"/>
      <c r="P92" s="446"/>
      <c r="Q92" s="446"/>
      <c r="R92" s="446"/>
      <c r="S92" s="446"/>
      <c r="T92" s="446"/>
      <c r="U92" s="446"/>
      <c r="V92" s="446"/>
      <c r="W92" s="446"/>
      <c r="X92" s="446"/>
      <c r="Y92" s="446"/>
      <c r="Z92" s="446"/>
      <c r="AA92" s="446"/>
      <c r="AB92" s="446"/>
      <c r="AC92" s="446"/>
      <c r="AD92" s="446"/>
      <c r="AE92" s="446"/>
      <c r="AF92" s="446"/>
      <c r="AG92" s="446"/>
      <c r="AH92" s="446"/>
      <c r="AI92" s="446"/>
      <c r="AJ92" s="446"/>
      <c r="AK92" s="446"/>
      <c r="AL92" s="446"/>
      <c r="AM92" s="446"/>
      <c r="AN92" s="446"/>
    </row>
    <row r="93" spans="1:40" ht="14.25" customHeight="1">
      <c r="A93" s="446"/>
      <c r="B93" s="446"/>
      <c r="C93" s="446"/>
      <c r="D93" s="446"/>
      <c r="E93" s="446"/>
      <c r="F93" s="446"/>
      <c r="G93" s="446"/>
      <c r="H93" s="446"/>
      <c r="I93" s="446"/>
      <c r="J93" s="446"/>
      <c r="K93" s="446"/>
      <c r="L93" s="446"/>
      <c r="M93" s="446"/>
      <c r="N93" s="446"/>
      <c r="O93" s="446"/>
      <c r="P93" s="446"/>
      <c r="Q93" s="446"/>
      <c r="R93" s="446"/>
      <c r="S93" s="446"/>
      <c r="T93" s="446"/>
      <c r="U93" s="446"/>
      <c r="V93" s="446"/>
      <c r="W93" s="446"/>
      <c r="X93" s="446"/>
      <c r="Y93" s="446"/>
      <c r="Z93" s="446"/>
      <c r="AA93" s="446"/>
      <c r="AB93" s="446"/>
      <c r="AC93" s="446"/>
      <c r="AD93" s="446"/>
      <c r="AE93" s="446"/>
      <c r="AF93" s="446"/>
      <c r="AG93" s="446"/>
      <c r="AH93" s="446"/>
      <c r="AI93" s="446"/>
      <c r="AJ93" s="446"/>
      <c r="AK93" s="446"/>
      <c r="AL93" s="446"/>
      <c r="AM93" s="446"/>
      <c r="AN93" s="446"/>
    </row>
    <row r="94" spans="1:40" ht="14.25" customHeight="1">
      <c r="A94" s="446"/>
      <c r="B94" s="446"/>
      <c r="C94" s="446"/>
      <c r="D94" s="446"/>
      <c r="E94" s="446"/>
      <c r="F94" s="446"/>
      <c r="G94" s="446"/>
      <c r="H94" s="446"/>
      <c r="I94" s="446"/>
      <c r="J94" s="446"/>
      <c r="K94" s="446"/>
      <c r="L94" s="446"/>
      <c r="M94" s="446"/>
      <c r="N94" s="446"/>
      <c r="O94" s="446"/>
      <c r="P94" s="446"/>
      <c r="Q94" s="446"/>
      <c r="R94" s="446"/>
      <c r="S94" s="446"/>
      <c r="T94" s="446"/>
      <c r="U94" s="446"/>
      <c r="V94" s="446"/>
      <c r="W94" s="446"/>
      <c r="X94" s="446"/>
      <c r="Y94" s="446"/>
      <c r="Z94" s="446"/>
      <c r="AA94" s="446"/>
      <c r="AB94" s="446"/>
      <c r="AC94" s="446"/>
      <c r="AD94" s="446"/>
      <c r="AE94" s="446"/>
      <c r="AF94" s="446"/>
      <c r="AG94" s="446"/>
      <c r="AH94" s="446"/>
      <c r="AI94" s="446"/>
      <c r="AJ94" s="446"/>
      <c r="AK94" s="446"/>
      <c r="AL94" s="446"/>
      <c r="AM94" s="446"/>
      <c r="AN94" s="446"/>
    </row>
    <row r="95" spans="1:40" ht="14.25" customHeight="1">
      <c r="A95" s="446"/>
      <c r="B95" s="446"/>
      <c r="C95" s="446"/>
      <c r="D95" s="446"/>
      <c r="E95" s="446"/>
      <c r="F95" s="446"/>
      <c r="G95" s="446"/>
      <c r="H95" s="446"/>
      <c r="I95" s="446"/>
      <c r="J95" s="446"/>
      <c r="K95" s="446"/>
      <c r="L95" s="446"/>
      <c r="M95" s="446"/>
      <c r="N95" s="446"/>
      <c r="O95" s="446"/>
      <c r="P95" s="446"/>
      <c r="Q95" s="446"/>
      <c r="R95" s="446"/>
      <c r="S95" s="446"/>
      <c r="T95" s="446"/>
      <c r="U95" s="446"/>
      <c r="V95" s="446"/>
      <c r="W95" s="446"/>
      <c r="X95" s="446"/>
      <c r="Y95" s="446"/>
      <c r="Z95" s="446"/>
      <c r="AA95" s="446"/>
      <c r="AB95" s="446"/>
      <c r="AC95" s="446"/>
      <c r="AD95" s="446"/>
      <c r="AE95" s="446"/>
      <c r="AF95" s="446"/>
      <c r="AG95" s="446"/>
      <c r="AH95" s="446"/>
      <c r="AI95" s="446"/>
      <c r="AJ95" s="446"/>
      <c r="AK95" s="446"/>
      <c r="AL95" s="446"/>
      <c r="AM95" s="446"/>
      <c r="AN95" s="446"/>
    </row>
    <row r="96" spans="1:40" ht="14.25" customHeight="1">
      <c r="A96" s="446"/>
      <c r="B96" s="446"/>
      <c r="C96" s="446"/>
      <c r="D96" s="446"/>
      <c r="E96" s="446"/>
      <c r="F96" s="446"/>
      <c r="G96" s="446"/>
      <c r="H96" s="446"/>
      <c r="I96" s="446"/>
      <c r="J96" s="446"/>
      <c r="K96" s="446"/>
      <c r="L96" s="446"/>
      <c r="M96" s="446"/>
      <c r="N96" s="446"/>
      <c r="O96" s="446"/>
      <c r="P96" s="446"/>
      <c r="Q96" s="446"/>
      <c r="R96" s="446"/>
      <c r="S96" s="446"/>
      <c r="T96" s="446"/>
      <c r="U96" s="446"/>
      <c r="V96" s="446"/>
      <c r="W96" s="446"/>
      <c r="X96" s="446"/>
      <c r="Y96" s="446"/>
      <c r="Z96" s="446"/>
      <c r="AA96" s="446"/>
      <c r="AB96" s="446"/>
      <c r="AC96" s="446"/>
      <c r="AD96" s="446"/>
      <c r="AE96" s="446"/>
      <c r="AF96" s="446"/>
      <c r="AG96" s="446"/>
      <c r="AH96" s="446"/>
      <c r="AI96" s="446"/>
      <c r="AJ96" s="446"/>
      <c r="AK96" s="446"/>
      <c r="AL96" s="446"/>
      <c r="AM96" s="446"/>
      <c r="AN96" s="446"/>
    </row>
    <row r="97" spans="1:40" ht="14.25" customHeight="1">
      <c r="A97" s="446"/>
      <c r="B97" s="446"/>
      <c r="C97" s="446"/>
      <c r="D97" s="446"/>
      <c r="E97" s="446"/>
      <c r="F97" s="446"/>
      <c r="G97" s="446"/>
      <c r="H97" s="446"/>
      <c r="I97" s="446"/>
      <c r="J97" s="446"/>
      <c r="K97" s="446"/>
      <c r="L97" s="446"/>
      <c r="M97" s="446"/>
      <c r="N97" s="446"/>
      <c r="O97" s="446"/>
      <c r="P97" s="446"/>
      <c r="Q97" s="446"/>
      <c r="R97" s="446"/>
      <c r="S97" s="446"/>
      <c r="T97" s="446"/>
      <c r="U97" s="446"/>
      <c r="V97" s="446"/>
      <c r="W97" s="446"/>
      <c r="X97" s="446"/>
      <c r="Y97" s="446"/>
      <c r="Z97" s="446"/>
      <c r="AA97" s="446"/>
      <c r="AB97" s="446"/>
      <c r="AC97" s="446"/>
      <c r="AD97" s="446"/>
      <c r="AE97" s="446"/>
      <c r="AF97" s="446"/>
      <c r="AG97" s="446"/>
      <c r="AH97" s="446"/>
      <c r="AI97" s="446"/>
      <c r="AJ97" s="446"/>
      <c r="AK97" s="446"/>
      <c r="AL97" s="446"/>
      <c r="AM97" s="446"/>
      <c r="AN97" s="446"/>
    </row>
    <row r="98" spans="1:40" ht="14.25" customHeight="1">
      <c r="A98" s="446"/>
      <c r="B98" s="446"/>
      <c r="C98" s="446"/>
      <c r="D98" s="446"/>
      <c r="E98" s="446"/>
      <c r="F98" s="446"/>
      <c r="G98" s="446"/>
      <c r="H98" s="446"/>
      <c r="I98" s="446"/>
      <c r="J98" s="446"/>
      <c r="K98" s="446"/>
      <c r="L98" s="446"/>
      <c r="M98" s="446"/>
      <c r="N98" s="446"/>
      <c r="O98" s="446"/>
      <c r="P98" s="446"/>
      <c r="Q98" s="446"/>
      <c r="R98" s="446"/>
      <c r="S98" s="446"/>
      <c r="T98" s="446"/>
      <c r="U98" s="446"/>
      <c r="V98" s="446"/>
      <c r="W98" s="446"/>
      <c r="X98" s="446"/>
      <c r="Y98" s="446"/>
      <c r="Z98" s="446"/>
      <c r="AA98" s="446"/>
      <c r="AB98" s="446"/>
      <c r="AC98" s="446"/>
      <c r="AD98" s="446"/>
      <c r="AE98" s="446"/>
      <c r="AF98" s="446"/>
      <c r="AG98" s="446"/>
      <c r="AH98" s="446"/>
      <c r="AI98" s="446"/>
      <c r="AJ98" s="446"/>
      <c r="AK98" s="446"/>
      <c r="AL98" s="446"/>
      <c r="AM98" s="446"/>
      <c r="AN98" s="446"/>
    </row>
    <row r="99" spans="1:40" ht="14.25" customHeight="1">
      <c r="A99" s="446"/>
      <c r="B99" s="446"/>
      <c r="C99" s="446"/>
      <c r="D99" s="446"/>
      <c r="E99" s="446"/>
      <c r="F99" s="446"/>
      <c r="G99" s="446"/>
      <c r="H99" s="446"/>
      <c r="I99" s="446"/>
      <c r="J99" s="446"/>
      <c r="K99" s="446"/>
      <c r="L99" s="446"/>
      <c r="M99" s="446"/>
      <c r="N99" s="446"/>
      <c r="O99" s="446"/>
      <c r="P99" s="446"/>
      <c r="Q99" s="446"/>
      <c r="R99" s="446"/>
      <c r="S99" s="446"/>
      <c r="T99" s="446"/>
      <c r="U99" s="446"/>
      <c r="V99" s="446"/>
      <c r="W99" s="446"/>
      <c r="X99" s="446"/>
      <c r="Y99" s="446"/>
      <c r="Z99" s="446"/>
      <c r="AA99" s="446"/>
      <c r="AB99" s="446"/>
      <c r="AC99" s="446"/>
      <c r="AD99" s="446"/>
      <c r="AE99" s="446"/>
      <c r="AF99" s="446"/>
      <c r="AG99" s="446"/>
      <c r="AH99" s="446"/>
      <c r="AI99" s="446"/>
      <c r="AJ99" s="446"/>
      <c r="AK99" s="446"/>
      <c r="AL99" s="446"/>
      <c r="AM99" s="446"/>
      <c r="AN99" s="446"/>
    </row>
    <row r="100" spans="1:40" ht="14.25" customHeight="1">
      <c r="A100" s="446"/>
      <c r="B100" s="446"/>
      <c r="C100" s="446"/>
      <c r="D100" s="446"/>
      <c r="E100" s="446"/>
      <c r="F100" s="446"/>
      <c r="G100" s="446"/>
      <c r="H100" s="446"/>
      <c r="I100" s="446"/>
      <c r="J100" s="446"/>
      <c r="K100" s="446"/>
      <c r="L100" s="446"/>
      <c r="M100" s="446"/>
      <c r="N100" s="446"/>
      <c r="O100" s="446"/>
      <c r="P100" s="446"/>
      <c r="Q100" s="446"/>
      <c r="R100" s="446"/>
      <c r="S100" s="446"/>
      <c r="T100" s="446"/>
      <c r="U100" s="446"/>
      <c r="V100" s="446"/>
      <c r="W100" s="446"/>
      <c r="X100" s="446"/>
      <c r="Y100" s="446"/>
      <c r="Z100" s="446"/>
      <c r="AA100" s="446"/>
      <c r="AB100" s="446"/>
      <c r="AC100" s="446"/>
      <c r="AD100" s="446"/>
      <c r="AE100" s="446"/>
      <c r="AF100" s="446"/>
      <c r="AG100" s="446"/>
      <c r="AH100" s="446"/>
      <c r="AI100" s="446"/>
      <c r="AJ100" s="446"/>
      <c r="AK100" s="446"/>
      <c r="AL100" s="446"/>
      <c r="AM100" s="446"/>
      <c r="AN100" s="446"/>
    </row>
    <row r="101" spans="1:40" ht="14.25" customHeight="1">
      <c r="A101" s="446"/>
      <c r="B101" s="446"/>
      <c r="C101" s="446"/>
      <c r="D101" s="446"/>
      <c r="E101" s="446"/>
      <c r="F101" s="446"/>
      <c r="G101" s="446"/>
      <c r="H101" s="446"/>
      <c r="I101" s="446"/>
      <c r="J101" s="446"/>
      <c r="K101" s="446"/>
      <c r="L101" s="446"/>
      <c r="M101" s="446"/>
      <c r="N101" s="446"/>
      <c r="O101" s="446"/>
      <c r="P101" s="446"/>
      <c r="Q101" s="446"/>
      <c r="R101" s="446"/>
      <c r="S101" s="446"/>
      <c r="T101" s="446"/>
      <c r="U101" s="446"/>
      <c r="V101" s="446"/>
      <c r="W101" s="446"/>
      <c r="X101" s="446"/>
      <c r="Y101" s="446"/>
      <c r="Z101" s="446"/>
      <c r="AA101" s="446"/>
      <c r="AB101" s="446"/>
      <c r="AC101" s="446"/>
      <c r="AD101" s="446"/>
      <c r="AE101" s="446"/>
      <c r="AF101" s="446"/>
      <c r="AG101" s="446"/>
      <c r="AH101" s="446"/>
      <c r="AI101" s="446"/>
      <c r="AJ101" s="446"/>
      <c r="AK101" s="446"/>
      <c r="AL101" s="446"/>
      <c r="AM101" s="446"/>
      <c r="AN101" s="446"/>
    </row>
    <row r="102" spans="1:40" ht="14.25" customHeight="1">
      <c r="A102" s="446"/>
      <c r="B102" s="446"/>
      <c r="C102" s="446"/>
      <c r="D102" s="446"/>
      <c r="E102" s="446"/>
      <c r="F102" s="446"/>
      <c r="G102" s="446"/>
      <c r="H102" s="446"/>
      <c r="I102" s="446"/>
      <c r="J102" s="446"/>
      <c r="K102" s="446"/>
      <c r="L102" s="446"/>
      <c r="M102" s="446"/>
      <c r="N102" s="446"/>
      <c r="O102" s="446"/>
      <c r="P102" s="446"/>
      <c r="Q102" s="446"/>
      <c r="R102" s="446"/>
      <c r="S102" s="446"/>
      <c r="T102" s="446"/>
      <c r="U102" s="446"/>
      <c r="V102" s="446"/>
      <c r="W102" s="446"/>
      <c r="X102" s="446"/>
      <c r="Y102" s="446"/>
      <c r="Z102" s="446"/>
      <c r="AA102" s="446"/>
      <c r="AB102" s="446"/>
      <c r="AC102" s="446"/>
      <c r="AD102" s="446"/>
      <c r="AE102" s="446"/>
      <c r="AF102" s="446"/>
      <c r="AG102" s="446"/>
      <c r="AH102" s="446"/>
      <c r="AI102" s="446"/>
      <c r="AJ102" s="446"/>
      <c r="AK102" s="446"/>
      <c r="AL102" s="446"/>
      <c r="AM102" s="446"/>
      <c r="AN102" s="446"/>
    </row>
    <row r="103" spans="1:40" ht="14.25" customHeight="1">
      <c r="A103" s="446"/>
      <c r="B103" s="446"/>
      <c r="C103" s="446"/>
      <c r="D103" s="446"/>
      <c r="E103" s="446"/>
      <c r="F103" s="446"/>
      <c r="G103" s="446"/>
      <c r="H103" s="446"/>
      <c r="I103" s="446"/>
      <c r="J103" s="446"/>
      <c r="K103" s="446"/>
      <c r="L103" s="446"/>
      <c r="M103" s="446"/>
      <c r="N103" s="446"/>
      <c r="O103" s="446"/>
      <c r="P103" s="446"/>
      <c r="Q103" s="446"/>
      <c r="R103" s="446"/>
      <c r="S103" s="446"/>
      <c r="T103" s="446"/>
      <c r="U103" s="446"/>
      <c r="V103" s="446"/>
      <c r="W103" s="446"/>
      <c r="X103" s="446"/>
      <c r="Y103" s="446"/>
      <c r="Z103" s="446"/>
      <c r="AA103" s="446"/>
      <c r="AB103" s="446"/>
      <c r="AC103" s="446"/>
      <c r="AD103" s="446"/>
      <c r="AE103" s="446"/>
      <c r="AF103" s="446"/>
      <c r="AG103" s="446"/>
      <c r="AH103" s="446"/>
      <c r="AI103" s="446"/>
      <c r="AJ103" s="446"/>
      <c r="AK103" s="446"/>
      <c r="AL103" s="446"/>
      <c r="AM103" s="446"/>
      <c r="AN103" s="446"/>
    </row>
    <row r="104" spans="1:40" ht="14.25" customHeight="1">
      <c r="A104" s="446"/>
      <c r="B104" s="446"/>
      <c r="C104" s="446"/>
      <c r="D104" s="446"/>
      <c r="E104" s="446"/>
      <c r="F104" s="446"/>
      <c r="G104" s="446"/>
      <c r="H104" s="446"/>
      <c r="I104" s="446"/>
      <c r="J104" s="446"/>
      <c r="K104" s="446"/>
      <c r="L104" s="446"/>
      <c r="M104" s="446"/>
      <c r="N104" s="446"/>
      <c r="O104" s="446"/>
      <c r="P104" s="446"/>
      <c r="Q104" s="446"/>
      <c r="R104" s="446"/>
      <c r="S104" s="446"/>
      <c r="T104" s="446"/>
      <c r="U104" s="446"/>
      <c r="V104" s="446"/>
      <c r="W104" s="446"/>
      <c r="X104" s="446"/>
      <c r="Y104" s="446"/>
      <c r="Z104" s="446"/>
      <c r="AA104" s="446"/>
      <c r="AB104" s="446"/>
      <c r="AC104" s="446"/>
      <c r="AD104" s="446"/>
      <c r="AE104" s="446"/>
      <c r="AF104" s="446"/>
      <c r="AG104" s="446"/>
      <c r="AH104" s="446"/>
      <c r="AI104" s="446"/>
      <c r="AJ104" s="446"/>
      <c r="AK104" s="446"/>
      <c r="AL104" s="446"/>
      <c r="AM104" s="446"/>
      <c r="AN104" s="446"/>
    </row>
    <row r="105" spans="1:40" ht="14.25" customHeight="1">
      <c r="A105" s="446"/>
      <c r="B105" s="446"/>
      <c r="C105" s="446"/>
      <c r="D105" s="446"/>
      <c r="E105" s="446"/>
      <c r="F105" s="446"/>
      <c r="G105" s="446"/>
      <c r="H105" s="446"/>
      <c r="I105" s="446"/>
      <c r="J105" s="446"/>
      <c r="K105" s="446"/>
      <c r="L105" s="446"/>
      <c r="M105" s="446"/>
      <c r="N105" s="446"/>
      <c r="O105" s="446"/>
      <c r="P105" s="446"/>
      <c r="Q105" s="446"/>
      <c r="R105" s="446"/>
      <c r="S105" s="446"/>
      <c r="T105" s="446"/>
      <c r="U105" s="446"/>
      <c r="V105" s="446"/>
      <c r="W105" s="446"/>
      <c r="X105" s="446"/>
      <c r="Y105" s="446"/>
      <c r="Z105" s="446"/>
      <c r="AA105" s="446"/>
      <c r="AB105" s="446"/>
      <c r="AC105" s="446"/>
      <c r="AD105" s="446"/>
      <c r="AE105" s="446"/>
      <c r="AF105" s="446"/>
      <c r="AG105" s="446"/>
      <c r="AH105" s="446"/>
      <c r="AI105" s="446"/>
      <c r="AJ105" s="446"/>
      <c r="AK105" s="446"/>
      <c r="AL105" s="446"/>
      <c r="AM105" s="446"/>
      <c r="AN105" s="446"/>
    </row>
    <row r="106" spans="1:40" ht="14.25" customHeight="1">
      <c r="A106" s="446"/>
      <c r="B106" s="446"/>
      <c r="C106" s="446"/>
      <c r="D106" s="446"/>
      <c r="E106" s="446"/>
      <c r="F106" s="446"/>
      <c r="G106" s="446"/>
      <c r="H106" s="446"/>
      <c r="I106" s="446"/>
      <c r="J106" s="446"/>
      <c r="K106" s="446"/>
      <c r="L106" s="446"/>
      <c r="M106" s="446"/>
      <c r="N106" s="446"/>
      <c r="O106" s="446"/>
      <c r="P106" s="446"/>
      <c r="Q106" s="446"/>
      <c r="R106" s="446"/>
      <c r="S106" s="446"/>
      <c r="T106" s="446"/>
      <c r="U106" s="446"/>
      <c r="V106" s="446"/>
      <c r="W106" s="446"/>
      <c r="X106" s="446"/>
      <c r="Y106" s="446"/>
      <c r="Z106" s="446"/>
      <c r="AA106" s="446"/>
      <c r="AB106" s="446"/>
      <c r="AC106" s="446"/>
      <c r="AD106" s="446"/>
      <c r="AE106" s="446"/>
      <c r="AF106" s="446"/>
      <c r="AG106" s="446"/>
      <c r="AH106" s="446"/>
      <c r="AI106" s="446"/>
      <c r="AJ106" s="446"/>
      <c r="AK106" s="446"/>
      <c r="AL106" s="446"/>
      <c r="AM106" s="446"/>
      <c r="AN106" s="446"/>
    </row>
    <row r="107" spans="1:40" ht="14.25" customHeight="1">
      <c r="A107" s="446"/>
      <c r="B107" s="446"/>
      <c r="C107" s="446"/>
      <c r="D107" s="446"/>
      <c r="E107" s="446"/>
      <c r="F107" s="446"/>
      <c r="G107" s="446"/>
      <c r="H107" s="446"/>
      <c r="I107" s="446"/>
      <c r="J107" s="446"/>
      <c r="K107" s="446"/>
      <c r="L107" s="446"/>
      <c r="M107" s="446"/>
      <c r="N107" s="446"/>
      <c r="O107" s="446"/>
      <c r="P107" s="446"/>
      <c r="Q107" s="446"/>
      <c r="R107" s="446"/>
      <c r="S107" s="446"/>
      <c r="T107" s="446"/>
      <c r="U107" s="446"/>
      <c r="V107" s="446"/>
      <c r="W107" s="446"/>
      <c r="X107" s="446"/>
      <c r="Y107" s="446"/>
      <c r="Z107" s="446"/>
      <c r="AA107" s="446"/>
      <c r="AB107" s="446"/>
      <c r="AC107" s="446"/>
      <c r="AD107" s="446"/>
      <c r="AE107" s="446"/>
      <c r="AF107" s="446"/>
      <c r="AG107" s="446"/>
      <c r="AH107" s="446"/>
      <c r="AI107" s="446"/>
      <c r="AJ107" s="446"/>
      <c r="AK107" s="446"/>
      <c r="AL107" s="446"/>
      <c r="AM107" s="446"/>
      <c r="AN107" s="446"/>
    </row>
    <row r="108" spans="1:40" ht="14.25" customHeight="1">
      <c r="A108" s="446"/>
      <c r="B108" s="446"/>
      <c r="C108" s="446"/>
      <c r="D108" s="446"/>
      <c r="E108" s="446"/>
      <c r="F108" s="446"/>
      <c r="G108" s="446"/>
      <c r="H108" s="446"/>
      <c r="I108" s="446"/>
      <c r="J108" s="446"/>
      <c r="K108" s="446"/>
      <c r="L108" s="446"/>
      <c r="M108" s="446"/>
      <c r="N108" s="446"/>
      <c r="O108" s="446"/>
      <c r="P108" s="446"/>
      <c r="Q108" s="446"/>
      <c r="R108" s="446"/>
      <c r="S108" s="446"/>
      <c r="T108" s="446"/>
      <c r="U108" s="446"/>
      <c r="V108" s="446"/>
      <c r="W108" s="446"/>
      <c r="X108" s="446"/>
      <c r="Y108" s="446"/>
      <c r="Z108" s="446"/>
      <c r="AA108" s="446"/>
      <c r="AB108" s="446"/>
      <c r="AC108" s="446"/>
      <c r="AD108" s="446"/>
      <c r="AE108" s="446"/>
      <c r="AF108" s="446"/>
      <c r="AG108" s="446"/>
      <c r="AH108" s="446"/>
      <c r="AI108" s="446"/>
      <c r="AJ108" s="446"/>
      <c r="AK108" s="446"/>
      <c r="AL108" s="446"/>
      <c r="AM108" s="446"/>
      <c r="AN108" s="446"/>
    </row>
    <row r="109" spans="1:40" ht="14.25" customHeight="1">
      <c r="A109" s="446"/>
      <c r="B109" s="446"/>
      <c r="C109" s="446"/>
      <c r="D109" s="446"/>
      <c r="E109" s="446"/>
      <c r="F109" s="446"/>
      <c r="G109" s="446"/>
      <c r="H109" s="446"/>
      <c r="I109" s="446"/>
      <c r="J109" s="446"/>
      <c r="K109" s="446"/>
      <c r="L109" s="446"/>
      <c r="M109" s="446"/>
      <c r="N109" s="446"/>
      <c r="O109" s="446"/>
      <c r="P109" s="446"/>
      <c r="Q109" s="446"/>
      <c r="R109" s="446"/>
      <c r="S109" s="446"/>
      <c r="T109" s="446"/>
      <c r="U109" s="446"/>
      <c r="V109" s="446"/>
      <c r="W109" s="446"/>
      <c r="X109" s="446"/>
      <c r="Y109" s="446"/>
      <c r="Z109" s="446"/>
      <c r="AA109" s="446"/>
      <c r="AB109" s="446"/>
      <c r="AC109" s="446"/>
      <c r="AD109" s="446"/>
      <c r="AE109" s="446"/>
      <c r="AF109" s="446"/>
      <c r="AG109" s="446"/>
      <c r="AH109" s="446"/>
      <c r="AI109" s="446"/>
      <c r="AJ109" s="446"/>
      <c r="AK109" s="446"/>
      <c r="AL109" s="446"/>
      <c r="AM109" s="446"/>
      <c r="AN109" s="446"/>
    </row>
    <row r="110" spans="1:40" ht="14.25" customHeight="1">
      <c r="A110" s="446"/>
      <c r="B110" s="446"/>
      <c r="C110" s="446"/>
      <c r="D110" s="446"/>
      <c r="E110" s="446"/>
      <c r="F110" s="446"/>
      <c r="G110" s="446"/>
      <c r="H110" s="446"/>
      <c r="I110" s="446"/>
      <c r="J110" s="446"/>
      <c r="K110" s="446"/>
      <c r="L110" s="446"/>
      <c r="M110" s="446"/>
      <c r="N110" s="446"/>
      <c r="O110" s="446"/>
      <c r="P110" s="446"/>
      <c r="Q110" s="446"/>
      <c r="R110" s="446"/>
      <c r="S110" s="446"/>
      <c r="T110" s="446"/>
      <c r="U110" s="446"/>
      <c r="V110" s="446"/>
      <c r="W110" s="446"/>
      <c r="X110" s="446"/>
      <c r="Y110" s="446"/>
      <c r="Z110" s="446"/>
      <c r="AA110" s="446"/>
      <c r="AB110" s="446"/>
      <c r="AC110" s="446"/>
      <c r="AD110" s="446"/>
      <c r="AE110" s="446"/>
      <c r="AF110" s="446"/>
      <c r="AG110" s="446"/>
      <c r="AH110" s="446"/>
      <c r="AI110" s="446"/>
      <c r="AJ110" s="446"/>
      <c r="AK110" s="446"/>
      <c r="AL110" s="446"/>
      <c r="AM110" s="446"/>
      <c r="AN110" s="446"/>
    </row>
    <row r="111" spans="1:40" ht="14.25" customHeight="1">
      <c r="A111" s="446"/>
      <c r="B111" s="446"/>
      <c r="C111" s="446"/>
      <c r="D111" s="446"/>
      <c r="E111" s="446"/>
      <c r="F111" s="446"/>
      <c r="G111" s="446"/>
      <c r="H111" s="446"/>
      <c r="I111" s="446"/>
      <c r="J111" s="446"/>
      <c r="K111" s="446"/>
      <c r="L111" s="446"/>
      <c r="M111" s="446"/>
      <c r="N111" s="446"/>
      <c r="O111" s="446"/>
      <c r="P111" s="446"/>
      <c r="Q111" s="446"/>
      <c r="R111" s="446"/>
      <c r="S111" s="446"/>
      <c r="T111" s="446"/>
      <c r="U111" s="446"/>
      <c r="V111" s="446"/>
      <c r="W111" s="446"/>
      <c r="X111" s="446"/>
      <c r="Y111" s="446"/>
      <c r="Z111" s="446"/>
      <c r="AA111" s="446"/>
      <c r="AB111" s="446"/>
      <c r="AC111" s="446"/>
      <c r="AD111" s="446"/>
      <c r="AE111" s="446"/>
      <c r="AF111" s="446"/>
      <c r="AG111" s="446"/>
      <c r="AH111" s="446"/>
      <c r="AI111" s="446"/>
      <c r="AJ111" s="446"/>
      <c r="AK111" s="446"/>
      <c r="AL111" s="446"/>
      <c r="AM111" s="446"/>
      <c r="AN111" s="446"/>
    </row>
    <row r="112" spans="1:40" ht="14.25" customHeight="1">
      <c r="A112" s="446"/>
      <c r="B112" s="446"/>
      <c r="C112" s="446"/>
      <c r="D112" s="446"/>
      <c r="E112" s="446"/>
      <c r="F112" s="446"/>
      <c r="G112" s="446"/>
      <c r="H112" s="446"/>
      <c r="I112" s="446"/>
      <c r="J112" s="446"/>
      <c r="K112" s="446"/>
      <c r="L112" s="446"/>
      <c r="M112" s="446"/>
      <c r="N112" s="446"/>
      <c r="O112" s="446"/>
      <c r="P112" s="446"/>
      <c r="Q112" s="446"/>
      <c r="R112" s="446"/>
      <c r="S112" s="446"/>
      <c r="T112" s="446"/>
      <c r="U112" s="446"/>
      <c r="V112" s="446"/>
      <c r="W112" s="446"/>
      <c r="X112" s="446"/>
      <c r="Y112" s="446"/>
      <c r="Z112" s="446"/>
      <c r="AA112" s="446"/>
      <c r="AB112" s="446"/>
      <c r="AC112" s="446"/>
      <c r="AD112" s="446"/>
      <c r="AE112" s="446"/>
      <c r="AF112" s="446"/>
      <c r="AG112" s="446"/>
      <c r="AH112" s="446"/>
      <c r="AI112" s="446"/>
      <c r="AJ112" s="446"/>
      <c r="AK112" s="446"/>
      <c r="AL112" s="446"/>
      <c r="AM112" s="446"/>
      <c r="AN112" s="446"/>
    </row>
    <row r="113" spans="1:40" ht="14.25" customHeight="1">
      <c r="A113" s="446"/>
      <c r="B113" s="446"/>
      <c r="C113" s="446"/>
      <c r="D113" s="446"/>
      <c r="E113" s="446"/>
      <c r="F113" s="446"/>
      <c r="G113" s="446"/>
      <c r="H113" s="446"/>
      <c r="I113" s="446"/>
      <c r="J113" s="446"/>
      <c r="K113" s="446"/>
      <c r="L113" s="446"/>
      <c r="M113" s="446"/>
      <c r="N113" s="446"/>
      <c r="O113" s="446"/>
      <c r="P113" s="446"/>
      <c r="Q113" s="446"/>
      <c r="R113" s="446"/>
      <c r="S113" s="446"/>
      <c r="T113" s="446"/>
      <c r="U113" s="446"/>
      <c r="V113" s="446"/>
      <c r="W113" s="446"/>
      <c r="X113" s="446"/>
      <c r="Y113" s="446"/>
      <c r="Z113" s="446"/>
      <c r="AA113" s="446"/>
      <c r="AB113" s="446"/>
      <c r="AC113" s="446"/>
      <c r="AD113" s="446"/>
      <c r="AE113" s="446"/>
      <c r="AF113" s="446"/>
      <c r="AG113" s="446"/>
      <c r="AH113" s="446"/>
      <c r="AI113" s="446"/>
      <c r="AJ113" s="446"/>
      <c r="AK113" s="446"/>
      <c r="AL113" s="446"/>
      <c r="AM113" s="446"/>
      <c r="AN113" s="446"/>
    </row>
    <row r="114" spans="1:40" ht="14.25" customHeight="1">
      <c r="A114" s="446"/>
      <c r="B114" s="446"/>
      <c r="C114" s="446"/>
      <c r="D114" s="446"/>
      <c r="E114" s="446"/>
      <c r="F114" s="446"/>
      <c r="G114" s="446"/>
      <c r="H114" s="446"/>
      <c r="I114" s="446"/>
      <c r="J114" s="446"/>
      <c r="K114" s="446"/>
      <c r="L114" s="446"/>
      <c r="M114" s="446"/>
      <c r="N114" s="446"/>
      <c r="O114" s="446"/>
      <c r="P114" s="446"/>
      <c r="Q114" s="446"/>
      <c r="R114" s="446"/>
      <c r="S114" s="446"/>
      <c r="T114" s="446"/>
      <c r="U114" s="446"/>
      <c r="V114" s="446"/>
      <c r="W114" s="446"/>
      <c r="X114" s="446"/>
      <c r="Y114" s="446"/>
      <c r="Z114" s="446"/>
      <c r="AA114" s="446"/>
      <c r="AB114" s="446"/>
      <c r="AC114" s="446"/>
      <c r="AD114" s="446"/>
      <c r="AE114" s="446"/>
      <c r="AF114" s="446"/>
      <c r="AG114" s="446"/>
      <c r="AH114" s="446"/>
      <c r="AI114" s="446"/>
      <c r="AJ114" s="446"/>
      <c r="AK114" s="446"/>
      <c r="AL114" s="446"/>
      <c r="AM114" s="446"/>
      <c r="AN114" s="446"/>
    </row>
    <row r="115" spans="1:40" ht="14.25" customHeight="1">
      <c r="A115" s="446"/>
      <c r="B115" s="446"/>
      <c r="C115" s="446"/>
      <c r="D115" s="446"/>
      <c r="E115" s="446"/>
      <c r="F115" s="446"/>
      <c r="G115" s="446"/>
      <c r="H115" s="446"/>
      <c r="I115" s="446"/>
      <c r="J115" s="446"/>
      <c r="K115" s="446"/>
      <c r="L115" s="446"/>
      <c r="M115" s="446"/>
      <c r="N115" s="446"/>
      <c r="O115" s="446"/>
      <c r="P115" s="446"/>
      <c r="Q115" s="446"/>
      <c r="R115" s="446"/>
      <c r="S115" s="446"/>
      <c r="T115" s="446"/>
      <c r="U115" s="446"/>
      <c r="V115" s="446"/>
      <c r="W115" s="446"/>
      <c r="X115" s="446"/>
      <c r="Y115" s="446"/>
      <c r="Z115" s="446"/>
      <c r="AA115" s="446"/>
      <c r="AB115" s="446"/>
      <c r="AC115" s="446"/>
      <c r="AD115" s="446"/>
      <c r="AE115" s="446"/>
      <c r="AF115" s="446"/>
      <c r="AG115" s="446"/>
      <c r="AH115" s="446"/>
      <c r="AI115" s="446"/>
      <c r="AJ115" s="446"/>
      <c r="AK115" s="446"/>
      <c r="AL115" s="446"/>
      <c r="AM115" s="446"/>
      <c r="AN115" s="446"/>
    </row>
    <row r="116" spans="1:40" ht="14.25" customHeight="1">
      <c r="A116" s="446"/>
      <c r="B116" s="446"/>
      <c r="C116" s="446"/>
      <c r="D116" s="446"/>
      <c r="E116" s="446"/>
      <c r="F116" s="446"/>
      <c r="G116" s="446"/>
      <c r="H116" s="446"/>
      <c r="I116" s="446"/>
      <c r="J116" s="446"/>
      <c r="K116" s="446"/>
      <c r="L116" s="446"/>
      <c r="M116" s="446"/>
      <c r="N116" s="446"/>
      <c r="O116" s="446"/>
      <c r="P116" s="446"/>
      <c r="Q116" s="446"/>
      <c r="R116" s="446"/>
      <c r="S116" s="446"/>
      <c r="T116" s="446"/>
      <c r="U116" s="446"/>
      <c r="V116" s="446"/>
      <c r="W116" s="446"/>
      <c r="X116" s="446"/>
      <c r="Y116" s="446"/>
      <c r="Z116" s="446"/>
      <c r="AA116" s="446"/>
      <c r="AB116" s="446"/>
      <c r="AC116" s="446"/>
      <c r="AD116" s="446"/>
      <c r="AE116" s="446"/>
      <c r="AF116" s="446"/>
      <c r="AG116" s="446"/>
      <c r="AH116" s="446"/>
      <c r="AI116" s="446"/>
      <c r="AJ116" s="446"/>
      <c r="AK116" s="446"/>
      <c r="AL116" s="446"/>
      <c r="AM116" s="446"/>
      <c r="AN116" s="446"/>
    </row>
    <row r="117" spans="1:40" ht="14.25" customHeight="1">
      <c r="A117" s="446"/>
      <c r="B117" s="446"/>
      <c r="C117" s="446"/>
      <c r="D117" s="446"/>
      <c r="E117" s="446"/>
      <c r="F117" s="446"/>
      <c r="G117" s="446"/>
      <c r="H117" s="446"/>
      <c r="I117" s="446"/>
      <c r="J117" s="446"/>
      <c r="K117" s="446"/>
      <c r="L117" s="446"/>
      <c r="M117" s="446"/>
      <c r="N117" s="446"/>
      <c r="O117" s="446"/>
      <c r="P117" s="446"/>
      <c r="Q117" s="446"/>
      <c r="R117" s="446"/>
      <c r="S117" s="446"/>
      <c r="T117" s="446"/>
      <c r="U117" s="446"/>
      <c r="V117" s="446"/>
      <c r="W117" s="446"/>
      <c r="X117" s="446"/>
      <c r="Y117" s="446"/>
      <c r="Z117" s="446"/>
      <c r="AA117" s="446"/>
      <c r="AB117" s="446"/>
      <c r="AC117" s="446"/>
      <c r="AD117" s="446"/>
      <c r="AE117" s="446"/>
      <c r="AF117" s="446"/>
      <c r="AG117" s="446"/>
      <c r="AH117" s="446"/>
      <c r="AI117" s="446"/>
      <c r="AJ117" s="446"/>
      <c r="AK117" s="446"/>
      <c r="AL117" s="446"/>
      <c r="AM117" s="446"/>
      <c r="AN117" s="446"/>
    </row>
    <row r="118" spans="1:40" ht="14.25" customHeight="1">
      <c r="A118" s="446"/>
      <c r="B118" s="446"/>
      <c r="C118" s="446"/>
      <c r="D118" s="446"/>
      <c r="E118" s="446"/>
      <c r="F118" s="446"/>
      <c r="G118" s="446"/>
      <c r="H118" s="446"/>
      <c r="I118" s="446"/>
      <c r="J118" s="446"/>
      <c r="K118" s="446"/>
      <c r="L118" s="446"/>
      <c r="M118" s="446"/>
      <c r="N118" s="446"/>
      <c r="O118" s="446"/>
      <c r="P118" s="446"/>
      <c r="Q118" s="446"/>
      <c r="R118" s="446"/>
      <c r="S118" s="446"/>
      <c r="T118" s="446"/>
      <c r="U118" s="446"/>
      <c r="V118" s="446"/>
      <c r="W118" s="446"/>
      <c r="X118" s="446"/>
      <c r="Y118" s="446"/>
      <c r="Z118" s="446"/>
      <c r="AA118" s="446"/>
      <c r="AB118" s="446"/>
      <c r="AC118" s="446"/>
      <c r="AD118" s="446"/>
      <c r="AE118" s="446"/>
      <c r="AF118" s="446"/>
      <c r="AG118" s="446"/>
      <c r="AH118" s="446"/>
      <c r="AI118" s="446"/>
      <c r="AJ118" s="446"/>
      <c r="AK118" s="446"/>
      <c r="AL118" s="446"/>
      <c r="AM118" s="446"/>
      <c r="AN118" s="446"/>
    </row>
    <row r="119" spans="1:40" ht="14.25" customHeight="1">
      <c r="A119" s="446"/>
      <c r="B119" s="446"/>
      <c r="C119" s="446"/>
      <c r="D119" s="446"/>
      <c r="E119" s="446"/>
      <c r="F119" s="446"/>
      <c r="G119" s="446"/>
      <c r="H119" s="446"/>
      <c r="I119" s="446"/>
      <c r="J119" s="446"/>
      <c r="K119" s="446"/>
      <c r="L119" s="446"/>
      <c r="M119" s="446"/>
      <c r="N119" s="446"/>
      <c r="O119" s="446"/>
      <c r="P119" s="446"/>
      <c r="Q119" s="446"/>
      <c r="R119" s="446"/>
      <c r="S119" s="446"/>
      <c r="T119" s="446"/>
      <c r="U119" s="446"/>
      <c r="V119" s="446"/>
      <c r="W119" s="446"/>
      <c r="X119" s="446"/>
      <c r="Y119" s="446"/>
      <c r="Z119" s="446"/>
      <c r="AA119" s="446"/>
      <c r="AB119" s="446"/>
      <c r="AC119" s="446"/>
      <c r="AD119" s="446"/>
      <c r="AE119" s="446"/>
      <c r="AF119" s="446"/>
      <c r="AG119" s="446"/>
      <c r="AH119" s="446"/>
      <c r="AI119" s="446"/>
      <c r="AJ119" s="446"/>
      <c r="AK119" s="446"/>
      <c r="AL119" s="446"/>
      <c r="AM119" s="446"/>
      <c r="AN119" s="446"/>
    </row>
    <row r="120" spans="1:40" ht="14.25" customHeight="1">
      <c r="A120" s="446"/>
      <c r="B120" s="446"/>
      <c r="C120" s="446"/>
      <c r="D120" s="446"/>
      <c r="E120" s="446"/>
      <c r="F120" s="446"/>
      <c r="G120" s="446"/>
      <c r="H120" s="446"/>
      <c r="I120" s="446"/>
      <c r="J120" s="446"/>
      <c r="K120" s="446"/>
      <c r="L120" s="446"/>
      <c r="M120" s="446"/>
      <c r="N120" s="446"/>
      <c r="O120" s="446"/>
      <c r="P120" s="446"/>
      <c r="Q120" s="446"/>
      <c r="R120" s="446"/>
      <c r="S120" s="446"/>
      <c r="T120" s="446"/>
      <c r="U120" s="446"/>
      <c r="V120" s="446"/>
      <c r="W120" s="446"/>
      <c r="X120" s="446"/>
      <c r="Y120" s="446"/>
      <c r="Z120" s="446"/>
      <c r="AA120" s="446"/>
      <c r="AB120" s="446"/>
      <c r="AC120" s="446"/>
      <c r="AD120" s="446"/>
      <c r="AE120" s="446"/>
      <c r="AF120" s="446"/>
      <c r="AG120" s="446"/>
      <c r="AH120" s="446"/>
      <c r="AI120" s="446"/>
      <c r="AJ120" s="446"/>
      <c r="AK120" s="446"/>
      <c r="AL120" s="446"/>
      <c r="AM120" s="446"/>
      <c r="AN120" s="446"/>
    </row>
    <row r="121" spans="1:40" ht="14.25" customHeight="1">
      <c r="A121" s="446"/>
      <c r="B121" s="446"/>
      <c r="C121" s="446"/>
      <c r="D121" s="446"/>
      <c r="E121" s="446"/>
      <c r="F121" s="446"/>
      <c r="G121" s="446"/>
      <c r="H121" s="446"/>
      <c r="I121" s="446"/>
      <c r="J121" s="446"/>
      <c r="K121" s="446"/>
      <c r="L121" s="446"/>
      <c r="M121" s="446"/>
      <c r="N121" s="446"/>
      <c r="O121" s="446"/>
      <c r="P121" s="446"/>
      <c r="Q121" s="446"/>
      <c r="R121" s="446"/>
      <c r="S121" s="446"/>
      <c r="T121" s="446"/>
      <c r="U121" s="446"/>
      <c r="V121" s="446"/>
      <c r="W121" s="446"/>
      <c r="X121" s="446"/>
      <c r="Y121" s="446"/>
      <c r="Z121" s="446"/>
      <c r="AA121" s="446"/>
      <c r="AB121" s="446"/>
      <c r="AC121" s="446"/>
      <c r="AD121" s="446"/>
      <c r="AE121" s="446"/>
      <c r="AF121" s="446"/>
      <c r="AG121" s="446"/>
      <c r="AH121" s="446"/>
      <c r="AI121" s="446"/>
      <c r="AJ121" s="446"/>
      <c r="AK121" s="446"/>
      <c r="AL121" s="446"/>
      <c r="AM121" s="446"/>
      <c r="AN121" s="446"/>
    </row>
    <row r="122" spans="1:40" ht="14.25" customHeight="1">
      <c r="A122" s="446"/>
      <c r="B122" s="446"/>
      <c r="C122" s="446"/>
      <c r="D122" s="446"/>
      <c r="E122" s="446"/>
      <c r="F122" s="446"/>
      <c r="G122" s="446"/>
      <c r="H122" s="446"/>
      <c r="I122" s="446"/>
      <c r="J122" s="446"/>
      <c r="K122" s="446"/>
      <c r="L122" s="446"/>
      <c r="M122" s="446"/>
      <c r="N122" s="446"/>
      <c r="O122" s="446"/>
      <c r="P122" s="446"/>
      <c r="Q122" s="446"/>
      <c r="R122" s="446"/>
      <c r="S122" s="446"/>
      <c r="T122" s="446"/>
      <c r="U122" s="446"/>
      <c r="V122" s="446"/>
      <c r="W122" s="446"/>
      <c r="X122" s="446"/>
      <c r="Y122" s="446"/>
      <c r="Z122" s="446"/>
      <c r="AA122" s="446"/>
      <c r="AB122" s="446"/>
      <c r="AC122" s="446"/>
      <c r="AD122" s="446"/>
      <c r="AE122" s="446"/>
      <c r="AF122" s="446"/>
      <c r="AG122" s="446"/>
      <c r="AH122" s="446"/>
      <c r="AI122" s="446"/>
      <c r="AJ122" s="446"/>
      <c r="AK122" s="446"/>
      <c r="AL122" s="446"/>
      <c r="AM122" s="446"/>
      <c r="AN122" s="446"/>
    </row>
    <row r="123" spans="1:40" ht="14.25" customHeight="1">
      <c r="A123" s="446"/>
      <c r="B123" s="446"/>
      <c r="C123" s="446"/>
      <c r="D123" s="446"/>
      <c r="E123" s="446"/>
      <c r="F123" s="446"/>
      <c r="G123" s="446"/>
      <c r="H123" s="446"/>
      <c r="I123" s="446"/>
      <c r="J123" s="446"/>
      <c r="K123" s="446"/>
      <c r="L123" s="446"/>
      <c r="M123" s="446"/>
      <c r="N123" s="446"/>
      <c r="O123" s="446"/>
      <c r="P123" s="446"/>
      <c r="Q123" s="446"/>
      <c r="R123" s="446"/>
      <c r="S123" s="446"/>
      <c r="T123" s="446"/>
      <c r="U123" s="446"/>
      <c r="V123" s="446"/>
      <c r="W123" s="446"/>
      <c r="X123" s="446"/>
      <c r="Y123" s="446"/>
      <c r="Z123" s="446"/>
      <c r="AA123" s="446"/>
      <c r="AB123" s="446"/>
      <c r="AC123" s="446"/>
      <c r="AD123" s="446"/>
      <c r="AE123" s="446"/>
      <c r="AF123" s="446"/>
      <c r="AG123" s="446"/>
      <c r="AH123" s="446"/>
      <c r="AI123" s="446"/>
      <c r="AJ123" s="446"/>
      <c r="AK123" s="446"/>
      <c r="AL123" s="446"/>
      <c r="AM123" s="446"/>
      <c r="AN123" s="446"/>
    </row>
    <row r="124" spans="1:40" ht="14.25" customHeight="1">
      <c r="A124" s="446"/>
      <c r="B124" s="446"/>
      <c r="C124" s="446"/>
      <c r="D124" s="446"/>
      <c r="E124" s="446"/>
      <c r="F124" s="446"/>
      <c r="G124" s="446"/>
      <c r="H124" s="446"/>
      <c r="I124" s="446"/>
      <c r="J124" s="446"/>
      <c r="K124" s="446"/>
      <c r="L124" s="446"/>
      <c r="M124" s="446"/>
      <c r="N124" s="446"/>
      <c r="O124" s="446"/>
      <c r="P124" s="446"/>
      <c r="Q124" s="446"/>
      <c r="R124" s="446"/>
      <c r="S124" s="446"/>
      <c r="T124" s="446"/>
      <c r="U124" s="446"/>
      <c r="V124" s="446"/>
      <c r="W124" s="446"/>
      <c r="X124" s="446"/>
      <c r="Y124" s="446"/>
      <c r="Z124" s="446"/>
      <c r="AA124" s="446"/>
      <c r="AB124" s="446"/>
      <c r="AC124" s="446"/>
      <c r="AD124" s="446"/>
      <c r="AE124" s="446"/>
      <c r="AF124" s="446"/>
      <c r="AG124" s="446"/>
      <c r="AH124" s="446"/>
      <c r="AI124" s="446"/>
      <c r="AJ124" s="446"/>
      <c r="AK124" s="446"/>
      <c r="AL124" s="446"/>
      <c r="AM124" s="446"/>
      <c r="AN124" s="446"/>
    </row>
    <row r="125" spans="1:40" ht="14.25" customHeight="1">
      <c r="A125" s="446"/>
      <c r="B125" s="446"/>
      <c r="C125" s="446"/>
      <c r="D125" s="446"/>
      <c r="E125" s="446"/>
      <c r="F125" s="446"/>
      <c r="G125" s="446"/>
      <c r="H125" s="446"/>
      <c r="I125" s="446"/>
      <c r="J125" s="446"/>
      <c r="K125" s="446"/>
      <c r="L125" s="446"/>
      <c r="M125" s="446"/>
      <c r="N125" s="446"/>
      <c r="O125" s="446"/>
      <c r="P125" s="446"/>
      <c r="Q125" s="446"/>
      <c r="R125" s="446"/>
      <c r="S125" s="446"/>
      <c r="T125" s="446"/>
      <c r="U125" s="446"/>
      <c r="V125" s="446"/>
      <c r="W125" s="446"/>
      <c r="X125" s="446"/>
      <c r="Y125" s="446"/>
      <c r="Z125" s="446"/>
      <c r="AA125" s="446"/>
      <c r="AB125" s="446"/>
      <c r="AC125" s="446"/>
      <c r="AD125" s="446"/>
      <c r="AE125" s="446"/>
      <c r="AF125" s="446"/>
      <c r="AG125" s="446"/>
      <c r="AH125" s="446"/>
      <c r="AI125" s="446"/>
      <c r="AJ125" s="446"/>
      <c r="AK125" s="446"/>
      <c r="AL125" s="446"/>
      <c r="AM125" s="446"/>
      <c r="AN125" s="446"/>
    </row>
    <row r="126" spans="1:40" ht="14.25" customHeight="1">
      <c r="A126" s="446"/>
      <c r="B126" s="446"/>
      <c r="C126" s="446"/>
      <c r="D126" s="446"/>
      <c r="E126" s="446"/>
      <c r="F126" s="446"/>
      <c r="G126" s="446"/>
      <c r="H126" s="446"/>
      <c r="I126" s="446"/>
      <c r="J126" s="446"/>
      <c r="K126" s="446"/>
      <c r="L126" s="446"/>
      <c r="M126" s="446"/>
      <c r="N126" s="446"/>
      <c r="O126" s="446"/>
      <c r="P126" s="446"/>
      <c r="Q126" s="446"/>
      <c r="R126" s="446"/>
      <c r="S126" s="446"/>
      <c r="T126" s="446"/>
      <c r="U126" s="446"/>
      <c r="V126" s="446"/>
      <c r="W126" s="446"/>
      <c r="X126" s="446"/>
      <c r="Y126" s="446"/>
      <c r="Z126" s="446"/>
      <c r="AA126" s="446"/>
      <c r="AB126" s="446"/>
      <c r="AC126" s="446"/>
      <c r="AD126" s="446"/>
      <c r="AE126" s="446"/>
      <c r="AF126" s="446"/>
      <c r="AG126" s="446"/>
      <c r="AH126" s="446"/>
      <c r="AI126" s="446"/>
      <c r="AJ126" s="446"/>
      <c r="AK126" s="446"/>
      <c r="AL126" s="446"/>
      <c r="AM126" s="446"/>
      <c r="AN126" s="446"/>
    </row>
    <row r="127" spans="1:40" ht="14.25" customHeight="1">
      <c r="A127" s="446"/>
      <c r="B127" s="446"/>
      <c r="C127" s="446"/>
      <c r="D127" s="446"/>
      <c r="E127" s="446"/>
      <c r="F127" s="446"/>
      <c r="G127" s="446"/>
      <c r="H127" s="446"/>
      <c r="I127" s="446"/>
      <c r="J127" s="446"/>
      <c r="K127" s="446"/>
      <c r="L127" s="446"/>
      <c r="M127" s="446"/>
      <c r="N127" s="446"/>
      <c r="O127" s="446"/>
      <c r="P127" s="446"/>
      <c r="Q127" s="446"/>
      <c r="R127" s="446"/>
      <c r="S127" s="446"/>
      <c r="T127" s="446"/>
      <c r="U127" s="446"/>
      <c r="V127" s="446"/>
      <c r="W127" s="446"/>
      <c r="X127" s="446"/>
      <c r="Y127" s="446"/>
      <c r="Z127" s="446"/>
      <c r="AA127" s="446"/>
      <c r="AB127" s="446"/>
      <c r="AC127" s="446"/>
      <c r="AD127" s="446"/>
      <c r="AE127" s="446"/>
      <c r="AF127" s="446"/>
      <c r="AG127" s="446"/>
      <c r="AH127" s="446"/>
      <c r="AI127" s="446"/>
      <c r="AJ127" s="446"/>
      <c r="AK127" s="446"/>
      <c r="AL127" s="446"/>
      <c r="AM127" s="446"/>
      <c r="AN127" s="446"/>
    </row>
    <row r="128" spans="1:40" ht="14.25" customHeight="1">
      <c r="A128" s="446"/>
      <c r="B128" s="446"/>
      <c r="C128" s="446"/>
      <c r="D128" s="446"/>
      <c r="E128" s="446"/>
      <c r="F128" s="446"/>
      <c r="G128" s="446"/>
      <c r="H128" s="446"/>
      <c r="I128" s="446"/>
      <c r="J128" s="446"/>
      <c r="K128" s="446"/>
      <c r="L128" s="446"/>
      <c r="M128" s="446"/>
      <c r="N128" s="446"/>
      <c r="O128" s="446"/>
      <c r="P128" s="446"/>
      <c r="Q128" s="446"/>
      <c r="R128" s="446"/>
      <c r="S128" s="446"/>
      <c r="T128" s="446"/>
      <c r="U128" s="446"/>
      <c r="V128" s="446"/>
      <c r="W128" s="446"/>
      <c r="X128" s="446"/>
      <c r="Y128" s="446"/>
      <c r="Z128" s="446"/>
      <c r="AA128" s="446"/>
      <c r="AB128" s="446"/>
      <c r="AC128" s="446"/>
      <c r="AD128" s="446"/>
      <c r="AE128" s="446"/>
      <c r="AF128" s="446"/>
      <c r="AG128" s="446"/>
      <c r="AH128" s="446"/>
      <c r="AI128" s="446"/>
      <c r="AJ128" s="446"/>
      <c r="AK128" s="446"/>
      <c r="AL128" s="446"/>
      <c r="AM128" s="446"/>
      <c r="AN128" s="446"/>
    </row>
    <row r="129" spans="1:40" ht="14.25" customHeight="1">
      <c r="A129" s="446"/>
      <c r="B129" s="446"/>
      <c r="C129" s="446"/>
      <c r="D129" s="446"/>
      <c r="E129" s="446"/>
      <c r="F129" s="446"/>
      <c r="G129" s="446"/>
      <c r="H129" s="446"/>
      <c r="I129" s="446"/>
      <c r="J129" s="446"/>
      <c r="K129" s="446"/>
      <c r="L129" s="446"/>
      <c r="M129" s="446"/>
      <c r="N129" s="446"/>
      <c r="O129" s="446"/>
      <c r="P129" s="446"/>
      <c r="Q129" s="446"/>
      <c r="R129" s="446"/>
      <c r="S129" s="446"/>
      <c r="T129" s="446"/>
      <c r="U129" s="446"/>
      <c r="V129" s="446"/>
      <c r="W129" s="446"/>
      <c r="X129" s="446"/>
      <c r="Y129" s="446"/>
      <c r="Z129" s="446"/>
      <c r="AA129" s="446"/>
      <c r="AB129" s="446"/>
      <c r="AC129" s="446"/>
      <c r="AD129" s="446"/>
      <c r="AE129" s="446"/>
      <c r="AF129" s="446"/>
      <c r="AG129" s="446"/>
      <c r="AH129" s="446"/>
      <c r="AI129" s="446"/>
      <c r="AJ129" s="446"/>
      <c r="AK129" s="446"/>
      <c r="AL129" s="446"/>
      <c r="AM129" s="446"/>
      <c r="AN129" s="446"/>
    </row>
    <row r="130" spans="1:40" ht="14.25" customHeight="1">
      <c r="A130" s="446"/>
      <c r="B130" s="446"/>
      <c r="C130" s="446"/>
      <c r="D130" s="446"/>
      <c r="E130" s="446"/>
      <c r="F130" s="446"/>
      <c r="G130" s="446"/>
      <c r="H130" s="446"/>
      <c r="I130" s="446"/>
      <c r="J130" s="446"/>
      <c r="K130" s="446"/>
      <c r="L130" s="446"/>
      <c r="M130" s="446"/>
      <c r="N130" s="446"/>
      <c r="O130" s="446"/>
      <c r="P130" s="446"/>
      <c r="Q130" s="446"/>
      <c r="R130" s="446"/>
      <c r="S130" s="446"/>
      <c r="T130" s="446"/>
      <c r="U130" s="446"/>
      <c r="V130" s="446"/>
      <c r="W130" s="446"/>
      <c r="X130" s="446"/>
      <c r="Y130" s="446"/>
      <c r="Z130" s="446"/>
      <c r="AA130" s="446"/>
      <c r="AB130" s="446"/>
      <c r="AC130" s="446"/>
      <c r="AD130" s="446"/>
      <c r="AE130" s="446"/>
      <c r="AF130" s="446"/>
      <c r="AG130" s="446"/>
      <c r="AH130" s="446"/>
      <c r="AI130" s="446"/>
      <c r="AJ130" s="446"/>
      <c r="AK130" s="446"/>
      <c r="AL130" s="446"/>
      <c r="AM130" s="446"/>
      <c r="AN130" s="446"/>
    </row>
    <row r="131" spans="1:40" ht="14.25" customHeight="1">
      <c r="A131" s="446"/>
      <c r="B131" s="446"/>
      <c r="C131" s="446"/>
      <c r="D131" s="446"/>
      <c r="E131" s="446"/>
      <c r="F131" s="446"/>
      <c r="G131" s="446"/>
      <c r="H131" s="446"/>
      <c r="I131" s="446"/>
      <c r="J131" s="446"/>
      <c r="K131" s="446"/>
      <c r="L131" s="446"/>
      <c r="M131" s="446"/>
      <c r="N131" s="446"/>
      <c r="O131" s="446"/>
      <c r="P131" s="446"/>
      <c r="Q131" s="446"/>
      <c r="R131" s="446"/>
      <c r="S131" s="446"/>
      <c r="T131" s="446"/>
      <c r="U131" s="446"/>
      <c r="V131" s="446"/>
      <c r="W131" s="446"/>
      <c r="X131" s="446"/>
      <c r="Y131" s="446"/>
      <c r="Z131" s="446"/>
      <c r="AA131" s="446"/>
      <c r="AB131" s="446"/>
      <c r="AC131" s="446"/>
      <c r="AD131" s="446"/>
      <c r="AE131" s="446"/>
      <c r="AF131" s="446"/>
      <c r="AG131" s="446"/>
      <c r="AH131" s="446"/>
      <c r="AI131" s="446"/>
      <c r="AJ131" s="446"/>
      <c r="AK131" s="446"/>
      <c r="AL131" s="446"/>
      <c r="AM131" s="446"/>
      <c r="AN131" s="446"/>
    </row>
    <row r="132" spans="1:40" ht="14.25" customHeight="1">
      <c r="A132" s="446"/>
      <c r="B132" s="446"/>
      <c r="C132" s="446"/>
      <c r="D132" s="446"/>
      <c r="E132" s="446"/>
      <c r="F132" s="446"/>
      <c r="G132" s="446"/>
      <c r="H132" s="446"/>
      <c r="I132" s="446"/>
      <c r="J132" s="446"/>
      <c r="K132" s="446"/>
      <c r="L132" s="446"/>
      <c r="M132" s="446"/>
      <c r="N132" s="446"/>
      <c r="O132" s="446"/>
      <c r="P132" s="446"/>
      <c r="Q132" s="446"/>
      <c r="R132" s="446"/>
      <c r="S132" s="446"/>
      <c r="T132" s="446"/>
      <c r="U132" s="446"/>
      <c r="V132" s="446"/>
      <c r="W132" s="446"/>
      <c r="X132" s="446"/>
      <c r="Y132" s="446"/>
      <c r="Z132" s="446"/>
      <c r="AA132" s="446"/>
      <c r="AB132" s="446"/>
      <c r="AC132" s="446"/>
      <c r="AD132" s="446"/>
      <c r="AE132" s="446"/>
      <c r="AF132" s="446"/>
      <c r="AG132" s="446"/>
      <c r="AH132" s="446"/>
      <c r="AI132" s="446"/>
      <c r="AJ132" s="446"/>
      <c r="AK132" s="446"/>
      <c r="AL132" s="446"/>
      <c r="AM132" s="446"/>
      <c r="AN132" s="446"/>
    </row>
    <row r="133" spans="1:40" ht="14.25" customHeight="1">
      <c r="A133" s="446"/>
      <c r="B133" s="446"/>
      <c r="C133" s="446"/>
      <c r="D133" s="446"/>
      <c r="E133" s="446"/>
      <c r="F133" s="446"/>
      <c r="G133" s="446"/>
      <c r="H133" s="446"/>
      <c r="I133" s="446"/>
      <c r="J133" s="446"/>
      <c r="K133" s="446"/>
      <c r="L133" s="446"/>
      <c r="M133" s="446"/>
      <c r="N133" s="446"/>
      <c r="O133" s="446"/>
      <c r="P133" s="446"/>
      <c r="Q133" s="446"/>
      <c r="R133" s="446"/>
      <c r="S133" s="446"/>
      <c r="T133" s="446"/>
      <c r="U133" s="446"/>
      <c r="V133" s="446"/>
      <c r="W133" s="446"/>
      <c r="X133" s="446"/>
      <c r="Y133" s="446"/>
      <c r="Z133" s="446"/>
      <c r="AA133" s="446"/>
      <c r="AB133" s="446"/>
      <c r="AC133" s="446"/>
      <c r="AD133" s="446"/>
      <c r="AE133" s="446"/>
      <c r="AF133" s="446"/>
      <c r="AG133" s="446"/>
      <c r="AH133" s="446"/>
      <c r="AI133" s="446"/>
      <c r="AJ133" s="446"/>
      <c r="AK133" s="446"/>
      <c r="AL133" s="446"/>
      <c r="AM133" s="446"/>
      <c r="AN133" s="446"/>
    </row>
    <row r="134" spans="1:40" ht="14.25" customHeight="1">
      <c r="A134" s="446"/>
      <c r="B134" s="446"/>
      <c r="C134" s="446"/>
      <c r="D134" s="446"/>
      <c r="E134" s="446"/>
      <c r="F134" s="446"/>
      <c r="G134" s="446"/>
      <c r="H134" s="446"/>
      <c r="I134" s="446"/>
      <c r="J134" s="446"/>
      <c r="K134" s="446"/>
      <c r="L134" s="446"/>
      <c r="M134" s="446"/>
      <c r="N134" s="446"/>
      <c r="O134" s="446"/>
      <c r="P134" s="446"/>
      <c r="Q134" s="446"/>
      <c r="R134" s="446"/>
      <c r="S134" s="446"/>
      <c r="T134" s="446"/>
      <c r="U134" s="446"/>
      <c r="V134" s="446"/>
      <c r="W134" s="446"/>
      <c r="X134" s="446"/>
      <c r="Y134" s="446"/>
      <c r="Z134" s="446"/>
      <c r="AA134" s="446"/>
      <c r="AB134" s="446"/>
      <c r="AC134" s="446"/>
      <c r="AD134" s="446"/>
      <c r="AE134" s="446"/>
      <c r="AF134" s="446"/>
      <c r="AG134" s="446"/>
      <c r="AH134" s="446"/>
      <c r="AI134" s="446"/>
      <c r="AJ134" s="446"/>
      <c r="AK134" s="446"/>
      <c r="AL134" s="446"/>
      <c r="AM134" s="446"/>
      <c r="AN134" s="446"/>
    </row>
    <row r="135" spans="1:40" ht="14.25" customHeight="1">
      <c r="A135" s="446"/>
      <c r="B135" s="446"/>
      <c r="C135" s="446"/>
      <c r="D135" s="446"/>
      <c r="E135" s="446"/>
      <c r="F135" s="446"/>
      <c r="G135" s="446"/>
      <c r="H135" s="446"/>
      <c r="I135" s="446"/>
      <c r="J135" s="446"/>
      <c r="K135" s="446"/>
      <c r="L135" s="446"/>
      <c r="M135" s="446"/>
      <c r="N135" s="446"/>
      <c r="O135" s="446"/>
      <c r="P135" s="446"/>
      <c r="Q135" s="446"/>
      <c r="R135" s="446"/>
      <c r="S135" s="446"/>
      <c r="T135" s="446"/>
      <c r="U135" s="446"/>
      <c r="V135" s="446"/>
      <c r="W135" s="446"/>
      <c r="X135" s="446"/>
      <c r="Y135" s="446"/>
      <c r="Z135" s="446"/>
      <c r="AA135" s="446"/>
      <c r="AB135" s="446"/>
      <c r="AC135" s="446"/>
      <c r="AD135" s="446"/>
      <c r="AE135" s="446"/>
      <c r="AF135" s="446"/>
      <c r="AG135" s="446"/>
      <c r="AH135" s="446"/>
      <c r="AI135" s="446"/>
      <c r="AJ135" s="446"/>
      <c r="AK135" s="446"/>
      <c r="AL135" s="446"/>
      <c r="AM135" s="446"/>
      <c r="AN135" s="446"/>
    </row>
    <row r="136" spans="1:40" ht="14.25" customHeight="1">
      <c r="A136" s="446"/>
      <c r="B136" s="446"/>
      <c r="C136" s="446"/>
      <c r="D136" s="446"/>
      <c r="E136" s="446"/>
      <c r="F136" s="446"/>
      <c r="G136" s="446"/>
      <c r="H136" s="446"/>
      <c r="I136" s="446"/>
      <c r="J136" s="446"/>
      <c r="K136" s="446"/>
      <c r="L136" s="446"/>
      <c r="M136" s="446"/>
      <c r="N136" s="446"/>
      <c r="O136" s="446"/>
      <c r="P136" s="446"/>
      <c r="Q136" s="446"/>
      <c r="R136" s="446"/>
      <c r="S136" s="446"/>
      <c r="T136" s="446"/>
      <c r="U136" s="446"/>
      <c r="V136" s="446"/>
      <c r="W136" s="446"/>
      <c r="X136" s="446"/>
      <c r="Y136" s="446"/>
      <c r="Z136" s="446"/>
      <c r="AA136" s="446"/>
      <c r="AB136" s="446"/>
      <c r="AC136" s="446"/>
      <c r="AD136" s="446"/>
      <c r="AE136" s="446"/>
      <c r="AF136" s="446"/>
      <c r="AG136" s="446"/>
      <c r="AH136" s="446"/>
      <c r="AI136" s="446"/>
      <c r="AJ136" s="446"/>
      <c r="AK136" s="446"/>
      <c r="AL136" s="446"/>
      <c r="AM136" s="446"/>
      <c r="AN136" s="446"/>
    </row>
    <row r="137" spans="1:40" ht="14.25" customHeight="1">
      <c r="A137" s="446"/>
      <c r="B137" s="446"/>
      <c r="C137" s="446"/>
      <c r="D137" s="446"/>
      <c r="E137" s="446"/>
      <c r="F137" s="446"/>
      <c r="G137" s="446"/>
      <c r="H137" s="446"/>
      <c r="I137" s="446"/>
      <c r="J137" s="446"/>
      <c r="K137" s="446"/>
      <c r="L137" s="446"/>
      <c r="M137" s="446"/>
      <c r="N137" s="446"/>
      <c r="O137" s="446"/>
      <c r="P137" s="446"/>
      <c r="Q137" s="446"/>
      <c r="R137" s="446"/>
      <c r="S137" s="446"/>
      <c r="T137" s="446"/>
      <c r="U137" s="446"/>
      <c r="V137" s="446"/>
      <c r="W137" s="446"/>
      <c r="X137" s="446"/>
      <c r="Y137" s="446"/>
      <c r="Z137" s="446"/>
      <c r="AA137" s="446"/>
      <c r="AB137" s="446"/>
      <c r="AC137" s="446"/>
      <c r="AD137" s="446"/>
      <c r="AE137" s="446"/>
      <c r="AF137" s="446"/>
      <c r="AG137" s="446"/>
      <c r="AH137" s="446"/>
      <c r="AI137" s="446"/>
      <c r="AJ137" s="446"/>
      <c r="AK137" s="446"/>
      <c r="AL137" s="446"/>
      <c r="AM137" s="446"/>
      <c r="AN137" s="446"/>
    </row>
    <row r="138" spans="1:40" ht="14.25" customHeight="1">
      <c r="A138" s="446"/>
      <c r="B138" s="446"/>
      <c r="C138" s="446"/>
      <c r="D138" s="446"/>
      <c r="E138" s="446"/>
      <c r="F138" s="446"/>
      <c r="G138" s="446"/>
      <c r="H138" s="446"/>
      <c r="I138" s="446"/>
      <c r="J138" s="446"/>
      <c r="K138" s="446"/>
      <c r="L138" s="446"/>
      <c r="M138" s="446"/>
      <c r="N138" s="446"/>
      <c r="O138" s="446"/>
      <c r="P138" s="446"/>
      <c r="Q138" s="446"/>
      <c r="R138" s="446"/>
      <c r="S138" s="446"/>
      <c r="T138" s="446"/>
      <c r="U138" s="446"/>
      <c r="V138" s="446"/>
      <c r="W138" s="446"/>
      <c r="X138" s="446"/>
      <c r="Y138" s="446"/>
      <c r="Z138" s="446"/>
      <c r="AA138" s="446"/>
      <c r="AB138" s="446"/>
      <c r="AC138" s="446"/>
      <c r="AD138" s="446"/>
      <c r="AE138" s="446"/>
      <c r="AF138" s="446"/>
      <c r="AG138" s="446"/>
      <c r="AH138" s="446"/>
      <c r="AI138" s="446"/>
      <c r="AJ138" s="446"/>
      <c r="AK138" s="446"/>
      <c r="AL138" s="446"/>
      <c r="AM138" s="446"/>
      <c r="AN138" s="446"/>
    </row>
    <row r="139" spans="1:40" ht="14.25" customHeight="1">
      <c r="A139" s="446"/>
      <c r="B139" s="446"/>
      <c r="C139" s="446"/>
      <c r="D139" s="446"/>
      <c r="E139" s="446"/>
      <c r="F139" s="446"/>
      <c r="G139" s="446"/>
      <c r="H139" s="446"/>
      <c r="I139" s="446"/>
      <c r="J139" s="446"/>
      <c r="K139" s="446"/>
      <c r="L139" s="446"/>
      <c r="M139" s="446"/>
      <c r="N139" s="446"/>
      <c r="O139" s="446"/>
      <c r="P139" s="446"/>
      <c r="Q139" s="446"/>
      <c r="R139" s="446"/>
      <c r="S139" s="446"/>
      <c r="T139" s="446"/>
      <c r="U139" s="446"/>
      <c r="V139" s="446"/>
      <c r="W139" s="446"/>
      <c r="X139" s="446"/>
      <c r="Y139" s="446"/>
      <c r="Z139" s="446"/>
      <c r="AA139" s="446"/>
      <c r="AB139" s="446"/>
      <c r="AC139" s="446"/>
      <c r="AD139" s="446"/>
      <c r="AE139" s="446"/>
      <c r="AF139" s="446"/>
      <c r="AG139" s="446"/>
      <c r="AH139" s="446"/>
      <c r="AI139" s="446"/>
      <c r="AJ139" s="446"/>
      <c r="AK139" s="446"/>
      <c r="AL139" s="446"/>
      <c r="AM139" s="446"/>
      <c r="AN139" s="446"/>
    </row>
    <row r="140" spans="1:40" ht="14.25" customHeight="1">
      <c r="A140" s="446"/>
      <c r="B140" s="446"/>
      <c r="C140" s="446"/>
      <c r="D140" s="446"/>
      <c r="E140" s="446"/>
      <c r="F140" s="446"/>
      <c r="G140" s="446"/>
      <c r="H140" s="446"/>
      <c r="I140" s="446"/>
      <c r="J140" s="446"/>
      <c r="K140" s="446"/>
      <c r="L140" s="446"/>
      <c r="M140" s="446"/>
      <c r="N140" s="446"/>
      <c r="O140" s="446"/>
      <c r="P140" s="446"/>
      <c r="Q140" s="446"/>
      <c r="R140" s="446"/>
      <c r="S140" s="446"/>
      <c r="T140" s="446"/>
      <c r="U140" s="446"/>
      <c r="V140" s="446"/>
      <c r="W140" s="446"/>
      <c r="X140" s="446"/>
      <c r="Y140" s="446"/>
      <c r="Z140" s="446"/>
      <c r="AA140" s="446"/>
      <c r="AB140" s="446"/>
      <c r="AC140" s="446"/>
      <c r="AD140" s="446"/>
      <c r="AE140" s="446"/>
      <c r="AF140" s="446"/>
      <c r="AG140" s="446"/>
      <c r="AH140" s="446"/>
      <c r="AI140" s="446"/>
      <c r="AJ140" s="446"/>
      <c r="AK140" s="446"/>
      <c r="AL140" s="446"/>
      <c r="AM140" s="446"/>
      <c r="AN140" s="446"/>
    </row>
    <row r="141" spans="1:40" ht="14.25" customHeight="1">
      <c r="A141" s="446"/>
      <c r="B141" s="446"/>
      <c r="C141" s="446"/>
      <c r="D141" s="446"/>
      <c r="E141" s="446"/>
      <c r="F141" s="446"/>
      <c r="G141" s="446"/>
      <c r="H141" s="446"/>
      <c r="I141" s="446"/>
      <c r="J141" s="446"/>
      <c r="K141" s="446"/>
      <c r="L141" s="446"/>
      <c r="M141" s="446"/>
      <c r="N141" s="446"/>
      <c r="O141" s="446"/>
      <c r="P141" s="446"/>
      <c r="Q141" s="446"/>
      <c r="R141" s="446"/>
      <c r="S141" s="446"/>
      <c r="T141" s="446"/>
      <c r="U141" s="446"/>
      <c r="V141" s="446"/>
      <c r="W141" s="446"/>
      <c r="X141" s="446"/>
      <c r="Y141" s="446"/>
      <c r="Z141" s="446"/>
      <c r="AA141" s="446"/>
      <c r="AB141" s="446"/>
      <c r="AC141" s="446"/>
      <c r="AD141" s="446"/>
      <c r="AE141" s="446"/>
      <c r="AF141" s="446"/>
      <c r="AG141" s="446"/>
      <c r="AH141" s="446"/>
      <c r="AI141" s="446"/>
      <c r="AJ141" s="446"/>
      <c r="AK141" s="446"/>
      <c r="AL141" s="446"/>
      <c r="AM141" s="446"/>
      <c r="AN141" s="446"/>
    </row>
    <row r="142" spans="1:40" ht="14.25" customHeight="1">
      <c r="A142" s="446"/>
      <c r="B142" s="446"/>
      <c r="C142" s="446"/>
      <c r="D142" s="446"/>
      <c r="E142" s="446"/>
      <c r="F142" s="446"/>
      <c r="G142" s="446"/>
      <c r="H142" s="446"/>
      <c r="I142" s="446"/>
      <c r="J142" s="446"/>
      <c r="K142" s="446"/>
      <c r="L142" s="446"/>
      <c r="M142" s="446"/>
      <c r="N142" s="446"/>
      <c r="O142" s="446"/>
      <c r="P142" s="446"/>
      <c r="Q142" s="446"/>
      <c r="R142" s="446"/>
      <c r="S142" s="446"/>
      <c r="T142" s="446"/>
      <c r="U142" s="446"/>
      <c r="V142" s="446"/>
      <c r="W142" s="446"/>
      <c r="X142" s="446"/>
      <c r="Y142" s="446"/>
      <c r="Z142" s="446"/>
      <c r="AA142" s="446"/>
      <c r="AB142" s="446"/>
      <c r="AC142" s="446"/>
      <c r="AD142" s="446"/>
      <c r="AE142" s="446"/>
      <c r="AF142" s="446"/>
      <c r="AG142" s="446"/>
      <c r="AH142" s="446"/>
      <c r="AI142" s="446"/>
      <c r="AJ142" s="446"/>
      <c r="AK142" s="446"/>
      <c r="AL142" s="446"/>
      <c r="AM142" s="446"/>
      <c r="AN142" s="446"/>
    </row>
    <row r="143" spans="1:40" ht="14.25" customHeight="1">
      <c r="A143" s="446"/>
      <c r="B143" s="446"/>
      <c r="C143" s="446"/>
      <c r="D143" s="446"/>
      <c r="E143" s="446"/>
      <c r="F143" s="446"/>
      <c r="G143" s="446"/>
      <c r="H143" s="446"/>
      <c r="I143" s="446"/>
      <c r="J143" s="446"/>
      <c r="K143" s="446"/>
      <c r="L143" s="446"/>
      <c r="M143" s="446"/>
      <c r="N143" s="446"/>
      <c r="O143" s="446"/>
      <c r="P143" s="446"/>
      <c r="Q143" s="446"/>
      <c r="R143" s="446"/>
      <c r="S143" s="446"/>
      <c r="T143" s="446"/>
      <c r="U143" s="446"/>
      <c r="V143" s="446"/>
      <c r="W143" s="446"/>
      <c r="X143" s="446"/>
      <c r="Y143" s="446"/>
      <c r="Z143" s="446"/>
      <c r="AA143" s="446"/>
      <c r="AB143" s="446"/>
      <c r="AC143" s="446"/>
      <c r="AD143" s="446"/>
      <c r="AE143" s="446"/>
      <c r="AF143" s="446"/>
      <c r="AG143" s="446"/>
      <c r="AH143" s="446"/>
      <c r="AI143" s="446"/>
      <c r="AJ143" s="446"/>
      <c r="AK143" s="446"/>
      <c r="AL143" s="446"/>
      <c r="AM143" s="446"/>
      <c r="AN143" s="446"/>
    </row>
    <row r="144" spans="1:40" ht="14.25" customHeight="1">
      <c r="A144" s="446"/>
      <c r="B144" s="446"/>
      <c r="C144" s="446"/>
      <c r="D144" s="446"/>
      <c r="E144" s="446"/>
      <c r="F144" s="446"/>
      <c r="G144" s="446"/>
      <c r="H144" s="446"/>
      <c r="I144" s="446"/>
      <c r="J144" s="446"/>
      <c r="K144" s="446"/>
      <c r="L144" s="446"/>
      <c r="M144" s="446"/>
      <c r="N144" s="446"/>
      <c r="O144" s="446"/>
      <c r="P144" s="446"/>
      <c r="Q144" s="446"/>
      <c r="R144" s="446"/>
      <c r="S144" s="446"/>
      <c r="T144" s="446"/>
      <c r="U144" s="446"/>
      <c r="V144" s="446"/>
      <c r="W144" s="446"/>
      <c r="X144" s="446"/>
      <c r="Y144" s="446"/>
      <c r="Z144" s="446"/>
      <c r="AA144" s="446"/>
      <c r="AB144" s="446"/>
      <c r="AC144" s="446"/>
      <c r="AD144" s="446"/>
      <c r="AE144" s="446"/>
      <c r="AF144" s="446"/>
      <c r="AG144" s="446"/>
      <c r="AH144" s="446"/>
      <c r="AI144" s="446"/>
      <c r="AJ144" s="446"/>
      <c r="AK144" s="446"/>
      <c r="AL144" s="446"/>
      <c r="AM144" s="446"/>
      <c r="AN144" s="446"/>
    </row>
    <row r="145" spans="1:40" ht="14.25" customHeight="1">
      <c r="A145" s="446"/>
      <c r="B145" s="446"/>
      <c r="C145" s="446"/>
      <c r="D145" s="446"/>
      <c r="E145" s="446"/>
      <c r="F145" s="446"/>
      <c r="G145" s="446"/>
      <c r="H145" s="446"/>
      <c r="I145" s="446"/>
      <c r="J145" s="446"/>
      <c r="K145" s="446"/>
      <c r="L145" s="446"/>
      <c r="M145" s="446"/>
      <c r="N145" s="446"/>
      <c r="O145" s="446"/>
      <c r="P145" s="446"/>
      <c r="Q145" s="446"/>
      <c r="R145" s="446"/>
      <c r="S145" s="446"/>
      <c r="T145" s="446"/>
      <c r="U145" s="446"/>
      <c r="V145" s="446"/>
      <c r="W145" s="446"/>
      <c r="X145" s="446"/>
      <c r="Y145" s="446"/>
      <c r="Z145" s="446"/>
      <c r="AA145" s="446"/>
      <c r="AB145" s="446"/>
      <c r="AC145" s="446"/>
      <c r="AD145" s="446"/>
      <c r="AE145" s="446"/>
      <c r="AF145" s="446"/>
      <c r="AG145" s="446"/>
      <c r="AH145" s="446"/>
      <c r="AI145" s="446"/>
      <c r="AJ145" s="446"/>
      <c r="AK145" s="446"/>
      <c r="AL145" s="446"/>
      <c r="AM145" s="446"/>
      <c r="AN145" s="446"/>
    </row>
    <row r="146" spans="1:40" ht="14.25" customHeight="1">
      <c r="A146" s="446"/>
      <c r="B146" s="446"/>
      <c r="C146" s="446"/>
      <c r="D146" s="446"/>
      <c r="E146" s="446"/>
      <c r="F146" s="446"/>
      <c r="G146" s="446"/>
      <c r="H146" s="446"/>
      <c r="I146" s="446"/>
      <c r="J146" s="446"/>
      <c r="K146" s="446"/>
      <c r="L146" s="446"/>
      <c r="M146" s="446"/>
      <c r="N146" s="446"/>
      <c r="O146" s="446"/>
      <c r="P146" s="446"/>
      <c r="Q146" s="446"/>
      <c r="R146" s="446"/>
      <c r="S146" s="446"/>
      <c r="T146" s="446"/>
      <c r="U146" s="446"/>
      <c r="V146" s="446"/>
      <c r="W146" s="446"/>
      <c r="X146" s="446"/>
      <c r="Y146" s="446"/>
      <c r="Z146" s="446"/>
      <c r="AA146" s="446"/>
      <c r="AB146" s="446"/>
      <c r="AC146" s="446"/>
      <c r="AD146" s="446"/>
      <c r="AE146" s="446"/>
      <c r="AF146" s="446"/>
      <c r="AG146" s="446"/>
      <c r="AH146" s="446"/>
      <c r="AI146" s="446"/>
      <c r="AJ146" s="446"/>
      <c r="AK146" s="446"/>
      <c r="AL146" s="446"/>
      <c r="AM146" s="446"/>
      <c r="AN146" s="446"/>
    </row>
    <row r="147" spans="1:40" ht="14.25" customHeight="1">
      <c r="A147" s="446"/>
      <c r="B147" s="446"/>
      <c r="C147" s="446"/>
      <c r="D147" s="446"/>
      <c r="E147" s="446"/>
      <c r="F147" s="446"/>
      <c r="G147" s="446"/>
      <c r="H147" s="446"/>
      <c r="I147" s="446"/>
      <c r="J147" s="446"/>
      <c r="K147" s="446"/>
      <c r="L147" s="446"/>
      <c r="M147" s="446"/>
      <c r="N147" s="446"/>
      <c r="O147" s="446"/>
      <c r="P147" s="446"/>
      <c r="Q147" s="446"/>
      <c r="R147" s="446"/>
      <c r="S147" s="446"/>
      <c r="T147" s="446"/>
      <c r="U147" s="446"/>
      <c r="V147" s="446"/>
      <c r="W147" s="446"/>
      <c r="X147" s="446"/>
      <c r="Y147" s="446"/>
      <c r="Z147" s="446"/>
      <c r="AA147" s="446"/>
      <c r="AB147" s="446"/>
      <c r="AC147" s="446"/>
      <c r="AD147" s="446"/>
      <c r="AE147" s="446"/>
      <c r="AF147" s="446"/>
      <c r="AG147" s="446"/>
      <c r="AH147" s="446"/>
      <c r="AI147" s="446"/>
      <c r="AJ147" s="446"/>
      <c r="AK147" s="446"/>
      <c r="AL147" s="446"/>
      <c r="AM147" s="446"/>
      <c r="AN147" s="446"/>
    </row>
    <row r="148" spans="1:40" ht="14.25" customHeight="1">
      <c r="A148" s="446"/>
      <c r="B148" s="446"/>
      <c r="C148" s="446"/>
      <c r="D148" s="446"/>
      <c r="E148" s="446"/>
      <c r="F148" s="446"/>
      <c r="G148" s="446"/>
      <c r="H148" s="446"/>
      <c r="I148" s="446"/>
      <c r="J148" s="446"/>
      <c r="K148" s="446"/>
      <c r="L148" s="446"/>
      <c r="M148" s="446"/>
      <c r="N148" s="446"/>
      <c r="O148" s="446"/>
      <c r="P148" s="446"/>
      <c r="Q148" s="446"/>
      <c r="R148" s="446"/>
      <c r="S148" s="446"/>
      <c r="T148" s="446"/>
      <c r="U148" s="446"/>
      <c r="V148" s="446"/>
      <c r="W148" s="446"/>
      <c r="X148" s="446"/>
      <c r="Y148" s="446"/>
      <c r="Z148" s="446"/>
      <c r="AA148" s="446"/>
      <c r="AB148" s="446"/>
      <c r="AC148" s="446"/>
      <c r="AD148" s="446"/>
      <c r="AE148" s="446"/>
      <c r="AF148" s="446"/>
      <c r="AG148" s="446"/>
      <c r="AH148" s="446"/>
      <c r="AI148" s="446"/>
      <c r="AJ148" s="446"/>
      <c r="AK148" s="446"/>
      <c r="AL148" s="446"/>
      <c r="AM148" s="446"/>
      <c r="AN148" s="446"/>
    </row>
    <row r="149" spans="1:40" ht="14.25" customHeight="1">
      <c r="A149" s="446"/>
      <c r="B149" s="446"/>
      <c r="C149" s="446"/>
      <c r="D149" s="446"/>
      <c r="E149" s="446"/>
      <c r="F149" s="446"/>
      <c r="G149" s="446"/>
      <c r="H149" s="446"/>
      <c r="I149" s="446"/>
      <c r="J149" s="446"/>
      <c r="K149" s="446"/>
      <c r="L149" s="446"/>
      <c r="M149" s="446"/>
      <c r="N149" s="446"/>
      <c r="O149" s="446"/>
      <c r="P149" s="446"/>
      <c r="Q149" s="446"/>
      <c r="R149" s="446"/>
      <c r="S149" s="446"/>
      <c r="T149" s="446"/>
      <c r="U149" s="446"/>
      <c r="V149" s="446"/>
      <c r="W149" s="446"/>
      <c r="X149" s="446"/>
      <c r="Y149" s="446"/>
      <c r="Z149" s="446"/>
      <c r="AA149" s="446"/>
      <c r="AB149" s="446"/>
      <c r="AC149" s="446"/>
      <c r="AD149" s="446"/>
      <c r="AE149" s="446"/>
      <c r="AF149" s="446"/>
      <c r="AG149" s="446"/>
      <c r="AH149" s="446"/>
      <c r="AI149" s="446"/>
      <c r="AJ149" s="446"/>
      <c r="AK149" s="446"/>
      <c r="AL149" s="446"/>
      <c r="AM149" s="446"/>
      <c r="AN149" s="446"/>
    </row>
    <row r="150" spans="1:40" ht="14.25" customHeight="1">
      <c r="A150" s="446"/>
      <c r="B150" s="446"/>
      <c r="C150" s="446"/>
      <c r="D150" s="446"/>
      <c r="E150" s="446"/>
      <c r="F150" s="446"/>
      <c r="G150" s="446"/>
      <c r="H150" s="446"/>
      <c r="I150" s="446"/>
      <c r="J150" s="446"/>
      <c r="K150" s="446"/>
      <c r="L150" s="446"/>
      <c r="M150" s="446"/>
      <c r="N150" s="446"/>
      <c r="O150" s="446"/>
      <c r="P150" s="446"/>
      <c r="Q150" s="446"/>
      <c r="R150" s="446"/>
      <c r="S150" s="446"/>
      <c r="T150" s="446"/>
      <c r="U150" s="446"/>
      <c r="V150" s="446"/>
      <c r="W150" s="446"/>
      <c r="X150" s="446"/>
      <c r="Y150" s="446"/>
      <c r="Z150" s="446"/>
      <c r="AA150" s="446"/>
      <c r="AB150" s="446"/>
      <c r="AC150" s="446"/>
      <c r="AD150" s="446"/>
      <c r="AE150" s="446"/>
      <c r="AF150" s="446"/>
      <c r="AG150" s="446"/>
      <c r="AH150" s="446"/>
      <c r="AI150" s="446"/>
      <c r="AJ150" s="446"/>
      <c r="AK150" s="446"/>
      <c r="AL150" s="446"/>
      <c r="AM150" s="446"/>
      <c r="AN150" s="446"/>
    </row>
    <row r="151" spans="1:40" ht="14.25" customHeight="1">
      <c r="A151" s="446"/>
      <c r="B151" s="446"/>
      <c r="C151" s="446"/>
      <c r="D151" s="446"/>
      <c r="E151" s="446"/>
      <c r="F151" s="446"/>
      <c r="G151" s="446"/>
      <c r="H151" s="446"/>
      <c r="I151" s="446"/>
      <c r="J151" s="446"/>
      <c r="K151" s="446"/>
      <c r="L151" s="446"/>
      <c r="M151" s="446"/>
      <c r="N151" s="446"/>
      <c r="O151" s="446"/>
      <c r="P151" s="446"/>
      <c r="Q151" s="446"/>
      <c r="R151" s="446"/>
      <c r="S151" s="446"/>
      <c r="T151" s="446"/>
      <c r="U151" s="446"/>
      <c r="V151" s="446"/>
      <c r="W151" s="446"/>
      <c r="X151" s="446"/>
      <c r="Y151" s="446"/>
      <c r="Z151" s="446"/>
      <c r="AA151" s="446"/>
      <c r="AB151" s="446"/>
      <c r="AC151" s="446"/>
      <c r="AD151" s="446"/>
      <c r="AE151" s="446"/>
      <c r="AF151" s="446"/>
      <c r="AG151" s="446"/>
      <c r="AH151" s="446"/>
      <c r="AI151" s="446"/>
      <c r="AJ151" s="446"/>
      <c r="AK151" s="446"/>
      <c r="AL151" s="446"/>
      <c r="AM151" s="446"/>
      <c r="AN151" s="446"/>
    </row>
    <row r="152" spans="1:40" ht="14.25" customHeight="1">
      <c r="A152" s="446"/>
      <c r="B152" s="446"/>
      <c r="C152" s="446"/>
      <c r="D152" s="446"/>
      <c r="E152" s="446"/>
      <c r="F152" s="446"/>
      <c r="G152" s="446"/>
      <c r="H152" s="446"/>
      <c r="I152" s="446"/>
      <c r="J152" s="446"/>
      <c r="K152" s="446"/>
      <c r="L152" s="446"/>
      <c r="M152" s="446"/>
      <c r="N152" s="446"/>
      <c r="O152" s="446"/>
      <c r="P152" s="446"/>
      <c r="Q152" s="446"/>
      <c r="R152" s="446"/>
      <c r="S152" s="446"/>
      <c r="T152" s="446"/>
      <c r="U152" s="446"/>
      <c r="V152" s="446"/>
      <c r="W152" s="446"/>
      <c r="X152" s="446"/>
      <c r="Y152" s="446"/>
      <c r="Z152" s="446"/>
      <c r="AA152" s="446"/>
      <c r="AB152" s="446"/>
      <c r="AC152" s="446"/>
      <c r="AD152" s="446"/>
      <c r="AE152" s="446"/>
      <c r="AF152" s="446"/>
      <c r="AG152" s="446"/>
      <c r="AH152" s="446"/>
      <c r="AI152" s="446"/>
      <c r="AJ152" s="446"/>
      <c r="AK152" s="446"/>
      <c r="AL152" s="446"/>
      <c r="AM152" s="446"/>
      <c r="AN152" s="446"/>
    </row>
    <row r="153" spans="1:40" ht="14.25" customHeight="1">
      <c r="A153" s="446"/>
      <c r="B153" s="446"/>
      <c r="C153" s="446"/>
      <c r="D153" s="446"/>
      <c r="E153" s="446"/>
      <c r="F153" s="446"/>
      <c r="G153" s="446"/>
      <c r="H153" s="446"/>
      <c r="I153" s="446"/>
      <c r="J153" s="446"/>
      <c r="K153" s="446"/>
      <c r="L153" s="446"/>
      <c r="M153" s="446"/>
      <c r="N153" s="446"/>
      <c r="O153" s="446"/>
      <c r="P153" s="446"/>
      <c r="Q153" s="446"/>
      <c r="R153" s="446"/>
      <c r="S153" s="446"/>
      <c r="T153" s="446"/>
      <c r="U153" s="446"/>
      <c r="V153" s="446"/>
      <c r="W153" s="446"/>
      <c r="X153" s="446"/>
      <c r="Y153" s="446"/>
      <c r="Z153" s="446"/>
      <c r="AA153" s="446"/>
      <c r="AB153" s="446"/>
      <c r="AC153" s="446"/>
      <c r="AD153" s="446"/>
      <c r="AE153" s="446"/>
      <c r="AF153" s="446"/>
      <c r="AG153" s="446"/>
      <c r="AH153" s="446"/>
      <c r="AI153" s="446"/>
      <c r="AJ153" s="446"/>
      <c r="AK153" s="446"/>
      <c r="AL153" s="446"/>
      <c r="AM153" s="446"/>
      <c r="AN153" s="446"/>
    </row>
    <row r="154" spans="1:40" ht="14.25" customHeight="1">
      <c r="A154" s="446"/>
      <c r="B154" s="446"/>
      <c r="C154" s="446"/>
      <c r="D154" s="446"/>
      <c r="E154" s="446"/>
      <c r="F154" s="446"/>
      <c r="G154" s="446"/>
      <c r="H154" s="446"/>
      <c r="I154" s="446"/>
      <c r="J154" s="446"/>
      <c r="K154" s="446"/>
      <c r="L154" s="446"/>
      <c r="M154" s="446"/>
      <c r="N154" s="446"/>
      <c r="O154" s="446"/>
      <c r="P154" s="446"/>
      <c r="Q154" s="446"/>
      <c r="R154" s="446"/>
      <c r="S154" s="446"/>
      <c r="T154" s="446"/>
      <c r="U154" s="446"/>
      <c r="V154" s="446"/>
      <c r="W154" s="446"/>
      <c r="X154" s="446"/>
      <c r="Y154" s="446"/>
      <c r="Z154" s="446"/>
      <c r="AA154" s="446"/>
      <c r="AB154" s="446"/>
      <c r="AC154" s="446"/>
      <c r="AD154" s="446"/>
      <c r="AE154" s="446"/>
      <c r="AF154" s="446"/>
      <c r="AG154" s="446"/>
      <c r="AH154" s="446"/>
      <c r="AI154" s="446"/>
      <c r="AJ154" s="446"/>
      <c r="AK154" s="446"/>
      <c r="AL154" s="446"/>
      <c r="AM154" s="446"/>
      <c r="AN154" s="446"/>
    </row>
    <row r="155" spans="1:40" ht="14.25" customHeight="1">
      <c r="A155" s="446"/>
      <c r="B155" s="446"/>
      <c r="C155" s="446"/>
      <c r="D155" s="446"/>
      <c r="E155" s="446"/>
      <c r="F155" s="446"/>
      <c r="G155" s="446"/>
      <c r="H155" s="446"/>
      <c r="I155" s="446"/>
      <c r="J155" s="446"/>
      <c r="K155" s="446"/>
      <c r="L155" s="446"/>
      <c r="M155" s="446"/>
      <c r="N155" s="446"/>
      <c r="O155" s="446"/>
      <c r="P155" s="446"/>
      <c r="Q155" s="446"/>
      <c r="R155" s="446"/>
      <c r="S155" s="446"/>
      <c r="T155" s="446"/>
      <c r="U155" s="446"/>
      <c r="V155" s="446"/>
      <c r="W155" s="446"/>
      <c r="X155" s="446"/>
      <c r="Y155" s="446"/>
      <c r="Z155" s="446"/>
      <c r="AA155" s="446"/>
      <c r="AB155" s="446"/>
      <c r="AC155" s="446"/>
      <c r="AD155" s="446"/>
      <c r="AE155" s="446"/>
      <c r="AF155" s="446"/>
      <c r="AG155" s="446"/>
      <c r="AH155" s="446"/>
      <c r="AI155" s="446"/>
      <c r="AJ155" s="446"/>
      <c r="AK155" s="446"/>
      <c r="AL155" s="446"/>
      <c r="AM155" s="446"/>
      <c r="AN155" s="446"/>
    </row>
    <row r="156" spans="1:40" ht="14.25" customHeight="1">
      <c r="A156" s="446"/>
      <c r="B156" s="446"/>
      <c r="C156" s="446"/>
      <c r="D156" s="446"/>
      <c r="E156" s="446"/>
      <c r="F156" s="446"/>
      <c r="G156" s="446"/>
      <c r="H156" s="446"/>
      <c r="I156" s="446"/>
      <c r="J156" s="446"/>
      <c r="K156" s="446"/>
      <c r="L156" s="446"/>
      <c r="M156" s="446"/>
      <c r="N156" s="446"/>
      <c r="O156" s="446"/>
      <c r="P156" s="446"/>
      <c r="Q156" s="446"/>
      <c r="R156" s="446"/>
      <c r="S156" s="446"/>
      <c r="T156" s="446"/>
      <c r="U156" s="446"/>
      <c r="V156" s="446"/>
      <c r="W156" s="446"/>
      <c r="X156" s="446"/>
      <c r="Y156" s="446"/>
      <c r="Z156" s="446"/>
      <c r="AA156" s="446"/>
      <c r="AB156" s="446"/>
      <c r="AC156" s="446"/>
      <c r="AD156" s="446"/>
      <c r="AE156" s="446"/>
      <c r="AF156" s="446"/>
      <c r="AG156" s="446"/>
      <c r="AH156" s="446"/>
      <c r="AI156" s="446"/>
      <c r="AJ156" s="446"/>
      <c r="AK156" s="446"/>
      <c r="AL156" s="446"/>
      <c r="AM156" s="446"/>
      <c r="AN156" s="446"/>
    </row>
    <row r="157" spans="1:40" ht="14.25" customHeight="1">
      <c r="A157" s="446"/>
      <c r="B157" s="446"/>
      <c r="C157" s="446"/>
      <c r="D157" s="446"/>
      <c r="E157" s="446"/>
      <c r="F157" s="446"/>
      <c r="G157" s="446"/>
      <c r="H157" s="446"/>
      <c r="I157" s="446"/>
      <c r="J157" s="446"/>
      <c r="K157" s="446"/>
      <c r="L157" s="446"/>
      <c r="M157" s="446"/>
      <c r="N157" s="446"/>
      <c r="O157" s="446"/>
      <c r="P157" s="446"/>
      <c r="Q157" s="446"/>
      <c r="R157" s="446"/>
      <c r="S157" s="446"/>
      <c r="T157" s="446"/>
      <c r="U157" s="446"/>
      <c r="V157" s="446"/>
      <c r="W157" s="446"/>
      <c r="X157" s="446"/>
      <c r="Y157" s="446"/>
      <c r="Z157" s="446"/>
      <c r="AA157" s="446"/>
      <c r="AB157" s="446"/>
      <c r="AC157" s="446"/>
      <c r="AD157" s="446"/>
      <c r="AE157" s="446"/>
      <c r="AF157" s="446"/>
      <c r="AG157" s="446"/>
      <c r="AH157" s="446"/>
      <c r="AI157" s="446"/>
      <c r="AJ157" s="446"/>
      <c r="AK157" s="446"/>
      <c r="AL157" s="446"/>
      <c r="AM157" s="446"/>
      <c r="AN157" s="446"/>
    </row>
    <row r="158" spans="1:40" ht="14.25" customHeight="1">
      <c r="A158" s="446"/>
      <c r="B158" s="446"/>
      <c r="C158" s="446"/>
      <c r="D158" s="446"/>
      <c r="E158" s="446"/>
      <c r="F158" s="446"/>
      <c r="G158" s="446"/>
      <c r="H158" s="446"/>
      <c r="I158" s="446"/>
      <c r="J158" s="446"/>
      <c r="K158" s="446"/>
      <c r="L158" s="446"/>
      <c r="M158" s="446"/>
      <c r="N158" s="446"/>
      <c r="O158" s="446"/>
      <c r="P158" s="446"/>
      <c r="Q158" s="446"/>
      <c r="R158" s="446"/>
      <c r="S158" s="446"/>
      <c r="T158" s="446"/>
      <c r="U158" s="446"/>
      <c r="V158" s="446"/>
      <c r="W158" s="446"/>
      <c r="X158" s="446"/>
      <c r="Y158" s="446"/>
      <c r="Z158" s="446"/>
      <c r="AA158" s="446"/>
      <c r="AB158" s="446"/>
      <c r="AC158" s="446"/>
      <c r="AD158" s="446"/>
      <c r="AE158" s="446"/>
      <c r="AF158" s="446"/>
      <c r="AG158" s="446"/>
      <c r="AH158" s="446"/>
      <c r="AI158" s="446"/>
      <c r="AJ158" s="446"/>
      <c r="AK158" s="446"/>
      <c r="AL158" s="446"/>
      <c r="AM158" s="446"/>
      <c r="AN158" s="446"/>
    </row>
    <row r="159" spans="1:40" ht="14.25" customHeight="1">
      <c r="A159" s="446"/>
      <c r="B159" s="446"/>
      <c r="C159" s="446"/>
      <c r="D159" s="446"/>
      <c r="E159" s="446"/>
      <c r="F159" s="446"/>
      <c r="G159" s="446"/>
      <c r="H159" s="446"/>
      <c r="I159" s="446"/>
      <c r="J159" s="446"/>
      <c r="K159" s="446"/>
      <c r="L159" s="446"/>
      <c r="M159" s="446"/>
      <c r="N159" s="446"/>
      <c r="O159" s="446"/>
      <c r="P159" s="446"/>
      <c r="Q159" s="446"/>
      <c r="R159" s="446"/>
      <c r="S159" s="446"/>
      <c r="T159" s="446"/>
      <c r="U159" s="446"/>
      <c r="V159" s="446"/>
      <c r="W159" s="446"/>
      <c r="X159" s="446"/>
      <c r="Y159" s="446"/>
      <c r="Z159" s="446"/>
      <c r="AA159" s="446"/>
      <c r="AB159" s="446"/>
      <c r="AC159" s="446"/>
      <c r="AD159" s="446"/>
      <c r="AE159" s="446"/>
      <c r="AF159" s="446"/>
      <c r="AG159" s="446"/>
      <c r="AH159" s="446"/>
      <c r="AI159" s="446"/>
      <c r="AJ159" s="446"/>
      <c r="AK159" s="446"/>
      <c r="AL159" s="446"/>
      <c r="AM159" s="446"/>
      <c r="AN159" s="446"/>
    </row>
    <row r="160" spans="1:40" ht="14.25" customHeight="1">
      <c r="A160" s="446"/>
      <c r="B160" s="446"/>
      <c r="C160" s="446"/>
      <c r="D160" s="446"/>
      <c r="E160" s="446"/>
      <c r="F160" s="446"/>
      <c r="G160" s="446"/>
      <c r="H160" s="446"/>
      <c r="I160" s="446"/>
      <c r="J160" s="446"/>
      <c r="K160" s="446"/>
      <c r="L160" s="446"/>
      <c r="M160" s="446"/>
      <c r="N160" s="446"/>
      <c r="O160" s="446"/>
      <c r="P160" s="446"/>
      <c r="Q160" s="446"/>
      <c r="R160" s="446"/>
      <c r="S160" s="446"/>
      <c r="T160" s="446"/>
      <c r="U160" s="446"/>
      <c r="V160" s="446"/>
      <c r="W160" s="446"/>
      <c r="X160" s="446"/>
      <c r="Y160" s="446"/>
      <c r="Z160" s="446"/>
      <c r="AA160" s="446"/>
      <c r="AB160" s="446"/>
      <c r="AC160" s="446"/>
      <c r="AD160" s="446"/>
      <c r="AE160" s="446"/>
      <c r="AF160" s="446"/>
      <c r="AG160" s="446"/>
      <c r="AH160" s="446"/>
      <c r="AI160" s="446"/>
      <c r="AJ160" s="446"/>
      <c r="AK160" s="446"/>
      <c r="AL160" s="446"/>
      <c r="AM160" s="446"/>
      <c r="AN160" s="446"/>
    </row>
    <row r="161" spans="1:40" ht="14.25" customHeight="1">
      <c r="A161" s="446"/>
      <c r="B161" s="446"/>
      <c r="C161" s="446"/>
      <c r="D161" s="446"/>
      <c r="E161" s="446"/>
      <c r="F161" s="446"/>
      <c r="G161" s="446"/>
      <c r="H161" s="446"/>
      <c r="I161" s="446"/>
      <c r="J161" s="446"/>
      <c r="K161" s="446"/>
      <c r="L161" s="446"/>
      <c r="M161" s="446"/>
      <c r="N161" s="446"/>
      <c r="O161" s="446"/>
      <c r="P161" s="446"/>
      <c r="Q161" s="446"/>
      <c r="R161" s="446"/>
      <c r="S161" s="446"/>
      <c r="T161" s="446"/>
      <c r="U161" s="446"/>
      <c r="V161" s="446"/>
      <c r="W161" s="446"/>
      <c r="X161" s="446"/>
      <c r="Y161" s="446"/>
      <c r="Z161" s="446"/>
      <c r="AA161" s="446"/>
      <c r="AB161" s="446"/>
      <c r="AC161" s="446"/>
      <c r="AD161" s="446"/>
      <c r="AE161" s="446"/>
      <c r="AF161" s="446"/>
      <c r="AG161" s="446"/>
      <c r="AH161" s="446"/>
      <c r="AI161" s="446"/>
      <c r="AJ161" s="446"/>
      <c r="AK161" s="446"/>
      <c r="AL161" s="446"/>
      <c r="AM161" s="446"/>
      <c r="AN161" s="446"/>
    </row>
    <row r="162" spans="1:40" ht="14.25" customHeight="1">
      <c r="A162" s="446"/>
      <c r="B162" s="446"/>
      <c r="C162" s="446"/>
      <c r="D162" s="446"/>
      <c r="E162" s="446"/>
      <c r="F162" s="446"/>
      <c r="G162" s="446"/>
      <c r="H162" s="446"/>
      <c r="I162" s="446"/>
      <c r="J162" s="446"/>
      <c r="K162" s="446"/>
      <c r="L162" s="446"/>
      <c r="M162" s="446"/>
      <c r="N162" s="446"/>
      <c r="O162" s="446"/>
      <c r="P162" s="446"/>
      <c r="Q162" s="446"/>
      <c r="R162" s="446"/>
      <c r="S162" s="446"/>
      <c r="T162" s="446"/>
      <c r="U162" s="446"/>
      <c r="V162" s="446"/>
      <c r="W162" s="446"/>
      <c r="X162" s="446"/>
      <c r="Y162" s="446"/>
      <c r="Z162" s="446"/>
      <c r="AA162" s="446"/>
      <c r="AB162" s="446"/>
      <c r="AC162" s="446"/>
      <c r="AD162" s="446"/>
      <c r="AE162" s="446"/>
      <c r="AF162" s="446"/>
      <c r="AG162" s="446"/>
      <c r="AH162" s="446"/>
      <c r="AI162" s="446"/>
      <c r="AJ162" s="446"/>
      <c r="AK162" s="446"/>
      <c r="AL162" s="446"/>
      <c r="AM162" s="446"/>
      <c r="AN162" s="446"/>
    </row>
    <row r="163" spans="1:40" ht="14.25" customHeight="1">
      <c r="A163" s="446"/>
      <c r="B163" s="446"/>
      <c r="C163" s="446"/>
      <c r="D163" s="446"/>
      <c r="E163" s="446"/>
      <c r="F163" s="446"/>
      <c r="G163" s="446"/>
      <c r="H163" s="446"/>
      <c r="I163" s="446"/>
      <c r="J163" s="446"/>
      <c r="K163" s="446"/>
      <c r="L163" s="446"/>
      <c r="M163" s="446"/>
      <c r="N163" s="446"/>
      <c r="O163" s="446"/>
      <c r="P163" s="446"/>
      <c r="Q163" s="446"/>
      <c r="R163" s="446"/>
      <c r="S163" s="446"/>
      <c r="T163" s="446"/>
      <c r="U163" s="446"/>
      <c r="V163" s="446"/>
      <c r="W163" s="446"/>
      <c r="X163" s="446"/>
      <c r="Y163" s="446"/>
      <c r="Z163" s="446"/>
      <c r="AA163" s="446"/>
      <c r="AB163" s="446"/>
      <c r="AC163" s="446"/>
      <c r="AD163" s="446"/>
      <c r="AE163" s="446"/>
      <c r="AF163" s="446"/>
      <c r="AG163" s="446"/>
      <c r="AH163" s="446"/>
      <c r="AI163" s="446"/>
      <c r="AJ163" s="446"/>
      <c r="AK163" s="446"/>
      <c r="AL163" s="446"/>
      <c r="AM163" s="446"/>
      <c r="AN163" s="446"/>
    </row>
    <row r="164" spans="1:40" ht="14.25" customHeight="1">
      <c r="A164" s="446"/>
      <c r="B164" s="446"/>
      <c r="C164" s="446"/>
      <c r="D164" s="446"/>
      <c r="E164" s="446"/>
      <c r="F164" s="446"/>
      <c r="G164" s="446"/>
      <c r="H164" s="446"/>
      <c r="I164" s="446"/>
      <c r="J164" s="446"/>
      <c r="K164" s="446"/>
      <c r="L164" s="446"/>
      <c r="M164" s="446"/>
      <c r="N164" s="446"/>
      <c r="O164" s="446"/>
      <c r="P164" s="446"/>
      <c r="Q164" s="446"/>
      <c r="R164" s="446"/>
      <c r="S164" s="446"/>
      <c r="T164" s="446"/>
      <c r="U164" s="446"/>
      <c r="V164" s="446"/>
      <c r="W164" s="446"/>
      <c r="X164" s="446"/>
      <c r="Y164" s="446"/>
      <c r="Z164" s="446"/>
      <c r="AA164" s="446"/>
      <c r="AB164" s="446"/>
      <c r="AC164" s="446"/>
      <c r="AD164" s="446"/>
      <c r="AE164" s="446"/>
      <c r="AF164" s="446"/>
      <c r="AG164" s="446"/>
      <c r="AH164" s="446"/>
      <c r="AI164" s="446"/>
      <c r="AJ164" s="446"/>
      <c r="AK164" s="446"/>
      <c r="AL164" s="446"/>
      <c r="AM164" s="446"/>
      <c r="AN164" s="446"/>
    </row>
    <row r="165" spans="1:40" ht="14.25" customHeight="1">
      <c r="A165" s="446"/>
      <c r="B165" s="446"/>
      <c r="C165" s="446"/>
      <c r="D165" s="446"/>
      <c r="E165" s="446"/>
      <c r="F165" s="446"/>
      <c r="G165" s="446"/>
      <c r="H165" s="446"/>
      <c r="I165" s="446"/>
      <c r="J165" s="446"/>
      <c r="K165" s="446"/>
      <c r="L165" s="446"/>
      <c r="M165" s="446"/>
      <c r="N165" s="446"/>
      <c r="O165" s="446"/>
      <c r="P165" s="446"/>
      <c r="Q165" s="446"/>
      <c r="R165" s="446"/>
      <c r="S165" s="446"/>
      <c r="T165" s="446"/>
      <c r="U165" s="446"/>
      <c r="V165" s="446"/>
      <c r="W165" s="446"/>
      <c r="X165" s="446"/>
      <c r="Y165" s="446"/>
      <c r="Z165" s="446"/>
      <c r="AA165" s="446"/>
      <c r="AB165" s="446"/>
      <c r="AC165" s="446"/>
      <c r="AD165" s="446"/>
      <c r="AE165" s="446"/>
      <c r="AF165" s="446"/>
      <c r="AG165" s="446"/>
      <c r="AH165" s="446"/>
      <c r="AI165" s="446"/>
      <c r="AJ165" s="446"/>
      <c r="AK165" s="446"/>
      <c r="AL165" s="446"/>
      <c r="AM165" s="446"/>
      <c r="AN165" s="446"/>
    </row>
    <row r="166" spans="1:40" ht="14.25" customHeight="1">
      <c r="A166" s="446"/>
      <c r="B166" s="446"/>
      <c r="C166" s="446"/>
      <c r="D166" s="446"/>
      <c r="E166" s="446"/>
      <c r="F166" s="446"/>
      <c r="G166" s="446"/>
      <c r="H166" s="446"/>
      <c r="I166" s="446"/>
      <c r="J166" s="446"/>
      <c r="K166" s="446"/>
      <c r="L166" s="446"/>
      <c r="M166" s="446"/>
      <c r="N166" s="446"/>
      <c r="O166" s="446"/>
      <c r="P166" s="446"/>
      <c r="Q166" s="446"/>
      <c r="R166" s="446"/>
      <c r="S166" s="446"/>
      <c r="T166" s="446"/>
      <c r="U166" s="446"/>
      <c r="V166" s="446"/>
      <c r="W166" s="446"/>
      <c r="X166" s="446"/>
      <c r="Y166" s="446"/>
      <c r="Z166" s="446"/>
      <c r="AA166" s="446"/>
      <c r="AB166" s="446"/>
      <c r="AC166" s="446"/>
      <c r="AD166" s="446"/>
      <c r="AE166" s="446"/>
      <c r="AF166" s="446"/>
      <c r="AG166" s="446"/>
      <c r="AH166" s="446"/>
      <c r="AI166" s="446"/>
      <c r="AJ166" s="446"/>
      <c r="AK166" s="446"/>
      <c r="AL166" s="446"/>
      <c r="AM166" s="446"/>
      <c r="AN166" s="446"/>
    </row>
    <row r="167" spans="1:40" ht="14.25" customHeight="1">
      <c r="A167" s="446"/>
      <c r="B167" s="446"/>
      <c r="C167" s="446"/>
      <c r="D167" s="446"/>
      <c r="E167" s="446"/>
      <c r="F167" s="446"/>
      <c r="G167" s="446"/>
      <c r="H167" s="446"/>
      <c r="I167" s="446"/>
      <c r="J167" s="446"/>
      <c r="K167" s="446"/>
      <c r="L167" s="446"/>
      <c r="M167" s="446"/>
      <c r="N167" s="446"/>
      <c r="O167" s="446"/>
      <c r="P167" s="446"/>
      <c r="Q167" s="446"/>
      <c r="R167" s="446"/>
      <c r="S167" s="446"/>
      <c r="T167" s="446"/>
      <c r="U167" s="446"/>
      <c r="V167" s="446"/>
      <c r="W167" s="446"/>
      <c r="X167" s="446"/>
      <c r="Y167" s="446"/>
      <c r="Z167" s="446"/>
      <c r="AA167" s="446"/>
      <c r="AB167" s="446"/>
      <c r="AC167" s="446"/>
      <c r="AD167" s="446"/>
      <c r="AE167" s="446"/>
      <c r="AF167" s="446"/>
      <c r="AG167" s="446"/>
      <c r="AH167" s="446"/>
      <c r="AI167" s="446"/>
      <c r="AJ167" s="446"/>
      <c r="AK167" s="446"/>
      <c r="AL167" s="446"/>
      <c r="AM167" s="446"/>
      <c r="AN167" s="446"/>
    </row>
    <row r="168" spans="1:40" ht="14.25" customHeight="1">
      <c r="A168" s="446"/>
      <c r="B168" s="446"/>
      <c r="C168" s="446"/>
      <c r="D168" s="446"/>
      <c r="E168" s="446"/>
      <c r="F168" s="446"/>
      <c r="G168" s="446"/>
      <c r="H168" s="446"/>
      <c r="I168" s="446"/>
      <c r="J168" s="446"/>
      <c r="K168" s="446"/>
      <c r="L168" s="446"/>
      <c r="M168" s="446"/>
      <c r="N168" s="446"/>
      <c r="O168" s="446"/>
      <c r="P168" s="446"/>
      <c r="Q168" s="446"/>
      <c r="R168" s="446"/>
      <c r="S168" s="446"/>
      <c r="T168" s="446"/>
      <c r="U168" s="446"/>
      <c r="V168" s="446"/>
      <c r="W168" s="446"/>
      <c r="X168" s="446"/>
      <c r="Y168" s="446"/>
      <c r="Z168" s="446"/>
      <c r="AA168" s="446"/>
      <c r="AB168" s="446"/>
      <c r="AC168" s="446"/>
      <c r="AD168" s="446"/>
      <c r="AE168" s="446"/>
      <c r="AF168" s="446"/>
      <c r="AG168" s="446"/>
      <c r="AH168" s="446"/>
      <c r="AI168" s="446"/>
      <c r="AJ168" s="446"/>
      <c r="AK168" s="446"/>
      <c r="AL168" s="446"/>
      <c r="AM168" s="446"/>
      <c r="AN168" s="446"/>
    </row>
    <row r="169" spans="1:40" ht="14.25" customHeight="1">
      <c r="A169" s="446"/>
      <c r="B169" s="446"/>
      <c r="C169" s="446"/>
      <c r="D169" s="446"/>
      <c r="E169" s="446"/>
      <c r="F169" s="446"/>
      <c r="G169" s="446"/>
      <c r="H169" s="446"/>
      <c r="I169" s="446"/>
      <c r="J169" s="446"/>
      <c r="K169" s="446"/>
      <c r="L169" s="446"/>
      <c r="M169" s="446"/>
      <c r="N169" s="446"/>
      <c r="O169" s="446"/>
      <c r="P169" s="446"/>
      <c r="Q169" s="446"/>
      <c r="R169" s="446"/>
      <c r="S169" s="446"/>
      <c r="T169" s="446"/>
      <c r="U169" s="446"/>
      <c r="V169" s="446"/>
      <c r="W169" s="446"/>
      <c r="X169" s="446"/>
      <c r="Y169" s="446"/>
      <c r="Z169" s="446"/>
      <c r="AA169" s="446"/>
      <c r="AB169" s="446"/>
      <c r="AC169" s="446"/>
      <c r="AD169" s="446"/>
      <c r="AE169" s="446"/>
      <c r="AF169" s="446"/>
      <c r="AG169" s="446"/>
      <c r="AH169" s="446"/>
      <c r="AI169" s="446"/>
      <c r="AJ169" s="446"/>
      <c r="AK169" s="446"/>
      <c r="AL169" s="446"/>
      <c r="AM169" s="446"/>
      <c r="AN169" s="446"/>
    </row>
    <row r="170" spans="1:40" ht="14.25" customHeight="1">
      <c r="A170" s="446"/>
      <c r="B170" s="446"/>
      <c r="C170" s="446"/>
      <c r="D170" s="446"/>
      <c r="E170" s="446"/>
      <c r="F170" s="446"/>
      <c r="G170" s="446"/>
      <c r="H170" s="446"/>
      <c r="I170" s="446"/>
      <c r="J170" s="446"/>
      <c r="K170" s="446"/>
      <c r="L170" s="446"/>
      <c r="M170" s="446"/>
      <c r="N170" s="446"/>
      <c r="O170" s="446"/>
      <c r="P170" s="446"/>
      <c r="Q170" s="446"/>
      <c r="R170" s="446"/>
      <c r="S170" s="446"/>
      <c r="T170" s="446"/>
      <c r="U170" s="446"/>
      <c r="V170" s="446"/>
      <c r="W170" s="446"/>
      <c r="X170" s="446"/>
      <c r="Y170" s="446"/>
      <c r="Z170" s="446"/>
      <c r="AA170" s="446"/>
      <c r="AB170" s="446"/>
      <c r="AC170" s="446"/>
      <c r="AD170" s="446"/>
      <c r="AE170" s="446"/>
      <c r="AF170" s="446"/>
      <c r="AG170" s="446"/>
      <c r="AH170" s="446"/>
      <c r="AI170" s="446"/>
      <c r="AJ170" s="446"/>
      <c r="AK170" s="446"/>
      <c r="AL170" s="446"/>
      <c r="AM170" s="446"/>
      <c r="AN170" s="446"/>
    </row>
    <row r="171" spans="1:40" ht="14.25" customHeight="1">
      <c r="A171" s="446"/>
      <c r="B171" s="446"/>
      <c r="C171" s="446"/>
      <c r="D171" s="446"/>
      <c r="E171" s="446"/>
      <c r="F171" s="446"/>
      <c r="G171" s="446"/>
      <c r="H171" s="446"/>
      <c r="I171" s="446"/>
      <c r="J171" s="446"/>
      <c r="K171" s="446"/>
      <c r="L171" s="446"/>
      <c r="M171" s="446"/>
      <c r="N171" s="446"/>
      <c r="O171" s="446"/>
      <c r="P171" s="446"/>
      <c r="Q171" s="446"/>
      <c r="R171" s="446"/>
      <c r="S171" s="446"/>
      <c r="T171" s="446"/>
      <c r="U171" s="446"/>
      <c r="V171" s="446"/>
      <c r="W171" s="446"/>
      <c r="X171" s="446"/>
      <c r="Y171" s="446"/>
      <c r="Z171" s="446"/>
      <c r="AA171" s="446"/>
      <c r="AB171" s="446"/>
      <c r="AC171" s="446"/>
      <c r="AD171" s="446"/>
      <c r="AE171" s="446"/>
      <c r="AF171" s="446"/>
      <c r="AG171" s="446"/>
      <c r="AH171" s="446"/>
      <c r="AI171" s="446"/>
      <c r="AJ171" s="446"/>
      <c r="AK171" s="446"/>
      <c r="AL171" s="446"/>
      <c r="AM171" s="446"/>
      <c r="AN171" s="446"/>
    </row>
    <row r="172" spans="1:40" ht="14.25" customHeight="1">
      <c r="A172" s="446"/>
      <c r="B172" s="446"/>
      <c r="C172" s="446"/>
      <c r="D172" s="446"/>
      <c r="E172" s="446"/>
      <c r="F172" s="446"/>
      <c r="G172" s="446"/>
      <c r="H172" s="446"/>
      <c r="I172" s="446"/>
      <c r="J172" s="446"/>
      <c r="K172" s="446"/>
      <c r="L172" s="446"/>
      <c r="M172" s="446"/>
      <c r="N172" s="446"/>
      <c r="O172" s="446"/>
      <c r="P172" s="446"/>
      <c r="Q172" s="446"/>
      <c r="R172" s="446"/>
      <c r="S172" s="446"/>
      <c r="T172" s="446"/>
      <c r="U172" s="446"/>
      <c r="V172" s="446"/>
      <c r="W172" s="446"/>
      <c r="X172" s="446"/>
      <c r="Y172" s="446"/>
      <c r="Z172" s="446"/>
      <c r="AA172" s="446"/>
      <c r="AB172" s="446"/>
      <c r="AC172" s="446"/>
      <c r="AD172" s="446"/>
      <c r="AE172" s="446"/>
      <c r="AF172" s="446"/>
      <c r="AG172" s="446"/>
      <c r="AH172" s="446"/>
      <c r="AI172" s="446"/>
      <c r="AJ172" s="446"/>
      <c r="AK172" s="446"/>
      <c r="AL172" s="446"/>
      <c r="AM172" s="446"/>
      <c r="AN172" s="446"/>
    </row>
    <row r="173" spans="1:40" ht="14.25" customHeight="1">
      <c r="A173" s="446"/>
      <c r="B173" s="446"/>
      <c r="C173" s="446"/>
      <c r="D173" s="446"/>
      <c r="E173" s="446"/>
      <c r="F173" s="446"/>
      <c r="G173" s="446"/>
      <c r="H173" s="446"/>
      <c r="I173" s="446"/>
      <c r="J173" s="446"/>
      <c r="K173" s="446"/>
      <c r="L173" s="446"/>
      <c r="M173" s="446"/>
      <c r="N173" s="446"/>
      <c r="O173" s="446"/>
      <c r="P173" s="446"/>
      <c r="Q173" s="446"/>
      <c r="R173" s="446"/>
      <c r="S173" s="446"/>
      <c r="T173" s="446"/>
      <c r="U173" s="446"/>
      <c r="V173" s="446"/>
      <c r="W173" s="446"/>
      <c r="X173" s="446"/>
      <c r="Y173" s="446"/>
      <c r="Z173" s="446"/>
      <c r="AA173" s="446"/>
      <c r="AB173" s="446"/>
      <c r="AC173" s="446"/>
      <c r="AD173" s="446"/>
      <c r="AE173" s="446"/>
      <c r="AF173" s="446"/>
      <c r="AG173" s="446"/>
      <c r="AH173" s="446"/>
      <c r="AI173" s="446"/>
      <c r="AJ173" s="446"/>
      <c r="AK173" s="446"/>
      <c r="AL173" s="446"/>
      <c r="AM173" s="446"/>
      <c r="AN173" s="446"/>
    </row>
    <row r="174" spans="1:40" ht="14.25" customHeight="1">
      <c r="A174" s="446"/>
      <c r="B174" s="446"/>
      <c r="C174" s="446"/>
      <c r="D174" s="446"/>
      <c r="E174" s="446"/>
      <c r="F174" s="446"/>
      <c r="G174" s="446"/>
      <c r="H174" s="446"/>
      <c r="I174" s="446"/>
      <c r="J174" s="446"/>
      <c r="K174" s="446"/>
      <c r="L174" s="446"/>
      <c r="M174" s="446"/>
      <c r="N174" s="446"/>
      <c r="O174" s="446"/>
      <c r="P174" s="446"/>
      <c r="Q174" s="446"/>
      <c r="R174" s="446"/>
      <c r="S174" s="446"/>
      <c r="T174" s="446"/>
      <c r="U174" s="446"/>
      <c r="V174" s="446"/>
      <c r="W174" s="446"/>
      <c r="X174" s="446"/>
      <c r="Y174" s="446"/>
      <c r="Z174" s="446"/>
      <c r="AA174" s="446"/>
      <c r="AB174" s="446"/>
      <c r="AC174" s="446"/>
      <c r="AD174" s="446"/>
      <c r="AE174" s="446"/>
      <c r="AF174" s="446"/>
      <c r="AG174" s="446"/>
      <c r="AH174" s="446"/>
      <c r="AI174" s="446"/>
      <c r="AJ174" s="446"/>
      <c r="AK174" s="446"/>
      <c r="AL174" s="446"/>
      <c r="AM174" s="446"/>
      <c r="AN174" s="446"/>
    </row>
    <row r="175" spans="1:40" ht="14.25" customHeight="1">
      <c r="A175" s="446"/>
      <c r="B175" s="446"/>
      <c r="C175" s="446"/>
      <c r="D175" s="446"/>
      <c r="E175" s="446"/>
      <c r="F175" s="446"/>
      <c r="G175" s="446"/>
      <c r="H175" s="446"/>
      <c r="I175" s="446"/>
      <c r="J175" s="446"/>
      <c r="K175" s="446"/>
      <c r="L175" s="446"/>
      <c r="M175" s="446"/>
      <c r="N175" s="446"/>
      <c r="O175" s="446"/>
      <c r="P175" s="446"/>
      <c r="Q175" s="446"/>
      <c r="R175" s="446"/>
      <c r="S175" s="446"/>
      <c r="T175" s="446"/>
      <c r="U175" s="446"/>
      <c r="V175" s="446"/>
      <c r="W175" s="446"/>
      <c r="X175" s="446"/>
      <c r="Y175" s="446"/>
      <c r="Z175" s="446"/>
      <c r="AA175" s="446"/>
      <c r="AB175" s="446"/>
      <c r="AC175" s="446"/>
      <c r="AD175" s="446"/>
      <c r="AE175" s="446"/>
      <c r="AF175" s="446"/>
      <c r="AG175" s="446"/>
      <c r="AH175" s="446"/>
      <c r="AI175" s="446"/>
      <c r="AJ175" s="446"/>
      <c r="AK175" s="446"/>
      <c r="AL175" s="446"/>
      <c r="AM175" s="446"/>
      <c r="AN175" s="446"/>
    </row>
    <row r="176" spans="1:40" ht="14.25" customHeight="1">
      <c r="A176" s="446"/>
      <c r="B176" s="446"/>
      <c r="C176" s="446"/>
      <c r="D176" s="446"/>
      <c r="E176" s="446"/>
      <c r="F176" s="446"/>
      <c r="G176" s="446"/>
      <c r="H176" s="446"/>
      <c r="I176" s="446"/>
      <c r="J176" s="446"/>
      <c r="K176" s="446"/>
      <c r="L176" s="446"/>
      <c r="M176" s="446"/>
      <c r="N176" s="446"/>
      <c r="O176" s="446"/>
      <c r="P176" s="446"/>
      <c r="Q176" s="446"/>
      <c r="R176" s="446"/>
      <c r="S176" s="446"/>
      <c r="T176" s="446"/>
      <c r="U176" s="446"/>
      <c r="V176" s="446"/>
      <c r="W176" s="446"/>
      <c r="X176" s="446"/>
      <c r="Y176" s="446"/>
      <c r="Z176" s="446"/>
      <c r="AA176" s="446"/>
      <c r="AB176" s="446"/>
      <c r="AC176" s="446"/>
      <c r="AD176" s="446"/>
      <c r="AE176" s="446"/>
      <c r="AF176" s="446"/>
      <c r="AG176" s="446"/>
      <c r="AH176" s="446"/>
      <c r="AI176" s="446"/>
      <c r="AJ176" s="446"/>
      <c r="AK176" s="446"/>
      <c r="AL176" s="446"/>
      <c r="AM176" s="446"/>
      <c r="AN176" s="446"/>
    </row>
    <row r="177" spans="1:40" ht="14.25" customHeight="1">
      <c r="A177" s="446"/>
      <c r="B177" s="446"/>
      <c r="C177" s="446"/>
      <c r="D177" s="446"/>
      <c r="E177" s="446"/>
      <c r="F177" s="446"/>
      <c r="G177" s="446"/>
      <c r="H177" s="446"/>
      <c r="I177" s="446"/>
      <c r="J177" s="446"/>
      <c r="K177" s="446"/>
      <c r="L177" s="446"/>
      <c r="M177" s="446"/>
      <c r="N177" s="446"/>
      <c r="O177" s="446"/>
      <c r="P177" s="446"/>
      <c r="Q177" s="446"/>
      <c r="R177" s="446"/>
      <c r="S177" s="446"/>
      <c r="T177" s="446"/>
      <c r="U177" s="446"/>
      <c r="V177" s="446"/>
      <c r="W177" s="446"/>
      <c r="X177" s="446"/>
      <c r="Y177" s="446"/>
      <c r="Z177" s="446"/>
      <c r="AA177" s="446"/>
      <c r="AB177" s="446"/>
      <c r="AC177" s="446"/>
      <c r="AD177" s="446"/>
      <c r="AE177" s="446"/>
      <c r="AF177" s="446"/>
      <c r="AG177" s="446"/>
      <c r="AH177" s="446"/>
      <c r="AI177" s="446"/>
      <c r="AJ177" s="446"/>
      <c r="AK177" s="446"/>
      <c r="AL177" s="446"/>
      <c r="AM177" s="446"/>
      <c r="AN177" s="446"/>
    </row>
    <row r="178" spans="1:40" ht="14.25" customHeight="1">
      <c r="A178" s="446"/>
      <c r="B178" s="446"/>
      <c r="C178" s="446"/>
      <c r="D178" s="446"/>
      <c r="E178" s="446"/>
      <c r="F178" s="446"/>
      <c r="G178" s="446"/>
      <c r="H178" s="446"/>
      <c r="I178" s="446"/>
      <c r="J178" s="446"/>
      <c r="K178" s="446"/>
      <c r="L178" s="446"/>
      <c r="M178" s="446"/>
      <c r="N178" s="446"/>
      <c r="O178" s="446"/>
      <c r="P178" s="446"/>
      <c r="Q178" s="446"/>
      <c r="R178" s="446"/>
      <c r="S178" s="446"/>
      <c r="T178" s="446"/>
      <c r="U178" s="446"/>
      <c r="V178" s="446"/>
      <c r="W178" s="446"/>
      <c r="X178" s="446"/>
      <c r="Y178" s="446"/>
      <c r="Z178" s="446"/>
      <c r="AA178" s="446"/>
      <c r="AB178" s="446"/>
      <c r="AC178" s="446"/>
      <c r="AD178" s="446"/>
      <c r="AE178" s="446"/>
      <c r="AF178" s="446"/>
      <c r="AG178" s="446"/>
      <c r="AH178" s="446"/>
      <c r="AI178" s="446"/>
      <c r="AJ178" s="446"/>
      <c r="AK178" s="446"/>
      <c r="AL178" s="446"/>
      <c r="AM178" s="446"/>
      <c r="AN178" s="446"/>
    </row>
    <row r="179" spans="1:40" ht="14.25" customHeight="1">
      <c r="A179" s="446"/>
      <c r="B179" s="446"/>
      <c r="C179" s="446"/>
      <c r="D179" s="446"/>
      <c r="E179" s="446"/>
      <c r="F179" s="446"/>
      <c r="G179" s="446"/>
      <c r="H179" s="446"/>
      <c r="I179" s="446"/>
      <c r="J179" s="446"/>
      <c r="K179" s="446"/>
      <c r="L179" s="446"/>
      <c r="M179" s="446"/>
      <c r="N179" s="446"/>
      <c r="O179" s="446"/>
      <c r="P179" s="446"/>
      <c r="Q179" s="446"/>
      <c r="R179" s="446"/>
      <c r="S179" s="446"/>
      <c r="T179" s="446"/>
      <c r="U179" s="446"/>
      <c r="V179" s="446"/>
      <c r="W179" s="446"/>
      <c r="X179" s="446"/>
      <c r="Y179" s="446"/>
      <c r="Z179" s="446"/>
      <c r="AA179" s="446"/>
      <c r="AB179" s="446"/>
      <c r="AC179" s="446"/>
      <c r="AD179" s="446"/>
      <c r="AE179" s="446"/>
      <c r="AF179" s="446"/>
      <c r="AG179" s="446"/>
      <c r="AH179" s="446"/>
      <c r="AI179" s="446"/>
      <c r="AJ179" s="446"/>
      <c r="AK179" s="446"/>
      <c r="AL179" s="446"/>
      <c r="AM179" s="446"/>
      <c r="AN179" s="446"/>
    </row>
    <row r="180" spans="1:40" ht="14.25" customHeight="1">
      <c r="A180" s="446"/>
      <c r="B180" s="446"/>
      <c r="C180" s="446"/>
      <c r="D180" s="446"/>
      <c r="E180" s="446"/>
      <c r="F180" s="446"/>
      <c r="G180" s="446"/>
      <c r="H180" s="446"/>
      <c r="I180" s="446"/>
      <c r="J180" s="446"/>
      <c r="K180" s="446"/>
      <c r="L180" s="446"/>
      <c r="M180" s="446"/>
      <c r="N180" s="446"/>
      <c r="O180" s="446"/>
      <c r="P180" s="446"/>
      <c r="Q180" s="446"/>
      <c r="R180" s="446"/>
      <c r="S180" s="446"/>
      <c r="T180" s="446"/>
      <c r="U180" s="446"/>
      <c r="V180" s="446"/>
      <c r="W180" s="446"/>
      <c r="X180" s="446"/>
      <c r="Y180" s="446"/>
      <c r="Z180" s="446"/>
      <c r="AA180" s="446"/>
      <c r="AB180" s="446"/>
      <c r="AC180" s="446"/>
      <c r="AD180" s="446"/>
      <c r="AE180" s="446"/>
      <c r="AF180" s="446"/>
      <c r="AG180" s="446"/>
      <c r="AH180" s="446"/>
      <c r="AI180" s="446"/>
      <c r="AJ180" s="446"/>
      <c r="AK180" s="446"/>
      <c r="AL180" s="446"/>
      <c r="AM180" s="446"/>
      <c r="AN180" s="446"/>
    </row>
    <row r="181" spans="1:40" ht="14.25" customHeight="1">
      <c r="A181" s="446"/>
      <c r="B181" s="446"/>
      <c r="C181" s="446"/>
      <c r="D181" s="446"/>
      <c r="E181" s="446"/>
      <c r="F181" s="446"/>
      <c r="G181" s="446"/>
      <c r="H181" s="446"/>
      <c r="I181" s="446"/>
      <c r="J181" s="446"/>
      <c r="K181" s="446"/>
      <c r="L181" s="446"/>
      <c r="M181" s="446"/>
      <c r="N181" s="446"/>
      <c r="O181" s="446"/>
      <c r="P181" s="446"/>
      <c r="Q181" s="446"/>
      <c r="R181" s="446"/>
      <c r="S181" s="446"/>
      <c r="T181" s="446"/>
      <c r="U181" s="446"/>
      <c r="V181" s="446"/>
      <c r="W181" s="446"/>
      <c r="X181" s="446"/>
      <c r="Y181" s="446"/>
      <c r="Z181" s="446"/>
      <c r="AA181" s="446"/>
      <c r="AB181" s="446"/>
      <c r="AC181" s="446"/>
      <c r="AD181" s="446"/>
      <c r="AE181" s="446"/>
      <c r="AF181" s="446"/>
      <c r="AG181" s="446"/>
      <c r="AH181" s="446"/>
      <c r="AI181" s="446"/>
      <c r="AJ181" s="446"/>
      <c r="AK181" s="446"/>
      <c r="AL181" s="446"/>
      <c r="AM181" s="446"/>
      <c r="AN181" s="446"/>
    </row>
    <row r="182" spans="1:40" ht="14.25" customHeight="1">
      <c r="A182" s="446"/>
      <c r="B182" s="446"/>
      <c r="C182" s="446"/>
      <c r="D182" s="446"/>
      <c r="E182" s="446"/>
      <c r="F182" s="446"/>
      <c r="G182" s="446"/>
      <c r="H182" s="446"/>
      <c r="I182" s="446"/>
      <c r="J182" s="446"/>
      <c r="K182" s="446"/>
      <c r="L182" s="446"/>
      <c r="M182" s="446"/>
      <c r="N182" s="446"/>
      <c r="O182" s="446"/>
      <c r="P182" s="446"/>
      <c r="Q182" s="446"/>
      <c r="R182" s="446"/>
      <c r="S182" s="446"/>
      <c r="T182" s="446"/>
      <c r="U182" s="446"/>
      <c r="V182" s="446"/>
      <c r="W182" s="446"/>
      <c r="X182" s="446"/>
      <c r="Y182" s="446"/>
      <c r="Z182" s="446"/>
      <c r="AA182" s="446"/>
      <c r="AB182" s="446"/>
      <c r="AC182" s="446"/>
      <c r="AD182" s="446"/>
      <c r="AE182" s="446"/>
      <c r="AF182" s="446"/>
      <c r="AG182" s="446"/>
      <c r="AH182" s="446"/>
      <c r="AI182" s="446"/>
      <c r="AJ182" s="446"/>
      <c r="AK182" s="446"/>
      <c r="AL182" s="446"/>
      <c r="AM182" s="446"/>
      <c r="AN182" s="446"/>
    </row>
    <row r="183" spans="1:40" ht="14.25" customHeight="1">
      <c r="A183" s="446"/>
      <c r="B183" s="446"/>
      <c r="C183" s="446"/>
      <c r="D183" s="446"/>
      <c r="E183" s="446"/>
      <c r="F183" s="446"/>
      <c r="G183" s="446"/>
      <c r="H183" s="446"/>
      <c r="I183" s="446"/>
      <c r="J183" s="446"/>
      <c r="K183" s="446"/>
      <c r="L183" s="446"/>
      <c r="M183" s="446"/>
      <c r="N183" s="446"/>
      <c r="O183" s="446"/>
      <c r="P183" s="446"/>
      <c r="Q183" s="446"/>
      <c r="R183" s="446"/>
      <c r="S183" s="446"/>
      <c r="T183" s="446"/>
      <c r="U183" s="446"/>
      <c r="V183" s="446"/>
      <c r="W183" s="446"/>
      <c r="X183" s="446"/>
      <c r="Y183" s="446"/>
      <c r="Z183" s="446"/>
      <c r="AA183" s="446"/>
      <c r="AB183" s="446"/>
      <c r="AC183" s="446"/>
      <c r="AD183" s="446"/>
      <c r="AE183" s="446"/>
      <c r="AF183" s="446"/>
      <c r="AG183" s="446"/>
      <c r="AH183" s="446"/>
      <c r="AI183" s="446"/>
      <c r="AJ183" s="446"/>
      <c r="AK183" s="446"/>
      <c r="AL183" s="446"/>
      <c r="AM183" s="446"/>
      <c r="AN183" s="446"/>
    </row>
    <row r="184" spans="1:40" ht="14.25" customHeight="1">
      <c r="A184" s="446"/>
      <c r="B184" s="446"/>
      <c r="C184" s="446"/>
      <c r="D184" s="446"/>
      <c r="E184" s="446"/>
      <c r="F184" s="446"/>
      <c r="G184" s="446"/>
      <c r="H184" s="446"/>
      <c r="I184" s="446"/>
      <c r="J184" s="446"/>
      <c r="K184" s="446"/>
      <c r="L184" s="446"/>
      <c r="M184" s="446"/>
      <c r="N184" s="446"/>
      <c r="O184" s="446"/>
      <c r="P184" s="446"/>
      <c r="Q184" s="446"/>
      <c r="R184" s="446"/>
      <c r="S184" s="446"/>
      <c r="T184" s="446"/>
      <c r="U184" s="446"/>
      <c r="V184" s="446"/>
      <c r="W184" s="446"/>
      <c r="X184" s="446"/>
      <c r="Y184" s="446"/>
      <c r="Z184" s="446"/>
      <c r="AA184" s="446"/>
      <c r="AB184" s="446"/>
      <c r="AC184" s="446"/>
      <c r="AD184" s="446"/>
      <c r="AE184" s="446"/>
      <c r="AF184" s="446"/>
      <c r="AG184" s="446"/>
      <c r="AH184" s="446"/>
      <c r="AI184" s="446"/>
      <c r="AJ184" s="446"/>
      <c r="AK184" s="446"/>
      <c r="AL184" s="446"/>
      <c r="AM184" s="446"/>
      <c r="AN184" s="446"/>
    </row>
    <row r="185" spans="1:40" ht="14.25" customHeight="1">
      <c r="A185" s="446"/>
      <c r="B185" s="446"/>
      <c r="C185" s="446"/>
      <c r="D185" s="446"/>
      <c r="E185" s="446"/>
      <c r="F185" s="446"/>
      <c r="G185" s="446"/>
      <c r="H185" s="446"/>
      <c r="I185" s="446"/>
      <c r="J185" s="446"/>
      <c r="K185" s="446"/>
      <c r="L185" s="446"/>
      <c r="M185" s="446"/>
      <c r="N185" s="446"/>
      <c r="O185" s="446"/>
      <c r="P185" s="446"/>
      <c r="Q185" s="446"/>
      <c r="R185" s="446"/>
      <c r="S185" s="446"/>
      <c r="T185" s="446"/>
      <c r="U185" s="446"/>
      <c r="V185" s="446"/>
      <c r="W185" s="446"/>
      <c r="X185" s="446"/>
      <c r="Y185" s="446"/>
      <c r="Z185" s="446"/>
      <c r="AA185" s="446"/>
      <c r="AB185" s="446"/>
      <c r="AC185" s="446"/>
      <c r="AD185" s="446"/>
      <c r="AE185" s="446"/>
      <c r="AF185" s="446"/>
      <c r="AG185" s="446"/>
      <c r="AH185" s="446"/>
      <c r="AI185" s="446"/>
      <c r="AJ185" s="446"/>
      <c r="AK185" s="446"/>
      <c r="AL185" s="446"/>
      <c r="AM185" s="446"/>
      <c r="AN185" s="446"/>
    </row>
    <row r="186" spans="1:40" ht="14.25" customHeight="1">
      <c r="A186" s="446"/>
      <c r="B186" s="446"/>
      <c r="C186" s="446"/>
      <c r="D186" s="446"/>
      <c r="E186" s="446"/>
      <c r="F186" s="446"/>
      <c r="G186" s="446"/>
      <c r="H186" s="446"/>
      <c r="I186" s="446"/>
      <c r="J186" s="446"/>
      <c r="K186" s="446"/>
      <c r="L186" s="446"/>
      <c r="M186" s="446"/>
      <c r="N186" s="446"/>
      <c r="O186" s="446"/>
      <c r="P186" s="446"/>
      <c r="Q186" s="446"/>
      <c r="R186" s="446"/>
      <c r="S186" s="446"/>
      <c r="T186" s="446"/>
      <c r="U186" s="446"/>
      <c r="V186" s="446"/>
      <c r="W186" s="446"/>
      <c r="X186" s="446"/>
      <c r="Y186" s="446"/>
      <c r="Z186" s="446"/>
      <c r="AA186" s="446"/>
      <c r="AB186" s="446"/>
      <c r="AC186" s="446"/>
      <c r="AD186" s="446"/>
      <c r="AE186" s="446"/>
      <c r="AF186" s="446"/>
      <c r="AG186" s="446"/>
      <c r="AH186" s="446"/>
      <c r="AI186" s="446"/>
      <c r="AJ186" s="446"/>
      <c r="AK186" s="446"/>
      <c r="AL186" s="446"/>
      <c r="AM186" s="446"/>
      <c r="AN186" s="446"/>
    </row>
    <row r="187" spans="1:40" ht="14.25" customHeight="1">
      <c r="A187" s="446"/>
      <c r="B187" s="446"/>
      <c r="C187" s="446"/>
      <c r="D187" s="446"/>
      <c r="E187" s="446"/>
      <c r="F187" s="446"/>
      <c r="G187" s="446"/>
      <c r="H187" s="446"/>
      <c r="I187" s="446"/>
      <c r="J187" s="446"/>
      <c r="K187" s="446"/>
      <c r="L187" s="446"/>
      <c r="M187" s="446"/>
      <c r="N187" s="446"/>
      <c r="O187" s="446"/>
      <c r="P187" s="446"/>
      <c r="Q187" s="446"/>
      <c r="R187" s="446"/>
      <c r="S187" s="446"/>
      <c r="T187" s="446"/>
      <c r="U187" s="446"/>
      <c r="V187" s="446"/>
      <c r="W187" s="446"/>
      <c r="X187" s="446"/>
      <c r="Y187" s="446"/>
      <c r="Z187" s="446"/>
      <c r="AA187" s="446"/>
      <c r="AB187" s="446"/>
      <c r="AC187" s="446"/>
      <c r="AD187" s="446"/>
      <c r="AE187" s="446"/>
      <c r="AF187" s="446"/>
      <c r="AG187" s="446"/>
      <c r="AH187" s="446"/>
      <c r="AI187" s="446"/>
      <c r="AJ187" s="446"/>
      <c r="AK187" s="446"/>
      <c r="AL187" s="446"/>
      <c r="AM187" s="446"/>
      <c r="AN187" s="446"/>
    </row>
    <row r="188" spans="1:40" ht="14.25" customHeight="1">
      <c r="A188" s="446"/>
      <c r="B188" s="446"/>
      <c r="C188" s="446"/>
      <c r="D188" s="446"/>
      <c r="E188" s="446"/>
      <c r="F188" s="446"/>
      <c r="G188" s="446"/>
      <c r="H188" s="446"/>
      <c r="I188" s="446"/>
      <c r="J188" s="446"/>
      <c r="K188" s="446"/>
      <c r="L188" s="446"/>
      <c r="M188" s="446"/>
      <c r="N188" s="446"/>
      <c r="O188" s="446"/>
      <c r="P188" s="446"/>
      <c r="Q188" s="446"/>
      <c r="R188" s="446"/>
      <c r="S188" s="446"/>
      <c r="T188" s="446"/>
      <c r="U188" s="446"/>
      <c r="V188" s="446"/>
      <c r="W188" s="446"/>
      <c r="X188" s="446"/>
      <c r="Y188" s="446"/>
      <c r="Z188" s="446"/>
      <c r="AA188" s="446"/>
      <c r="AB188" s="446"/>
      <c r="AC188" s="446"/>
      <c r="AD188" s="446"/>
      <c r="AE188" s="446"/>
      <c r="AF188" s="446"/>
      <c r="AG188" s="446"/>
      <c r="AH188" s="446"/>
      <c r="AI188" s="446"/>
      <c r="AJ188" s="446"/>
      <c r="AK188" s="446"/>
      <c r="AL188" s="446"/>
      <c r="AM188" s="446"/>
      <c r="AN188" s="446"/>
    </row>
    <row r="189" spans="1:40" ht="14.25" customHeight="1">
      <c r="A189" s="446"/>
      <c r="B189" s="446"/>
      <c r="C189" s="446"/>
      <c r="D189" s="446"/>
      <c r="E189" s="446"/>
      <c r="F189" s="446"/>
      <c r="G189" s="446"/>
      <c r="H189" s="446"/>
      <c r="I189" s="446"/>
      <c r="J189" s="446"/>
      <c r="K189" s="446"/>
      <c r="L189" s="446"/>
      <c r="M189" s="446"/>
      <c r="N189" s="446"/>
      <c r="O189" s="446"/>
      <c r="P189" s="446"/>
      <c r="Q189" s="446"/>
      <c r="R189" s="446"/>
      <c r="S189" s="446"/>
      <c r="T189" s="446"/>
      <c r="U189" s="446"/>
      <c r="V189" s="446"/>
      <c r="W189" s="446"/>
      <c r="X189" s="446"/>
      <c r="Y189" s="446"/>
      <c r="Z189" s="446"/>
      <c r="AA189" s="446"/>
      <c r="AB189" s="446"/>
      <c r="AC189" s="446"/>
      <c r="AD189" s="446"/>
      <c r="AE189" s="446"/>
      <c r="AF189" s="446"/>
      <c r="AG189" s="446"/>
      <c r="AH189" s="446"/>
      <c r="AI189" s="446"/>
      <c r="AJ189" s="446"/>
      <c r="AK189" s="446"/>
      <c r="AL189" s="446"/>
      <c r="AM189" s="446"/>
      <c r="AN189" s="446"/>
    </row>
    <row r="190" spans="1:40" ht="14.25" customHeight="1">
      <c r="A190" s="446"/>
      <c r="B190" s="446"/>
      <c r="C190" s="446"/>
      <c r="D190" s="446"/>
      <c r="E190" s="446"/>
      <c r="F190" s="446"/>
      <c r="G190" s="446"/>
      <c r="H190" s="446"/>
      <c r="I190" s="446"/>
      <c r="J190" s="446"/>
      <c r="K190" s="446"/>
      <c r="L190" s="446"/>
      <c r="M190" s="446"/>
      <c r="N190" s="446"/>
      <c r="O190" s="446"/>
      <c r="P190" s="446"/>
      <c r="Q190" s="446"/>
      <c r="R190" s="446"/>
      <c r="S190" s="446"/>
      <c r="T190" s="446"/>
      <c r="U190" s="446"/>
      <c r="V190" s="446"/>
      <c r="W190" s="446"/>
      <c r="X190" s="446"/>
      <c r="Y190" s="446"/>
      <c r="Z190" s="446"/>
      <c r="AA190" s="446"/>
      <c r="AB190" s="446"/>
      <c r="AC190" s="446"/>
      <c r="AD190" s="446"/>
      <c r="AE190" s="446"/>
      <c r="AF190" s="446"/>
      <c r="AG190" s="446"/>
      <c r="AH190" s="446"/>
      <c r="AI190" s="446"/>
      <c r="AJ190" s="446"/>
      <c r="AK190" s="446"/>
      <c r="AL190" s="446"/>
      <c r="AM190" s="446"/>
      <c r="AN190" s="446"/>
    </row>
    <row r="191" spans="1:40" ht="14.25" customHeight="1">
      <c r="A191" s="446"/>
      <c r="B191" s="446"/>
      <c r="C191" s="446"/>
      <c r="D191" s="446"/>
      <c r="E191" s="446"/>
      <c r="F191" s="446"/>
      <c r="G191" s="446"/>
      <c r="H191" s="446"/>
      <c r="I191" s="446"/>
      <c r="J191" s="446"/>
      <c r="K191" s="446"/>
      <c r="L191" s="446"/>
      <c r="M191" s="446"/>
      <c r="N191" s="446"/>
      <c r="O191" s="446"/>
      <c r="P191" s="446"/>
      <c r="Q191" s="446"/>
      <c r="R191" s="446"/>
      <c r="S191" s="446"/>
      <c r="T191" s="446"/>
      <c r="U191" s="446"/>
      <c r="V191" s="446"/>
      <c r="W191" s="446"/>
      <c r="X191" s="446"/>
      <c r="Y191" s="446"/>
      <c r="Z191" s="446"/>
      <c r="AA191" s="446"/>
      <c r="AB191" s="446"/>
      <c r="AC191" s="446"/>
      <c r="AD191" s="446"/>
      <c r="AE191" s="446"/>
      <c r="AF191" s="446"/>
      <c r="AG191" s="446"/>
      <c r="AH191" s="446"/>
      <c r="AI191" s="446"/>
      <c r="AJ191" s="446"/>
      <c r="AK191" s="446"/>
      <c r="AL191" s="446"/>
      <c r="AM191" s="446"/>
      <c r="AN191" s="446"/>
    </row>
    <row r="192" spans="1:40" ht="14.25" customHeight="1">
      <c r="A192" s="446"/>
      <c r="B192" s="446"/>
      <c r="C192" s="446"/>
      <c r="D192" s="446"/>
      <c r="E192" s="446"/>
      <c r="F192" s="446"/>
      <c r="G192" s="446"/>
      <c r="H192" s="446"/>
      <c r="I192" s="446"/>
      <c r="J192" s="446"/>
      <c r="K192" s="446"/>
      <c r="L192" s="446"/>
      <c r="M192" s="446"/>
      <c r="N192" s="446"/>
      <c r="O192" s="446"/>
      <c r="P192" s="446"/>
      <c r="Q192" s="446"/>
      <c r="R192" s="446"/>
      <c r="S192" s="446"/>
      <c r="T192" s="446"/>
      <c r="U192" s="446"/>
      <c r="V192" s="446"/>
      <c r="W192" s="446"/>
      <c r="X192" s="446"/>
      <c r="Y192" s="446"/>
      <c r="Z192" s="446"/>
      <c r="AA192" s="446"/>
      <c r="AB192" s="446"/>
      <c r="AC192" s="446"/>
      <c r="AD192" s="446"/>
      <c r="AE192" s="446"/>
      <c r="AF192" s="446"/>
      <c r="AG192" s="446"/>
      <c r="AH192" s="446"/>
      <c r="AI192" s="446"/>
      <c r="AJ192" s="446"/>
      <c r="AK192" s="446"/>
      <c r="AL192" s="446"/>
      <c r="AM192" s="446"/>
      <c r="AN192" s="446"/>
    </row>
    <row r="193" spans="1:40" ht="14.25" customHeight="1">
      <c r="A193" s="446"/>
      <c r="B193" s="446"/>
      <c r="C193" s="446"/>
      <c r="D193" s="446"/>
      <c r="E193" s="446"/>
      <c r="F193" s="446"/>
      <c r="G193" s="446"/>
      <c r="H193" s="446"/>
      <c r="I193" s="446"/>
      <c r="J193" s="446"/>
      <c r="K193" s="446"/>
      <c r="L193" s="446"/>
      <c r="M193" s="446"/>
      <c r="N193" s="446"/>
      <c r="O193" s="446"/>
      <c r="P193" s="446"/>
      <c r="Q193" s="446"/>
      <c r="R193" s="446"/>
      <c r="S193" s="446"/>
      <c r="T193" s="446"/>
      <c r="U193" s="446"/>
      <c r="V193" s="446"/>
      <c r="W193" s="446"/>
      <c r="X193" s="446"/>
      <c r="Y193" s="446"/>
      <c r="Z193" s="446"/>
      <c r="AA193" s="446"/>
      <c r="AB193" s="446"/>
      <c r="AC193" s="446"/>
      <c r="AD193" s="446"/>
      <c r="AE193" s="446"/>
      <c r="AF193" s="446"/>
      <c r="AG193" s="446"/>
      <c r="AH193" s="446"/>
      <c r="AI193" s="446"/>
      <c r="AJ193" s="446"/>
      <c r="AK193" s="446"/>
      <c r="AL193" s="446"/>
      <c r="AM193" s="446"/>
      <c r="AN193" s="446"/>
    </row>
    <row r="194" spans="1:40" ht="14.25" customHeight="1">
      <c r="A194" s="446"/>
      <c r="B194" s="446"/>
      <c r="C194" s="446"/>
      <c r="D194" s="446"/>
      <c r="E194" s="446"/>
      <c r="F194" s="446"/>
      <c r="G194" s="446"/>
      <c r="H194" s="446"/>
      <c r="I194" s="446"/>
      <c r="J194" s="446"/>
      <c r="K194" s="446"/>
      <c r="L194" s="446"/>
      <c r="M194" s="446"/>
      <c r="N194" s="446"/>
      <c r="O194" s="446"/>
      <c r="P194" s="446"/>
      <c r="Q194" s="446"/>
      <c r="R194" s="446"/>
      <c r="S194" s="446"/>
      <c r="T194" s="446"/>
      <c r="U194" s="446"/>
      <c r="V194" s="446"/>
      <c r="W194" s="446"/>
      <c r="X194" s="446"/>
      <c r="Y194" s="446"/>
      <c r="Z194" s="446"/>
      <c r="AA194" s="446"/>
      <c r="AB194" s="446"/>
      <c r="AC194" s="446"/>
      <c r="AD194" s="446"/>
      <c r="AE194" s="446"/>
      <c r="AF194" s="446"/>
      <c r="AG194" s="446"/>
      <c r="AH194" s="446"/>
      <c r="AI194" s="446"/>
      <c r="AJ194" s="446"/>
      <c r="AK194" s="446"/>
      <c r="AL194" s="446"/>
      <c r="AM194" s="446"/>
      <c r="AN194" s="446"/>
    </row>
    <row r="195" spans="1:40" ht="14.25" customHeight="1">
      <c r="A195" s="446"/>
      <c r="B195" s="446"/>
      <c r="C195" s="446"/>
      <c r="D195" s="446"/>
      <c r="E195" s="446"/>
      <c r="F195" s="446"/>
      <c r="G195" s="446"/>
      <c r="H195" s="446"/>
      <c r="I195" s="446"/>
      <c r="J195" s="446"/>
      <c r="K195" s="446"/>
      <c r="L195" s="446"/>
      <c r="M195" s="446"/>
      <c r="N195" s="446"/>
      <c r="O195" s="446"/>
      <c r="P195" s="446"/>
      <c r="Q195" s="446"/>
      <c r="R195" s="446"/>
      <c r="S195" s="446"/>
      <c r="T195" s="446"/>
      <c r="U195" s="446"/>
      <c r="V195" s="446"/>
      <c r="W195" s="446"/>
      <c r="X195" s="446"/>
      <c r="Y195" s="446"/>
      <c r="Z195" s="446"/>
      <c r="AA195" s="446"/>
      <c r="AB195" s="446"/>
      <c r="AC195" s="446"/>
      <c r="AD195" s="446"/>
      <c r="AE195" s="446"/>
      <c r="AF195" s="446"/>
      <c r="AG195" s="446"/>
      <c r="AH195" s="446"/>
      <c r="AI195" s="446"/>
      <c r="AJ195" s="446"/>
      <c r="AK195" s="446"/>
      <c r="AL195" s="446"/>
      <c r="AM195" s="446"/>
      <c r="AN195" s="446"/>
    </row>
    <row r="196" spans="1:40" ht="14.25" customHeight="1">
      <c r="A196" s="446"/>
      <c r="B196" s="446"/>
      <c r="C196" s="446"/>
      <c r="D196" s="446"/>
      <c r="E196" s="446"/>
      <c r="F196" s="446"/>
      <c r="G196" s="446"/>
      <c r="H196" s="446"/>
      <c r="I196" s="446"/>
      <c r="J196" s="446"/>
      <c r="K196" s="446"/>
      <c r="L196" s="446"/>
      <c r="M196" s="446"/>
      <c r="N196" s="446"/>
      <c r="O196" s="446"/>
      <c r="P196" s="446"/>
      <c r="Q196" s="446"/>
      <c r="R196" s="446"/>
      <c r="S196" s="446"/>
      <c r="T196" s="446"/>
      <c r="U196" s="446"/>
      <c r="V196" s="446"/>
      <c r="W196" s="446"/>
      <c r="X196" s="446"/>
      <c r="Y196" s="446"/>
      <c r="Z196" s="446"/>
      <c r="AA196" s="446"/>
      <c r="AB196" s="446"/>
      <c r="AC196" s="446"/>
      <c r="AD196" s="446"/>
      <c r="AE196" s="446"/>
      <c r="AF196" s="446"/>
      <c r="AG196" s="446"/>
      <c r="AH196" s="446"/>
      <c r="AI196" s="446"/>
      <c r="AJ196" s="446"/>
      <c r="AK196" s="446"/>
      <c r="AL196" s="446"/>
      <c r="AM196" s="446"/>
      <c r="AN196" s="446"/>
    </row>
    <row r="197" spans="1:40" ht="14.25" customHeight="1">
      <c r="A197" s="446"/>
      <c r="B197" s="446"/>
      <c r="C197" s="446"/>
      <c r="D197" s="446"/>
      <c r="E197" s="446"/>
      <c r="F197" s="446"/>
      <c r="G197" s="446"/>
      <c r="H197" s="446"/>
      <c r="I197" s="446"/>
      <c r="J197" s="446"/>
      <c r="K197" s="446"/>
      <c r="L197" s="446"/>
      <c r="M197" s="446"/>
      <c r="N197" s="446"/>
      <c r="O197" s="446"/>
      <c r="P197" s="446"/>
      <c r="Q197" s="446"/>
      <c r="R197" s="446"/>
      <c r="S197" s="446"/>
      <c r="T197" s="446"/>
      <c r="U197" s="446"/>
      <c r="V197" s="446"/>
      <c r="W197" s="446"/>
      <c r="X197" s="446"/>
      <c r="Y197" s="446"/>
      <c r="Z197" s="446"/>
      <c r="AA197" s="446"/>
      <c r="AB197" s="446"/>
      <c r="AC197" s="446"/>
      <c r="AD197" s="446"/>
      <c r="AE197" s="446"/>
      <c r="AF197" s="446"/>
      <c r="AG197" s="446"/>
      <c r="AH197" s="446"/>
      <c r="AI197" s="446"/>
      <c r="AJ197" s="446"/>
      <c r="AK197" s="446"/>
      <c r="AL197" s="446"/>
      <c r="AM197" s="446"/>
      <c r="AN197" s="446"/>
    </row>
    <row r="198" spans="1:40" ht="14.25" customHeight="1">
      <c r="A198" s="446"/>
      <c r="B198" s="446"/>
      <c r="C198" s="446"/>
      <c r="D198" s="446"/>
      <c r="E198" s="446"/>
      <c r="F198" s="446"/>
      <c r="G198" s="446"/>
      <c r="H198" s="446"/>
      <c r="I198" s="446"/>
      <c r="J198" s="446"/>
      <c r="K198" s="446"/>
      <c r="L198" s="446"/>
      <c r="M198" s="446"/>
      <c r="N198" s="446"/>
      <c r="O198" s="446"/>
      <c r="P198" s="446"/>
      <c r="Q198" s="446"/>
      <c r="R198" s="446"/>
      <c r="S198" s="446"/>
      <c r="T198" s="446"/>
      <c r="U198" s="446"/>
      <c r="V198" s="446"/>
      <c r="W198" s="446"/>
      <c r="X198" s="446"/>
      <c r="Y198" s="446"/>
      <c r="Z198" s="446"/>
      <c r="AA198" s="446"/>
      <c r="AB198" s="446"/>
      <c r="AC198" s="446"/>
      <c r="AD198" s="446"/>
      <c r="AE198" s="446"/>
      <c r="AF198" s="446"/>
      <c r="AG198" s="446"/>
      <c r="AH198" s="446"/>
      <c r="AI198" s="446"/>
      <c r="AJ198" s="446"/>
      <c r="AK198" s="446"/>
      <c r="AL198" s="446"/>
      <c r="AM198" s="446"/>
      <c r="AN198" s="446"/>
    </row>
    <row r="199" spans="1:40" ht="14.25" customHeight="1">
      <c r="A199" s="446"/>
      <c r="B199" s="446"/>
      <c r="C199" s="446"/>
      <c r="D199" s="446"/>
      <c r="E199" s="446"/>
      <c r="F199" s="446"/>
      <c r="G199" s="446"/>
      <c r="H199" s="446"/>
      <c r="I199" s="446"/>
      <c r="J199" s="446"/>
      <c r="K199" s="446"/>
      <c r="L199" s="446"/>
      <c r="M199" s="446"/>
      <c r="N199" s="446"/>
      <c r="O199" s="446"/>
      <c r="P199" s="446"/>
      <c r="Q199" s="446"/>
      <c r="R199" s="446"/>
      <c r="S199" s="446"/>
      <c r="T199" s="446"/>
      <c r="U199" s="446"/>
      <c r="V199" s="446"/>
      <c r="W199" s="446"/>
      <c r="X199" s="446"/>
      <c r="Y199" s="446"/>
      <c r="Z199" s="446"/>
      <c r="AA199" s="446"/>
      <c r="AB199" s="446"/>
      <c r="AC199" s="446"/>
      <c r="AD199" s="446"/>
      <c r="AE199" s="446"/>
      <c r="AF199" s="446"/>
      <c r="AG199" s="446"/>
      <c r="AH199" s="446"/>
      <c r="AI199" s="446"/>
      <c r="AJ199" s="446"/>
      <c r="AK199" s="446"/>
      <c r="AL199" s="446"/>
      <c r="AM199" s="446"/>
      <c r="AN199" s="446"/>
    </row>
    <row r="200" spans="1:40" ht="14.25" customHeight="1">
      <c r="A200" s="446"/>
      <c r="B200" s="446"/>
      <c r="C200" s="446"/>
      <c r="D200" s="446"/>
      <c r="E200" s="446"/>
      <c r="F200" s="446"/>
      <c r="G200" s="446"/>
      <c r="H200" s="446"/>
      <c r="I200" s="446"/>
      <c r="J200" s="446"/>
      <c r="K200" s="446"/>
      <c r="L200" s="446"/>
      <c r="M200" s="446"/>
      <c r="N200" s="446"/>
      <c r="O200" s="446"/>
      <c r="P200" s="446"/>
      <c r="Q200" s="446"/>
      <c r="R200" s="446"/>
      <c r="S200" s="446"/>
      <c r="T200" s="446"/>
      <c r="U200" s="446"/>
      <c r="V200" s="446"/>
      <c r="W200" s="446"/>
      <c r="X200" s="446"/>
      <c r="Y200" s="446"/>
      <c r="Z200" s="446"/>
      <c r="AA200" s="446"/>
      <c r="AB200" s="446"/>
      <c r="AC200" s="446"/>
      <c r="AD200" s="446"/>
      <c r="AE200" s="446"/>
      <c r="AF200" s="446"/>
      <c r="AG200" s="446"/>
      <c r="AH200" s="446"/>
      <c r="AI200" s="446"/>
      <c r="AJ200" s="446"/>
      <c r="AK200" s="446"/>
      <c r="AL200" s="446"/>
      <c r="AM200" s="446"/>
      <c r="AN200" s="446"/>
    </row>
    <row r="201" spans="1:40" ht="14.25" customHeight="1">
      <c r="A201" s="446"/>
      <c r="B201" s="446"/>
      <c r="C201" s="446"/>
      <c r="D201" s="446"/>
      <c r="E201" s="446"/>
      <c r="F201" s="446"/>
      <c r="G201" s="446"/>
      <c r="H201" s="446"/>
      <c r="I201" s="446"/>
      <c r="J201" s="446"/>
      <c r="K201" s="446"/>
      <c r="L201" s="446"/>
      <c r="M201" s="446"/>
      <c r="N201" s="446"/>
      <c r="O201" s="446"/>
      <c r="P201" s="446"/>
      <c r="Q201" s="446"/>
      <c r="R201" s="446"/>
      <c r="S201" s="446"/>
      <c r="T201" s="446"/>
      <c r="U201" s="446"/>
      <c r="V201" s="446"/>
      <c r="W201" s="446"/>
      <c r="X201" s="446"/>
      <c r="Y201" s="446"/>
      <c r="Z201" s="446"/>
      <c r="AA201" s="446"/>
      <c r="AB201" s="446"/>
      <c r="AC201" s="446"/>
      <c r="AD201" s="446"/>
      <c r="AE201" s="446"/>
      <c r="AF201" s="446"/>
      <c r="AG201" s="446"/>
      <c r="AH201" s="446"/>
      <c r="AI201" s="446"/>
      <c r="AJ201" s="446"/>
      <c r="AK201" s="446"/>
      <c r="AL201" s="446"/>
      <c r="AM201" s="446"/>
      <c r="AN201" s="446"/>
    </row>
    <row r="202" spans="1:40" ht="14.25" customHeight="1">
      <c r="A202" s="446"/>
      <c r="B202" s="446"/>
      <c r="C202" s="446"/>
      <c r="D202" s="446"/>
      <c r="E202" s="446"/>
      <c r="F202" s="446"/>
      <c r="G202" s="446"/>
      <c r="H202" s="446"/>
      <c r="I202" s="446"/>
      <c r="J202" s="446"/>
      <c r="K202" s="446"/>
      <c r="L202" s="446"/>
      <c r="M202" s="446"/>
      <c r="N202" s="446"/>
      <c r="O202" s="446"/>
      <c r="P202" s="446"/>
      <c r="Q202" s="446"/>
      <c r="R202" s="446"/>
      <c r="S202" s="446"/>
      <c r="T202" s="446"/>
      <c r="U202" s="446"/>
      <c r="V202" s="446"/>
      <c r="W202" s="446"/>
      <c r="X202" s="446"/>
      <c r="Y202" s="446"/>
      <c r="Z202" s="446"/>
      <c r="AA202" s="446"/>
      <c r="AB202" s="446"/>
      <c r="AC202" s="446"/>
      <c r="AD202" s="446"/>
      <c r="AE202" s="446"/>
      <c r="AF202" s="446"/>
      <c r="AG202" s="446"/>
      <c r="AH202" s="446"/>
      <c r="AI202" s="446"/>
      <c r="AJ202" s="446"/>
      <c r="AK202" s="446"/>
      <c r="AL202" s="446"/>
      <c r="AM202" s="446"/>
      <c r="AN202" s="446"/>
    </row>
    <row r="203" spans="1:40" ht="14.25" customHeight="1">
      <c r="A203" s="446"/>
      <c r="B203" s="446"/>
      <c r="C203" s="446"/>
      <c r="D203" s="446"/>
      <c r="E203" s="446"/>
      <c r="F203" s="446"/>
      <c r="G203" s="446"/>
      <c r="H203" s="446"/>
      <c r="I203" s="446"/>
      <c r="J203" s="446"/>
      <c r="K203" s="446"/>
      <c r="L203" s="446"/>
      <c r="M203" s="446"/>
      <c r="N203" s="446"/>
      <c r="O203" s="446"/>
      <c r="P203" s="446"/>
      <c r="Q203" s="446"/>
      <c r="R203" s="446"/>
      <c r="S203" s="446"/>
      <c r="T203" s="446"/>
      <c r="U203" s="446"/>
      <c r="V203" s="446"/>
      <c r="W203" s="446"/>
      <c r="X203" s="446"/>
      <c r="Y203" s="446"/>
      <c r="Z203" s="446"/>
      <c r="AA203" s="446"/>
      <c r="AB203" s="446"/>
      <c r="AC203" s="446"/>
      <c r="AD203" s="446"/>
      <c r="AE203" s="446"/>
      <c r="AF203" s="446"/>
      <c r="AG203" s="446"/>
      <c r="AH203" s="446"/>
      <c r="AI203" s="446"/>
      <c r="AJ203" s="446"/>
      <c r="AK203" s="446"/>
      <c r="AL203" s="446"/>
      <c r="AM203" s="446"/>
      <c r="AN203" s="446"/>
    </row>
    <row r="204" spans="1:40" ht="14.25" customHeight="1">
      <c r="A204" s="446"/>
      <c r="B204" s="446"/>
      <c r="C204" s="446"/>
      <c r="D204" s="446"/>
      <c r="E204" s="446"/>
      <c r="F204" s="446"/>
      <c r="G204" s="446"/>
      <c r="H204" s="446"/>
      <c r="I204" s="446"/>
      <c r="J204" s="446"/>
      <c r="K204" s="446"/>
      <c r="L204" s="446"/>
      <c r="M204" s="446"/>
      <c r="N204" s="446"/>
      <c r="O204" s="446"/>
      <c r="P204" s="446"/>
      <c r="Q204" s="446"/>
      <c r="R204" s="446"/>
      <c r="S204" s="446"/>
      <c r="T204" s="446"/>
      <c r="U204" s="446"/>
      <c r="V204" s="446"/>
      <c r="W204" s="446"/>
      <c r="X204" s="446"/>
      <c r="Y204" s="446"/>
      <c r="Z204" s="446"/>
      <c r="AA204" s="446"/>
      <c r="AB204" s="446"/>
      <c r="AC204" s="446"/>
      <c r="AD204" s="446"/>
      <c r="AE204" s="446"/>
      <c r="AF204" s="446"/>
      <c r="AG204" s="446"/>
      <c r="AH204" s="446"/>
      <c r="AI204" s="446"/>
      <c r="AJ204" s="446"/>
      <c r="AK204" s="446"/>
      <c r="AL204" s="446"/>
      <c r="AM204" s="446"/>
      <c r="AN204" s="446"/>
    </row>
    <row r="205" spans="1:40" ht="14.25" customHeight="1">
      <c r="A205" s="446"/>
      <c r="B205" s="446"/>
      <c r="C205" s="446"/>
      <c r="D205" s="446"/>
      <c r="E205" s="446"/>
      <c r="F205" s="446"/>
      <c r="G205" s="446"/>
      <c r="H205" s="446"/>
      <c r="I205" s="446"/>
      <c r="J205" s="446"/>
      <c r="K205" s="446"/>
      <c r="L205" s="446"/>
      <c r="M205" s="446"/>
      <c r="N205" s="446"/>
      <c r="O205" s="446"/>
      <c r="P205" s="446"/>
      <c r="Q205" s="446"/>
      <c r="R205" s="446"/>
      <c r="S205" s="446"/>
      <c r="T205" s="446"/>
      <c r="U205" s="446"/>
      <c r="V205" s="446"/>
      <c r="W205" s="446"/>
      <c r="X205" s="446"/>
      <c r="Y205" s="446"/>
      <c r="Z205" s="446"/>
      <c r="AA205" s="446"/>
      <c r="AB205" s="446"/>
      <c r="AC205" s="446"/>
      <c r="AD205" s="446"/>
      <c r="AE205" s="446"/>
      <c r="AF205" s="446"/>
      <c r="AG205" s="446"/>
      <c r="AH205" s="446"/>
      <c r="AI205" s="446"/>
      <c r="AJ205" s="446"/>
      <c r="AK205" s="446"/>
      <c r="AL205" s="446"/>
      <c r="AM205" s="446"/>
      <c r="AN205" s="446"/>
    </row>
    <row r="206" spans="1:40" ht="14.25" customHeight="1">
      <c r="A206" s="446"/>
      <c r="B206" s="446"/>
      <c r="C206" s="446"/>
      <c r="D206" s="446"/>
      <c r="E206" s="446"/>
      <c r="F206" s="446"/>
      <c r="G206" s="446"/>
      <c r="H206" s="446"/>
      <c r="I206" s="446"/>
      <c r="J206" s="446"/>
      <c r="K206" s="446"/>
      <c r="L206" s="446"/>
      <c r="M206" s="446"/>
      <c r="N206" s="446"/>
      <c r="O206" s="446"/>
      <c r="P206" s="446"/>
      <c r="Q206" s="446"/>
      <c r="R206" s="446"/>
      <c r="S206" s="446"/>
      <c r="T206" s="446"/>
      <c r="U206" s="446"/>
      <c r="V206" s="446"/>
      <c r="W206" s="446"/>
      <c r="X206" s="446"/>
      <c r="Y206" s="446"/>
      <c r="Z206" s="446"/>
      <c r="AA206" s="446"/>
      <c r="AB206" s="446"/>
      <c r="AC206" s="446"/>
      <c r="AD206" s="446"/>
      <c r="AE206" s="446"/>
      <c r="AF206" s="446"/>
      <c r="AG206" s="446"/>
      <c r="AH206" s="446"/>
      <c r="AI206" s="446"/>
      <c r="AJ206" s="446"/>
      <c r="AK206" s="446"/>
      <c r="AL206" s="446"/>
      <c r="AM206" s="446"/>
      <c r="AN206" s="446"/>
    </row>
    <row r="207" spans="1:40" ht="14.25" customHeight="1">
      <c r="A207" s="446"/>
      <c r="B207" s="446"/>
      <c r="C207" s="446"/>
      <c r="D207" s="446"/>
      <c r="E207" s="446"/>
      <c r="F207" s="446"/>
      <c r="G207" s="446"/>
      <c r="H207" s="446"/>
      <c r="I207" s="446"/>
      <c r="J207" s="446"/>
      <c r="K207" s="446"/>
      <c r="L207" s="446"/>
      <c r="M207" s="446"/>
      <c r="N207" s="446"/>
      <c r="O207" s="446"/>
      <c r="P207" s="446"/>
      <c r="Q207" s="446"/>
      <c r="R207" s="446"/>
      <c r="S207" s="446"/>
      <c r="T207" s="446"/>
      <c r="U207" s="446"/>
      <c r="V207" s="446"/>
      <c r="W207" s="446"/>
      <c r="X207" s="446"/>
      <c r="Y207" s="446"/>
      <c r="Z207" s="446"/>
      <c r="AA207" s="446"/>
      <c r="AB207" s="446"/>
      <c r="AC207" s="446"/>
      <c r="AD207" s="446"/>
      <c r="AE207" s="446"/>
      <c r="AF207" s="446"/>
      <c r="AG207" s="446"/>
      <c r="AH207" s="446"/>
      <c r="AI207" s="446"/>
      <c r="AJ207" s="446"/>
      <c r="AK207" s="446"/>
      <c r="AL207" s="446"/>
      <c r="AM207" s="446"/>
      <c r="AN207" s="446"/>
    </row>
    <row r="208" spans="1:40" ht="14.25" customHeight="1">
      <c r="A208" s="446"/>
      <c r="B208" s="446"/>
      <c r="C208" s="446"/>
      <c r="D208" s="446"/>
      <c r="E208" s="446"/>
      <c r="F208" s="446"/>
      <c r="G208" s="446"/>
      <c r="H208" s="446"/>
      <c r="I208" s="446"/>
      <c r="J208" s="446"/>
      <c r="K208" s="446"/>
      <c r="L208" s="446"/>
      <c r="M208" s="446"/>
      <c r="N208" s="446"/>
      <c r="O208" s="446"/>
      <c r="P208" s="446"/>
      <c r="Q208" s="446"/>
      <c r="R208" s="446"/>
      <c r="S208" s="446"/>
      <c r="T208" s="446"/>
      <c r="U208" s="446"/>
      <c r="V208" s="446"/>
      <c r="W208" s="446"/>
      <c r="X208" s="446"/>
      <c r="Y208" s="446"/>
      <c r="Z208" s="446"/>
      <c r="AA208" s="446"/>
      <c r="AB208" s="446"/>
      <c r="AC208" s="446"/>
      <c r="AD208" s="446"/>
      <c r="AE208" s="446"/>
      <c r="AF208" s="446"/>
      <c r="AG208" s="446"/>
      <c r="AH208" s="446"/>
      <c r="AI208" s="446"/>
      <c r="AJ208" s="446"/>
      <c r="AK208" s="446"/>
      <c r="AL208" s="446"/>
      <c r="AM208" s="446"/>
      <c r="AN208" s="446"/>
    </row>
    <row r="209" spans="1:40" ht="14.25" customHeight="1">
      <c r="A209" s="446"/>
      <c r="B209" s="446"/>
      <c r="C209" s="446"/>
      <c r="D209" s="446"/>
      <c r="E209" s="446"/>
      <c r="F209" s="446"/>
      <c r="G209" s="446"/>
      <c r="H209" s="446"/>
      <c r="I209" s="446"/>
      <c r="J209" s="446"/>
      <c r="K209" s="446"/>
      <c r="L209" s="446"/>
      <c r="M209" s="446"/>
      <c r="N209" s="446"/>
      <c r="O209" s="446"/>
      <c r="P209" s="446"/>
      <c r="Q209" s="446"/>
      <c r="R209" s="446"/>
      <c r="S209" s="446"/>
      <c r="T209" s="446"/>
      <c r="U209" s="446"/>
      <c r="V209" s="446"/>
      <c r="W209" s="446"/>
      <c r="X209" s="446"/>
      <c r="Y209" s="446"/>
      <c r="Z209" s="446"/>
      <c r="AA209" s="446"/>
      <c r="AB209" s="446"/>
      <c r="AC209" s="446"/>
      <c r="AD209" s="446"/>
      <c r="AE209" s="446"/>
      <c r="AF209" s="446"/>
      <c r="AG209" s="446"/>
      <c r="AH209" s="446"/>
      <c r="AI209" s="446"/>
      <c r="AJ209" s="446"/>
      <c r="AK209" s="446"/>
      <c r="AL209" s="446"/>
      <c r="AM209" s="446"/>
      <c r="AN209" s="446"/>
    </row>
    <row r="210" spans="1:40" ht="14.25" customHeight="1">
      <c r="A210" s="446"/>
      <c r="B210" s="446"/>
      <c r="C210" s="446"/>
      <c r="D210" s="446"/>
      <c r="E210" s="446"/>
      <c r="F210" s="446"/>
      <c r="G210" s="446"/>
      <c r="H210" s="446"/>
      <c r="I210" s="446"/>
      <c r="J210" s="446"/>
      <c r="K210" s="446"/>
      <c r="L210" s="446"/>
      <c r="M210" s="446"/>
      <c r="N210" s="446"/>
      <c r="O210" s="446"/>
      <c r="P210" s="446"/>
      <c r="Q210" s="446"/>
      <c r="R210" s="446"/>
      <c r="S210" s="446"/>
      <c r="T210" s="446"/>
      <c r="U210" s="446"/>
      <c r="V210" s="446"/>
      <c r="W210" s="446"/>
      <c r="X210" s="446"/>
      <c r="Y210" s="446"/>
      <c r="Z210" s="446"/>
      <c r="AA210" s="446"/>
      <c r="AB210" s="446"/>
      <c r="AC210" s="446"/>
      <c r="AD210" s="446"/>
      <c r="AE210" s="446"/>
      <c r="AF210" s="446"/>
      <c r="AG210" s="446"/>
      <c r="AH210" s="446"/>
      <c r="AI210" s="446"/>
      <c r="AJ210" s="446"/>
      <c r="AK210" s="446"/>
      <c r="AL210" s="446"/>
      <c r="AM210" s="446"/>
      <c r="AN210" s="446"/>
    </row>
    <row r="211" spans="1:40" ht="14.25" customHeight="1">
      <c r="A211" s="446"/>
      <c r="B211" s="446"/>
      <c r="C211" s="446"/>
      <c r="D211" s="446"/>
      <c r="E211" s="446"/>
      <c r="F211" s="446"/>
      <c r="G211" s="446"/>
      <c r="H211" s="446"/>
      <c r="I211" s="446"/>
      <c r="J211" s="446"/>
      <c r="K211" s="446"/>
      <c r="L211" s="446"/>
      <c r="M211" s="446"/>
      <c r="N211" s="446"/>
      <c r="O211" s="446"/>
      <c r="P211" s="446"/>
      <c r="Q211" s="446"/>
      <c r="R211" s="446"/>
      <c r="S211" s="446"/>
      <c r="T211" s="446"/>
      <c r="U211" s="446"/>
      <c r="V211" s="446"/>
      <c r="W211" s="446"/>
      <c r="X211" s="446"/>
      <c r="Y211" s="446"/>
      <c r="Z211" s="446"/>
      <c r="AA211" s="446"/>
      <c r="AB211" s="446"/>
      <c r="AC211" s="446"/>
      <c r="AD211" s="446"/>
      <c r="AE211" s="446"/>
      <c r="AF211" s="446"/>
      <c r="AG211" s="446"/>
      <c r="AH211" s="446"/>
      <c r="AI211" s="446"/>
      <c r="AJ211" s="446"/>
      <c r="AK211" s="446"/>
      <c r="AL211" s="446"/>
      <c r="AM211" s="446"/>
      <c r="AN211" s="446"/>
    </row>
    <row r="212" spans="1:40" ht="14.25" customHeight="1">
      <c r="A212" s="446"/>
      <c r="B212" s="446"/>
      <c r="C212" s="446"/>
      <c r="D212" s="446"/>
      <c r="E212" s="446"/>
      <c r="F212" s="446"/>
      <c r="G212" s="446"/>
      <c r="H212" s="446"/>
      <c r="I212" s="446"/>
      <c r="J212" s="446"/>
      <c r="K212" s="446"/>
      <c r="L212" s="446"/>
      <c r="M212" s="446"/>
      <c r="N212" s="446"/>
      <c r="O212" s="446"/>
      <c r="P212" s="446"/>
      <c r="Q212" s="446"/>
      <c r="R212" s="446"/>
      <c r="S212" s="446"/>
      <c r="T212" s="446"/>
      <c r="U212" s="446"/>
      <c r="V212" s="446"/>
      <c r="W212" s="446"/>
      <c r="X212" s="446"/>
      <c r="Y212" s="446"/>
      <c r="Z212" s="446"/>
      <c r="AA212" s="446"/>
      <c r="AB212" s="446"/>
      <c r="AC212" s="446"/>
      <c r="AD212" s="446"/>
      <c r="AE212" s="446"/>
      <c r="AF212" s="446"/>
      <c r="AG212" s="446"/>
      <c r="AH212" s="446"/>
      <c r="AI212" s="446"/>
      <c r="AJ212" s="446"/>
      <c r="AK212" s="446"/>
      <c r="AL212" s="446"/>
      <c r="AM212" s="446"/>
      <c r="AN212" s="446"/>
    </row>
    <row r="213" spans="1:40" ht="14.25" customHeight="1">
      <c r="A213" s="446"/>
      <c r="B213" s="446"/>
      <c r="C213" s="446"/>
      <c r="D213" s="446"/>
      <c r="E213" s="446"/>
      <c r="F213" s="446"/>
      <c r="G213" s="446"/>
      <c r="H213" s="446"/>
      <c r="I213" s="446"/>
      <c r="J213" s="446"/>
      <c r="K213" s="446"/>
      <c r="L213" s="446"/>
      <c r="M213" s="446"/>
      <c r="N213" s="446"/>
      <c r="O213" s="446"/>
      <c r="P213" s="446"/>
      <c r="Q213" s="446"/>
      <c r="R213" s="446"/>
      <c r="S213" s="446"/>
      <c r="T213" s="446"/>
      <c r="U213" s="446"/>
      <c r="V213" s="446"/>
      <c r="W213" s="446"/>
      <c r="X213" s="446"/>
      <c r="Y213" s="446"/>
      <c r="Z213" s="446"/>
      <c r="AA213" s="446"/>
      <c r="AB213" s="446"/>
      <c r="AC213" s="446"/>
      <c r="AD213" s="446"/>
      <c r="AE213" s="446"/>
      <c r="AF213" s="446"/>
      <c r="AG213" s="446"/>
      <c r="AH213" s="446"/>
      <c r="AI213" s="446"/>
      <c r="AJ213" s="446"/>
      <c r="AK213" s="446"/>
      <c r="AL213" s="446"/>
      <c r="AM213" s="446"/>
      <c r="AN213" s="446"/>
    </row>
    <row r="214" spans="1:40" ht="14.25" customHeight="1">
      <c r="A214" s="446"/>
      <c r="B214" s="446"/>
      <c r="C214" s="446"/>
      <c r="D214" s="446"/>
      <c r="E214" s="446"/>
      <c r="F214" s="446"/>
      <c r="G214" s="446"/>
      <c r="H214" s="446"/>
      <c r="I214" s="446"/>
      <c r="J214" s="446"/>
      <c r="K214" s="446"/>
      <c r="L214" s="446"/>
      <c r="M214" s="446"/>
      <c r="N214" s="446"/>
      <c r="O214" s="446"/>
      <c r="P214" s="446"/>
      <c r="Q214" s="446"/>
      <c r="R214" s="446"/>
      <c r="S214" s="446"/>
      <c r="T214" s="446"/>
      <c r="U214" s="446"/>
      <c r="V214" s="446"/>
      <c r="W214" s="446"/>
      <c r="X214" s="446"/>
      <c r="Y214" s="446"/>
      <c r="Z214" s="446"/>
      <c r="AA214" s="446"/>
      <c r="AB214" s="446"/>
      <c r="AC214" s="446"/>
      <c r="AD214" s="446"/>
      <c r="AE214" s="446"/>
      <c r="AF214" s="446"/>
      <c r="AG214" s="446"/>
      <c r="AH214" s="446"/>
      <c r="AI214" s="446"/>
      <c r="AJ214" s="446"/>
      <c r="AK214" s="446"/>
      <c r="AL214" s="446"/>
      <c r="AM214" s="446"/>
      <c r="AN214" s="446"/>
    </row>
    <row r="215" spans="1:40" ht="14.25" customHeight="1">
      <c r="A215" s="446"/>
      <c r="B215" s="446"/>
      <c r="C215" s="446"/>
      <c r="D215" s="446"/>
      <c r="E215" s="446"/>
      <c r="F215" s="446"/>
      <c r="G215" s="446"/>
      <c r="H215" s="446"/>
      <c r="I215" s="446"/>
      <c r="J215" s="446"/>
      <c r="K215" s="446"/>
      <c r="L215" s="446"/>
      <c r="M215" s="446"/>
      <c r="N215" s="446"/>
      <c r="O215" s="446"/>
      <c r="P215" s="446"/>
      <c r="Q215" s="446"/>
      <c r="R215" s="446"/>
      <c r="S215" s="446"/>
      <c r="T215" s="446"/>
      <c r="U215" s="446"/>
      <c r="V215" s="446"/>
      <c r="W215" s="446"/>
      <c r="X215" s="446"/>
      <c r="Y215" s="446"/>
      <c r="Z215" s="446"/>
      <c r="AA215" s="446"/>
      <c r="AB215" s="446"/>
      <c r="AC215" s="446"/>
      <c r="AD215" s="446"/>
      <c r="AE215" s="446"/>
      <c r="AF215" s="446"/>
      <c r="AG215" s="446"/>
      <c r="AH215" s="446"/>
      <c r="AI215" s="446"/>
      <c r="AJ215" s="446"/>
      <c r="AK215" s="446"/>
      <c r="AL215" s="446"/>
      <c r="AM215" s="446"/>
      <c r="AN215" s="446"/>
    </row>
    <row r="216" spans="1:40" ht="14.25" customHeight="1">
      <c r="A216" s="446"/>
      <c r="B216" s="446"/>
      <c r="C216" s="446"/>
      <c r="D216" s="446"/>
      <c r="E216" s="446"/>
      <c r="F216" s="446"/>
      <c r="G216" s="446"/>
      <c r="H216" s="446"/>
      <c r="I216" s="446"/>
      <c r="J216" s="446"/>
      <c r="K216" s="446"/>
      <c r="L216" s="446"/>
      <c r="M216" s="446"/>
      <c r="N216" s="446"/>
      <c r="O216" s="446"/>
      <c r="P216" s="446"/>
      <c r="Q216" s="446"/>
      <c r="R216" s="446"/>
      <c r="S216" s="446"/>
      <c r="T216" s="446"/>
      <c r="U216" s="446"/>
      <c r="V216" s="446"/>
      <c r="W216" s="446"/>
      <c r="X216" s="446"/>
      <c r="Y216" s="446"/>
      <c r="Z216" s="446"/>
      <c r="AA216" s="446"/>
      <c r="AB216" s="446"/>
      <c r="AC216" s="446"/>
      <c r="AD216" s="446"/>
      <c r="AE216" s="446"/>
      <c r="AF216" s="446"/>
      <c r="AG216" s="446"/>
      <c r="AH216" s="446"/>
      <c r="AI216" s="446"/>
      <c r="AJ216" s="446"/>
      <c r="AK216" s="446"/>
      <c r="AL216" s="446"/>
      <c r="AM216" s="446"/>
      <c r="AN216" s="446"/>
    </row>
    <row r="217" spans="1:40" ht="14.25" customHeight="1">
      <c r="A217" s="446"/>
      <c r="B217" s="446"/>
      <c r="C217" s="446"/>
      <c r="D217" s="446"/>
      <c r="E217" s="446"/>
      <c r="F217" s="446"/>
      <c r="G217" s="446"/>
      <c r="H217" s="446"/>
      <c r="I217" s="446"/>
      <c r="J217" s="446"/>
      <c r="K217" s="446"/>
      <c r="L217" s="446"/>
      <c r="M217" s="446"/>
      <c r="N217" s="446"/>
      <c r="O217" s="446"/>
      <c r="P217" s="446"/>
      <c r="Q217" s="446"/>
      <c r="R217" s="446"/>
      <c r="S217" s="446"/>
      <c r="T217" s="446"/>
      <c r="U217" s="446"/>
      <c r="V217" s="446"/>
      <c r="W217" s="446"/>
      <c r="X217" s="446"/>
      <c r="Y217" s="446"/>
      <c r="Z217" s="446"/>
      <c r="AA217" s="446"/>
      <c r="AB217" s="446"/>
      <c r="AC217" s="446"/>
      <c r="AD217" s="446"/>
      <c r="AE217" s="446"/>
      <c r="AF217" s="446"/>
      <c r="AG217" s="446"/>
      <c r="AH217" s="446"/>
      <c r="AI217" s="446"/>
      <c r="AJ217" s="446"/>
      <c r="AK217" s="446"/>
      <c r="AL217" s="446"/>
      <c r="AM217" s="446"/>
      <c r="AN217" s="446"/>
    </row>
    <row r="218" spans="1:40" ht="14.25" customHeight="1">
      <c r="A218" s="446"/>
      <c r="B218" s="446"/>
      <c r="C218" s="446"/>
      <c r="D218" s="446"/>
      <c r="E218" s="446"/>
      <c r="F218" s="446"/>
      <c r="G218" s="446"/>
      <c r="H218" s="446"/>
      <c r="I218" s="446"/>
      <c r="J218" s="446"/>
      <c r="K218" s="446"/>
      <c r="L218" s="446"/>
      <c r="M218" s="446"/>
      <c r="N218" s="446"/>
      <c r="O218" s="446"/>
      <c r="P218" s="446"/>
      <c r="Q218" s="446"/>
      <c r="R218" s="446"/>
      <c r="S218" s="446"/>
      <c r="T218" s="446"/>
      <c r="U218" s="446"/>
      <c r="V218" s="446"/>
      <c r="W218" s="446"/>
      <c r="X218" s="446"/>
      <c r="Y218" s="446"/>
      <c r="Z218" s="446"/>
      <c r="AA218" s="446"/>
      <c r="AB218" s="446"/>
      <c r="AC218" s="446"/>
      <c r="AD218" s="446"/>
      <c r="AE218" s="446"/>
      <c r="AF218" s="446"/>
      <c r="AG218" s="446"/>
      <c r="AH218" s="446"/>
      <c r="AI218" s="446"/>
      <c r="AJ218" s="446"/>
      <c r="AK218" s="446"/>
      <c r="AL218" s="446"/>
      <c r="AM218" s="446"/>
      <c r="AN218" s="446"/>
    </row>
    <row r="219" spans="1:40" ht="14.25" customHeight="1">
      <c r="A219" s="446"/>
      <c r="B219" s="446"/>
      <c r="C219" s="446"/>
      <c r="D219" s="446"/>
      <c r="E219" s="446"/>
      <c r="F219" s="446"/>
      <c r="G219" s="446"/>
      <c r="H219" s="446"/>
      <c r="I219" s="446"/>
      <c r="J219" s="446"/>
      <c r="K219" s="446"/>
      <c r="L219" s="446"/>
      <c r="M219" s="446"/>
      <c r="N219" s="446"/>
      <c r="O219" s="446"/>
      <c r="P219" s="446"/>
      <c r="Q219" s="446"/>
      <c r="R219" s="446"/>
      <c r="S219" s="446"/>
      <c r="T219" s="446"/>
      <c r="U219" s="446"/>
      <c r="V219" s="446"/>
      <c r="W219" s="446"/>
      <c r="X219" s="446"/>
      <c r="Y219" s="446"/>
      <c r="Z219" s="446"/>
      <c r="AA219" s="446"/>
      <c r="AB219" s="446"/>
      <c r="AC219" s="446"/>
      <c r="AD219" s="446"/>
      <c r="AE219" s="446"/>
      <c r="AF219" s="446"/>
      <c r="AG219" s="446"/>
      <c r="AH219" s="446"/>
      <c r="AI219" s="446"/>
      <c r="AJ219" s="446"/>
      <c r="AK219" s="446"/>
      <c r="AL219" s="446"/>
      <c r="AM219" s="446"/>
      <c r="AN219" s="446"/>
    </row>
    <row r="220" spans="1:40" ht="14.25" customHeight="1">
      <c r="A220" s="446"/>
      <c r="B220" s="446"/>
      <c r="C220" s="446"/>
      <c r="D220" s="446"/>
      <c r="E220" s="446"/>
      <c r="F220" s="446"/>
      <c r="G220" s="446"/>
      <c r="H220" s="446"/>
      <c r="I220" s="446"/>
      <c r="J220" s="446"/>
      <c r="K220" s="446"/>
      <c r="L220" s="446"/>
      <c r="M220" s="446"/>
      <c r="N220" s="446"/>
      <c r="O220" s="446"/>
      <c r="P220" s="446"/>
      <c r="Q220" s="446"/>
      <c r="R220" s="446"/>
      <c r="S220" s="446"/>
      <c r="T220" s="446"/>
      <c r="U220" s="446"/>
      <c r="V220" s="446"/>
      <c r="W220" s="446"/>
      <c r="X220" s="446"/>
      <c r="Y220" s="446"/>
      <c r="Z220" s="446"/>
      <c r="AA220" s="446"/>
      <c r="AB220" s="446"/>
      <c r="AC220" s="446"/>
      <c r="AD220" s="446"/>
      <c r="AE220" s="446"/>
      <c r="AF220" s="446"/>
      <c r="AG220" s="446"/>
      <c r="AH220" s="446"/>
      <c r="AI220" s="446"/>
      <c r="AJ220" s="446"/>
      <c r="AK220" s="446"/>
      <c r="AL220" s="446"/>
      <c r="AM220" s="446"/>
      <c r="AN220" s="446"/>
    </row>
    <row r="221" spans="1:40" ht="14.25" customHeight="1">
      <c r="A221" s="446"/>
      <c r="B221" s="446"/>
      <c r="C221" s="446"/>
      <c r="D221" s="446"/>
      <c r="E221" s="446"/>
      <c r="F221" s="446"/>
      <c r="G221" s="446"/>
      <c r="H221" s="446"/>
      <c r="I221" s="446"/>
      <c r="J221" s="446"/>
      <c r="K221" s="446"/>
      <c r="L221" s="446"/>
      <c r="M221" s="446"/>
      <c r="N221" s="446"/>
      <c r="O221" s="446"/>
      <c r="P221" s="446"/>
      <c r="Q221" s="446"/>
      <c r="R221" s="446"/>
      <c r="S221" s="446"/>
      <c r="T221" s="446"/>
      <c r="U221" s="446"/>
      <c r="V221" s="446"/>
      <c r="W221" s="446"/>
      <c r="X221" s="446"/>
      <c r="Y221" s="446"/>
      <c r="Z221" s="446"/>
      <c r="AA221" s="446"/>
      <c r="AB221" s="446"/>
      <c r="AC221" s="446"/>
      <c r="AD221" s="446"/>
      <c r="AE221" s="446"/>
      <c r="AF221" s="446"/>
      <c r="AG221" s="446"/>
      <c r="AH221" s="446"/>
      <c r="AI221" s="446"/>
      <c r="AJ221" s="446"/>
      <c r="AK221" s="446"/>
      <c r="AL221" s="446"/>
      <c r="AM221" s="446"/>
      <c r="AN221" s="446"/>
    </row>
    <row r="222" spans="1:40" ht="14.25" customHeight="1">
      <c r="A222" s="446"/>
      <c r="B222" s="446"/>
      <c r="C222" s="446"/>
      <c r="D222" s="446"/>
      <c r="E222" s="446"/>
      <c r="F222" s="446"/>
      <c r="G222" s="446"/>
      <c r="H222" s="446"/>
      <c r="I222" s="446"/>
      <c r="J222" s="446"/>
      <c r="K222" s="446"/>
      <c r="L222" s="446"/>
      <c r="M222" s="446"/>
      <c r="N222" s="446"/>
      <c r="O222" s="446"/>
      <c r="P222" s="446"/>
      <c r="Q222" s="446"/>
      <c r="R222" s="446"/>
      <c r="S222" s="446"/>
      <c r="T222" s="446"/>
      <c r="U222" s="446"/>
      <c r="V222" s="446"/>
      <c r="W222" s="446"/>
      <c r="X222" s="446"/>
      <c r="Y222" s="446"/>
      <c r="Z222" s="446"/>
      <c r="AA222" s="446"/>
      <c r="AB222" s="446"/>
      <c r="AC222" s="446"/>
      <c r="AD222" s="446"/>
      <c r="AE222" s="446"/>
      <c r="AF222" s="446"/>
      <c r="AG222" s="446"/>
      <c r="AH222" s="446"/>
      <c r="AI222" s="446"/>
      <c r="AJ222" s="446"/>
      <c r="AK222" s="446"/>
      <c r="AL222" s="446"/>
      <c r="AM222" s="446"/>
      <c r="AN222" s="446"/>
    </row>
    <row r="223" spans="1:40" ht="14.25" customHeight="1">
      <c r="A223" s="446"/>
      <c r="B223" s="446"/>
      <c r="C223" s="446"/>
      <c r="D223" s="446"/>
      <c r="E223" s="446"/>
      <c r="F223" s="446"/>
      <c r="G223" s="446"/>
      <c r="H223" s="446"/>
      <c r="I223" s="446"/>
      <c r="J223" s="446"/>
      <c r="K223" s="446"/>
      <c r="L223" s="446"/>
      <c r="M223" s="446"/>
      <c r="N223" s="446"/>
      <c r="O223" s="446"/>
      <c r="P223" s="446"/>
      <c r="Q223" s="446"/>
      <c r="R223" s="446"/>
      <c r="S223" s="446"/>
      <c r="T223" s="446"/>
      <c r="U223" s="446"/>
      <c r="V223" s="446"/>
      <c r="W223" s="446"/>
      <c r="X223" s="446"/>
      <c r="Y223" s="446"/>
      <c r="Z223" s="446"/>
      <c r="AA223" s="446"/>
      <c r="AB223" s="446"/>
      <c r="AC223" s="446"/>
      <c r="AD223" s="446"/>
      <c r="AE223" s="446"/>
      <c r="AF223" s="446"/>
      <c r="AG223" s="446"/>
      <c r="AH223" s="446"/>
      <c r="AI223" s="446"/>
      <c r="AJ223" s="446"/>
      <c r="AK223" s="446"/>
      <c r="AL223" s="446"/>
      <c r="AM223" s="446"/>
      <c r="AN223" s="446"/>
    </row>
    <row r="224" spans="1:40" ht="14.25" customHeight="1">
      <c r="A224" s="446"/>
      <c r="B224" s="446"/>
      <c r="C224" s="446"/>
      <c r="D224" s="446"/>
      <c r="E224" s="446"/>
      <c r="F224" s="446"/>
      <c r="G224" s="446"/>
      <c r="H224" s="446"/>
      <c r="I224" s="446"/>
      <c r="J224" s="446"/>
      <c r="K224" s="446"/>
      <c r="L224" s="446"/>
      <c r="M224" s="446"/>
      <c r="N224" s="446"/>
      <c r="O224" s="446"/>
      <c r="P224" s="446"/>
      <c r="Q224" s="446"/>
      <c r="R224" s="446"/>
      <c r="S224" s="446"/>
      <c r="T224" s="446"/>
      <c r="U224" s="446"/>
      <c r="V224" s="446"/>
      <c r="W224" s="446"/>
      <c r="X224" s="446"/>
      <c r="Y224" s="446"/>
      <c r="Z224" s="446"/>
      <c r="AA224" s="446"/>
      <c r="AB224" s="446"/>
      <c r="AC224" s="446"/>
      <c r="AD224" s="446"/>
      <c r="AE224" s="446"/>
      <c r="AF224" s="446"/>
      <c r="AG224" s="446"/>
      <c r="AH224" s="446"/>
      <c r="AI224" s="446"/>
      <c r="AJ224" s="446"/>
      <c r="AK224" s="446"/>
      <c r="AL224" s="446"/>
      <c r="AM224" s="446"/>
      <c r="AN224" s="446"/>
    </row>
    <row r="225" spans="1:40" ht="14.25" customHeight="1">
      <c r="A225" s="446"/>
      <c r="B225" s="446"/>
      <c r="C225" s="446"/>
      <c r="D225" s="446"/>
      <c r="E225" s="446"/>
      <c r="F225" s="446"/>
      <c r="G225" s="446"/>
      <c r="H225" s="446"/>
      <c r="I225" s="446"/>
      <c r="J225" s="446"/>
      <c r="K225" s="446"/>
      <c r="L225" s="446"/>
      <c r="M225" s="446"/>
      <c r="N225" s="446"/>
      <c r="O225" s="446"/>
      <c r="P225" s="446"/>
      <c r="Q225" s="446"/>
      <c r="R225" s="446"/>
      <c r="S225" s="446"/>
      <c r="T225" s="446"/>
      <c r="U225" s="446"/>
      <c r="V225" s="446"/>
      <c r="W225" s="446"/>
      <c r="X225" s="446"/>
      <c r="Y225" s="446"/>
      <c r="Z225" s="446"/>
      <c r="AA225" s="446"/>
      <c r="AB225" s="446"/>
      <c r="AC225" s="446"/>
      <c r="AD225" s="446"/>
      <c r="AE225" s="446"/>
      <c r="AF225" s="446"/>
      <c r="AG225" s="446"/>
      <c r="AH225" s="446"/>
      <c r="AI225" s="446"/>
      <c r="AJ225" s="446"/>
      <c r="AK225" s="446"/>
      <c r="AL225" s="446"/>
      <c r="AM225" s="446"/>
      <c r="AN225" s="446"/>
    </row>
    <row r="226" spans="1:40" ht="14.25" customHeight="1">
      <c r="A226" s="446"/>
      <c r="B226" s="446"/>
      <c r="C226" s="446"/>
      <c r="D226" s="446"/>
      <c r="E226" s="446"/>
      <c r="F226" s="446"/>
      <c r="G226" s="446"/>
      <c r="H226" s="446"/>
      <c r="I226" s="446"/>
      <c r="J226" s="446"/>
      <c r="K226" s="446"/>
      <c r="L226" s="446"/>
      <c r="M226" s="446"/>
      <c r="N226" s="446"/>
      <c r="O226" s="446"/>
      <c r="P226" s="446"/>
      <c r="Q226" s="446"/>
      <c r="R226" s="446"/>
      <c r="S226" s="446"/>
      <c r="T226" s="446"/>
      <c r="U226" s="446"/>
      <c r="V226" s="446"/>
      <c r="W226" s="446"/>
      <c r="X226" s="446"/>
      <c r="Y226" s="446"/>
      <c r="Z226" s="446"/>
      <c r="AA226" s="446"/>
      <c r="AB226" s="446"/>
      <c r="AC226" s="446"/>
      <c r="AD226" s="446"/>
      <c r="AE226" s="446"/>
      <c r="AF226" s="446"/>
      <c r="AG226" s="446"/>
      <c r="AH226" s="446"/>
      <c r="AI226" s="446"/>
      <c r="AJ226" s="446"/>
      <c r="AK226" s="446"/>
      <c r="AL226" s="446"/>
      <c r="AM226" s="446"/>
      <c r="AN226" s="446"/>
    </row>
    <row r="227" spans="1:40" ht="14.25" customHeight="1">
      <c r="A227" s="446"/>
      <c r="B227" s="446"/>
      <c r="C227" s="446"/>
      <c r="D227" s="446"/>
      <c r="E227" s="446"/>
      <c r="F227" s="446"/>
      <c r="G227" s="446"/>
      <c r="H227" s="446"/>
      <c r="I227" s="446"/>
      <c r="J227" s="446"/>
      <c r="K227" s="446"/>
      <c r="L227" s="446"/>
      <c r="M227" s="446"/>
      <c r="N227" s="446"/>
      <c r="O227" s="446"/>
      <c r="P227" s="446"/>
      <c r="Q227" s="446"/>
      <c r="R227" s="446"/>
      <c r="S227" s="446"/>
      <c r="T227" s="446"/>
      <c r="U227" s="446"/>
      <c r="V227" s="446"/>
      <c r="W227" s="446"/>
      <c r="X227" s="446"/>
      <c r="Y227" s="446"/>
      <c r="Z227" s="446"/>
      <c r="AA227" s="446"/>
      <c r="AB227" s="446"/>
      <c r="AC227" s="446"/>
      <c r="AD227" s="446"/>
      <c r="AE227" s="446"/>
      <c r="AF227" s="446"/>
      <c r="AG227" s="446"/>
      <c r="AH227" s="446"/>
      <c r="AI227" s="446"/>
      <c r="AJ227" s="446"/>
      <c r="AK227" s="446"/>
      <c r="AL227" s="446"/>
      <c r="AM227" s="446"/>
      <c r="AN227" s="446"/>
    </row>
    <row r="228" spans="1:40" ht="14.25" customHeight="1">
      <c r="A228" s="446"/>
      <c r="B228" s="446"/>
      <c r="C228" s="446"/>
      <c r="D228" s="446"/>
      <c r="E228" s="446"/>
      <c r="F228" s="446"/>
      <c r="G228" s="446"/>
      <c r="H228" s="446"/>
      <c r="I228" s="446"/>
      <c r="J228" s="446"/>
      <c r="K228" s="446"/>
      <c r="L228" s="446"/>
      <c r="M228" s="446"/>
      <c r="N228" s="446"/>
      <c r="O228" s="446"/>
      <c r="P228" s="446"/>
      <c r="Q228" s="446"/>
      <c r="R228" s="446"/>
      <c r="S228" s="446"/>
      <c r="T228" s="446"/>
      <c r="U228" s="446"/>
      <c r="V228" s="446"/>
      <c r="W228" s="446"/>
      <c r="X228" s="446"/>
      <c r="Y228" s="446"/>
      <c r="Z228" s="446"/>
      <c r="AA228" s="446"/>
      <c r="AB228" s="446"/>
      <c r="AC228" s="446"/>
      <c r="AD228" s="446"/>
      <c r="AE228" s="446"/>
      <c r="AF228" s="446"/>
      <c r="AG228" s="446"/>
      <c r="AH228" s="446"/>
      <c r="AI228" s="446"/>
      <c r="AJ228" s="446"/>
      <c r="AK228" s="446"/>
      <c r="AL228" s="446"/>
      <c r="AM228" s="446"/>
      <c r="AN228" s="446"/>
    </row>
    <row r="229" spans="1:40" ht="15.75" customHeight="1"/>
    <row r="230" spans="1:40" ht="15.75" customHeight="1"/>
    <row r="231" spans="1:40" ht="15.75" customHeight="1"/>
    <row r="232" spans="1:40" ht="15.75" customHeight="1"/>
    <row r="233" spans="1:40" ht="15.75" customHeight="1"/>
    <row r="234" spans="1:40" ht="15.75" customHeight="1"/>
    <row r="235" spans="1:40" ht="15.75" customHeight="1"/>
    <row r="236" spans="1:40" ht="15.75" customHeight="1"/>
    <row r="237" spans="1:40" ht="15.75" customHeight="1"/>
    <row r="238" spans="1:40" ht="15.75" customHeight="1"/>
    <row r="239" spans="1:40" ht="15.75" customHeight="1"/>
    <row r="240" spans="1: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11">
    <mergeCell ref="N17:AN17"/>
    <mergeCell ref="R32:Y32"/>
    <mergeCell ref="R33:U33"/>
    <mergeCell ref="V33:Y33"/>
    <mergeCell ref="B1:D1"/>
    <mergeCell ref="F1:I1"/>
    <mergeCell ref="K1:AN1"/>
    <mergeCell ref="B2:D2"/>
    <mergeCell ref="G2:I2"/>
    <mergeCell ref="K2:M2"/>
    <mergeCell ref="N2:AE2"/>
  </mergeCells>
  <pageMargins left="0.7" right="0.7" top="0.78740157499999996" bottom="0.78740157499999996"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J1000"/>
  <sheetViews>
    <sheetView topLeftCell="B1" zoomScale="120" zoomScaleNormal="120" workbookViewId="0">
      <selection activeCell="C24" sqref="C24"/>
    </sheetView>
  </sheetViews>
  <sheetFormatPr baseColWidth="10" defaultColWidth="14.33203125" defaultRowHeight="15" customHeight="1"/>
  <cols>
    <col min="1" max="1" width="15.5546875" customWidth="1"/>
    <col min="2" max="2" width="27.6640625" customWidth="1"/>
    <col min="3" max="3" width="20.33203125" customWidth="1"/>
    <col min="4" max="17" width="15.33203125" customWidth="1"/>
    <col min="18" max="36" width="11.33203125" customWidth="1"/>
  </cols>
  <sheetData>
    <row r="1" spans="1:36" ht="15.75" customHeight="1">
      <c r="A1" s="461"/>
      <c r="B1" s="462"/>
      <c r="C1" s="462"/>
      <c r="D1" s="462"/>
      <c r="E1" s="462"/>
      <c r="F1" s="462"/>
      <c r="G1" s="462"/>
      <c r="H1" s="462"/>
      <c r="I1" s="462"/>
      <c r="J1" s="462"/>
      <c r="K1" s="462"/>
      <c r="L1" s="462"/>
      <c r="M1" s="462"/>
      <c r="N1" s="462"/>
      <c r="O1" s="462"/>
      <c r="P1" s="462"/>
      <c r="Q1" s="462"/>
      <c r="R1" s="462"/>
      <c r="S1" s="462"/>
      <c r="T1" s="462"/>
      <c r="U1" s="462"/>
      <c r="V1" s="462"/>
      <c r="W1" s="462"/>
      <c r="X1" s="462"/>
      <c r="Y1" s="462"/>
      <c r="Z1" s="462"/>
      <c r="AA1" s="462"/>
      <c r="AB1" s="462"/>
      <c r="AC1" s="462"/>
      <c r="AD1" s="462"/>
      <c r="AE1" s="462"/>
      <c r="AF1" s="462"/>
      <c r="AG1" s="462"/>
      <c r="AH1" s="462"/>
      <c r="AI1" s="462"/>
      <c r="AJ1" s="462"/>
    </row>
    <row r="2" spans="1:36" ht="15.75" customHeight="1">
      <c r="A2" s="463"/>
      <c r="B2" s="464"/>
      <c r="C2" s="464"/>
      <c r="D2" s="464"/>
      <c r="E2" s="464"/>
      <c r="F2" s="464"/>
      <c r="G2" s="464"/>
      <c r="H2" s="464"/>
      <c r="I2" s="464"/>
      <c r="J2" s="464"/>
      <c r="K2" s="464"/>
      <c r="L2" s="464"/>
      <c r="M2" s="464"/>
      <c r="N2" s="464"/>
      <c r="O2" s="464"/>
      <c r="P2" s="464"/>
      <c r="Q2" s="464"/>
      <c r="R2" s="464"/>
      <c r="S2" s="464"/>
      <c r="T2" s="464"/>
      <c r="U2" s="464"/>
      <c r="V2" s="464"/>
      <c r="W2" s="464"/>
      <c r="X2" s="464"/>
      <c r="Y2" s="464"/>
      <c r="Z2" s="464"/>
      <c r="AA2" s="464"/>
      <c r="AB2" s="464"/>
      <c r="AC2" s="464"/>
      <c r="AD2" s="464"/>
      <c r="AE2" s="464"/>
      <c r="AF2" s="464"/>
      <c r="AG2" s="464"/>
      <c r="AH2" s="464"/>
      <c r="AI2" s="464"/>
      <c r="AJ2" s="464"/>
    </row>
    <row r="3" spans="1:36" ht="15.75" customHeight="1">
      <c r="A3" s="465"/>
      <c r="B3" s="462" t="s">
        <v>3633</v>
      </c>
      <c r="C3" s="462" t="s">
        <v>3634</v>
      </c>
      <c r="D3" s="466">
        <v>250000</v>
      </c>
      <c r="E3" s="466">
        <v>500000</v>
      </c>
      <c r="F3" s="466">
        <v>1000000</v>
      </c>
      <c r="G3" s="466">
        <v>1500000</v>
      </c>
      <c r="H3" s="466">
        <v>2000000</v>
      </c>
      <c r="I3" s="466">
        <v>2500000</v>
      </c>
      <c r="J3" s="466">
        <v>3000000</v>
      </c>
      <c r="K3" s="466">
        <v>4000000</v>
      </c>
      <c r="L3" s="466">
        <v>5000000</v>
      </c>
      <c r="M3" s="466">
        <v>7500000</v>
      </c>
      <c r="N3" s="466">
        <v>10000000</v>
      </c>
      <c r="O3" s="466">
        <v>12500000</v>
      </c>
      <c r="P3" s="466">
        <v>15000000</v>
      </c>
      <c r="Q3" s="466">
        <v>20000000</v>
      </c>
      <c r="R3" s="466">
        <v>25000000</v>
      </c>
      <c r="S3" s="464"/>
      <c r="T3" s="464"/>
      <c r="U3" s="464"/>
      <c r="V3" s="464"/>
      <c r="W3" s="464"/>
      <c r="X3" s="464"/>
      <c r="Y3" s="464"/>
      <c r="Z3" s="464"/>
      <c r="AA3" s="464"/>
      <c r="AB3" s="464"/>
      <c r="AC3" s="464"/>
      <c r="AD3" s="464"/>
      <c r="AE3" s="464"/>
      <c r="AF3" s="464"/>
      <c r="AG3" s="464"/>
      <c r="AH3" s="464"/>
      <c r="AI3" s="464"/>
      <c r="AJ3" s="464"/>
    </row>
    <row r="4" spans="1:36" ht="15.75" customHeight="1">
      <c r="A4" s="465"/>
      <c r="B4" s="467" t="s">
        <v>3635</v>
      </c>
      <c r="C4" s="468">
        <v>0</v>
      </c>
      <c r="D4" s="469">
        <v>905.63</v>
      </c>
      <c r="E4" s="469">
        <v>1077.7</v>
      </c>
      <c r="F4" s="469">
        <v>1413.68</v>
      </c>
      <c r="G4" s="469">
        <v>2123.69</v>
      </c>
      <c r="H4" s="469">
        <v>2738.61</v>
      </c>
      <c r="I4" s="469">
        <v>3524.69</v>
      </c>
      <c r="J4" s="469">
        <v>4025.51</v>
      </c>
      <c r="K4" s="469">
        <v>5060</v>
      </c>
      <c r="L4" s="469">
        <v>6109.95</v>
      </c>
      <c r="M4" s="469">
        <v>8248.43</v>
      </c>
      <c r="N4" s="469">
        <v>11189.18</v>
      </c>
      <c r="O4" s="470"/>
      <c r="P4" s="470"/>
      <c r="Q4" s="470"/>
      <c r="R4" s="470"/>
      <c r="S4" s="464"/>
      <c r="T4" s="464"/>
      <c r="U4" s="464"/>
      <c r="V4" s="464"/>
      <c r="W4" s="464"/>
      <c r="X4" s="464"/>
      <c r="Y4" s="464"/>
      <c r="Z4" s="464"/>
      <c r="AA4" s="464"/>
      <c r="AB4" s="464"/>
      <c r="AC4" s="464"/>
      <c r="AD4" s="464"/>
      <c r="AE4" s="464"/>
      <c r="AF4" s="464"/>
      <c r="AG4" s="464"/>
      <c r="AH4" s="464"/>
      <c r="AI4" s="464"/>
      <c r="AJ4" s="464"/>
    </row>
    <row r="5" spans="1:36" ht="15.75" customHeight="1">
      <c r="A5" s="465"/>
      <c r="B5" s="467" t="s">
        <v>3636</v>
      </c>
      <c r="C5" s="468">
        <v>5000000</v>
      </c>
      <c r="D5" s="470"/>
      <c r="E5" s="469">
        <v>1077.7</v>
      </c>
      <c r="F5" s="469">
        <v>1413.68</v>
      </c>
      <c r="G5" s="469">
        <v>2123.69</v>
      </c>
      <c r="H5" s="469">
        <v>2738.61</v>
      </c>
      <c r="I5" s="469">
        <v>3524.69</v>
      </c>
      <c r="J5" s="469">
        <v>4025.51</v>
      </c>
      <c r="K5" s="469">
        <v>5060</v>
      </c>
      <c r="L5" s="469">
        <v>6109.95</v>
      </c>
      <c r="M5" s="469">
        <v>8248.43</v>
      </c>
      <c r="N5" s="469">
        <v>11189.18</v>
      </c>
      <c r="O5" s="470"/>
      <c r="P5" s="470"/>
      <c r="Q5" s="470"/>
      <c r="R5" s="470"/>
      <c r="S5" s="464"/>
      <c r="T5" s="464"/>
      <c r="U5" s="464"/>
      <c r="V5" s="464"/>
      <c r="W5" s="464"/>
      <c r="X5" s="464"/>
      <c r="Y5" s="464"/>
      <c r="Z5" s="464"/>
      <c r="AA5" s="464"/>
      <c r="AB5" s="464"/>
      <c r="AC5" s="464"/>
      <c r="AD5" s="464"/>
      <c r="AE5" s="464"/>
      <c r="AF5" s="464"/>
      <c r="AG5" s="464"/>
      <c r="AH5" s="464"/>
      <c r="AI5" s="464"/>
      <c r="AJ5" s="464"/>
    </row>
    <row r="6" spans="1:36" ht="15.75" customHeight="1">
      <c r="A6" s="465"/>
      <c r="B6" s="467" t="s">
        <v>3637</v>
      </c>
      <c r="C6" s="468">
        <v>50000000</v>
      </c>
      <c r="D6" s="470"/>
      <c r="E6" s="469">
        <v>1204.49</v>
      </c>
      <c r="F6" s="469">
        <v>1667.26</v>
      </c>
      <c r="G6" s="469">
        <v>2504.06</v>
      </c>
      <c r="H6" s="469">
        <v>3004.26</v>
      </c>
      <c r="I6" s="469">
        <v>4171.3100000000004</v>
      </c>
      <c r="J6" s="469">
        <v>4754.54</v>
      </c>
      <c r="K6" s="469">
        <v>5934</v>
      </c>
      <c r="L6" s="469">
        <v>7220.85</v>
      </c>
      <c r="M6" s="469">
        <v>9342.67</v>
      </c>
      <c r="N6" s="469">
        <v>12856.25</v>
      </c>
      <c r="O6" s="470"/>
      <c r="P6" s="470"/>
      <c r="Q6" s="470"/>
      <c r="R6" s="470"/>
      <c r="S6" s="464"/>
      <c r="T6" s="464"/>
      <c r="U6" s="464"/>
      <c r="V6" s="464"/>
      <c r="W6" s="464"/>
      <c r="X6" s="464"/>
      <c r="Y6" s="464"/>
      <c r="Z6" s="464"/>
      <c r="AA6" s="464"/>
      <c r="AB6" s="464"/>
      <c r="AC6" s="464"/>
      <c r="AD6" s="464"/>
      <c r="AE6" s="464"/>
      <c r="AF6" s="464"/>
      <c r="AG6" s="464"/>
      <c r="AH6" s="464"/>
      <c r="AI6" s="464"/>
      <c r="AJ6" s="464"/>
    </row>
    <row r="7" spans="1:36" ht="15.75" customHeight="1">
      <c r="A7" s="465"/>
      <c r="B7" s="467" t="s">
        <v>3638</v>
      </c>
      <c r="C7" s="468">
        <v>100000000</v>
      </c>
      <c r="D7" s="470"/>
      <c r="E7" s="469">
        <v>1502.43</v>
      </c>
      <c r="F7" s="469">
        <v>2345.5700000000002</v>
      </c>
      <c r="G7" s="469">
        <v>3499.34</v>
      </c>
      <c r="H7" s="469">
        <v>4006.49</v>
      </c>
      <c r="I7" s="469">
        <v>4798.8999999999996</v>
      </c>
      <c r="J7" s="469">
        <v>5008.1099999999997</v>
      </c>
      <c r="K7" s="469">
        <v>6325</v>
      </c>
      <c r="L7" s="469">
        <v>8033.2</v>
      </c>
      <c r="M7" s="469">
        <v>10696.58</v>
      </c>
      <c r="N7" s="469">
        <v>13774.56</v>
      </c>
      <c r="O7" s="470"/>
      <c r="P7" s="470"/>
      <c r="Q7" s="470"/>
      <c r="R7" s="470"/>
      <c r="S7" s="464"/>
      <c r="T7" s="464"/>
      <c r="U7" s="464"/>
      <c r="V7" s="464"/>
      <c r="W7" s="464"/>
      <c r="X7" s="464"/>
      <c r="Y7" s="464"/>
      <c r="Z7" s="464"/>
      <c r="AA7" s="464"/>
      <c r="AB7" s="464"/>
      <c r="AC7" s="464"/>
      <c r="AD7" s="464"/>
      <c r="AE7" s="464"/>
      <c r="AF7" s="464"/>
      <c r="AG7" s="464"/>
      <c r="AH7" s="464"/>
      <c r="AI7" s="464"/>
      <c r="AJ7" s="464"/>
    </row>
    <row r="8" spans="1:36" ht="15.75" customHeight="1">
      <c r="A8" s="465"/>
      <c r="B8" s="467" t="s">
        <v>3639</v>
      </c>
      <c r="C8" s="468">
        <v>150000000</v>
      </c>
      <c r="D8" s="470"/>
      <c r="E8" s="470"/>
      <c r="F8" s="470"/>
      <c r="G8" s="470"/>
      <c r="H8" s="470"/>
      <c r="I8" s="470"/>
      <c r="J8" s="470"/>
      <c r="K8" s="470"/>
      <c r="L8" s="470"/>
      <c r="M8" s="470"/>
      <c r="N8" s="471">
        <v>11400</v>
      </c>
      <c r="O8" s="471">
        <v>13750</v>
      </c>
      <c r="P8" s="471">
        <v>15750</v>
      </c>
      <c r="Q8" s="471">
        <v>20000</v>
      </c>
      <c r="R8" s="471">
        <v>24000</v>
      </c>
      <c r="S8" s="464"/>
      <c r="T8" s="464"/>
      <c r="U8" s="464"/>
      <c r="V8" s="464"/>
      <c r="W8" s="464"/>
      <c r="X8" s="464"/>
      <c r="Y8" s="464"/>
      <c r="Z8" s="464"/>
      <c r="AA8" s="464"/>
      <c r="AB8" s="464"/>
      <c r="AC8" s="464"/>
      <c r="AD8" s="464"/>
      <c r="AE8" s="464"/>
      <c r="AF8" s="464"/>
      <c r="AG8" s="464"/>
      <c r="AH8" s="464"/>
      <c r="AI8" s="464"/>
      <c r="AJ8" s="464"/>
    </row>
    <row r="9" spans="1:36" ht="15.75" customHeight="1">
      <c r="A9" s="465"/>
      <c r="B9" s="467" t="s">
        <v>3640</v>
      </c>
      <c r="C9" s="468">
        <v>300000000</v>
      </c>
      <c r="D9" s="470"/>
      <c r="E9" s="470"/>
      <c r="F9" s="470"/>
      <c r="G9" s="470"/>
      <c r="H9" s="470"/>
      <c r="I9" s="470"/>
      <c r="J9" s="470"/>
      <c r="K9" s="470"/>
      <c r="L9" s="470"/>
      <c r="M9" s="470"/>
      <c r="N9" s="471">
        <v>12540.000000000002</v>
      </c>
      <c r="O9" s="471">
        <v>15125.000000000002</v>
      </c>
      <c r="P9" s="471">
        <v>17325</v>
      </c>
      <c r="Q9" s="471">
        <v>22000</v>
      </c>
      <c r="R9" s="471">
        <v>25200</v>
      </c>
      <c r="S9" s="464"/>
      <c r="T9" s="464"/>
      <c r="U9" s="464"/>
      <c r="V9" s="464"/>
      <c r="W9" s="464"/>
      <c r="X9" s="464"/>
      <c r="Y9" s="464"/>
      <c r="Z9" s="464"/>
      <c r="AA9" s="464"/>
      <c r="AB9" s="464"/>
      <c r="AC9" s="464"/>
      <c r="AD9" s="464"/>
      <c r="AE9" s="464"/>
      <c r="AF9" s="464"/>
      <c r="AG9" s="464"/>
      <c r="AH9" s="464"/>
      <c r="AI9" s="464"/>
      <c r="AJ9" s="464"/>
    </row>
    <row r="10" spans="1:36" ht="15.75" customHeight="1">
      <c r="A10" s="465"/>
      <c r="B10" s="467" t="s">
        <v>3641</v>
      </c>
      <c r="C10" s="468">
        <v>450000000</v>
      </c>
      <c r="D10" s="470"/>
      <c r="E10" s="470"/>
      <c r="F10" s="470"/>
      <c r="G10" s="470"/>
      <c r="H10" s="470"/>
      <c r="I10" s="470"/>
      <c r="J10" s="470"/>
      <c r="K10" s="470"/>
      <c r="L10" s="470"/>
      <c r="M10" s="470"/>
      <c r="N10" s="471">
        <v>13790</v>
      </c>
      <c r="O10" s="471">
        <v>16150</v>
      </c>
      <c r="P10" s="471">
        <v>18900</v>
      </c>
      <c r="Q10" s="471">
        <v>24000</v>
      </c>
      <c r="R10" s="471">
        <v>26460</v>
      </c>
      <c r="S10" s="464"/>
      <c r="T10" s="464"/>
      <c r="U10" s="464"/>
      <c r="V10" s="464"/>
      <c r="W10" s="464"/>
      <c r="X10" s="464"/>
      <c r="Y10" s="464"/>
      <c r="Z10" s="464"/>
      <c r="AA10" s="464"/>
      <c r="AB10" s="464"/>
      <c r="AC10" s="464"/>
      <c r="AD10" s="464"/>
      <c r="AE10" s="464"/>
      <c r="AF10" s="464"/>
      <c r="AG10" s="464"/>
      <c r="AH10" s="464"/>
      <c r="AI10" s="464"/>
      <c r="AJ10" s="464"/>
    </row>
    <row r="11" spans="1:36" ht="15.75" customHeight="1">
      <c r="A11" s="465"/>
      <c r="B11" s="467" t="s">
        <v>3642</v>
      </c>
      <c r="C11" s="468">
        <v>600000000</v>
      </c>
      <c r="D11" s="470"/>
      <c r="E11" s="470"/>
      <c r="F11" s="470"/>
      <c r="G11" s="470"/>
      <c r="H11" s="470"/>
      <c r="I11" s="470"/>
      <c r="J11" s="470"/>
      <c r="K11" s="470"/>
      <c r="L11" s="470"/>
      <c r="M11" s="470"/>
      <c r="N11" s="471">
        <v>14900</v>
      </c>
      <c r="O11" s="471">
        <v>17300</v>
      </c>
      <c r="P11" s="471">
        <v>19900</v>
      </c>
      <c r="Q11" s="471">
        <v>25500</v>
      </c>
      <c r="R11" s="471">
        <v>27800</v>
      </c>
      <c r="S11" s="464"/>
      <c r="T11" s="464"/>
      <c r="U11" s="464"/>
      <c r="V11" s="464"/>
      <c r="W11" s="464"/>
      <c r="X11" s="464"/>
      <c r="Y11" s="464"/>
      <c r="Z11" s="464"/>
      <c r="AA11" s="464"/>
      <c r="AB11" s="464"/>
      <c r="AC11" s="464"/>
      <c r="AD11" s="464"/>
      <c r="AE11" s="464"/>
      <c r="AF11" s="464"/>
      <c r="AG11" s="464"/>
      <c r="AH11" s="464"/>
      <c r="AI11" s="464"/>
      <c r="AJ11" s="464"/>
    </row>
    <row r="12" spans="1:36" ht="15.75" customHeight="1">
      <c r="A12" s="465"/>
      <c r="B12" s="467" t="s">
        <v>3643</v>
      </c>
      <c r="C12" s="468">
        <v>750000000</v>
      </c>
      <c r="D12" s="470"/>
      <c r="E12" s="470"/>
      <c r="F12" s="470"/>
      <c r="G12" s="470"/>
      <c r="H12" s="470"/>
      <c r="I12" s="470"/>
      <c r="J12" s="470"/>
      <c r="K12" s="470"/>
      <c r="L12" s="470"/>
      <c r="M12" s="470"/>
      <c r="N12" s="471">
        <v>16200</v>
      </c>
      <c r="O12" s="471">
        <v>18900</v>
      </c>
      <c r="P12" s="471">
        <v>21000</v>
      </c>
      <c r="Q12" s="471">
        <v>27000</v>
      </c>
      <c r="R12" s="471">
        <v>29500</v>
      </c>
      <c r="S12" s="464"/>
      <c r="T12" s="464"/>
      <c r="U12" s="464"/>
      <c r="V12" s="464"/>
      <c r="W12" s="464"/>
      <c r="X12" s="464"/>
      <c r="Y12" s="464"/>
      <c r="Z12" s="464"/>
      <c r="AA12" s="464"/>
      <c r="AB12" s="464"/>
      <c r="AC12" s="464"/>
      <c r="AD12" s="464"/>
      <c r="AE12" s="464"/>
      <c r="AF12" s="464"/>
      <c r="AG12" s="464"/>
      <c r="AH12" s="464"/>
      <c r="AI12" s="464"/>
      <c r="AJ12" s="464"/>
    </row>
    <row r="13" spans="1:36" ht="15.75" customHeight="1">
      <c r="A13" s="465"/>
      <c r="B13" s="467" t="s">
        <v>3644</v>
      </c>
      <c r="C13" s="468">
        <v>1000000000</v>
      </c>
      <c r="D13" s="470"/>
      <c r="E13" s="470"/>
      <c r="F13" s="470"/>
      <c r="G13" s="470"/>
      <c r="H13" s="470"/>
      <c r="I13" s="470"/>
      <c r="J13" s="470"/>
      <c r="K13" s="470"/>
      <c r="L13" s="470"/>
      <c r="M13" s="470"/>
      <c r="N13" s="471">
        <v>17000</v>
      </c>
      <c r="O13" s="471">
        <v>20500</v>
      </c>
      <c r="P13" s="471">
        <v>22400</v>
      </c>
      <c r="Q13" s="471">
        <v>28500</v>
      </c>
      <c r="R13" s="471">
        <v>32000</v>
      </c>
      <c r="S13" s="464"/>
      <c r="T13" s="464"/>
      <c r="U13" s="464"/>
      <c r="V13" s="464"/>
      <c r="W13" s="464"/>
      <c r="X13" s="464"/>
      <c r="Y13" s="464"/>
      <c r="Z13" s="464"/>
      <c r="AA13" s="464"/>
      <c r="AB13" s="464"/>
      <c r="AC13" s="464"/>
      <c r="AD13" s="464"/>
      <c r="AE13" s="464"/>
      <c r="AF13" s="464"/>
      <c r="AG13" s="464"/>
      <c r="AH13" s="464"/>
      <c r="AI13" s="464"/>
      <c r="AJ13" s="464"/>
    </row>
    <row r="14" spans="1:36" ht="15.75" customHeight="1">
      <c r="A14" s="465"/>
      <c r="B14" s="467" t="s">
        <v>3645</v>
      </c>
      <c r="C14" s="468">
        <v>1250000000</v>
      </c>
      <c r="D14" s="470"/>
      <c r="E14" s="470"/>
      <c r="F14" s="470"/>
      <c r="G14" s="470"/>
      <c r="H14" s="470"/>
      <c r="I14" s="470"/>
      <c r="J14" s="470"/>
      <c r="K14" s="470"/>
      <c r="L14" s="470"/>
      <c r="M14" s="470"/>
      <c r="N14" s="471">
        <v>18000</v>
      </c>
      <c r="O14" s="471">
        <v>21500</v>
      </c>
      <c r="P14" s="471">
        <v>23400</v>
      </c>
      <c r="Q14" s="471">
        <v>30000</v>
      </c>
      <c r="R14" s="471">
        <v>34000</v>
      </c>
      <c r="S14" s="464"/>
      <c r="T14" s="464"/>
      <c r="U14" s="464"/>
      <c r="V14" s="464"/>
      <c r="W14" s="464"/>
      <c r="X14" s="464"/>
      <c r="Y14" s="464"/>
      <c r="Z14" s="464"/>
      <c r="AA14" s="464"/>
      <c r="AB14" s="464"/>
      <c r="AC14" s="464"/>
      <c r="AD14" s="464"/>
      <c r="AE14" s="464"/>
      <c r="AF14" s="464"/>
      <c r="AG14" s="464"/>
      <c r="AH14" s="464"/>
      <c r="AI14" s="464"/>
      <c r="AJ14" s="464"/>
    </row>
    <row r="15" spans="1:36" ht="15.75" customHeight="1">
      <c r="A15" s="465"/>
      <c r="B15" s="464"/>
      <c r="C15" s="464"/>
      <c r="D15" s="464"/>
      <c r="E15" s="464"/>
      <c r="F15" s="464"/>
      <c r="G15" s="464"/>
      <c r="H15" s="464"/>
      <c r="I15" s="464"/>
      <c r="J15" s="464"/>
      <c r="K15" s="464"/>
      <c r="L15" s="464"/>
      <c r="M15" s="464"/>
      <c r="N15" s="464"/>
      <c r="O15" s="464"/>
      <c r="P15" s="464"/>
      <c r="Q15" s="464"/>
      <c r="R15" s="464"/>
      <c r="S15" s="464"/>
      <c r="T15" s="464"/>
      <c r="U15" s="464"/>
      <c r="V15" s="464"/>
      <c r="W15" s="464"/>
      <c r="X15" s="464"/>
      <c r="Y15" s="464"/>
      <c r="Z15" s="464"/>
      <c r="AA15" s="464"/>
      <c r="AB15" s="464"/>
      <c r="AC15" s="464"/>
      <c r="AD15" s="464"/>
      <c r="AE15" s="464"/>
      <c r="AF15" s="464"/>
      <c r="AG15" s="464"/>
      <c r="AH15" s="464"/>
      <c r="AI15" s="464"/>
      <c r="AJ15" s="464"/>
    </row>
    <row r="16" spans="1:36" ht="15.75" customHeight="1">
      <c r="A16" s="465"/>
      <c r="B16" s="464"/>
      <c r="C16" s="464"/>
      <c r="D16" s="464"/>
      <c r="E16" s="464"/>
      <c r="F16" s="464"/>
      <c r="G16" s="464"/>
      <c r="H16" s="464"/>
      <c r="I16" s="464"/>
      <c r="J16" s="464"/>
      <c r="K16" s="464"/>
      <c r="L16" s="464"/>
      <c r="M16" s="464"/>
      <c r="N16" s="464"/>
      <c r="O16" s="464"/>
      <c r="P16" s="464"/>
      <c r="Q16" s="464"/>
      <c r="R16" s="464"/>
      <c r="S16" s="464"/>
      <c r="T16" s="464"/>
      <c r="U16" s="464"/>
      <c r="V16" s="464"/>
      <c r="W16" s="464"/>
      <c r="X16" s="464"/>
      <c r="Y16" s="464"/>
      <c r="Z16" s="464"/>
      <c r="AA16" s="464"/>
      <c r="AB16" s="464"/>
      <c r="AC16" s="464"/>
      <c r="AD16" s="464"/>
      <c r="AE16" s="464"/>
      <c r="AF16" s="464"/>
      <c r="AG16" s="464"/>
      <c r="AH16" s="464"/>
      <c r="AI16" s="464"/>
      <c r="AJ16" s="464"/>
    </row>
    <row r="17" spans="1:36" ht="15.75" customHeight="1">
      <c r="A17" s="465"/>
      <c r="B17" s="464"/>
      <c r="C17" s="464"/>
      <c r="D17" s="464"/>
      <c r="E17" s="464"/>
      <c r="F17" s="464"/>
      <c r="G17" s="464"/>
      <c r="H17" s="464"/>
      <c r="I17" s="464"/>
      <c r="J17" s="464"/>
      <c r="K17" s="464"/>
      <c r="L17" s="464"/>
      <c r="M17" s="464"/>
      <c r="N17" s="464"/>
      <c r="O17" s="464"/>
      <c r="P17" s="464"/>
      <c r="Q17" s="464"/>
      <c r="R17" s="464"/>
      <c r="S17" s="464"/>
      <c r="T17" s="464"/>
      <c r="U17" s="464"/>
      <c r="V17" s="464"/>
      <c r="W17" s="464"/>
      <c r="X17" s="464"/>
      <c r="Y17" s="464"/>
      <c r="Z17" s="464"/>
      <c r="AA17" s="464"/>
      <c r="AB17" s="464"/>
      <c r="AC17" s="464"/>
      <c r="AD17" s="464"/>
      <c r="AE17" s="464"/>
      <c r="AF17" s="464"/>
      <c r="AG17" s="464"/>
      <c r="AH17" s="464"/>
      <c r="AI17" s="464"/>
      <c r="AJ17" s="464"/>
    </row>
    <row r="18" spans="1:36" ht="15.75" customHeight="1">
      <c r="A18" s="465"/>
      <c r="B18" s="464"/>
      <c r="C18" s="464"/>
      <c r="D18" s="464"/>
      <c r="E18" s="464"/>
      <c r="F18" s="464"/>
      <c r="G18" s="464"/>
      <c r="H18" s="464"/>
      <c r="I18" s="464"/>
      <c r="J18" s="464"/>
      <c r="K18" s="464"/>
      <c r="L18" s="464"/>
      <c r="M18" s="464"/>
      <c r="N18" s="464"/>
      <c r="O18" s="464"/>
      <c r="P18" s="464"/>
      <c r="Q18" s="464"/>
      <c r="R18" s="464"/>
      <c r="S18" s="464"/>
      <c r="T18" s="464"/>
      <c r="U18" s="464"/>
      <c r="V18" s="464"/>
      <c r="W18" s="464"/>
      <c r="X18" s="464"/>
      <c r="Y18" s="464"/>
      <c r="Z18" s="464"/>
      <c r="AA18" s="464"/>
      <c r="AB18" s="464"/>
      <c r="AC18" s="464"/>
      <c r="AD18" s="464"/>
      <c r="AE18" s="464"/>
      <c r="AF18" s="464"/>
      <c r="AG18" s="464"/>
      <c r="AH18" s="464"/>
      <c r="AI18" s="464"/>
      <c r="AJ18" s="464"/>
    </row>
    <row r="19" spans="1:36" ht="15.75" customHeight="1">
      <c r="A19" s="465"/>
      <c r="B19" s="464"/>
      <c r="C19" s="464"/>
      <c r="D19" s="464"/>
      <c r="E19" s="464"/>
      <c r="F19" s="464"/>
      <c r="G19" s="464"/>
      <c r="H19" s="464"/>
      <c r="I19" s="464"/>
      <c r="J19" s="464"/>
      <c r="K19" s="464"/>
      <c r="L19" s="464"/>
      <c r="M19" s="464"/>
      <c r="N19" s="464"/>
      <c r="O19" s="464"/>
      <c r="P19" s="464"/>
      <c r="Q19" s="464"/>
      <c r="R19" s="464"/>
      <c r="S19" s="464"/>
      <c r="T19" s="464"/>
      <c r="U19" s="464"/>
      <c r="V19" s="464"/>
      <c r="W19" s="464"/>
      <c r="X19" s="464"/>
      <c r="Y19" s="464"/>
      <c r="Z19" s="464"/>
      <c r="AA19" s="464"/>
      <c r="AB19" s="464"/>
      <c r="AC19" s="464"/>
      <c r="AD19" s="464"/>
      <c r="AE19" s="464"/>
      <c r="AF19" s="464"/>
      <c r="AG19" s="464"/>
      <c r="AH19" s="464"/>
      <c r="AI19" s="464"/>
      <c r="AJ19" s="464"/>
    </row>
    <row r="20" spans="1:36" ht="15.75" customHeight="1">
      <c r="A20" s="465"/>
      <c r="B20" s="464"/>
      <c r="C20" s="464"/>
      <c r="D20" s="464"/>
      <c r="E20" s="464"/>
      <c r="F20" s="464"/>
      <c r="G20" s="464"/>
      <c r="H20" s="464"/>
      <c r="I20" s="464"/>
      <c r="J20" s="464"/>
      <c r="K20" s="464"/>
      <c r="L20" s="464"/>
      <c r="M20" s="464"/>
      <c r="N20" s="464"/>
      <c r="O20" s="464"/>
      <c r="P20" s="464"/>
      <c r="Q20" s="464"/>
      <c r="R20" s="464"/>
      <c r="S20" s="464"/>
      <c r="T20" s="464"/>
      <c r="U20" s="464"/>
      <c r="V20" s="464"/>
      <c r="W20" s="464"/>
      <c r="X20" s="464"/>
      <c r="Y20" s="464"/>
      <c r="Z20" s="464"/>
      <c r="AA20" s="464"/>
      <c r="AB20" s="464"/>
      <c r="AC20" s="464"/>
      <c r="AD20" s="464"/>
      <c r="AE20" s="464"/>
      <c r="AF20" s="464"/>
      <c r="AG20" s="464"/>
      <c r="AH20" s="464"/>
      <c r="AI20" s="464"/>
      <c r="AJ20" s="464"/>
    </row>
    <row r="21" spans="1:36" ht="15.75" customHeight="1">
      <c r="A21" s="465"/>
      <c r="C21" s="1083" t="s">
        <v>2398</v>
      </c>
      <c r="D21" s="1085"/>
      <c r="E21" s="1084"/>
      <c r="F21" s="1086" t="s">
        <v>3111</v>
      </c>
      <c r="G21" s="1085"/>
      <c r="H21" s="1084"/>
      <c r="J21" s="168" t="s">
        <v>3646</v>
      </c>
      <c r="K21" s="472">
        <v>250000</v>
      </c>
      <c r="L21" s="464"/>
      <c r="M21" s="464"/>
      <c r="O21" s="464"/>
      <c r="P21" s="464"/>
      <c r="Q21" s="464"/>
      <c r="R21" s="464"/>
      <c r="S21" s="464"/>
      <c r="T21" s="464"/>
      <c r="U21" s="464"/>
      <c r="V21" s="464"/>
      <c r="W21" s="464"/>
      <c r="X21" s="464"/>
      <c r="Y21" s="464"/>
      <c r="Z21" s="464"/>
      <c r="AA21" s="464"/>
      <c r="AB21" s="464"/>
      <c r="AC21" s="464"/>
      <c r="AD21" s="464"/>
      <c r="AE21" s="464"/>
      <c r="AF21" s="464"/>
      <c r="AG21" s="464"/>
      <c r="AH21" s="464"/>
      <c r="AI21" s="464"/>
      <c r="AJ21" s="464"/>
    </row>
    <row r="22" spans="1:36" ht="15.75" customHeight="1" thickBot="1">
      <c r="A22" s="465"/>
      <c r="C22" s="473" t="s">
        <v>3113</v>
      </c>
      <c r="D22" s="22" t="s">
        <v>3114</v>
      </c>
      <c r="E22" s="22" t="s">
        <v>3115</v>
      </c>
      <c r="F22" s="473" t="s">
        <v>3113</v>
      </c>
      <c r="G22" s="22" t="s">
        <v>3114</v>
      </c>
      <c r="H22" s="474" t="s">
        <v>3115</v>
      </c>
      <c r="I22" s="475"/>
      <c r="J22" s="168" t="s">
        <v>3647</v>
      </c>
      <c r="K22" s="472">
        <v>25000000</v>
      </c>
      <c r="L22" s="464"/>
      <c r="M22" s="464"/>
      <c r="O22" s="464"/>
      <c r="P22" s="464"/>
      <c r="Q22" s="464"/>
      <c r="R22" s="464"/>
      <c r="S22" s="464"/>
      <c r="T22" s="464"/>
      <c r="U22" s="464"/>
      <c r="V22" s="464"/>
      <c r="W22" s="464"/>
      <c r="X22" s="464"/>
      <c r="Y22" s="464"/>
      <c r="Z22" s="464"/>
      <c r="AA22" s="464"/>
      <c r="AB22" s="464"/>
      <c r="AC22" s="464"/>
      <c r="AD22" s="464"/>
      <c r="AE22" s="464"/>
      <c r="AF22" s="464"/>
      <c r="AG22" s="464"/>
      <c r="AH22" s="464"/>
      <c r="AI22" s="464"/>
      <c r="AJ22" s="464"/>
    </row>
    <row r="23" spans="1:36" ht="15.75" customHeight="1">
      <c r="A23" s="465"/>
      <c r="B23" s="476" t="s">
        <v>3117</v>
      </c>
      <c r="C23" s="477">
        <f>IF(Deckungssumme1GI&gt;K22,K22,Deckungssumme1GI)</f>
        <v>0</v>
      </c>
      <c r="D23" s="478">
        <f>IF(Deckungssumme2GI&gt;K22,K22,Deckungssumme2GI)</f>
        <v>0</v>
      </c>
      <c r="E23" s="478">
        <f>IF(Deckungssumme3GI&gt;K22,K22,Deckungssumme3GI)</f>
        <v>0</v>
      </c>
      <c r="F23" s="477">
        <f>IF(Deckungssumme1&gt;K22,K22,Deckungssumme1)</f>
        <v>0</v>
      </c>
      <c r="G23" s="478">
        <f>IF(Deckungssumme2&gt;K22,K22,Deckungssumme2)</f>
        <v>0</v>
      </c>
      <c r="H23" s="479">
        <f>IF(Deckungssumme3&gt;K22,K22,Deckungssumme3)</f>
        <v>0</v>
      </c>
      <c r="J23" s="168" t="s">
        <v>3648</v>
      </c>
      <c r="K23" s="472">
        <v>1500000000</v>
      </c>
      <c r="L23" s="464"/>
      <c r="M23" s="464"/>
      <c r="O23" s="464"/>
      <c r="P23" s="464"/>
      <c r="Q23" s="464"/>
      <c r="R23" s="464"/>
      <c r="S23" s="464"/>
      <c r="T23" s="464"/>
      <c r="U23" s="464"/>
      <c r="V23" s="464"/>
      <c r="W23" s="464"/>
      <c r="X23" s="464"/>
      <c r="Y23" s="464"/>
      <c r="Z23" s="464"/>
      <c r="AA23" s="464"/>
      <c r="AB23" s="464"/>
      <c r="AC23" s="464"/>
      <c r="AD23" s="464"/>
      <c r="AE23" s="464"/>
      <c r="AF23" s="464"/>
      <c r="AG23" s="464"/>
      <c r="AH23" s="464"/>
      <c r="AI23" s="464"/>
      <c r="AJ23" s="464"/>
    </row>
    <row r="24" spans="1:36" ht="15.75" customHeight="1">
      <c r="A24" s="465"/>
      <c r="B24" s="480" t="s">
        <v>3119</v>
      </c>
      <c r="C24" s="477" t="str">
        <f>IF(Deckungssumme1GI=0,"",D48)</f>
        <v/>
      </c>
      <c r="D24" s="478" t="str">
        <f>IF(Deckungssumme2GI=0,"",F48)</f>
        <v/>
      </c>
      <c r="E24" s="478" t="str">
        <f>IF(Deckungssumme3GI=0,"",H48)</f>
        <v/>
      </c>
      <c r="F24" s="477" t="str">
        <f>IF(Deckungssumme1=0,"",J48)</f>
        <v/>
      </c>
      <c r="G24" s="478" t="str">
        <f>IF(Deckungssumme2=0,"",L48)</f>
        <v/>
      </c>
      <c r="H24" s="479" t="str">
        <f>IF(Deckungssumme3=0,"",N48)</f>
        <v/>
      </c>
      <c r="J24" s="464"/>
      <c r="K24" s="464"/>
      <c r="L24" s="464"/>
      <c r="M24" s="464"/>
      <c r="O24" s="464"/>
      <c r="P24" s="464"/>
      <c r="Q24" s="464"/>
      <c r="R24" s="464"/>
      <c r="S24" s="464"/>
      <c r="T24" s="464"/>
      <c r="U24" s="464"/>
      <c r="V24" s="464"/>
      <c r="W24" s="464"/>
      <c r="X24" s="464"/>
      <c r="Y24" s="464"/>
      <c r="Z24" s="464"/>
      <c r="AA24" s="464"/>
      <c r="AB24" s="464"/>
      <c r="AC24" s="464"/>
      <c r="AD24" s="464"/>
      <c r="AE24" s="464"/>
      <c r="AF24" s="464"/>
      <c r="AG24" s="464"/>
      <c r="AH24" s="464"/>
      <c r="AI24" s="464"/>
      <c r="AJ24" s="464"/>
    </row>
    <row r="25" spans="1:36" ht="15.75" customHeight="1">
      <c r="A25" s="465"/>
      <c r="B25" s="480" t="s">
        <v>3649</v>
      </c>
      <c r="C25" s="477">
        <f>IF(MAX(AußenumsatzGI,VereinsvermögenGI)&gt;K23,"Umsatz zu groß!",MAX(AußenumsatzGI,VereinsvermögenGI))</f>
        <v>0</v>
      </c>
      <c r="D25" s="478">
        <f>IF(MAX(AußenumsatzGI,VereinsvermögenGI)&gt;K23,"Umsatz zu groß!",MAX(AußenumsatzGI,VereinsvermögenGI))</f>
        <v>0</v>
      </c>
      <c r="E25" s="478">
        <f>IF(MAX(AußenumsatzGI,VereinsvermögenGI)&gt;K23,"Umsatz zu groß!",MAX(AußenumsatzGI,VereinsvermögenGI))</f>
        <v>0</v>
      </c>
      <c r="F25" s="477">
        <f>IF(MAX(Außenumsatz,Vereinsvermögen)&gt;K23,"Umsatz zu groß!",MAX(Außenumsatz,Vereinsvermögen))</f>
        <v>0</v>
      </c>
      <c r="G25" s="478">
        <f>IF(MAX(Außenumsatz,Vereinsvermögen)&gt;K23,"Umsatz zu groß!",MAX(Außenumsatz,Vereinsvermögen))</f>
        <v>0</v>
      </c>
      <c r="H25" s="479">
        <f>IF(MAX(Außenumsatz,Vereinsvermögen)&gt;K23,"Umsatz zu groß!",MAX(Außenumsatz,Vereinsvermögen))</f>
        <v>0</v>
      </c>
      <c r="J25" s="464"/>
      <c r="K25" s="464"/>
      <c r="L25" s="464"/>
      <c r="M25" s="464"/>
      <c r="O25" s="464"/>
      <c r="P25" s="464"/>
      <c r="Q25" s="464"/>
      <c r="R25" s="464"/>
      <c r="S25" s="464"/>
      <c r="T25" s="464"/>
      <c r="U25" s="464"/>
      <c r="V25" s="464"/>
      <c r="W25" s="464"/>
      <c r="X25" s="464"/>
      <c r="Y25" s="464"/>
      <c r="Z25" s="464"/>
      <c r="AA25" s="464"/>
      <c r="AB25" s="464"/>
      <c r="AC25" s="464"/>
      <c r="AD25" s="464"/>
      <c r="AE25" s="464"/>
      <c r="AF25" s="464"/>
      <c r="AG25" s="464"/>
      <c r="AH25" s="464"/>
      <c r="AI25" s="464"/>
      <c r="AJ25" s="464"/>
    </row>
    <row r="26" spans="1:36" ht="15.75" customHeight="1">
      <c r="A26" s="465"/>
      <c r="B26" s="480" t="s">
        <v>3650</v>
      </c>
      <c r="C26" s="477" t="e">
        <f t="shared" ref="C26:H26" si="0">MATCH(C24,$D$3:$R$3,1)</f>
        <v>#N/A</v>
      </c>
      <c r="D26" s="478" t="e">
        <f t="shared" si="0"/>
        <v>#N/A</v>
      </c>
      <c r="E26" s="478" t="e">
        <f t="shared" si="0"/>
        <v>#N/A</v>
      </c>
      <c r="F26" s="477" t="e">
        <f t="shared" si="0"/>
        <v>#N/A</v>
      </c>
      <c r="G26" s="478" t="e">
        <f t="shared" si="0"/>
        <v>#N/A</v>
      </c>
      <c r="H26" s="479" t="e">
        <f t="shared" si="0"/>
        <v>#N/A</v>
      </c>
      <c r="J26" s="464"/>
      <c r="K26" s="464"/>
      <c r="L26" s="464"/>
      <c r="M26" s="464"/>
      <c r="O26" s="464"/>
      <c r="P26" s="464"/>
      <c r="Q26" s="464"/>
      <c r="R26" s="464"/>
      <c r="S26" s="464"/>
      <c r="T26" s="464"/>
      <c r="U26" s="464"/>
      <c r="V26" s="464"/>
      <c r="W26" s="464"/>
      <c r="X26" s="464"/>
      <c r="Y26" s="464"/>
      <c r="Z26" s="464"/>
      <c r="AA26" s="464"/>
      <c r="AB26" s="464"/>
      <c r="AC26" s="464"/>
      <c r="AD26" s="464"/>
      <c r="AE26" s="464"/>
      <c r="AF26" s="464"/>
      <c r="AG26" s="464"/>
      <c r="AH26" s="464"/>
      <c r="AI26" s="464"/>
      <c r="AJ26" s="464"/>
    </row>
    <row r="27" spans="1:36" ht="15.75" customHeight="1">
      <c r="A27" s="465"/>
      <c r="B27" s="480" t="s">
        <v>3651</v>
      </c>
      <c r="C27" s="477">
        <f t="shared" ref="C27:H27" si="1">MATCH(C25,$C$4:$C$14,1)</f>
        <v>1</v>
      </c>
      <c r="D27" s="478">
        <f t="shared" si="1"/>
        <v>1</v>
      </c>
      <c r="E27" s="478">
        <f t="shared" si="1"/>
        <v>1</v>
      </c>
      <c r="F27" s="477">
        <f t="shared" si="1"/>
        <v>1</v>
      </c>
      <c r="G27" s="478">
        <f t="shared" si="1"/>
        <v>1</v>
      </c>
      <c r="H27" s="479">
        <f t="shared" si="1"/>
        <v>1</v>
      </c>
      <c r="J27" s="464"/>
      <c r="K27" s="464"/>
      <c r="L27" s="464"/>
      <c r="M27" s="464"/>
      <c r="O27" s="464"/>
      <c r="P27" s="464"/>
      <c r="Q27" s="464"/>
      <c r="R27" s="464"/>
      <c r="S27" s="464"/>
      <c r="T27" s="464"/>
      <c r="U27" s="464"/>
      <c r="V27" s="464"/>
      <c r="W27" s="464"/>
      <c r="X27" s="464"/>
      <c r="Y27" s="464"/>
      <c r="Z27" s="464"/>
      <c r="AA27" s="464"/>
      <c r="AB27" s="464"/>
      <c r="AC27" s="464"/>
      <c r="AD27" s="464"/>
      <c r="AE27" s="464"/>
      <c r="AF27" s="464"/>
      <c r="AG27" s="464"/>
      <c r="AH27" s="464"/>
      <c r="AI27" s="464"/>
      <c r="AJ27" s="464"/>
    </row>
    <row r="28" spans="1:36" ht="15.75" customHeight="1" thickBot="1">
      <c r="A28" s="465"/>
      <c r="B28" s="481" t="s">
        <v>3118</v>
      </c>
      <c r="C28" s="482" t="str">
        <f t="shared" ref="C28:H28" si="2">IFERROR(INDEX($D$4:$R$14,C27,C26),"")</f>
        <v/>
      </c>
      <c r="D28" s="483" t="str">
        <f t="shared" si="2"/>
        <v/>
      </c>
      <c r="E28" s="483" t="str">
        <f t="shared" si="2"/>
        <v/>
      </c>
      <c r="F28" s="483" t="str">
        <f t="shared" si="2"/>
        <v/>
      </c>
      <c r="G28" s="483" t="str">
        <f t="shared" si="2"/>
        <v/>
      </c>
      <c r="H28" s="484" t="str">
        <f t="shared" si="2"/>
        <v/>
      </c>
      <c r="J28" s="464"/>
      <c r="K28" s="464"/>
      <c r="L28" s="464"/>
      <c r="M28" s="464"/>
      <c r="O28" s="464"/>
      <c r="P28" s="464"/>
      <c r="Q28" s="464"/>
      <c r="R28" s="464"/>
      <c r="S28" s="464"/>
      <c r="T28" s="464"/>
      <c r="U28" s="464"/>
      <c r="V28" s="464"/>
      <c r="W28" s="464"/>
      <c r="X28" s="464"/>
      <c r="Y28" s="464"/>
      <c r="Z28" s="464"/>
      <c r="AA28" s="464"/>
      <c r="AB28" s="464"/>
      <c r="AC28" s="464"/>
      <c r="AD28" s="464"/>
      <c r="AE28" s="464"/>
      <c r="AF28" s="464"/>
      <c r="AG28" s="464"/>
      <c r="AH28" s="464"/>
      <c r="AI28" s="464"/>
      <c r="AJ28" s="464"/>
    </row>
    <row r="29" spans="1:36" ht="15.75" customHeight="1">
      <c r="A29" s="465"/>
      <c r="O29" s="464"/>
      <c r="P29" s="464"/>
      <c r="Q29" s="464"/>
      <c r="R29" s="464"/>
      <c r="S29" s="464"/>
      <c r="T29" s="464"/>
      <c r="U29" s="464"/>
      <c r="V29" s="464"/>
      <c r="W29" s="464"/>
      <c r="X29" s="464"/>
      <c r="Y29" s="464"/>
      <c r="Z29" s="464"/>
      <c r="AA29" s="464"/>
      <c r="AB29" s="464"/>
      <c r="AC29" s="464"/>
      <c r="AD29" s="464"/>
      <c r="AE29" s="464"/>
      <c r="AF29" s="464"/>
      <c r="AG29" s="464"/>
      <c r="AH29" s="464"/>
      <c r="AI29" s="464"/>
      <c r="AJ29" s="464"/>
    </row>
    <row r="30" spans="1:36" ht="15.75" customHeight="1">
      <c r="A30" s="465"/>
      <c r="O30" s="464"/>
      <c r="P30" s="464"/>
      <c r="Q30" s="464"/>
      <c r="R30" s="464"/>
      <c r="S30" s="464"/>
      <c r="T30" s="464"/>
      <c r="U30" s="464"/>
      <c r="V30" s="464"/>
      <c r="W30" s="464"/>
      <c r="X30" s="464"/>
      <c r="Y30" s="464"/>
      <c r="Z30" s="464"/>
      <c r="AA30" s="464"/>
      <c r="AB30" s="464"/>
      <c r="AC30" s="464"/>
      <c r="AD30" s="464"/>
      <c r="AE30" s="464"/>
      <c r="AF30" s="464"/>
      <c r="AG30" s="464"/>
      <c r="AH30" s="464"/>
      <c r="AI30" s="464"/>
      <c r="AJ30" s="464"/>
    </row>
    <row r="31" spans="1:36" ht="15.75" customHeight="1">
      <c r="A31" s="465"/>
      <c r="B31" s="485" t="s">
        <v>3652</v>
      </c>
      <c r="C31" s="1083" t="s">
        <v>3113</v>
      </c>
      <c r="D31" s="1084"/>
      <c r="E31" s="1083" t="s">
        <v>3114</v>
      </c>
      <c r="F31" s="1087"/>
      <c r="G31" s="1088" t="s">
        <v>3115</v>
      </c>
      <c r="H31" s="1084"/>
      <c r="I31" s="1083" t="s">
        <v>3113</v>
      </c>
      <c r="J31" s="1084"/>
      <c r="K31" s="1083" t="s">
        <v>3114</v>
      </c>
      <c r="L31" s="1084"/>
      <c r="M31" s="1083" t="s">
        <v>3115</v>
      </c>
      <c r="N31" s="1084"/>
      <c r="O31" s="464"/>
      <c r="P31" s="464"/>
      <c r="Q31" s="464"/>
      <c r="R31" s="464"/>
      <c r="S31" s="464"/>
      <c r="T31" s="464"/>
      <c r="U31" s="464"/>
      <c r="V31" s="464"/>
      <c r="W31" s="464"/>
      <c r="X31" s="464"/>
      <c r="Y31" s="464"/>
      <c r="Z31" s="464"/>
      <c r="AA31" s="464"/>
      <c r="AB31" s="464"/>
      <c r="AC31" s="464"/>
      <c r="AD31" s="464"/>
      <c r="AE31" s="464"/>
      <c r="AF31" s="464"/>
      <c r="AG31" s="464"/>
      <c r="AH31" s="464"/>
      <c r="AI31" s="464"/>
      <c r="AJ31" s="464"/>
    </row>
    <row r="32" spans="1:36" ht="15.75" customHeight="1">
      <c r="A32" s="465"/>
      <c r="B32" s="486">
        <v>250000</v>
      </c>
      <c r="C32" s="487">
        <f t="shared" ref="C32:C46" si="3">$C$23</f>
        <v>0</v>
      </c>
      <c r="D32" s="488">
        <f t="shared" ref="D32:D46" si="4">IF(C32&lt;=B32,B32,"")</f>
        <v>250000</v>
      </c>
      <c r="E32" s="487">
        <f t="shared" ref="E32:E46" si="5">$D$23</f>
        <v>0</v>
      </c>
      <c r="F32" s="488">
        <f t="shared" ref="F32:F46" si="6">IF(E32&lt;=B32,B32,"")</f>
        <v>250000</v>
      </c>
      <c r="G32" s="487">
        <f t="shared" ref="G32:G46" si="7">$E$23</f>
        <v>0</v>
      </c>
      <c r="H32" s="488">
        <f t="shared" ref="H32:H46" si="8">IF(G32&lt;=B32,B32,"")</f>
        <v>250000</v>
      </c>
      <c r="I32" s="487">
        <f t="shared" ref="I32:I46" si="9">$F$23</f>
        <v>0</v>
      </c>
      <c r="J32" s="488">
        <f t="shared" ref="J32:J46" si="10">IF(I32&lt;=B32,B32,"")</f>
        <v>250000</v>
      </c>
      <c r="K32" s="487">
        <f t="shared" ref="K32:K46" si="11">$G$23</f>
        <v>0</v>
      </c>
      <c r="L32" s="488">
        <f t="shared" ref="L32:L46" si="12">IF(K32&lt;=B32,B32,"")</f>
        <v>250000</v>
      </c>
      <c r="M32" s="487">
        <f t="shared" ref="M32:M46" si="13">$H$23</f>
        <v>0</v>
      </c>
      <c r="N32" s="488">
        <f t="shared" ref="N32:N46" si="14">IF(M32&lt;=B32,B32,"")</f>
        <v>250000</v>
      </c>
      <c r="O32" s="464"/>
      <c r="P32" s="464"/>
      <c r="Q32" s="464"/>
      <c r="R32" s="464"/>
      <c r="S32" s="464"/>
      <c r="T32" s="464"/>
      <c r="U32" s="464"/>
      <c r="V32" s="464"/>
      <c r="W32" s="464"/>
      <c r="X32" s="464"/>
      <c r="Y32" s="464"/>
      <c r="Z32" s="464"/>
      <c r="AA32" s="464"/>
      <c r="AB32" s="464"/>
      <c r="AC32" s="464"/>
      <c r="AD32" s="464"/>
      <c r="AE32" s="464"/>
      <c r="AF32" s="464"/>
      <c r="AG32" s="464"/>
      <c r="AH32" s="464"/>
      <c r="AI32" s="464"/>
      <c r="AJ32" s="464"/>
    </row>
    <row r="33" spans="1:36" ht="15.75" customHeight="1">
      <c r="A33" s="465"/>
      <c r="B33" s="486">
        <v>500000</v>
      </c>
      <c r="C33" s="487">
        <f t="shared" si="3"/>
        <v>0</v>
      </c>
      <c r="D33" s="488">
        <f t="shared" si="4"/>
        <v>500000</v>
      </c>
      <c r="E33" s="487">
        <f t="shared" si="5"/>
        <v>0</v>
      </c>
      <c r="F33" s="488">
        <f t="shared" si="6"/>
        <v>500000</v>
      </c>
      <c r="G33" s="487">
        <f t="shared" si="7"/>
        <v>0</v>
      </c>
      <c r="H33" s="488">
        <f t="shared" si="8"/>
        <v>500000</v>
      </c>
      <c r="I33" s="487">
        <f t="shared" si="9"/>
        <v>0</v>
      </c>
      <c r="J33" s="488">
        <f t="shared" si="10"/>
        <v>500000</v>
      </c>
      <c r="K33" s="487">
        <f t="shared" si="11"/>
        <v>0</v>
      </c>
      <c r="L33" s="488">
        <f t="shared" si="12"/>
        <v>500000</v>
      </c>
      <c r="M33" s="487">
        <f t="shared" si="13"/>
        <v>0</v>
      </c>
      <c r="N33" s="488">
        <f t="shared" si="14"/>
        <v>500000</v>
      </c>
      <c r="O33" s="464"/>
      <c r="P33" s="464"/>
      <c r="Q33" s="464"/>
      <c r="R33" s="464"/>
      <c r="S33" s="464"/>
      <c r="T33" s="464"/>
      <c r="U33" s="464"/>
      <c r="V33" s="464"/>
      <c r="W33" s="464"/>
      <c r="X33" s="464"/>
      <c r="Y33" s="464"/>
      <c r="Z33" s="464"/>
      <c r="AA33" s="464"/>
      <c r="AB33" s="464"/>
      <c r="AC33" s="464"/>
      <c r="AD33" s="464"/>
      <c r="AE33" s="464"/>
      <c r="AF33" s="464"/>
      <c r="AG33" s="464"/>
      <c r="AH33" s="464"/>
      <c r="AI33" s="464"/>
      <c r="AJ33" s="464"/>
    </row>
    <row r="34" spans="1:36" ht="15.75" customHeight="1">
      <c r="A34" s="465"/>
      <c r="B34" s="486">
        <v>1000000</v>
      </c>
      <c r="C34" s="487">
        <f t="shared" si="3"/>
        <v>0</v>
      </c>
      <c r="D34" s="488">
        <f t="shared" si="4"/>
        <v>1000000</v>
      </c>
      <c r="E34" s="487">
        <f t="shared" si="5"/>
        <v>0</v>
      </c>
      <c r="F34" s="488">
        <f t="shared" si="6"/>
        <v>1000000</v>
      </c>
      <c r="G34" s="487">
        <f t="shared" si="7"/>
        <v>0</v>
      </c>
      <c r="H34" s="488">
        <f t="shared" si="8"/>
        <v>1000000</v>
      </c>
      <c r="I34" s="487">
        <f t="shared" si="9"/>
        <v>0</v>
      </c>
      <c r="J34" s="488">
        <f t="shared" si="10"/>
        <v>1000000</v>
      </c>
      <c r="K34" s="487">
        <f t="shared" si="11"/>
        <v>0</v>
      </c>
      <c r="L34" s="488">
        <f t="shared" si="12"/>
        <v>1000000</v>
      </c>
      <c r="M34" s="487">
        <f t="shared" si="13"/>
        <v>0</v>
      </c>
      <c r="N34" s="488">
        <f t="shared" si="14"/>
        <v>1000000</v>
      </c>
      <c r="O34" s="464"/>
      <c r="P34" s="464"/>
      <c r="Q34" s="464"/>
      <c r="R34" s="464"/>
      <c r="S34" s="464"/>
      <c r="T34" s="464"/>
      <c r="U34" s="464"/>
      <c r="V34" s="464"/>
      <c r="W34" s="464"/>
      <c r="X34" s="464"/>
      <c r="Y34" s="464"/>
      <c r="Z34" s="464"/>
      <c r="AA34" s="464"/>
      <c r="AB34" s="464"/>
      <c r="AC34" s="464"/>
      <c r="AD34" s="464"/>
      <c r="AE34" s="464"/>
      <c r="AF34" s="464"/>
      <c r="AG34" s="464"/>
      <c r="AH34" s="464"/>
      <c r="AI34" s="464"/>
      <c r="AJ34" s="464"/>
    </row>
    <row r="35" spans="1:36" ht="15.75" customHeight="1">
      <c r="A35" s="465"/>
      <c r="B35" s="486">
        <v>1500000</v>
      </c>
      <c r="C35" s="487">
        <f t="shared" si="3"/>
        <v>0</v>
      </c>
      <c r="D35" s="488">
        <f t="shared" si="4"/>
        <v>1500000</v>
      </c>
      <c r="E35" s="487">
        <f t="shared" si="5"/>
        <v>0</v>
      </c>
      <c r="F35" s="488">
        <f t="shared" si="6"/>
        <v>1500000</v>
      </c>
      <c r="G35" s="487">
        <f t="shared" si="7"/>
        <v>0</v>
      </c>
      <c r="H35" s="488">
        <f t="shared" si="8"/>
        <v>1500000</v>
      </c>
      <c r="I35" s="487">
        <f t="shared" si="9"/>
        <v>0</v>
      </c>
      <c r="J35" s="488">
        <f t="shared" si="10"/>
        <v>1500000</v>
      </c>
      <c r="K35" s="487">
        <f t="shared" si="11"/>
        <v>0</v>
      </c>
      <c r="L35" s="488">
        <f t="shared" si="12"/>
        <v>1500000</v>
      </c>
      <c r="M35" s="487">
        <f t="shared" si="13"/>
        <v>0</v>
      </c>
      <c r="N35" s="488">
        <f t="shared" si="14"/>
        <v>1500000</v>
      </c>
      <c r="O35" s="464"/>
      <c r="P35" s="464"/>
      <c r="Q35" s="464"/>
      <c r="R35" s="464"/>
      <c r="S35" s="464"/>
      <c r="T35" s="464"/>
      <c r="U35" s="464"/>
      <c r="V35" s="464"/>
      <c r="W35" s="464"/>
      <c r="X35" s="464"/>
      <c r="Y35" s="464"/>
      <c r="Z35" s="464"/>
      <c r="AA35" s="464"/>
      <c r="AB35" s="464"/>
      <c r="AC35" s="464"/>
      <c r="AD35" s="464"/>
      <c r="AE35" s="464"/>
      <c r="AF35" s="464"/>
      <c r="AG35" s="464"/>
      <c r="AH35" s="464"/>
      <c r="AI35" s="464"/>
      <c r="AJ35" s="464"/>
    </row>
    <row r="36" spans="1:36" ht="15.75" customHeight="1">
      <c r="A36" s="465"/>
      <c r="B36" s="486">
        <v>2000000</v>
      </c>
      <c r="C36" s="487">
        <f t="shared" si="3"/>
        <v>0</v>
      </c>
      <c r="D36" s="488">
        <f t="shared" si="4"/>
        <v>2000000</v>
      </c>
      <c r="E36" s="487">
        <f t="shared" si="5"/>
        <v>0</v>
      </c>
      <c r="F36" s="488">
        <f t="shared" si="6"/>
        <v>2000000</v>
      </c>
      <c r="G36" s="487">
        <f t="shared" si="7"/>
        <v>0</v>
      </c>
      <c r="H36" s="488">
        <f t="shared" si="8"/>
        <v>2000000</v>
      </c>
      <c r="I36" s="487">
        <f t="shared" si="9"/>
        <v>0</v>
      </c>
      <c r="J36" s="488">
        <f t="shared" si="10"/>
        <v>2000000</v>
      </c>
      <c r="K36" s="487">
        <f t="shared" si="11"/>
        <v>0</v>
      </c>
      <c r="L36" s="488">
        <f t="shared" si="12"/>
        <v>2000000</v>
      </c>
      <c r="M36" s="487">
        <f t="shared" si="13"/>
        <v>0</v>
      </c>
      <c r="N36" s="488">
        <f t="shared" si="14"/>
        <v>2000000</v>
      </c>
      <c r="O36" s="464"/>
      <c r="P36" s="464"/>
      <c r="Q36" s="464"/>
      <c r="R36" s="464"/>
      <c r="S36" s="464"/>
      <c r="T36" s="464"/>
      <c r="U36" s="464"/>
      <c r="V36" s="464"/>
      <c r="W36" s="464"/>
      <c r="X36" s="464"/>
      <c r="Y36" s="464"/>
      <c r="Z36" s="464"/>
      <c r="AA36" s="464"/>
      <c r="AB36" s="464"/>
      <c r="AC36" s="464"/>
      <c r="AD36" s="464"/>
      <c r="AE36" s="464"/>
      <c r="AF36" s="464"/>
      <c r="AG36" s="464"/>
      <c r="AH36" s="464"/>
      <c r="AI36" s="464"/>
      <c r="AJ36" s="464"/>
    </row>
    <row r="37" spans="1:36" ht="15.75" customHeight="1">
      <c r="A37" s="465"/>
      <c r="B37" s="486">
        <v>2500000</v>
      </c>
      <c r="C37" s="487">
        <f t="shared" si="3"/>
        <v>0</v>
      </c>
      <c r="D37" s="488">
        <f t="shared" si="4"/>
        <v>2500000</v>
      </c>
      <c r="E37" s="487">
        <f t="shared" si="5"/>
        <v>0</v>
      </c>
      <c r="F37" s="488">
        <f t="shared" si="6"/>
        <v>2500000</v>
      </c>
      <c r="G37" s="487">
        <f t="shared" si="7"/>
        <v>0</v>
      </c>
      <c r="H37" s="488">
        <f t="shared" si="8"/>
        <v>2500000</v>
      </c>
      <c r="I37" s="487">
        <f t="shared" si="9"/>
        <v>0</v>
      </c>
      <c r="J37" s="488">
        <f t="shared" si="10"/>
        <v>2500000</v>
      </c>
      <c r="K37" s="487">
        <f t="shared" si="11"/>
        <v>0</v>
      </c>
      <c r="L37" s="488">
        <f t="shared" si="12"/>
        <v>2500000</v>
      </c>
      <c r="M37" s="487">
        <f t="shared" si="13"/>
        <v>0</v>
      </c>
      <c r="N37" s="488">
        <f t="shared" si="14"/>
        <v>2500000</v>
      </c>
      <c r="O37" s="464"/>
      <c r="P37" s="464"/>
      <c r="Q37" s="464"/>
      <c r="R37" s="464"/>
      <c r="S37" s="464"/>
      <c r="T37" s="464"/>
      <c r="U37" s="464"/>
      <c r="V37" s="464"/>
      <c r="W37" s="464"/>
      <c r="X37" s="464"/>
      <c r="Y37" s="464"/>
      <c r="Z37" s="464"/>
      <c r="AA37" s="464"/>
      <c r="AB37" s="464"/>
      <c r="AC37" s="464"/>
      <c r="AD37" s="464"/>
      <c r="AE37" s="464"/>
      <c r="AF37" s="464"/>
      <c r="AG37" s="464"/>
      <c r="AH37" s="464"/>
      <c r="AI37" s="464"/>
      <c r="AJ37" s="464"/>
    </row>
    <row r="38" spans="1:36" ht="15.75" customHeight="1">
      <c r="A38" s="465"/>
      <c r="B38" s="486">
        <v>3000000</v>
      </c>
      <c r="C38" s="487">
        <f t="shared" si="3"/>
        <v>0</v>
      </c>
      <c r="D38" s="488">
        <f t="shared" si="4"/>
        <v>3000000</v>
      </c>
      <c r="E38" s="487">
        <f t="shared" si="5"/>
        <v>0</v>
      </c>
      <c r="F38" s="488">
        <f t="shared" si="6"/>
        <v>3000000</v>
      </c>
      <c r="G38" s="487">
        <f t="shared" si="7"/>
        <v>0</v>
      </c>
      <c r="H38" s="488">
        <f t="shared" si="8"/>
        <v>3000000</v>
      </c>
      <c r="I38" s="487">
        <f t="shared" si="9"/>
        <v>0</v>
      </c>
      <c r="J38" s="488">
        <f t="shared" si="10"/>
        <v>3000000</v>
      </c>
      <c r="K38" s="487">
        <f t="shared" si="11"/>
        <v>0</v>
      </c>
      <c r="L38" s="488">
        <f t="shared" si="12"/>
        <v>3000000</v>
      </c>
      <c r="M38" s="487">
        <f t="shared" si="13"/>
        <v>0</v>
      </c>
      <c r="N38" s="488">
        <f t="shared" si="14"/>
        <v>3000000</v>
      </c>
      <c r="O38" s="464"/>
      <c r="P38" s="464"/>
      <c r="Q38" s="464"/>
      <c r="R38" s="464"/>
      <c r="S38" s="464"/>
      <c r="T38" s="464"/>
      <c r="U38" s="464"/>
      <c r="V38" s="464"/>
      <c r="W38" s="464"/>
      <c r="X38" s="464"/>
      <c r="Y38" s="464"/>
      <c r="Z38" s="464"/>
      <c r="AA38" s="464"/>
      <c r="AB38" s="464"/>
      <c r="AC38" s="464"/>
      <c r="AD38" s="464"/>
      <c r="AE38" s="464"/>
      <c r="AF38" s="464"/>
      <c r="AG38" s="464"/>
      <c r="AH38" s="464"/>
      <c r="AI38" s="464"/>
      <c r="AJ38" s="464"/>
    </row>
    <row r="39" spans="1:36" ht="15.75" customHeight="1">
      <c r="A39" s="465"/>
      <c r="B39" s="486">
        <v>4000000</v>
      </c>
      <c r="C39" s="487">
        <f t="shared" si="3"/>
        <v>0</v>
      </c>
      <c r="D39" s="488">
        <f t="shared" si="4"/>
        <v>4000000</v>
      </c>
      <c r="E39" s="487">
        <f t="shared" si="5"/>
        <v>0</v>
      </c>
      <c r="F39" s="488">
        <f t="shared" si="6"/>
        <v>4000000</v>
      </c>
      <c r="G39" s="487">
        <f t="shared" si="7"/>
        <v>0</v>
      </c>
      <c r="H39" s="488">
        <f t="shared" si="8"/>
        <v>4000000</v>
      </c>
      <c r="I39" s="487">
        <f t="shared" si="9"/>
        <v>0</v>
      </c>
      <c r="J39" s="488">
        <f t="shared" si="10"/>
        <v>4000000</v>
      </c>
      <c r="K39" s="487">
        <f t="shared" si="11"/>
        <v>0</v>
      </c>
      <c r="L39" s="488">
        <f t="shared" si="12"/>
        <v>4000000</v>
      </c>
      <c r="M39" s="487">
        <f t="shared" si="13"/>
        <v>0</v>
      </c>
      <c r="N39" s="488">
        <f t="shared" si="14"/>
        <v>4000000</v>
      </c>
      <c r="O39" s="464"/>
      <c r="P39" s="464"/>
      <c r="Q39" s="464"/>
      <c r="R39" s="464"/>
      <c r="S39" s="464"/>
      <c r="T39" s="464"/>
      <c r="U39" s="464"/>
      <c r="V39" s="464"/>
      <c r="W39" s="464"/>
      <c r="X39" s="464"/>
      <c r="Y39" s="464"/>
      <c r="Z39" s="464"/>
      <c r="AA39" s="464"/>
      <c r="AB39" s="464"/>
      <c r="AC39" s="464"/>
      <c r="AD39" s="464"/>
      <c r="AE39" s="464"/>
      <c r="AF39" s="464"/>
      <c r="AG39" s="464"/>
      <c r="AH39" s="464"/>
      <c r="AI39" s="464"/>
      <c r="AJ39" s="464"/>
    </row>
    <row r="40" spans="1:36" ht="15.75" customHeight="1">
      <c r="A40" s="465"/>
      <c r="B40" s="486">
        <v>5000000</v>
      </c>
      <c r="C40" s="487">
        <f t="shared" si="3"/>
        <v>0</v>
      </c>
      <c r="D40" s="488">
        <f t="shared" si="4"/>
        <v>5000000</v>
      </c>
      <c r="E40" s="487">
        <f t="shared" si="5"/>
        <v>0</v>
      </c>
      <c r="F40" s="488">
        <f t="shared" si="6"/>
        <v>5000000</v>
      </c>
      <c r="G40" s="487">
        <f t="shared" si="7"/>
        <v>0</v>
      </c>
      <c r="H40" s="488">
        <f t="shared" si="8"/>
        <v>5000000</v>
      </c>
      <c r="I40" s="487">
        <f t="shared" si="9"/>
        <v>0</v>
      </c>
      <c r="J40" s="488">
        <f t="shared" si="10"/>
        <v>5000000</v>
      </c>
      <c r="K40" s="487">
        <f t="shared" si="11"/>
        <v>0</v>
      </c>
      <c r="L40" s="488">
        <f t="shared" si="12"/>
        <v>5000000</v>
      </c>
      <c r="M40" s="487">
        <f t="shared" si="13"/>
        <v>0</v>
      </c>
      <c r="N40" s="488">
        <f t="shared" si="14"/>
        <v>5000000</v>
      </c>
      <c r="O40" s="464"/>
      <c r="P40" s="464"/>
      <c r="Q40" s="464"/>
      <c r="R40" s="464"/>
      <c r="S40" s="464"/>
      <c r="T40" s="464"/>
      <c r="U40" s="464"/>
      <c r="V40" s="464"/>
      <c r="W40" s="464"/>
      <c r="X40" s="464"/>
      <c r="Y40" s="464"/>
      <c r="Z40" s="464"/>
      <c r="AA40" s="464"/>
      <c r="AB40" s="464"/>
      <c r="AC40" s="464"/>
      <c r="AD40" s="464"/>
      <c r="AE40" s="464"/>
      <c r="AF40" s="464"/>
      <c r="AG40" s="464"/>
      <c r="AH40" s="464"/>
      <c r="AI40" s="464"/>
      <c r="AJ40" s="464"/>
    </row>
    <row r="41" spans="1:36" ht="15.75" customHeight="1">
      <c r="A41" s="465"/>
      <c r="B41" s="486">
        <v>7500000</v>
      </c>
      <c r="C41" s="487">
        <f t="shared" si="3"/>
        <v>0</v>
      </c>
      <c r="D41" s="488">
        <f t="shared" si="4"/>
        <v>7500000</v>
      </c>
      <c r="E41" s="487">
        <f t="shared" si="5"/>
        <v>0</v>
      </c>
      <c r="F41" s="488">
        <f t="shared" si="6"/>
        <v>7500000</v>
      </c>
      <c r="G41" s="487">
        <f t="shared" si="7"/>
        <v>0</v>
      </c>
      <c r="H41" s="488">
        <f t="shared" si="8"/>
        <v>7500000</v>
      </c>
      <c r="I41" s="487">
        <f t="shared" si="9"/>
        <v>0</v>
      </c>
      <c r="J41" s="488">
        <f t="shared" si="10"/>
        <v>7500000</v>
      </c>
      <c r="K41" s="487">
        <f t="shared" si="11"/>
        <v>0</v>
      </c>
      <c r="L41" s="488">
        <f t="shared" si="12"/>
        <v>7500000</v>
      </c>
      <c r="M41" s="487">
        <f t="shared" si="13"/>
        <v>0</v>
      </c>
      <c r="N41" s="488">
        <f t="shared" si="14"/>
        <v>7500000</v>
      </c>
      <c r="O41" s="464"/>
      <c r="P41" s="464"/>
      <c r="Q41" s="464"/>
      <c r="R41" s="464"/>
      <c r="S41" s="464"/>
      <c r="T41" s="464"/>
      <c r="U41" s="464"/>
      <c r="V41" s="464"/>
      <c r="W41" s="464"/>
      <c r="X41" s="464"/>
      <c r="Y41" s="464"/>
      <c r="Z41" s="464"/>
      <c r="AA41" s="464"/>
      <c r="AB41" s="464"/>
      <c r="AC41" s="464"/>
      <c r="AD41" s="464"/>
      <c r="AE41" s="464"/>
      <c r="AF41" s="464"/>
      <c r="AG41" s="464"/>
      <c r="AH41" s="464"/>
      <c r="AI41" s="464"/>
      <c r="AJ41" s="464"/>
    </row>
    <row r="42" spans="1:36" ht="15.75" customHeight="1">
      <c r="A42" s="465"/>
      <c r="B42" s="486">
        <v>10000000</v>
      </c>
      <c r="C42" s="487">
        <f t="shared" si="3"/>
        <v>0</v>
      </c>
      <c r="D42" s="488">
        <f t="shared" si="4"/>
        <v>10000000</v>
      </c>
      <c r="E42" s="487">
        <f t="shared" si="5"/>
        <v>0</v>
      </c>
      <c r="F42" s="488">
        <f t="shared" si="6"/>
        <v>10000000</v>
      </c>
      <c r="G42" s="487">
        <f t="shared" si="7"/>
        <v>0</v>
      </c>
      <c r="H42" s="488">
        <f t="shared" si="8"/>
        <v>10000000</v>
      </c>
      <c r="I42" s="487">
        <f t="shared" si="9"/>
        <v>0</v>
      </c>
      <c r="J42" s="488">
        <f t="shared" si="10"/>
        <v>10000000</v>
      </c>
      <c r="K42" s="487">
        <f t="shared" si="11"/>
        <v>0</v>
      </c>
      <c r="L42" s="488">
        <f t="shared" si="12"/>
        <v>10000000</v>
      </c>
      <c r="M42" s="487">
        <f t="shared" si="13"/>
        <v>0</v>
      </c>
      <c r="N42" s="488">
        <f t="shared" si="14"/>
        <v>10000000</v>
      </c>
      <c r="O42" s="464"/>
      <c r="P42" s="464"/>
      <c r="Q42" s="464"/>
      <c r="R42" s="464"/>
      <c r="S42" s="464"/>
      <c r="T42" s="464"/>
      <c r="U42" s="464"/>
      <c r="V42" s="464"/>
      <c r="W42" s="464"/>
      <c r="X42" s="464"/>
      <c r="Y42" s="464"/>
      <c r="Z42" s="464"/>
      <c r="AA42" s="464"/>
      <c r="AB42" s="464"/>
      <c r="AC42" s="464"/>
      <c r="AD42" s="464"/>
      <c r="AE42" s="464"/>
      <c r="AF42" s="464"/>
      <c r="AG42" s="464"/>
      <c r="AH42" s="464"/>
      <c r="AI42" s="464"/>
      <c r="AJ42" s="464"/>
    </row>
    <row r="43" spans="1:36" ht="15.75" customHeight="1">
      <c r="A43" s="465"/>
      <c r="B43" s="486">
        <v>12500000</v>
      </c>
      <c r="C43" s="487">
        <f t="shared" si="3"/>
        <v>0</v>
      </c>
      <c r="D43" s="488">
        <f t="shared" si="4"/>
        <v>12500000</v>
      </c>
      <c r="E43" s="487">
        <f t="shared" si="5"/>
        <v>0</v>
      </c>
      <c r="F43" s="488">
        <f t="shared" si="6"/>
        <v>12500000</v>
      </c>
      <c r="G43" s="487">
        <f t="shared" si="7"/>
        <v>0</v>
      </c>
      <c r="H43" s="488">
        <f t="shared" si="8"/>
        <v>12500000</v>
      </c>
      <c r="I43" s="487">
        <f t="shared" si="9"/>
        <v>0</v>
      </c>
      <c r="J43" s="488">
        <f t="shared" si="10"/>
        <v>12500000</v>
      </c>
      <c r="K43" s="487">
        <f t="shared" si="11"/>
        <v>0</v>
      </c>
      <c r="L43" s="488">
        <f t="shared" si="12"/>
        <v>12500000</v>
      </c>
      <c r="M43" s="487">
        <f t="shared" si="13"/>
        <v>0</v>
      </c>
      <c r="N43" s="488">
        <f t="shared" si="14"/>
        <v>12500000</v>
      </c>
      <c r="O43" s="464"/>
      <c r="P43" s="464"/>
      <c r="Q43" s="464"/>
      <c r="R43" s="464"/>
      <c r="S43" s="464"/>
      <c r="T43" s="464"/>
      <c r="U43" s="464"/>
      <c r="V43" s="464"/>
      <c r="W43" s="464"/>
      <c r="X43" s="464"/>
      <c r="Y43" s="464"/>
      <c r="Z43" s="464"/>
      <c r="AA43" s="464"/>
      <c r="AB43" s="464"/>
      <c r="AC43" s="464"/>
      <c r="AD43" s="464"/>
      <c r="AE43" s="464"/>
      <c r="AF43" s="464"/>
      <c r="AG43" s="464"/>
      <c r="AH43" s="464"/>
      <c r="AI43" s="464"/>
      <c r="AJ43" s="464"/>
    </row>
    <row r="44" spans="1:36" ht="15.75" customHeight="1">
      <c r="A44" s="465"/>
      <c r="B44" s="486">
        <v>15000000</v>
      </c>
      <c r="C44" s="487">
        <f t="shared" si="3"/>
        <v>0</v>
      </c>
      <c r="D44" s="488">
        <f t="shared" si="4"/>
        <v>15000000</v>
      </c>
      <c r="E44" s="487">
        <f t="shared" si="5"/>
        <v>0</v>
      </c>
      <c r="F44" s="488">
        <f t="shared" si="6"/>
        <v>15000000</v>
      </c>
      <c r="G44" s="487">
        <f t="shared" si="7"/>
        <v>0</v>
      </c>
      <c r="H44" s="488">
        <f t="shared" si="8"/>
        <v>15000000</v>
      </c>
      <c r="I44" s="487">
        <f t="shared" si="9"/>
        <v>0</v>
      </c>
      <c r="J44" s="488">
        <f t="shared" si="10"/>
        <v>15000000</v>
      </c>
      <c r="K44" s="487">
        <f t="shared" si="11"/>
        <v>0</v>
      </c>
      <c r="L44" s="488">
        <f t="shared" si="12"/>
        <v>15000000</v>
      </c>
      <c r="M44" s="487">
        <f t="shared" si="13"/>
        <v>0</v>
      </c>
      <c r="N44" s="488">
        <f t="shared" si="14"/>
        <v>15000000</v>
      </c>
      <c r="O44" s="464"/>
      <c r="P44" s="464"/>
      <c r="Q44" s="464"/>
      <c r="R44" s="464"/>
      <c r="S44" s="464"/>
      <c r="T44" s="464"/>
      <c r="U44" s="464"/>
      <c r="V44" s="464"/>
      <c r="W44" s="464"/>
      <c r="X44" s="464"/>
      <c r="Y44" s="464"/>
      <c r="Z44" s="464"/>
      <c r="AA44" s="464"/>
      <c r="AB44" s="464"/>
      <c r="AC44" s="464"/>
      <c r="AD44" s="464"/>
      <c r="AE44" s="464"/>
      <c r="AF44" s="464"/>
      <c r="AG44" s="464"/>
      <c r="AH44" s="464"/>
      <c r="AI44" s="464"/>
      <c r="AJ44" s="464"/>
    </row>
    <row r="45" spans="1:36" ht="15.75" customHeight="1">
      <c r="A45" s="465"/>
      <c r="B45" s="486">
        <v>20000000</v>
      </c>
      <c r="C45" s="487">
        <f t="shared" si="3"/>
        <v>0</v>
      </c>
      <c r="D45" s="488">
        <f t="shared" si="4"/>
        <v>20000000</v>
      </c>
      <c r="E45" s="487">
        <f t="shared" si="5"/>
        <v>0</v>
      </c>
      <c r="F45" s="488">
        <f t="shared" si="6"/>
        <v>20000000</v>
      </c>
      <c r="G45" s="487">
        <f t="shared" si="7"/>
        <v>0</v>
      </c>
      <c r="H45" s="488">
        <f t="shared" si="8"/>
        <v>20000000</v>
      </c>
      <c r="I45" s="487">
        <f t="shared" si="9"/>
        <v>0</v>
      </c>
      <c r="J45" s="488">
        <f t="shared" si="10"/>
        <v>20000000</v>
      </c>
      <c r="K45" s="487">
        <f t="shared" si="11"/>
        <v>0</v>
      </c>
      <c r="L45" s="488">
        <f t="shared" si="12"/>
        <v>20000000</v>
      </c>
      <c r="M45" s="487">
        <f t="shared" si="13"/>
        <v>0</v>
      </c>
      <c r="N45" s="488">
        <f t="shared" si="14"/>
        <v>20000000</v>
      </c>
      <c r="O45" s="464"/>
      <c r="P45" s="464"/>
      <c r="Q45" s="464"/>
      <c r="R45" s="464"/>
      <c r="S45" s="464"/>
      <c r="T45" s="464"/>
      <c r="U45" s="464"/>
      <c r="V45" s="464"/>
      <c r="W45" s="464"/>
      <c r="X45" s="464"/>
      <c r="Y45" s="464"/>
      <c r="Z45" s="464"/>
      <c r="AA45" s="464"/>
      <c r="AB45" s="464"/>
      <c r="AC45" s="464"/>
      <c r="AD45" s="464"/>
      <c r="AE45" s="464"/>
      <c r="AF45" s="464"/>
      <c r="AG45" s="464"/>
      <c r="AH45" s="464"/>
      <c r="AI45" s="464"/>
      <c r="AJ45" s="464"/>
    </row>
    <row r="46" spans="1:36" ht="15.75" customHeight="1">
      <c r="A46" s="465"/>
      <c r="B46" s="489">
        <v>25000000</v>
      </c>
      <c r="C46" s="487">
        <f t="shared" si="3"/>
        <v>0</v>
      </c>
      <c r="D46" s="488">
        <f t="shared" si="4"/>
        <v>25000000</v>
      </c>
      <c r="E46" s="487">
        <f t="shared" si="5"/>
        <v>0</v>
      </c>
      <c r="F46" s="488">
        <f t="shared" si="6"/>
        <v>25000000</v>
      </c>
      <c r="G46" s="487">
        <f t="shared" si="7"/>
        <v>0</v>
      </c>
      <c r="H46" s="488">
        <f t="shared" si="8"/>
        <v>25000000</v>
      </c>
      <c r="I46" s="487">
        <f t="shared" si="9"/>
        <v>0</v>
      </c>
      <c r="J46" s="488">
        <f t="shared" si="10"/>
        <v>25000000</v>
      </c>
      <c r="K46" s="487">
        <f t="shared" si="11"/>
        <v>0</v>
      </c>
      <c r="L46" s="488">
        <f t="shared" si="12"/>
        <v>25000000</v>
      </c>
      <c r="M46" s="487">
        <f t="shared" si="13"/>
        <v>0</v>
      </c>
      <c r="N46" s="488">
        <f t="shared" si="14"/>
        <v>25000000</v>
      </c>
      <c r="O46" s="464"/>
      <c r="P46" s="464"/>
      <c r="Q46" s="464"/>
      <c r="R46" s="464"/>
      <c r="S46" s="464"/>
      <c r="T46" s="464"/>
      <c r="U46" s="464"/>
      <c r="V46" s="464"/>
      <c r="W46" s="464"/>
      <c r="X46" s="464"/>
      <c r="Y46" s="464"/>
      <c r="Z46" s="464"/>
      <c r="AA46" s="464"/>
      <c r="AB46" s="464"/>
      <c r="AC46" s="464"/>
      <c r="AD46" s="464"/>
      <c r="AE46" s="464"/>
      <c r="AF46" s="464"/>
      <c r="AG46" s="464"/>
      <c r="AH46" s="464"/>
      <c r="AI46" s="464"/>
      <c r="AJ46" s="464"/>
    </row>
    <row r="47" spans="1:36" ht="15.75" customHeight="1">
      <c r="A47" s="465"/>
      <c r="C47" s="487"/>
      <c r="D47" s="488"/>
      <c r="E47" s="487"/>
      <c r="F47" s="488"/>
      <c r="G47" s="487"/>
      <c r="H47" s="488"/>
      <c r="I47" s="487"/>
      <c r="J47" s="488"/>
      <c r="K47" s="487"/>
      <c r="L47" s="488"/>
      <c r="M47" s="487"/>
      <c r="N47" s="488"/>
      <c r="O47" s="464"/>
      <c r="P47" s="464"/>
      <c r="Q47" s="464"/>
      <c r="R47" s="464"/>
      <c r="S47" s="464"/>
      <c r="T47" s="464"/>
      <c r="U47" s="464"/>
      <c r="V47" s="464"/>
      <c r="W47" s="464"/>
      <c r="X47" s="464"/>
      <c r="Y47" s="464"/>
      <c r="Z47" s="464"/>
      <c r="AA47" s="464"/>
      <c r="AB47" s="464"/>
      <c r="AC47" s="464"/>
      <c r="AD47" s="464"/>
      <c r="AE47" s="464"/>
      <c r="AF47" s="464"/>
      <c r="AG47" s="464"/>
      <c r="AH47" s="464"/>
      <c r="AI47" s="464"/>
      <c r="AJ47" s="464"/>
    </row>
    <row r="48" spans="1:36" ht="15.75" customHeight="1">
      <c r="A48" s="465"/>
      <c r="C48" s="490"/>
      <c r="D48" s="491">
        <f>MIN(D32:D46)</f>
        <v>250000</v>
      </c>
      <c r="E48" s="490"/>
      <c r="F48" s="491">
        <f>MIN(F32:F46)</f>
        <v>250000</v>
      </c>
      <c r="G48" s="490"/>
      <c r="H48" s="491">
        <f>MIN(H32:H46)</f>
        <v>250000</v>
      </c>
      <c r="I48" s="490"/>
      <c r="J48" s="491">
        <f>MIN(J32:J46)</f>
        <v>250000</v>
      </c>
      <c r="K48" s="490"/>
      <c r="L48" s="491">
        <f>MIN(L32:L46)</f>
        <v>250000</v>
      </c>
      <c r="M48" s="490"/>
      <c r="N48" s="491">
        <f>MIN(N32:N46)</f>
        <v>250000</v>
      </c>
      <c r="O48" s="464"/>
      <c r="P48" s="464"/>
      <c r="Q48" s="464"/>
      <c r="R48" s="464"/>
      <c r="S48" s="464"/>
      <c r="T48" s="464"/>
      <c r="U48" s="464"/>
      <c r="V48" s="464"/>
      <c r="W48" s="464"/>
      <c r="X48" s="464"/>
      <c r="Y48" s="464"/>
      <c r="Z48" s="464"/>
      <c r="AA48" s="464"/>
      <c r="AB48" s="464"/>
      <c r="AC48" s="464"/>
      <c r="AD48" s="464"/>
      <c r="AE48" s="464"/>
      <c r="AF48" s="464"/>
      <c r="AG48" s="464"/>
      <c r="AH48" s="464"/>
      <c r="AI48" s="464"/>
      <c r="AJ48" s="464"/>
    </row>
    <row r="49" spans="1:36" ht="15.75" customHeight="1">
      <c r="A49" s="465"/>
      <c r="B49" s="464"/>
      <c r="C49" s="464"/>
      <c r="D49" s="464"/>
      <c r="E49" s="464"/>
      <c r="F49" s="464"/>
      <c r="G49" s="464"/>
      <c r="H49" s="464"/>
      <c r="I49" s="464"/>
      <c r="J49" s="464"/>
      <c r="K49" s="464"/>
      <c r="L49" s="464"/>
      <c r="M49" s="464"/>
      <c r="N49" s="464"/>
      <c r="O49" s="464"/>
      <c r="P49" s="464"/>
      <c r="Q49" s="464"/>
      <c r="R49" s="464"/>
      <c r="S49" s="464"/>
      <c r="T49" s="464"/>
      <c r="U49" s="464"/>
      <c r="V49" s="464"/>
      <c r="W49" s="464"/>
      <c r="X49" s="464"/>
      <c r="Y49" s="464"/>
      <c r="Z49" s="464"/>
      <c r="AA49" s="464"/>
      <c r="AB49" s="464"/>
      <c r="AC49" s="464"/>
      <c r="AD49" s="464"/>
      <c r="AE49" s="464"/>
      <c r="AF49" s="464"/>
      <c r="AG49" s="464"/>
      <c r="AH49" s="464"/>
      <c r="AI49" s="464"/>
      <c r="AJ49" s="464"/>
    </row>
    <row r="50" spans="1:36" ht="15.75" customHeight="1">
      <c r="A50" s="465"/>
      <c r="B50" s="464"/>
      <c r="C50" s="464"/>
      <c r="D50" s="464"/>
      <c r="E50" s="464"/>
      <c r="F50" s="464"/>
      <c r="G50" s="464"/>
      <c r="H50" s="464"/>
      <c r="I50" s="464"/>
      <c r="J50" s="464"/>
      <c r="K50" s="464"/>
      <c r="L50" s="464"/>
      <c r="M50" s="464"/>
      <c r="N50" s="464"/>
      <c r="O50" s="464"/>
      <c r="P50" s="464"/>
      <c r="Q50" s="464"/>
      <c r="R50" s="464"/>
      <c r="S50" s="464"/>
      <c r="T50" s="464"/>
      <c r="U50" s="464"/>
      <c r="V50" s="464"/>
      <c r="W50" s="464"/>
      <c r="X50" s="464"/>
      <c r="Y50" s="464"/>
      <c r="Z50" s="464"/>
      <c r="AA50" s="464"/>
      <c r="AB50" s="464"/>
      <c r="AC50" s="464"/>
      <c r="AD50" s="464"/>
      <c r="AE50" s="464"/>
      <c r="AF50" s="464"/>
      <c r="AG50" s="464"/>
      <c r="AH50" s="464"/>
      <c r="AI50" s="464"/>
      <c r="AJ50" s="464"/>
    </row>
    <row r="51" spans="1:36" ht="15.75" customHeight="1">
      <c r="A51" s="465"/>
      <c r="B51" s="464"/>
      <c r="C51" s="464"/>
      <c r="D51" s="464"/>
      <c r="E51" s="464"/>
      <c r="F51" s="464"/>
      <c r="G51" s="464"/>
      <c r="H51" s="464"/>
      <c r="I51" s="464"/>
      <c r="J51" s="464"/>
      <c r="K51" s="464"/>
      <c r="L51" s="464"/>
      <c r="M51" s="464"/>
      <c r="N51" s="464"/>
      <c r="O51" s="464"/>
      <c r="P51" s="464"/>
      <c r="Q51" s="464"/>
      <c r="R51" s="464"/>
      <c r="S51" s="464"/>
      <c r="T51" s="464"/>
      <c r="U51" s="464"/>
      <c r="V51" s="464"/>
      <c r="W51" s="464"/>
      <c r="X51" s="464"/>
      <c r="Y51" s="464"/>
      <c r="Z51" s="464"/>
      <c r="AA51" s="464"/>
      <c r="AB51" s="464"/>
      <c r="AC51" s="464"/>
      <c r="AD51" s="464"/>
      <c r="AE51" s="464"/>
      <c r="AF51" s="464"/>
      <c r="AG51" s="464"/>
      <c r="AH51" s="464"/>
      <c r="AI51" s="464"/>
      <c r="AJ51" s="464"/>
    </row>
    <row r="52" spans="1:36" ht="15.75" customHeight="1">
      <c r="A52" s="465"/>
      <c r="B52" s="464"/>
      <c r="C52" s="464"/>
      <c r="D52" s="464"/>
      <c r="E52" s="464"/>
      <c r="F52" s="464"/>
      <c r="G52" s="464"/>
      <c r="H52" s="464"/>
      <c r="I52" s="464"/>
      <c r="J52" s="464"/>
      <c r="K52" s="464"/>
      <c r="L52" s="464"/>
      <c r="M52" s="464"/>
      <c r="N52" s="464"/>
      <c r="O52" s="464"/>
      <c r="P52" s="464"/>
      <c r="Q52" s="464"/>
      <c r="R52" s="464"/>
      <c r="S52" s="464"/>
      <c r="T52" s="464"/>
      <c r="U52" s="464"/>
      <c r="V52" s="464"/>
      <c r="W52" s="464"/>
      <c r="X52" s="464"/>
      <c r="Y52" s="464"/>
      <c r="Z52" s="464"/>
      <c r="AA52" s="464"/>
      <c r="AB52" s="464"/>
      <c r="AC52" s="464"/>
      <c r="AD52" s="464"/>
      <c r="AE52" s="464"/>
      <c r="AF52" s="464"/>
      <c r="AG52" s="464"/>
      <c r="AH52" s="464"/>
      <c r="AI52" s="464"/>
      <c r="AJ52" s="464"/>
    </row>
    <row r="53" spans="1:36" ht="15.75" customHeight="1">
      <c r="A53" s="463"/>
      <c r="B53" s="464"/>
      <c r="C53" s="464"/>
      <c r="D53" s="464"/>
      <c r="E53" s="464"/>
      <c r="F53" s="464"/>
      <c r="G53" s="464"/>
      <c r="H53" s="464"/>
      <c r="I53" s="464"/>
      <c r="J53" s="464"/>
      <c r="K53" s="464"/>
      <c r="L53" s="464"/>
      <c r="M53" s="464"/>
      <c r="N53" s="464"/>
      <c r="O53" s="464"/>
      <c r="P53" s="464"/>
      <c r="Q53" s="464"/>
      <c r="R53" s="464"/>
      <c r="S53" s="464"/>
      <c r="T53" s="464"/>
      <c r="U53" s="464"/>
      <c r="V53" s="464"/>
      <c r="W53" s="464"/>
      <c r="X53" s="464"/>
      <c r="Y53" s="464"/>
      <c r="Z53" s="464"/>
      <c r="AA53" s="464"/>
      <c r="AB53" s="464"/>
      <c r="AC53" s="464"/>
      <c r="AD53" s="464"/>
      <c r="AE53" s="464"/>
      <c r="AF53" s="464"/>
      <c r="AG53" s="464"/>
      <c r="AH53" s="464"/>
      <c r="AI53" s="464"/>
      <c r="AJ53" s="464"/>
    </row>
    <row r="54" spans="1:36" ht="15.75" customHeight="1">
      <c r="A54" s="463"/>
      <c r="B54" s="464"/>
      <c r="C54" s="464"/>
      <c r="D54" s="464"/>
      <c r="E54" s="464"/>
      <c r="F54" s="464"/>
      <c r="G54" s="464"/>
      <c r="H54" s="464"/>
      <c r="I54" s="464"/>
      <c r="J54" s="464"/>
      <c r="K54" s="464"/>
      <c r="L54" s="464"/>
      <c r="M54" s="464"/>
      <c r="N54" s="464"/>
      <c r="O54" s="464"/>
      <c r="P54" s="464"/>
      <c r="Q54" s="464"/>
      <c r="R54" s="464"/>
      <c r="S54" s="464"/>
      <c r="T54" s="464"/>
      <c r="U54" s="464"/>
      <c r="V54" s="464"/>
      <c r="W54" s="464"/>
      <c r="X54" s="464"/>
      <c r="Y54" s="464"/>
      <c r="Z54" s="464"/>
      <c r="AA54" s="464"/>
      <c r="AB54" s="464"/>
      <c r="AC54" s="464"/>
      <c r="AD54" s="464"/>
      <c r="AE54" s="464"/>
      <c r="AF54" s="464"/>
      <c r="AG54" s="464"/>
      <c r="AH54" s="464"/>
      <c r="AI54" s="464"/>
      <c r="AJ54" s="464"/>
    </row>
    <row r="55" spans="1:36" ht="15.75" customHeight="1">
      <c r="A55" s="463"/>
      <c r="B55" s="464"/>
      <c r="C55" s="464"/>
      <c r="D55" s="464"/>
      <c r="E55" s="464"/>
      <c r="F55" s="464"/>
      <c r="G55" s="464"/>
      <c r="H55" s="464"/>
      <c r="I55" s="464"/>
      <c r="J55" s="464"/>
      <c r="K55" s="464"/>
      <c r="L55" s="464"/>
      <c r="M55" s="464"/>
      <c r="N55" s="464"/>
      <c r="O55" s="464"/>
      <c r="P55" s="464"/>
      <c r="Q55" s="464"/>
      <c r="R55" s="464"/>
      <c r="S55" s="464"/>
      <c r="T55" s="464"/>
      <c r="U55" s="464"/>
      <c r="V55" s="464"/>
      <c r="W55" s="464"/>
      <c r="X55" s="464"/>
      <c r="Y55" s="464"/>
      <c r="Z55" s="464"/>
      <c r="AA55" s="464"/>
      <c r="AB55" s="464"/>
      <c r="AC55" s="464"/>
      <c r="AD55" s="464"/>
      <c r="AE55" s="464"/>
      <c r="AF55" s="464"/>
      <c r="AG55" s="464"/>
      <c r="AH55" s="464"/>
      <c r="AI55" s="464"/>
      <c r="AJ55" s="464"/>
    </row>
    <row r="56" spans="1:36" ht="15.75" customHeight="1">
      <c r="A56" s="463"/>
      <c r="B56" s="464"/>
      <c r="C56" s="464"/>
      <c r="D56" s="464"/>
      <c r="E56" s="464"/>
      <c r="F56" s="464"/>
      <c r="G56" s="464"/>
      <c r="H56" s="464"/>
      <c r="I56" s="464"/>
      <c r="J56" s="464"/>
      <c r="K56" s="464"/>
      <c r="L56" s="464"/>
      <c r="M56" s="464"/>
      <c r="N56" s="464"/>
      <c r="O56" s="464"/>
      <c r="P56" s="464"/>
      <c r="Q56" s="464"/>
      <c r="R56" s="464"/>
      <c r="S56" s="464"/>
      <c r="T56" s="464"/>
      <c r="U56" s="464"/>
      <c r="V56" s="464"/>
      <c r="W56" s="464"/>
      <c r="X56" s="464"/>
      <c r="Y56" s="464"/>
      <c r="Z56" s="464"/>
      <c r="AA56" s="464"/>
      <c r="AB56" s="464"/>
      <c r="AC56" s="464"/>
      <c r="AD56" s="464"/>
      <c r="AE56" s="464"/>
      <c r="AF56" s="464"/>
      <c r="AG56" s="464"/>
      <c r="AH56" s="464"/>
      <c r="AI56" s="464"/>
      <c r="AJ56" s="464"/>
    </row>
    <row r="57" spans="1:36" ht="15.75" customHeight="1">
      <c r="A57" s="463"/>
      <c r="B57" s="464"/>
      <c r="C57" s="464"/>
      <c r="D57" s="464"/>
      <c r="E57" s="464"/>
      <c r="F57" s="464"/>
      <c r="G57" s="464"/>
      <c r="H57" s="464"/>
      <c r="I57" s="464"/>
      <c r="J57" s="464"/>
      <c r="K57" s="464"/>
      <c r="L57" s="464"/>
      <c r="M57" s="464"/>
      <c r="N57" s="464"/>
      <c r="O57" s="464"/>
      <c r="P57" s="464"/>
      <c r="Q57" s="464"/>
      <c r="R57" s="464"/>
      <c r="S57" s="464"/>
      <c r="T57" s="464"/>
      <c r="U57" s="464"/>
      <c r="V57" s="464"/>
      <c r="W57" s="464"/>
      <c r="X57" s="464"/>
      <c r="Y57" s="464"/>
      <c r="Z57" s="464"/>
      <c r="AA57" s="464"/>
      <c r="AB57" s="464"/>
      <c r="AC57" s="464"/>
      <c r="AD57" s="464"/>
      <c r="AE57" s="464"/>
      <c r="AF57" s="464"/>
      <c r="AG57" s="464"/>
      <c r="AH57" s="464"/>
      <c r="AI57" s="464"/>
      <c r="AJ57" s="464"/>
    </row>
    <row r="58" spans="1:36" ht="15.75" customHeight="1">
      <c r="A58" s="463"/>
      <c r="B58" s="464"/>
      <c r="C58" s="464"/>
      <c r="D58" s="464"/>
      <c r="E58" s="464"/>
      <c r="F58" s="464"/>
      <c r="G58" s="464"/>
      <c r="H58" s="464"/>
      <c r="I58" s="464"/>
      <c r="J58" s="464"/>
      <c r="K58" s="464"/>
      <c r="L58" s="464"/>
      <c r="M58" s="464"/>
      <c r="N58" s="464"/>
      <c r="O58" s="464"/>
      <c r="P58" s="464"/>
      <c r="Q58" s="464"/>
      <c r="R58" s="464"/>
      <c r="S58" s="464"/>
      <c r="T58" s="464"/>
      <c r="U58" s="464"/>
      <c r="V58" s="464"/>
      <c r="W58" s="464"/>
      <c r="X58" s="464"/>
      <c r="Y58" s="464"/>
      <c r="Z58" s="464"/>
      <c r="AA58" s="464"/>
      <c r="AB58" s="464"/>
      <c r="AC58" s="464"/>
      <c r="AD58" s="464"/>
      <c r="AE58" s="464"/>
      <c r="AF58" s="464"/>
      <c r="AG58" s="464"/>
      <c r="AH58" s="464"/>
      <c r="AI58" s="464"/>
      <c r="AJ58" s="464"/>
    </row>
    <row r="59" spans="1:36" ht="15.75" customHeight="1">
      <c r="A59" s="463"/>
      <c r="B59" s="464"/>
      <c r="C59" s="464"/>
      <c r="D59" s="464"/>
      <c r="E59" s="464"/>
      <c r="F59" s="464"/>
      <c r="G59" s="464"/>
      <c r="H59" s="464"/>
      <c r="I59" s="464"/>
      <c r="J59" s="464"/>
      <c r="K59" s="464"/>
      <c r="L59" s="464"/>
      <c r="M59" s="464"/>
      <c r="N59" s="464"/>
      <c r="O59" s="464"/>
      <c r="P59" s="464"/>
      <c r="Q59" s="464"/>
      <c r="R59" s="464"/>
      <c r="S59" s="464"/>
      <c r="T59" s="464"/>
      <c r="U59" s="464"/>
      <c r="V59" s="464"/>
      <c r="W59" s="464"/>
      <c r="X59" s="464"/>
      <c r="Y59" s="464"/>
      <c r="Z59" s="464"/>
      <c r="AA59" s="464"/>
      <c r="AB59" s="464"/>
      <c r="AC59" s="464"/>
      <c r="AD59" s="464"/>
      <c r="AE59" s="464"/>
      <c r="AF59" s="464"/>
      <c r="AG59" s="464"/>
      <c r="AH59" s="464"/>
      <c r="AI59" s="464"/>
      <c r="AJ59" s="464"/>
    </row>
    <row r="60" spans="1:36" ht="15.75" customHeight="1">
      <c r="A60" s="463"/>
      <c r="B60" s="464"/>
      <c r="C60" s="464"/>
      <c r="D60" s="464"/>
      <c r="E60" s="464"/>
      <c r="F60" s="464"/>
      <c r="G60" s="464"/>
      <c r="H60" s="464"/>
      <c r="I60" s="464"/>
      <c r="J60" s="464"/>
      <c r="K60" s="464"/>
      <c r="L60" s="464"/>
      <c r="M60" s="464"/>
      <c r="N60" s="464"/>
      <c r="O60" s="464"/>
      <c r="P60" s="464"/>
      <c r="Q60" s="464"/>
      <c r="R60" s="464"/>
      <c r="S60" s="464"/>
      <c r="T60" s="464"/>
      <c r="U60" s="464"/>
      <c r="V60" s="464"/>
      <c r="W60" s="464"/>
      <c r="X60" s="464"/>
      <c r="Y60" s="464"/>
      <c r="Z60" s="464"/>
      <c r="AA60" s="464"/>
      <c r="AB60" s="464"/>
      <c r="AC60" s="464"/>
      <c r="AD60" s="464"/>
      <c r="AE60" s="464"/>
      <c r="AF60" s="464"/>
      <c r="AG60" s="464"/>
      <c r="AH60" s="464"/>
      <c r="AI60" s="464"/>
      <c r="AJ60" s="464"/>
    </row>
    <row r="61" spans="1:36" ht="15.75" customHeight="1">
      <c r="A61" s="463"/>
      <c r="B61" s="464"/>
      <c r="C61" s="464"/>
      <c r="D61" s="464"/>
      <c r="E61" s="464"/>
      <c r="F61" s="464"/>
      <c r="G61" s="464"/>
      <c r="H61" s="464"/>
      <c r="I61" s="464"/>
      <c r="J61" s="464"/>
      <c r="K61" s="464"/>
      <c r="L61" s="464"/>
      <c r="M61" s="464"/>
      <c r="N61" s="464"/>
      <c r="O61" s="464"/>
      <c r="P61" s="464"/>
      <c r="Q61" s="464"/>
      <c r="R61" s="464"/>
      <c r="S61" s="464"/>
      <c r="T61" s="464"/>
      <c r="U61" s="464"/>
      <c r="V61" s="464"/>
      <c r="W61" s="464"/>
      <c r="X61" s="464"/>
      <c r="Y61" s="464"/>
      <c r="Z61" s="464"/>
      <c r="AA61" s="464"/>
      <c r="AB61" s="464"/>
      <c r="AC61" s="464"/>
      <c r="AD61" s="464"/>
      <c r="AE61" s="464"/>
      <c r="AF61" s="464"/>
      <c r="AG61" s="464"/>
      <c r="AH61" s="464"/>
      <c r="AI61" s="464"/>
      <c r="AJ61" s="464"/>
    </row>
    <row r="62" spans="1:36" ht="15.75" customHeight="1">
      <c r="A62" s="463"/>
      <c r="B62" s="464"/>
      <c r="C62" s="464"/>
      <c r="D62" s="464"/>
      <c r="E62" s="464"/>
      <c r="F62" s="464"/>
      <c r="G62" s="464"/>
      <c r="H62" s="464"/>
      <c r="I62" s="464"/>
      <c r="J62" s="464"/>
      <c r="K62" s="464"/>
      <c r="L62" s="464"/>
      <c r="M62" s="464"/>
      <c r="N62" s="464"/>
      <c r="O62" s="464"/>
      <c r="P62" s="464"/>
      <c r="Q62" s="464"/>
      <c r="R62" s="464"/>
      <c r="S62" s="464"/>
      <c r="T62" s="464"/>
      <c r="U62" s="464"/>
      <c r="V62" s="464"/>
      <c r="W62" s="464"/>
      <c r="X62" s="464"/>
      <c r="Y62" s="464"/>
      <c r="Z62" s="464"/>
      <c r="AA62" s="464"/>
      <c r="AB62" s="464"/>
      <c r="AC62" s="464"/>
      <c r="AD62" s="464"/>
      <c r="AE62" s="464"/>
      <c r="AF62" s="464"/>
      <c r="AG62" s="464"/>
      <c r="AH62" s="464"/>
      <c r="AI62" s="464"/>
      <c r="AJ62" s="464"/>
    </row>
    <row r="63" spans="1:36" ht="15.75" customHeight="1">
      <c r="A63" s="463"/>
      <c r="B63" s="464"/>
      <c r="C63" s="464"/>
      <c r="D63" s="464"/>
      <c r="E63" s="464"/>
      <c r="F63" s="464"/>
      <c r="G63" s="464"/>
      <c r="H63" s="464"/>
      <c r="I63" s="464"/>
      <c r="J63" s="464"/>
      <c r="K63" s="464"/>
      <c r="L63" s="464"/>
      <c r="M63" s="464"/>
      <c r="N63" s="464"/>
      <c r="O63" s="464"/>
      <c r="P63" s="464"/>
      <c r="Q63" s="464"/>
      <c r="R63" s="464"/>
      <c r="S63" s="464"/>
      <c r="T63" s="464"/>
      <c r="U63" s="464"/>
      <c r="V63" s="464"/>
      <c r="W63" s="464"/>
      <c r="X63" s="464"/>
      <c r="Y63" s="464"/>
      <c r="Z63" s="464"/>
      <c r="AA63" s="464"/>
      <c r="AB63" s="464"/>
      <c r="AC63" s="464"/>
      <c r="AD63" s="464"/>
      <c r="AE63" s="464"/>
      <c r="AF63" s="464"/>
      <c r="AG63" s="464"/>
      <c r="AH63" s="464"/>
      <c r="AI63" s="464"/>
      <c r="AJ63" s="464"/>
    </row>
    <row r="64" spans="1:36" ht="15.75" customHeight="1">
      <c r="A64" s="463"/>
      <c r="B64" s="464"/>
      <c r="C64" s="464"/>
      <c r="D64" s="464"/>
      <c r="E64" s="464"/>
      <c r="F64" s="464"/>
      <c r="G64" s="464"/>
      <c r="H64" s="464"/>
      <c r="I64" s="464"/>
      <c r="J64" s="464"/>
      <c r="K64" s="464"/>
      <c r="L64" s="464"/>
      <c r="M64" s="464"/>
      <c r="N64" s="464"/>
      <c r="O64" s="464"/>
      <c r="P64" s="464"/>
      <c r="Q64" s="464"/>
      <c r="R64" s="464"/>
      <c r="S64" s="464"/>
      <c r="T64" s="464"/>
      <c r="U64" s="464"/>
      <c r="V64" s="464"/>
      <c r="W64" s="464"/>
      <c r="X64" s="464"/>
      <c r="Y64" s="464"/>
      <c r="Z64" s="464"/>
      <c r="AA64" s="464"/>
      <c r="AB64" s="464"/>
      <c r="AC64" s="464"/>
      <c r="AD64" s="464"/>
      <c r="AE64" s="464"/>
      <c r="AF64" s="464"/>
      <c r="AG64" s="464"/>
      <c r="AH64" s="464"/>
      <c r="AI64" s="464"/>
      <c r="AJ64" s="464"/>
    </row>
    <row r="65" spans="1:36" ht="15.75" customHeight="1">
      <c r="A65" s="463"/>
      <c r="B65" s="464"/>
      <c r="C65" s="464"/>
      <c r="D65" s="464"/>
      <c r="E65" s="464"/>
      <c r="F65" s="464"/>
      <c r="G65" s="464"/>
      <c r="H65" s="464"/>
      <c r="I65" s="464"/>
      <c r="J65" s="464"/>
      <c r="K65" s="464"/>
      <c r="L65" s="464"/>
      <c r="M65" s="464"/>
      <c r="N65" s="464"/>
      <c r="O65" s="464"/>
      <c r="P65" s="464"/>
      <c r="Q65" s="464"/>
      <c r="R65" s="464"/>
      <c r="S65" s="464"/>
      <c r="T65" s="464"/>
      <c r="U65" s="464"/>
      <c r="V65" s="464"/>
      <c r="W65" s="464"/>
      <c r="X65" s="464"/>
      <c r="Y65" s="464"/>
      <c r="Z65" s="464"/>
      <c r="AA65" s="464"/>
      <c r="AB65" s="464"/>
      <c r="AC65" s="464"/>
      <c r="AD65" s="464"/>
      <c r="AE65" s="464"/>
      <c r="AF65" s="464"/>
      <c r="AG65" s="464"/>
      <c r="AH65" s="464"/>
      <c r="AI65" s="464"/>
      <c r="AJ65" s="464"/>
    </row>
    <row r="66" spans="1:36" ht="15.75" customHeight="1">
      <c r="A66" s="463"/>
      <c r="B66" s="464"/>
      <c r="C66" s="464"/>
      <c r="D66" s="464"/>
      <c r="E66" s="464"/>
      <c r="F66" s="464"/>
      <c r="G66" s="464"/>
      <c r="H66" s="464"/>
      <c r="I66" s="464"/>
      <c r="J66" s="464"/>
      <c r="K66" s="464"/>
      <c r="L66" s="464"/>
      <c r="M66" s="464"/>
      <c r="N66" s="464"/>
      <c r="O66" s="464"/>
      <c r="P66" s="464"/>
      <c r="Q66" s="464"/>
      <c r="R66" s="464"/>
      <c r="S66" s="464"/>
      <c r="T66" s="464"/>
      <c r="U66" s="464"/>
      <c r="V66" s="464"/>
      <c r="W66" s="464"/>
      <c r="X66" s="464"/>
      <c r="Y66" s="464"/>
      <c r="Z66" s="464"/>
      <c r="AA66" s="464"/>
      <c r="AB66" s="464"/>
      <c r="AC66" s="464"/>
      <c r="AD66" s="464"/>
      <c r="AE66" s="464"/>
      <c r="AF66" s="464"/>
      <c r="AG66" s="464"/>
      <c r="AH66" s="464"/>
      <c r="AI66" s="464"/>
      <c r="AJ66" s="464"/>
    </row>
    <row r="67" spans="1:36" ht="15.75" customHeight="1">
      <c r="A67" s="463"/>
      <c r="B67" s="464"/>
      <c r="C67" s="464"/>
      <c r="D67" s="464"/>
      <c r="E67" s="464"/>
      <c r="F67" s="464"/>
      <c r="G67" s="464"/>
      <c r="H67" s="464"/>
      <c r="I67" s="464"/>
      <c r="J67" s="464"/>
      <c r="K67" s="464"/>
      <c r="L67" s="464"/>
      <c r="M67" s="464"/>
      <c r="N67" s="464"/>
      <c r="O67" s="464"/>
      <c r="P67" s="464"/>
      <c r="Q67" s="464"/>
      <c r="R67" s="464"/>
      <c r="S67" s="464"/>
      <c r="T67" s="464"/>
      <c r="U67" s="464"/>
      <c r="V67" s="464"/>
      <c r="W67" s="464"/>
      <c r="X67" s="464"/>
      <c r="Y67" s="464"/>
      <c r="Z67" s="464"/>
      <c r="AA67" s="464"/>
      <c r="AB67" s="464"/>
      <c r="AC67" s="464"/>
      <c r="AD67" s="464"/>
      <c r="AE67" s="464"/>
      <c r="AF67" s="464"/>
      <c r="AG67" s="464"/>
      <c r="AH67" s="464"/>
      <c r="AI67" s="464"/>
      <c r="AJ67" s="464"/>
    </row>
    <row r="68" spans="1:36" ht="15.75" customHeight="1">
      <c r="A68" s="463"/>
      <c r="B68" s="464"/>
      <c r="C68" s="464"/>
      <c r="D68" s="464"/>
      <c r="E68" s="464"/>
      <c r="F68" s="464"/>
      <c r="G68" s="464"/>
      <c r="H68" s="464"/>
      <c r="I68" s="464"/>
      <c r="J68" s="464"/>
      <c r="K68" s="464"/>
      <c r="L68" s="464"/>
      <c r="M68" s="464"/>
      <c r="N68" s="464"/>
      <c r="O68" s="464"/>
      <c r="P68" s="464"/>
      <c r="Q68" s="464"/>
      <c r="R68" s="464"/>
      <c r="S68" s="464"/>
      <c r="T68" s="464"/>
      <c r="U68" s="464"/>
      <c r="V68" s="464"/>
      <c r="W68" s="464"/>
      <c r="X68" s="464"/>
      <c r="Y68" s="464"/>
      <c r="Z68" s="464"/>
      <c r="AA68" s="464"/>
      <c r="AB68" s="464"/>
      <c r="AC68" s="464"/>
      <c r="AD68" s="464"/>
      <c r="AE68" s="464"/>
      <c r="AF68" s="464"/>
      <c r="AG68" s="464"/>
      <c r="AH68" s="464"/>
      <c r="AI68" s="464"/>
      <c r="AJ68" s="464"/>
    </row>
    <row r="69" spans="1:36" ht="15.75" customHeight="1">
      <c r="A69" s="463"/>
      <c r="B69" s="464"/>
      <c r="C69" s="464"/>
      <c r="D69" s="464"/>
      <c r="E69" s="464"/>
      <c r="F69" s="464"/>
      <c r="G69" s="464"/>
      <c r="H69" s="464"/>
      <c r="I69" s="464"/>
      <c r="J69" s="464"/>
      <c r="K69" s="464"/>
      <c r="L69" s="464"/>
      <c r="M69" s="464"/>
      <c r="N69" s="464"/>
      <c r="O69" s="464"/>
      <c r="P69" s="464"/>
      <c r="Q69" s="464"/>
      <c r="R69" s="464"/>
      <c r="S69" s="464"/>
      <c r="T69" s="464"/>
      <c r="U69" s="464"/>
      <c r="V69" s="464"/>
      <c r="W69" s="464"/>
      <c r="X69" s="464"/>
      <c r="Y69" s="464"/>
      <c r="Z69" s="464"/>
      <c r="AA69" s="464"/>
      <c r="AB69" s="464"/>
      <c r="AC69" s="464"/>
      <c r="AD69" s="464"/>
      <c r="AE69" s="464"/>
      <c r="AF69" s="464"/>
      <c r="AG69" s="464"/>
      <c r="AH69" s="464"/>
      <c r="AI69" s="464"/>
      <c r="AJ69" s="464"/>
    </row>
    <row r="70" spans="1:36" ht="15.75" customHeight="1">
      <c r="A70" s="463"/>
      <c r="B70" s="464"/>
      <c r="C70" s="464"/>
      <c r="D70" s="464"/>
      <c r="E70" s="464"/>
      <c r="F70" s="464"/>
      <c r="G70" s="464"/>
      <c r="H70" s="464"/>
      <c r="I70" s="464"/>
      <c r="J70" s="464"/>
      <c r="K70" s="464"/>
      <c r="L70" s="464"/>
      <c r="M70" s="464"/>
      <c r="N70" s="464"/>
      <c r="O70" s="464"/>
      <c r="P70" s="464"/>
      <c r="Q70" s="464"/>
      <c r="R70" s="464"/>
      <c r="S70" s="464"/>
      <c r="T70" s="464"/>
      <c r="U70" s="464"/>
      <c r="V70" s="464"/>
      <c r="W70" s="464"/>
      <c r="X70" s="464"/>
      <c r="Y70" s="464"/>
      <c r="Z70" s="464"/>
      <c r="AA70" s="464"/>
      <c r="AB70" s="464"/>
      <c r="AC70" s="464"/>
      <c r="AD70" s="464"/>
      <c r="AE70" s="464"/>
      <c r="AF70" s="464"/>
      <c r="AG70" s="464"/>
      <c r="AH70" s="464"/>
      <c r="AI70" s="464"/>
      <c r="AJ70" s="464"/>
    </row>
    <row r="71" spans="1:36" ht="15.75" customHeight="1">
      <c r="A71" s="463"/>
      <c r="B71" s="464"/>
      <c r="C71" s="464"/>
      <c r="D71" s="464"/>
      <c r="E71" s="464"/>
      <c r="F71" s="464"/>
      <c r="G71" s="464"/>
      <c r="H71" s="464"/>
      <c r="I71" s="464"/>
      <c r="J71" s="464"/>
      <c r="K71" s="464"/>
      <c r="L71" s="464"/>
      <c r="M71" s="464"/>
      <c r="N71" s="464"/>
      <c r="O71" s="464"/>
      <c r="P71" s="464"/>
      <c r="Q71" s="464"/>
      <c r="R71" s="464"/>
      <c r="S71" s="464"/>
      <c r="T71" s="464"/>
      <c r="U71" s="464"/>
      <c r="V71" s="464"/>
      <c r="W71" s="464"/>
      <c r="X71" s="464"/>
      <c r="Y71" s="464"/>
      <c r="Z71" s="464"/>
      <c r="AA71" s="464"/>
      <c r="AB71" s="464"/>
      <c r="AC71" s="464"/>
      <c r="AD71" s="464"/>
      <c r="AE71" s="464"/>
      <c r="AF71" s="464"/>
      <c r="AG71" s="464"/>
      <c r="AH71" s="464"/>
      <c r="AI71" s="464"/>
      <c r="AJ71" s="464"/>
    </row>
    <row r="72" spans="1:36" ht="15.75" customHeight="1">
      <c r="A72" s="463"/>
      <c r="B72" s="464"/>
      <c r="C72" s="464"/>
      <c r="D72" s="464"/>
      <c r="E72" s="464"/>
      <c r="F72" s="464"/>
      <c r="G72" s="464"/>
      <c r="H72" s="464"/>
      <c r="I72" s="464"/>
      <c r="J72" s="464"/>
      <c r="K72" s="464"/>
      <c r="L72" s="464"/>
      <c r="M72" s="464"/>
      <c r="N72" s="464"/>
      <c r="O72" s="464"/>
      <c r="P72" s="464"/>
      <c r="Q72" s="464"/>
      <c r="R72" s="464"/>
      <c r="S72" s="464"/>
      <c r="T72" s="464"/>
      <c r="U72" s="464"/>
      <c r="V72" s="464"/>
      <c r="W72" s="464"/>
      <c r="X72" s="464"/>
      <c r="Y72" s="464"/>
      <c r="Z72" s="464"/>
      <c r="AA72" s="464"/>
      <c r="AB72" s="464"/>
      <c r="AC72" s="464"/>
      <c r="AD72" s="464"/>
      <c r="AE72" s="464"/>
      <c r="AF72" s="464"/>
      <c r="AG72" s="464"/>
      <c r="AH72" s="464"/>
      <c r="AI72" s="464"/>
      <c r="AJ72" s="464"/>
    </row>
    <row r="73" spans="1:36" ht="15.75" customHeight="1">
      <c r="A73" s="463"/>
      <c r="B73" s="464"/>
      <c r="C73" s="464"/>
      <c r="D73" s="464"/>
      <c r="E73" s="464"/>
      <c r="F73" s="464"/>
      <c r="G73" s="464"/>
      <c r="H73" s="464"/>
      <c r="I73" s="464"/>
      <c r="J73" s="464"/>
      <c r="K73" s="464"/>
      <c r="L73" s="464"/>
      <c r="M73" s="464"/>
      <c r="N73" s="464"/>
      <c r="O73" s="464"/>
      <c r="P73" s="464"/>
      <c r="Q73" s="464"/>
      <c r="R73" s="464"/>
      <c r="S73" s="464"/>
      <c r="T73" s="464"/>
      <c r="U73" s="464"/>
      <c r="V73" s="464"/>
      <c r="W73" s="464"/>
      <c r="X73" s="464"/>
      <c r="Y73" s="464"/>
      <c r="Z73" s="464"/>
      <c r="AA73" s="464"/>
      <c r="AB73" s="464"/>
      <c r="AC73" s="464"/>
      <c r="AD73" s="464"/>
      <c r="AE73" s="464"/>
      <c r="AF73" s="464"/>
      <c r="AG73" s="464"/>
      <c r="AH73" s="464"/>
      <c r="AI73" s="464"/>
      <c r="AJ73" s="464"/>
    </row>
    <row r="74" spans="1:36" ht="15.75" customHeight="1">
      <c r="A74" s="463"/>
      <c r="B74" s="464"/>
      <c r="C74" s="464"/>
      <c r="D74" s="464"/>
      <c r="E74" s="464"/>
      <c r="F74" s="464"/>
      <c r="G74" s="464"/>
      <c r="H74" s="464"/>
      <c r="I74" s="464"/>
      <c r="J74" s="464"/>
      <c r="K74" s="464"/>
      <c r="L74" s="464"/>
      <c r="M74" s="464"/>
      <c r="N74" s="464"/>
      <c r="O74" s="464"/>
      <c r="P74" s="464"/>
      <c r="Q74" s="464"/>
      <c r="R74" s="464"/>
      <c r="S74" s="464"/>
      <c r="T74" s="464"/>
      <c r="U74" s="464"/>
      <c r="V74" s="464"/>
      <c r="W74" s="464"/>
      <c r="X74" s="464"/>
      <c r="Y74" s="464"/>
      <c r="Z74" s="464"/>
      <c r="AA74" s="464"/>
      <c r="AB74" s="464"/>
      <c r="AC74" s="464"/>
      <c r="AD74" s="464"/>
      <c r="AE74" s="464"/>
      <c r="AF74" s="464"/>
      <c r="AG74" s="464"/>
      <c r="AH74" s="464"/>
      <c r="AI74" s="464"/>
      <c r="AJ74" s="464"/>
    </row>
    <row r="75" spans="1:36" ht="15.75" customHeight="1">
      <c r="A75" s="463"/>
      <c r="B75" s="464"/>
      <c r="C75" s="464"/>
      <c r="D75" s="464"/>
      <c r="E75" s="464"/>
      <c r="F75" s="464"/>
      <c r="G75" s="464"/>
      <c r="H75" s="464"/>
      <c r="I75" s="464"/>
      <c r="J75" s="464"/>
      <c r="K75" s="464"/>
      <c r="L75" s="464"/>
      <c r="M75" s="464"/>
      <c r="N75" s="464"/>
      <c r="O75" s="464"/>
      <c r="P75" s="464"/>
      <c r="Q75" s="464"/>
      <c r="R75" s="464"/>
      <c r="S75" s="464"/>
      <c r="T75" s="464"/>
      <c r="U75" s="464"/>
      <c r="V75" s="464"/>
      <c r="W75" s="464"/>
      <c r="X75" s="464"/>
      <c r="Y75" s="464"/>
      <c r="Z75" s="464"/>
      <c r="AA75" s="464"/>
      <c r="AB75" s="464"/>
      <c r="AC75" s="464"/>
      <c r="AD75" s="464"/>
      <c r="AE75" s="464"/>
      <c r="AF75" s="464"/>
      <c r="AG75" s="464"/>
      <c r="AH75" s="464"/>
      <c r="AI75" s="464"/>
      <c r="AJ75" s="464"/>
    </row>
    <row r="76" spans="1:36" ht="15.75" customHeight="1">
      <c r="A76" s="463"/>
      <c r="B76" s="464"/>
      <c r="C76" s="464"/>
      <c r="D76" s="464"/>
      <c r="E76" s="464"/>
      <c r="F76" s="464"/>
      <c r="G76" s="464"/>
      <c r="H76" s="464"/>
      <c r="I76" s="464"/>
      <c r="J76" s="464"/>
      <c r="K76" s="464"/>
      <c r="L76" s="464"/>
      <c r="M76" s="464"/>
      <c r="N76" s="464"/>
      <c r="O76" s="464"/>
      <c r="P76" s="464"/>
      <c r="Q76" s="464"/>
      <c r="R76" s="464"/>
      <c r="S76" s="464"/>
      <c r="T76" s="464"/>
      <c r="U76" s="464"/>
      <c r="V76" s="464"/>
      <c r="W76" s="464"/>
      <c r="X76" s="464"/>
      <c r="Y76" s="464"/>
      <c r="Z76" s="464"/>
      <c r="AA76" s="464"/>
      <c r="AB76" s="464"/>
      <c r="AC76" s="464"/>
      <c r="AD76" s="464"/>
      <c r="AE76" s="464"/>
      <c r="AF76" s="464"/>
      <c r="AG76" s="464"/>
      <c r="AH76" s="464"/>
      <c r="AI76" s="464"/>
      <c r="AJ76" s="464"/>
    </row>
    <row r="77" spans="1:36" ht="15.75" customHeight="1">
      <c r="A77" s="463"/>
      <c r="B77" s="464"/>
      <c r="C77" s="464"/>
      <c r="D77" s="464"/>
      <c r="E77" s="464"/>
      <c r="F77" s="464"/>
      <c r="G77" s="464"/>
      <c r="H77" s="464"/>
      <c r="I77" s="464"/>
      <c r="J77" s="464"/>
      <c r="K77" s="464"/>
      <c r="L77" s="464"/>
      <c r="M77" s="464"/>
      <c r="N77" s="464"/>
      <c r="O77" s="464"/>
      <c r="P77" s="464"/>
      <c r="Q77" s="464"/>
      <c r="R77" s="464"/>
      <c r="S77" s="464"/>
      <c r="T77" s="464"/>
      <c r="U77" s="464"/>
      <c r="V77" s="464"/>
      <c r="W77" s="464"/>
      <c r="X77" s="464"/>
      <c r="Y77" s="464"/>
      <c r="Z77" s="464"/>
      <c r="AA77" s="464"/>
      <c r="AB77" s="464"/>
      <c r="AC77" s="464"/>
      <c r="AD77" s="464"/>
      <c r="AE77" s="464"/>
      <c r="AF77" s="464"/>
      <c r="AG77" s="464"/>
      <c r="AH77" s="464"/>
      <c r="AI77" s="464"/>
      <c r="AJ77" s="464"/>
    </row>
    <row r="78" spans="1:36" ht="15.75" customHeight="1">
      <c r="A78" s="463"/>
      <c r="B78" s="464"/>
      <c r="C78" s="464"/>
      <c r="D78" s="464"/>
      <c r="E78" s="464"/>
      <c r="F78" s="464"/>
      <c r="G78" s="464"/>
      <c r="H78" s="464"/>
      <c r="I78" s="464"/>
      <c r="J78" s="464"/>
      <c r="K78" s="464"/>
      <c r="L78" s="464"/>
      <c r="M78" s="464"/>
      <c r="N78" s="464"/>
      <c r="O78" s="464"/>
      <c r="P78" s="464"/>
      <c r="Q78" s="464"/>
      <c r="R78" s="464"/>
      <c r="S78" s="464"/>
      <c r="T78" s="464"/>
      <c r="U78" s="464"/>
      <c r="V78" s="464"/>
      <c r="W78" s="464"/>
      <c r="X78" s="464"/>
      <c r="Y78" s="464"/>
      <c r="Z78" s="464"/>
      <c r="AA78" s="464"/>
      <c r="AB78" s="464"/>
      <c r="AC78" s="464"/>
      <c r="AD78" s="464"/>
      <c r="AE78" s="464"/>
      <c r="AF78" s="464"/>
      <c r="AG78" s="464"/>
      <c r="AH78" s="464"/>
      <c r="AI78" s="464"/>
      <c r="AJ78" s="464"/>
    </row>
    <row r="79" spans="1:36" ht="15.75" customHeight="1">
      <c r="A79" s="463"/>
      <c r="B79" s="464"/>
      <c r="C79" s="464"/>
      <c r="D79" s="464"/>
      <c r="E79" s="464"/>
      <c r="F79" s="464"/>
      <c r="G79" s="464"/>
      <c r="H79" s="464"/>
      <c r="I79" s="464"/>
      <c r="J79" s="464"/>
      <c r="K79" s="464"/>
      <c r="L79" s="464"/>
      <c r="M79" s="464"/>
      <c r="N79" s="464"/>
      <c r="O79" s="464"/>
      <c r="P79" s="464"/>
      <c r="Q79" s="464"/>
      <c r="R79" s="464"/>
      <c r="S79" s="464"/>
      <c r="T79" s="464"/>
      <c r="U79" s="464"/>
      <c r="V79" s="464"/>
      <c r="W79" s="464"/>
      <c r="X79" s="464"/>
      <c r="Y79" s="464"/>
      <c r="Z79" s="464"/>
      <c r="AA79" s="464"/>
      <c r="AB79" s="464"/>
      <c r="AC79" s="464"/>
      <c r="AD79" s="464"/>
      <c r="AE79" s="464"/>
      <c r="AF79" s="464"/>
      <c r="AG79" s="464"/>
      <c r="AH79" s="464"/>
      <c r="AI79" s="464"/>
      <c r="AJ79" s="464"/>
    </row>
    <row r="80" spans="1:36" ht="15.75" customHeight="1">
      <c r="A80" s="463"/>
      <c r="B80" s="464"/>
      <c r="C80" s="464"/>
      <c r="D80" s="464"/>
      <c r="E80" s="464"/>
      <c r="F80" s="464"/>
      <c r="G80" s="464"/>
      <c r="H80" s="464"/>
      <c r="I80" s="464"/>
      <c r="J80" s="464"/>
      <c r="K80" s="464"/>
      <c r="L80" s="464"/>
      <c r="M80" s="464"/>
      <c r="N80" s="464"/>
      <c r="O80" s="464"/>
      <c r="P80" s="464"/>
      <c r="Q80" s="464"/>
      <c r="R80" s="464"/>
      <c r="S80" s="464"/>
      <c r="T80" s="464"/>
      <c r="U80" s="464"/>
      <c r="V80" s="464"/>
      <c r="W80" s="464"/>
      <c r="X80" s="464"/>
      <c r="Y80" s="464"/>
      <c r="Z80" s="464"/>
      <c r="AA80" s="464"/>
      <c r="AB80" s="464"/>
      <c r="AC80" s="464"/>
      <c r="AD80" s="464"/>
      <c r="AE80" s="464"/>
      <c r="AF80" s="464"/>
      <c r="AG80" s="464"/>
      <c r="AH80" s="464"/>
      <c r="AI80" s="464"/>
      <c r="AJ80" s="464"/>
    </row>
    <row r="81" spans="1:36" ht="15.75" customHeight="1">
      <c r="A81" s="463"/>
      <c r="B81" s="464"/>
      <c r="C81" s="464"/>
      <c r="D81" s="464"/>
      <c r="E81" s="464"/>
      <c r="F81" s="464"/>
      <c r="G81" s="464"/>
      <c r="H81" s="464"/>
      <c r="I81" s="464"/>
      <c r="J81" s="464"/>
      <c r="K81" s="464"/>
      <c r="L81" s="464"/>
      <c r="M81" s="464"/>
      <c r="N81" s="464"/>
      <c r="O81" s="464"/>
      <c r="P81" s="464"/>
      <c r="Q81" s="464"/>
      <c r="R81" s="464"/>
      <c r="S81" s="464"/>
      <c r="T81" s="464"/>
      <c r="U81" s="464"/>
      <c r="V81" s="464"/>
      <c r="W81" s="464"/>
      <c r="X81" s="464"/>
      <c r="Y81" s="464"/>
      <c r="Z81" s="464"/>
      <c r="AA81" s="464"/>
      <c r="AB81" s="464"/>
      <c r="AC81" s="464"/>
      <c r="AD81" s="464"/>
      <c r="AE81" s="464"/>
      <c r="AF81" s="464"/>
      <c r="AG81" s="464"/>
      <c r="AH81" s="464"/>
      <c r="AI81" s="464"/>
      <c r="AJ81" s="464"/>
    </row>
    <row r="82" spans="1:36" ht="15.75" customHeight="1">
      <c r="A82" s="463"/>
      <c r="B82" s="464"/>
      <c r="C82" s="464"/>
      <c r="D82" s="464"/>
      <c r="E82" s="464"/>
      <c r="F82" s="464"/>
      <c r="G82" s="464"/>
      <c r="H82" s="464"/>
      <c r="I82" s="464"/>
      <c r="J82" s="464"/>
      <c r="K82" s="464"/>
      <c r="L82" s="464"/>
      <c r="M82" s="464"/>
      <c r="N82" s="464"/>
      <c r="O82" s="464"/>
      <c r="P82" s="464"/>
      <c r="Q82" s="464"/>
      <c r="R82" s="464"/>
      <c r="S82" s="464"/>
      <c r="T82" s="464"/>
      <c r="U82" s="464"/>
      <c r="V82" s="464"/>
      <c r="W82" s="464"/>
      <c r="X82" s="464"/>
      <c r="Y82" s="464"/>
      <c r="Z82" s="464"/>
      <c r="AA82" s="464"/>
      <c r="AB82" s="464"/>
      <c r="AC82" s="464"/>
      <c r="AD82" s="464"/>
      <c r="AE82" s="464"/>
      <c r="AF82" s="464"/>
      <c r="AG82" s="464"/>
      <c r="AH82" s="464"/>
      <c r="AI82" s="464"/>
      <c r="AJ82" s="464"/>
    </row>
    <row r="83" spans="1:36" ht="15.75" customHeight="1">
      <c r="A83" s="463"/>
      <c r="B83" s="464"/>
      <c r="C83" s="464"/>
      <c r="D83" s="464"/>
      <c r="E83" s="464"/>
      <c r="F83" s="464"/>
      <c r="G83" s="464"/>
      <c r="H83" s="464"/>
      <c r="I83" s="464"/>
      <c r="J83" s="464"/>
      <c r="K83" s="464"/>
      <c r="L83" s="464"/>
      <c r="M83" s="464"/>
      <c r="N83" s="464"/>
      <c r="O83" s="464"/>
      <c r="P83" s="464"/>
      <c r="Q83" s="464"/>
      <c r="R83" s="464"/>
      <c r="S83" s="464"/>
      <c r="T83" s="464"/>
      <c r="U83" s="464"/>
      <c r="V83" s="464"/>
      <c r="W83" s="464"/>
      <c r="X83" s="464"/>
      <c r="Y83" s="464"/>
      <c r="Z83" s="464"/>
      <c r="AA83" s="464"/>
      <c r="AB83" s="464"/>
      <c r="AC83" s="464"/>
      <c r="AD83" s="464"/>
      <c r="AE83" s="464"/>
      <c r="AF83" s="464"/>
      <c r="AG83" s="464"/>
      <c r="AH83" s="464"/>
      <c r="AI83" s="464"/>
      <c r="AJ83" s="464"/>
    </row>
    <row r="84" spans="1:36" ht="15.75" customHeight="1">
      <c r="A84" s="463"/>
      <c r="B84" s="464"/>
      <c r="C84" s="464"/>
      <c r="D84" s="464"/>
      <c r="E84" s="464"/>
      <c r="F84" s="464"/>
      <c r="G84" s="464"/>
      <c r="H84" s="464"/>
      <c r="I84" s="464"/>
      <c r="J84" s="464"/>
      <c r="K84" s="464"/>
      <c r="L84" s="464"/>
      <c r="M84" s="464"/>
      <c r="N84" s="464"/>
      <c r="O84" s="464"/>
      <c r="P84" s="464"/>
      <c r="Q84" s="464"/>
      <c r="R84" s="464"/>
      <c r="S84" s="464"/>
      <c r="T84" s="464"/>
      <c r="U84" s="464"/>
      <c r="V84" s="464"/>
      <c r="W84" s="464"/>
      <c r="X84" s="464"/>
      <c r="Y84" s="464"/>
      <c r="Z84" s="464"/>
      <c r="AA84" s="464"/>
      <c r="AB84" s="464"/>
      <c r="AC84" s="464"/>
      <c r="AD84" s="464"/>
      <c r="AE84" s="464"/>
      <c r="AF84" s="464"/>
      <c r="AG84" s="464"/>
      <c r="AH84" s="464"/>
      <c r="AI84" s="464"/>
      <c r="AJ84" s="464"/>
    </row>
    <row r="85" spans="1:36" ht="15.75" customHeight="1">
      <c r="A85" s="463"/>
      <c r="B85" s="464"/>
      <c r="C85" s="464"/>
      <c r="D85" s="464"/>
      <c r="E85" s="464"/>
      <c r="F85" s="464"/>
      <c r="G85" s="464"/>
      <c r="H85" s="464"/>
      <c r="I85" s="464"/>
      <c r="J85" s="464"/>
      <c r="K85" s="464"/>
      <c r="L85" s="464"/>
      <c r="M85" s="464"/>
      <c r="N85" s="464"/>
      <c r="O85" s="464"/>
      <c r="P85" s="464"/>
      <c r="Q85" s="464"/>
      <c r="R85" s="464"/>
      <c r="S85" s="464"/>
      <c r="T85" s="464"/>
      <c r="U85" s="464"/>
      <c r="V85" s="464"/>
      <c r="W85" s="464"/>
      <c r="X85" s="464"/>
      <c r="Y85" s="464"/>
      <c r="Z85" s="464"/>
      <c r="AA85" s="464"/>
      <c r="AB85" s="464"/>
      <c r="AC85" s="464"/>
      <c r="AD85" s="464"/>
      <c r="AE85" s="464"/>
      <c r="AF85" s="464"/>
      <c r="AG85" s="464"/>
      <c r="AH85" s="464"/>
      <c r="AI85" s="464"/>
      <c r="AJ85" s="464"/>
    </row>
    <row r="86" spans="1:36" ht="15.75" customHeight="1">
      <c r="A86" s="463"/>
      <c r="B86" s="464"/>
      <c r="C86" s="464"/>
      <c r="D86" s="464"/>
      <c r="E86" s="464"/>
      <c r="F86" s="464"/>
      <c r="G86" s="464"/>
      <c r="H86" s="464"/>
      <c r="I86" s="464"/>
      <c r="J86" s="464"/>
      <c r="K86" s="464"/>
      <c r="L86" s="464"/>
      <c r="M86" s="464"/>
      <c r="N86" s="464"/>
      <c r="O86" s="464"/>
      <c r="P86" s="464"/>
      <c r="Q86" s="464"/>
      <c r="R86" s="464"/>
      <c r="S86" s="464"/>
      <c r="T86" s="464"/>
      <c r="U86" s="464"/>
      <c r="V86" s="464"/>
      <c r="W86" s="464"/>
      <c r="X86" s="464"/>
      <c r="Y86" s="464"/>
      <c r="Z86" s="464"/>
      <c r="AA86" s="464"/>
      <c r="AB86" s="464"/>
      <c r="AC86" s="464"/>
      <c r="AD86" s="464"/>
      <c r="AE86" s="464"/>
      <c r="AF86" s="464"/>
      <c r="AG86" s="464"/>
      <c r="AH86" s="464"/>
      <c r="AI86" s="464"/>
      <c r="AJ86" s="464"/>
    </row>
    <row r="87" spans="1:36" ht="15.75" customHeight="1">
      <c r="A87" s="463"/>
      <c r="B87" s="464"/>
      <c r="C87" s="464"/>
      <c r="D87" s="464"/>
      <c r="E87" s="464"/>
      <c r="F87" s="464"/>
      <c r="G87" s="464"/>
      <c r="H87" s="464"/>
      <c r="I87" s="464"/>
      <c r="J87" s="464"/>
      <c r="K87" s="464"/>
      <c r="L87" s="464"/>
      <c r="M87" s="464"/>
      <c r="N87" s="464"/>
      <c r="O87" s="464"/>
      <c r="P87" s="464"/>
      <c r="Q87" s="464"/>
      <c r="R87" s="464"/>
      <c r="S87" s="464"/>
      <c r="T87" s="464"/>
      <c r="U87" s="464"/>
      <c r="V87" s="464"/>
      <c r="W87" s="464"/>
      <c r="X87" s="464"/>
      <c r="Y87" s="464"/>
      <c r="Z87" s="464"/>
      <c r="AA87" s="464"/>
      <c r="AB87" s="464"/>
      <c r="AC87" s="464"/>
      <c r="AD87" s="464"/>
      <c r="AE87" s="464"/>
      <c r="AF87" s="464"/>
      <c r="AG87" s="464"/>
      <c r="AH87" s="464"/>
      <c r="AI87" s="464"/>
      <c r="AJ87" s="464"/>
    </row>
    <row r="88" spans="1:36" ht="15.75" customHeight="1">
      <c r="A88" s="463"/>
      <c r="B88" s="464"/>
      <c r="C88" s="464"/>
      <c r="D88" s="464"/>
      <c r="E88" s="464"/>
      <c r="F88" s="464"/>
      <c r="G88" s="464"/>
      <c r="H88" s="464"/>
      <c r="I88" s="464"/>
      <c r="J88" s="464"/>
      <c r="K88" s="464"/>
      <c r="L88" s="464"/>
      <c r="M88" s="464"/>
      <c r="N88" s="464"/>
      <c r="O88" s="464"/>
      <c r="P88" s="464"/>
      <c r="Q88" s="464"/>
      <c r="R88" s="464"/>
      <c r="S88" s="464"/>
      <c r="T88" s="464"/>
      <c r="U88" s="464"/>
      <c r="V88" s="464"/>
      <c r="W88" s="464"/>
      <c r="X88" s="464"/>
      <c r="Y88" s="464"/>
      <c r="Z88" s="464"/>
      <c r="AA88" s="464"/>
      <c r="AB88" s="464"/>
      <c r="AC88" s="464"/>
      <c r="AD88" s="464"/>
      <c r="AE88" s="464"/>
      <c r="AF88" s="464"/>
      <c r="AG88" s="464"/>
      <c r="AH88" s="464"/>
      <c r="AI88" s="464"/>
      <c r="AJ88" s="464"/>
    </row>
    <row r="89" spans="1:36" ht="15.75" customHeight="1">
      <c r="A89" s="463"/>
      <c r="B89" s="464"/>
      <c r="C89" s="464"/>
      <c r="D89" s="464"/>
      <c r="E89" s="464"/>
      <c r="F89" s="464"/>
      <c r="G89" s="464"/>
      <c r="H89" s="464"/>
      <c r="I89" s="464"/>
      <c r="J89" s="464"/>
      <c r="K89" s="464"/>
      <c r="L89" s="464"/>
      <c r="M89" s="464"/>
      <c r="N89" s="464"/>
      <c r="O89" s="464"/>
      <c r="P89" s="464"/>
      <c r="Q89" s="464"/>
      <c r="R89" s="464"/>
      <c r="S89" s="464"/>
      <c r="T89" s="464"/>
      <c r="U89" s="464"/>
      <c r="V89" s="464"/>
      <c r="W89" s="464"/>
      <c r="X89" s="464"/>
      <c r="Y89" s="464"/>
      <c r="Z89" s="464"/>
      <c r="AA89" s="464"/>
      <c r="AB89" s="464"/>
      <c r="AC89" s="464"/>
      <c r="AD89" s="464"/>
      <c r="AE89" s="464"/>
      <c r="AF89" s="464"/>
      <c r="AG89" s="464"/>
      <c r="AH89" s="464"/>
      <c r="AI89" s="464"/>
      <c r="AJ89" s="464"/>
    </row>
    <row r="90" spans="1:36" ht="15.75" customHeight="1">
      <c r="A90" s="463"/>
      <c r="B90" s="464"/>
      <c r="C90" s="464"/>
      <c r="D90" s="464"/>
      <c r="E90" s="464"/>
      <c r="F90" s="464"/>
      <c r="G90" s="464"/>
      <c r="H90" s="464"/>
      <c r="I90" s="464"/>
      <c r="J90" s="464"/>
      <c r="K90" s="464"/>
      <c r="L90" s="464"/>
      <c r="M90" s="464"/>
      <c r="N90" s="464"/>
      <c r="O90" s="464"/>
      <c r="P90" s="464"/>
      <c r="Q90" s="464"/>
      <c r="R90" s="464"/>
      <c r="S90" s="464"/>
      <c r="T90" s="464"/>
      <c r="U90" s="464"/>
      <c r="V90" s="464"/>
      <c r="W90" s="464"/>
      <c r="X90" s="464"/>
      <c r="Y90" s="464"/>
      <c r="Z90" s="464"/>
      <c r="AA90" s="464"/>
      <c r="AB90" s="464"/>
      <c r="AC90" s="464"/>
      <c r="AD90" s="464"/>
      <c r="AE90" s="464"/>
      <c r="AF90" s="464"/>
      <c r="AG90" s="464"/>
      <c r="AH90" s="464"/>
      <c r="AI90" s="464"/>
      <c r="AJ90" s="464"/>
    </row>
    <row r="91" spans="1:36" ht="15.75" customHeight="1">
      <c r="A91" s="463"/>
      <c r="B91" s="464"/>
      <c r="C91" s="464"/>
      <c r="D91" s="464"/>
      <c r="E91" s="464"/>
      <c r="F91" s="464"/>
      <c r="G91" s="464"/>
      <c r="H91" s="464"/>
      <c r="I91" s="464"/>
      <c r="J91" s="464"/>
      <c r="K91" s="464"/>
      <c r="L91" s="464"/>
      <c r="M91" s="464"/>
      <c r="N91" s="464"/>
      <c r="O91" s="464"/>
      <c r="P91" s="464"/>
      <c r="Q91" s="464"/>
      <c r="R91" s="464"/>
      <c r="S91" s="464"/>
      <c r="T91" s="464"/>
      <c r="U91" s="464"/>
      <c r="V91" s="464"/>
      <c r="W91" s="464"/>
      <c r="X91" s="464"/>
      <c r="Y91" s="464"/>
      <c r="Z91" s="464"/>
      <c r="AA91" s="464"/>
      <c r="AB91" s="464"/>
      <c r="AC91" s="464"/>
      <c r="AD91" s="464"/>
      <c r="AE91" s="464"/>
      <c r="AF91" s="464"/>
      <c r="AG91" s="464"/>
      <c r="AH91" s="464"/>
      <c r="AI91" s="464"/>
      <c r="AJ91" s="464"/>
    </row>
    <row r="92" spans="1:36" ht="15.75" customHeight="1">
      <c r="A92" s="463"/>
      <c r="B92" s="464"/>
      <c r="C92" s="464"/>
      <c r="D92" s="464"/>
      <c r="E92" s="464"/>
      <c r="F92" s="464"/>
      <c r="G92" s="464"/>
      <c r="H92" s="464"/>
      <c r="I92" s="464"/>
      <c r="J92" s="464"/>
      <c r="K92" s="464"/>
      <c r="L92" s="464"/>
      <c r="M92" s="464"/>
      <c r="N92" s="464"/>
      <c r="O92" s="464"/>
      <c r="P92" s="464"/>
      <c r="Q92" s="464"/>
      <c r="R92" s="464"/>
      <c r="S92" s="464"/>
      <c r="T92" s="464"/>
      <c r="U92" s="464"/>
      <c r="V92" s="464"/>
      <c r="W92" s="464"/>
      <c r="X92" s="464"/>
      <c r="Y92" s="464"/>
      <c r="Z92" s="464"/>
      <c r="AA92" s="464"/>
      <c r="AB92" s="464"/>
      <c r="AC92" s="464"/>
      <c r="AD92" s="464"/>
      <c r="AE92" s="464"/>
      <c r="AF92" s="464"/>
      <c r="AG92" s="464"/>
      <c r="AH92" s="464"/>
      <c r="AI92" s="464"/>
      <c r="AJ92" s="464"/>
    </row>
    <row r="93" spans="1:36" ht="15.75" customHeight="1">
      <c r="A93" s="463"/>
      <c r="B93" s="464"/>
      <c r="C93" s="464"/>
      <c r="D93" s="464"/>
      <c r="E93" s="464"/>
      <c r="F93" s="464"/>
      <c r="G93" s="464"/>
      <c r="H93" s="464"/>
      <c r="I93" s="464"/>
      <c r="J93" s="464"/>
      <c r="K93" s="464"/>
      <c r="L93" s="464"/>
      <c r="M93" s="464"/>
      <c r="N93" s="464"/>
      <c r="O93" s="464"/>
      <c r="P93" s="464"/>
      <c r="Q93" s="464"/>
      <c r="R93" s="464"/>
      <c r="S93" s="464"/>
      <c r="T93" s="464"/>
      <c r="U93" s="464"/>
      <c r="V93" s="464"/>
      <c r="W93" s="464"/>
      <c r="X93" s="464"/>
      <c r="Y93" s="464"/>
      <c r="Z93" s="464"/>
      <c r="AA93" s="464"/>
      <c r="AB93" s="464"/>
      <c r="AC93" s="464"/>
      <c r="AD93" s="464"/>
      <c r="AE93" s="464"/>
      <c r="AF93" s="464"/>
      <c r="AG93" s="464"/>
      <c r="AH93" s="464"/>
      <c r="AI93" s="464"/>
      <c r="AJ93" s="464"/>
    </row>
    <row r="94" spans="1:36" ht="15.75" customHeight="1">
      <c r="A94" s="463"/>
      <c r="B94" s="464"/>
      <c r="C94" s="464"/>
      <c r="D94" s="464"/>
      <c r="E94" s="464"/>
      <c r="F94" s="464"/>
      <c r="G94" s="464"/>
      <c r="H94" s="464"/>
      <c r="I94" s="464"/>
      <c r="J94" s="464"/>
      <c r="K94" s="464"/>
      <c r="L94" s="464"/>
      <c r="M94" s="464"/>
      <c r="N94" s="464"/>
      <c r="O94" s="464"/>
      <c r="P94" s="464"/>
      <c r="Q94" s="464"/>
      <c r="R94" s="464"/>
      <c r="S94" s="464"/>
      <c r="T94" s="464"/>
      <c r="U94" s="464"/>
      <c r="V94" s="464"/>
      <c r="W94" s="464"/>
      <c r="X94" s="464"/>
      <c r="Y94" s="464"/>
      <c r="Z94" s="464"/>
      <c r="AA94" s="464"/>
      <c r="AB94" s="464"/>
      <c r="AC94" s="464"/>
      <c r="AD94" s="464"/>
      <c r="AE94" s="464"/>
      <c r="AF94" s="464"/>
      <c r="AG94" s="464"/>
      <c r="AH94" s="464"/>
      <c r="AI94" s="464"/>
      <c r="AJ94" s="464"/>
    </row>
    <row r="95" spans="1:36" ht="15.75" customHeight="1">
      <c r="A95" s="463"/>
      <c r="B95" s="464"/>
      <c r="C95" s="464"/>
      <c r="D95" s="464"/>
      <c r="E95" s="464"/>
      <c r="F95" s="464"/>
      <c r="G95" s="464"/>
      <c r="H95" s="464"/>
      <c r="I95" s="464"/>
      <c r="J95" s="464"/>
      <c r="K95" s="464"/>
      <c r="L95" s="464"/>
      <c r="M95" s="464"/>
      <c r="N95" s="464"/>
      <c r="O95" s="464"/>
      <c r="P95" s="464"/>
      <c r="Q95" s="464"/>
      <c r="R95" s="464"/>
      <c r="S95" s="464"/>
      <c r="T95" s="464"/>
      <c r="U95" s="464"/>
      <c r="V95" s="464"/>
      <c r="W95" s="464"/>
      <c r="X95" s="464"/>
      <c r="Y95" s="464"/>
      <c r="Z95" s="464"/>
      <c r="AA95" s="464"/>
      <c r="AB95" s="464"/>
      <c r="AC95" s="464"/>
      <c r="AD95" s="464"/>
      <c r="AE95" s="464"/>
      <c r="AF95" s="464"/>
      <c r="AG95" s="464"/>
      <c r="AH95" s="464"/>
      <c r="AI95" s="464"/>
      <c r="AJ95" s="464"/>
    </row>
    <row r="96" spans="1:36" ht="15.75" customHeight="1">
      <c r="A96" s="463"/>
      <c r="B96" s="464"/>
      <c r="C96" s="464"/>
      <c r="D96" s="464"/>
      <c r="E96" s="464"/>
      <c r="F96" s="464"/>
      <c r="G96" s="464"/>
      <c r="H96" s="464"/>
      <c r="I96" s="464"/>
      <c r="J96" s="464"/>
      <c r="K96" s="464"/>
      <c r="L96" s="464"/>
      <c r="M96" s="464"/>
      <c r="N96" s="464"/>
      <c r="O96" s="464"/>
      <c r="P96" s="464"/>
      <c r="Q96" s="464"/>
      <c r="R96" s="464"/>
      <c r="S96" s="464"/>
      <c r="T96" s="464"/>
      <c r="U96" s="464"/>
      <c r="V96" s="464"/>
      <c r="W96" s="464"/>
      <c r="X96" s="464"/>
      <c r="Y96" s="464"/>
      <c r="Z96" s="464"/>
      <c r="AA96" s="464"/>
      <c r="AB96" s="464"/>
      <c r="AC96" s="464"/>
      <c r="AD96" s="464"/>
      <c r="AE96" s="464"/>
      <c r="AF96" s="464"/>
      <c r="AG96" s="464"/>
      <c r="AH96" s="464"/>
      <c r="AI96" s="464"/>
      <c r="AJ96" s="464"/>
    </row>
    <row r="97" spans="1:36" ht="15.75" customHeight="1">
      <c r="A97" s="463"/>
      <c r="B97" s="464"/>
      <c r="C97" s="464"/>
      <c r="D97" s="464"/>
      <c r="E97" s="464"/>
      <c r="F97" s="464"/>
      <c r="G97" s="464"/>
      <c r="H97" s="464"/>
      <c r="I97" s="464"/>
      <c r="J97" s="464"/>
      <c r="K97" s="464"/>
      <c r="L97" s="464"/>
      <c r="M97" s="464"/>
      <c r="N97" s="464"/>
      <c r="O97" s="464"/>
      <c r="P97" s="464"/>
      <c r="Q97" s="464"/>
      <c r="R97" s="464"/>
      <c r="S97" s="464"/>
      <c r="T97" s="464"/>
      <c r="U97" s="464"/>
      <c r="V97" s="464"/>
      <c r="W97" s="464"/>
      <c r="X97" s="464"/>
      <c r="Y97" s="464"/>
      <c r="Z97" s="464"/>
      <c r="AA97" s="464"/>
      <c r="AB97" s="464"/>
      <c r="AC97" s="464"/>
      <c r="AD97" s="464"/>
      <c r="AE97" s="464"/>
      <c r="AF97" s="464"/>
      <c r="AG97" s="464"/>
      <c r="AH97" s="464"/>
      <c r="AI97" s="464"/>
      <c r="AJ97" s="464"/>
    </row>
    <row r="98" spans="1:36" ht="15.75" customHeight="1">
      <c r="A98" s="463"/>
      <c r="B98" s="464"/>
      <c r="C98" s="464"/>
      <c r="D98" s="464"/>
      <c r="E98" s="464"/>
      <c r="F98" s="464"/>
      <c r="G98" s="464"/>
      <c r="H98" s="464"/>
      <c r="I98" s="464"/>
      <c r="J98" s="464"/>
      <c r="K98" s="464"/>
      <c r="L98" s="464"/>
      <c r="M98" s="464"/>
      <c r="N98" s="464"/>
      <c r="O98" s="464"/>
      <c r="P98" s="464"/>
      <c r="Q98" s="464"/>
      <c r="R98" s="464"/>
      <c r="S98" s="464"/>
      <c r="T98" s="464"/>
      <c r="U98" s="464"/>
      <c r="V98" s="464"/>
      <c r="W98" s="464"/>
      <c r="X98" s="464"/>
      <c r="Y98" s="464"/>
      <c r="Z98" s="464"/>
      <c r="AA98" s="464"/>
      <c r="AB98" s="464"/>
      <c r="AC98" s="464"/>
      <c r="AD98" s="464"/>
      <c r="AE98" s="464"/>
      <c r="AF98" s="464"/>
      <c r="AG98" s="464"/>
      <c r="AH98" s="464"/>
      <c r="AI98" s="464"/>
      <c r="AJ98" s="464"/>
    </row>
    <row r="99" spans="1:36" ht="15.75" customHeight="1">
      <c r="A99" s="463"/>
      <c r="B99" s="464"/>
      <c r="C99" s="464"/>
      <c r="D99" s="464"/>
      <c r="E99" s="464"/>
      <c r="F99" s="464"/>
      <c r="G99" s="464"/>
      <c r="H99" s="464"/>
      <c r="I99" s="464"/>
      <c r="J99" s="464"/>
      <c r="K99" s="464"/>
      <c r="L99" s="464"/>
      <c r="M99" s="464"/>
      <c r="N99" s="464"/>
      <c r="O99" s="464"/>
      <c r="P99" s="464"/>
      <c r="Q99" s="464"/>
      <c r="R99" s="464"/>
      <c r="S99" s="464"/>
      <c r="T99" s="464"/>
      <c r="U99" s="464"/>
      <c r="V99" s="464"/>
      <c r="W99" s="464"/>
      <c r="X99" s="464"/>
      <c r="Y99" s="464"/>
      <c r="Z99" s="464"/>
      <c r="AA99" s="464"/>
      <c r="AB99" s="464"/>
      <c r="AC99" s="464"/>
      <c r="AD99" s="464"/>
      <c r="AE99" s="464"/>
      <c r="AF99" s="464"/>
      <c r="AG99" s="464"/>
      <c r="AH99" s="464"/>
      <c r="AI99" s="464"/>
      <c r="AJ99" s="464"/>
    </row>
    <row r="100" spans="1:36" ht="15.75" customHeight="1">
      <c r="A100" s="463"/>
      <c r="B100" s="464"/>
      <c r="C100" s="464"/>
      <c r="D100" s="464"/>
      <c r="E100" s="464"/>
      <c r="F100" s="464"/>
      <c r="G100" s="464"/>
      <c r="H100" s="464"/>
      <c r="I100" s="464"/>
      <c r="J100" s="464"/>
      <c r="K100" s="464"/>
      <c r="L100" s="464"/>
      <c r="M100" s="464"/>
      <c r="N100" s="464"/>
      <c r="O100" s="464"/>
      <c r="P100" s="464"/>
      <c r="Q100" s="464"/>
      <c r="R100" s="464"/>
      <c r="S100" s="464"/>
      <c r="T100" s="464"/>
      <c r="U100" s="464"/>
      <c r="V100" s="464"/>
      <c r="W100" s="464"/>
      <c r="X100" s="464"/>
      <c r="Y100" s="464"/>
      <c r="Z100" s="464"/>
      <c r="AA100" s="464"/>
      <c r="AB100" s="464"/>
      <c r="AC100" s="464"/>
      <c r="AD100" s="464"/>
      <c r="AE100" s="464"/>
      <c r="AF100" s="464"/>
      <c r="AG100" s="464"/>
      <c r="AH100" s="464"/>
      <c r="AI100" s="464"/>
      <c r="AJ100" s="464"/>
    </row>
    <row r="101" spans="1:36" ht="15.75" customHeight="1">
      <c r="A101" s="463"/>
      <c r="B101" s="464"/>
      <c r="C101" s="464"/>
      <c r="D101" s="464"/>
      <c r="E101" s="464"/>
      <c r="F101" s="464"/>
      <c r="G101" s="464"/>
      <c r="H101" s="464"/>
      <c r="I101" s="464"/>
      <c r="J101" s="464"/>
      <c r="K101" s="464"/>
      <c r="L101" s="464"/>
      <c r="M101" s="464"/>
      <c r="N101" s="464"/>
      <c r="O101" s="464"/>
      <c r="P101" s="464"/>
      <c r="Q101" s="464"/>
      <c r="R101" s="464"/>
      <c r="S101" s="464"/>
      <c r="T101" s="464"/>
      <c r="U101" s="464"/>
      <c r="V101" s="464"/>
      <c r="W101" s="464"/>
      <c r="X101" s="464"/>
      <c r="Y101" s="464"/>
      <c r="Z101" s="464"/>
      <c r="AA101" s="464"/>
      <c r="AB101" s="464"/>
      <c r="AC101" s="464"/>
      <c r="AD101" s="464"/>
      <c r="AE101" s="464"/>
      <c r="AF101" s="464"/>
      <c r="AG101" s="464"/>
      <c r="AH101" s="464"/>
      <c r="AI101" s="464"/>
      <c r="AJ101" s="464"/>
    </row>
    <row r="102" spans="1:36" ht="15.75" customHeight="1">
      <c r="A102" s="463"/>
      <c r="B102" s="464"/>
      <c r="C102" s="464"/>
      <c r="D102" s="464"/>
      <c r="E102" s="464"/>
      <c r="F102" s="464"/>
      <c r="G102" s="464"/>
      <c r="H102" s="464"/>
      <c r="I102" s="464"/>
      <c r="J102" s="464"/>
      <c r="K102" s="464"/>
      <c r="L102" s="464"/>
      <c r="M102" s="464"/>
      <c r="N102" s="464"/>
      <c r="O102" s="464"/>
      <c r="P102" s="464"/>
      <c r="Q102" s="464"/>
      <c r="R102" s="464"/>
      <c r="S102" s="464"/>
      <c r="T102" s="464"/>
      <c r="U102" s="464"/>
      <c r="V102" s="464"/>
      <c r="W102" s="464"/>
      <c r="X102" s="464"/>
      <c r="Y102" s="464"/>
      <c r="Z102" s="464"/>
      <c r="AA102" s="464"/>
      <c r="AB102" s="464"/>
      <c r="AC102" s="464"/>
      <c r="AD102" s="464"/>
      <c r="AE102" s="464"/>
      <c r="AF102" s="464"/>
      <c r="AG102" s="464"/>
      <c r="AH102" s="464"/>
      <c r="AI102" s="464"/>
      <c r="AJ102" s="464"/>
    </row>
    <row r="103" spans="1:36" ht="15.75" customHeight="1">
      <c r="A103" s="463"/>
      <c r="B103" s="464"/>
      <c r="C103" s="464"/>
      <c r="D103" s="464"/>
      <c r="E103" s="464"/>
      <c r="F103" s="464"/>
      <c r="G103" s="464"/>
      <c r="H103" s="464"/>
      <c r="I103" s="464"/>
      <c r="J103" s="464"/>
      <c r="K103" s="464"/>
      <c r="L103" s="464"/>
      <c r="M103" s="464"/>
      <c r="N103" s="464"/>
      <c r="O103" s="464"/>
      <c r="P103" s="464"/>
      <c r="Q103" s="464"/>
      <c r="R103" s="464"/>
      <c r="S103" s="464"/>
      <c r="T103" s="464"/>
      <c r="U103" s="464"/>
      <c r="V103" s="464"/>
      <c r="W103" s="464"/>
      <c r="X103" s="464"/>
      <c r="Y103" s="464"/>
      <c r="Z103" s="464"/>
      <c r="AA103" s="464"/>
      <c r="AB103" s="464"/>
      <c r="AC103" s="464"/>
      <c r="AD103" s="464"/>
      <c r="AE103" s="464"/>
      <c r="AF103" s="464"/>
      <c r="AG103" s="464"/>
      <c r="AH103" s="464"/>
      <c r="AI103" s="464"/>
      <c r="AJ103" s="464"/>
    </row>
    <row r="104" spans="1:36" ht="15.75" customHeight="1">
      <c r="A104" s="463"/>
      <c r="B104" s="464"/>
      <c r="C104" s="464"/>
      <c r="D104" s="464"/>
      <c r="E104" s="464"/>
      <c r="F104" s="464"/>
      <c r="G104" s="464"/>
      <c r="H104" s="464"/>
      <c r="I104" s="464"/>
      <c r="J104" s="464"/>
      <c r="K104" s="464"/>
      <c r="L104" s="464"/>
      <c r="M104" s="464"/>
      <c r="N104" s="464"/>
      <c r="O104" s="464"/>
      <c r="P104" s="464"/>
      <c r="Q104" s="464"/>
      <c r="R104" s="464"/>
      <c r="S104" s="464"/>
      <c r="T104" s="464"/>
      <c r="U104" s="464"/>
      <c r="V104" s="464"/>
      <c r="W104" s="464"/>
      <c r="X104" s="464"/>
      <c r="Y104" s="464"/>
      <c r="Z104" s="464"/>
      <c r="AA104" s="464"/>
      <c r="AB104" s="464"/>
      <c r="AC104" s="464"/>
      <c r="AD104" s="464"/>
      <c r="AE104" s="464"/>
      <c r="AF104" s="464"/>
      <c r="AG104" s="464"/>
      <c r="AH104" s="464"/>
      <c r="AI104" s="464"/>
      <c r="AJ104" s="464"/>
    </row>
    <row r="105" spans="1:36" ht="15.75" customHeight="1">
      <c r="A105" s="463"/>
      <c r="B105" s="464"/>
      <c r="C105" s="464"/>
      <c r="D105" s="464"/>
      <c r="E105" s="464"/>
      <c r="F105" s="464"/>
      <c r="G105" s="464"/>
      <c r="H105" s="464"/>
      <c r="I105" s="464"/>
      <c r="J105" s="464"/>
      <c r="K105" s="464"/>
      <c r="L105" s="464"/>
      <c r="M105" s="464"/>
      <c r="N105" s="464"/>
      <c r="O105" s="464"/>
      <c r="P105" s="464"/>
      <c r="Q105" s="464"/>
      <c r="R105" s="464"/>
      <c r="S105" s="464"/>
      <c r="T105" s="464"/>
      <c r="U105" s="464"/>
      <c r="V105" s="464"/>
      <c r="W105" s="464"/>
      <c r="X105" s="464"/>
      <c r="Y105" s="464"/>
      <c r="Z105" s="464"/>
      <c r="AA105" s="464"/>
      <c r="AB105" s="464"/>
      <c r="AC105" s="464"/>
      <c r="AD105" s="464"/>
      <c r="AE105" s="464"/>
      <c r="AF105" s="464"/>
      <c r="AG105" s="464"/>
      <c r="AH105" s="464"/>
      <c r="AI105" s="464"/>
      <c r="AJ105" s="464"/>
    </row>
    <row r="106" spans="1:36" ht="15.75" customHeight="1">
      <c r="A106" s="463"/>
      <c r="B106" s="464"/>
      <c r="C106" s="464"/>
      <c r="D106" s="464"/>
      <c r="E106" s="464"/>
      <c r="F106" s="464"/>
      <c r="G106" s="464"/>
      <c r="H106" s="464"/>
      <c r="I106" s="464"/>
      <c r="J106" s="464"/>
      <c r="K106" s="464"/>
      <c r="L106" s="464"/>
      <c r="M106" s="464"/>
      <c r="N106" s="464"/>
      <c r="O106" s="464"/>
      <c r="P106" s="464"/>
      <c r="Q106" s="464"/>
      <c r="R106" s="464"/>
      <c r="S106" s="464"/>
      <c r="T106" s="464"/>
      <c r="U106" s="464"/>
      <c r="V106" s="464"/>
      <c r="W106" s="464"/>
      <c r="X106" s="464"/>
      <c r="Y106" s="464"/>
      <c r="Z106" s="464"/>
      <c r="AA106" s="464"/>
      <c r="AB106" s="464"/>
      <c r="AC106" s="464"/>
      <c r="AD106" s="464"/>
      <c r="AE106" s="464"/>
      <c r="AF106" s="464"/>
      <c r="AG106" s="464"/>
      <c r="AH106" s="464"/>
      <c r="AI106" s="464"/>
      <c r="AJ106" s="464"/>
    </row>
    <row r="107" spans="1:36" ht="15.75" customHeight="1">
      <c r="A107" s="463"/>
      <c r="B107" s="464"/>
      <c r="C107" s="464"/>
      <c r="D107" s="464"/>
      <c r="E107" s="464"/>
      <c r="F107" s="464"/>
      <c r="G107" s="464"/>
      <c r="H107" s="464"/>
      <c r="I107" s="464"/>
      <c r="J107" s="464"/>
      <c r="K107" s="464"/>
      <c r="L107" s="464"/>
      <c r="M107" s="464"/>
      <c r="N107" s="464"/>
      <c r="O107" s="464"/>
      <c r="P107" s="464"/>
      <c r="Q107" s="464"/>
      <c r="R107" s="464"/>
      <c r="S107" s="464"/>
      <c r="T107" s="464"/>
      <c r="U107" s="464"/>
      <c r="V107" s="464"/>
      <c r="W107" s="464"/>
      <c r="X107" s="464"/>
      <c r="Y107" s="464"/>
      <c r="Z107" s="464"/>
      <c r="AA107" s="464"/>
      <c r="AB107" s="464"/>
      <c r="AC107" s="464"/>
      <c r="AD107" s="464"/>
      <c r="AE107" s="464"/>
      <c r="AF107" s="464"/>
      <c r="AG107" s="464"/>
      <c r="AH107" s="464"/>
      <c r="AI107" s="464"/>
      <c r="AJ107" s="464"/>
    </row>
    <row r="108" spans="1:36" ht="15.75" customHeight="1">
      <c r="A108" s="463"/>
      <c r="B108" s="464"/>
      <c r="C108" s="464"/>
      <c r="D108" s="464"/>
      <c r="E108" s="464"/>
      <c r="F108" s="464"/>
      <c r="G108" s="464"/>
      <c r="H108" s="464"/>
      <c r="I108" s="464"/>
      <c r="J108" s="464"/>
      <c r="K108" s="464"/>
      <c r="L108" s="464"/>
      <c r="M108" s="464"/>
      <c r="N108" s="464"/>
      <c r="O108" s="464"/>
      <c r="P108" s="464"/>
      <c r="Q108" s="464"/>
      <c r="R108" s="464"/>
      <c r="S108" s="464"/>
      <c r="T108" s="464"/>
      <c r="U108" s="464"/>
      <c r="V108" s="464"/>
      <c r="W108" s="464"/>
      <c r="X108" s="464"/>
      <c r="Y108" s="464"/>
      <c r="Z108" s="464"/>
      <c r="AA108" s="464"/>
      <c r="AB108" s="464"/>
      <c r="AC108" s="464"/>
      <c r="AD108" s="464"/>
      <c r="AE108" s="464"/>
      <c r="AF108" s="464"/>
      <c r="AG108" s="464"/>
      <c r="AH108" s="464"/>
      <c r="AI108" s="464"/>
      <c r="AJ108" s="464"/>
    </row>
    <row r="109" spans="1:36" ht="15.75" customHeight="1">
      <c r="A109" s="463"/>
      <c r="B109" s="464"/>
      <c r="C109" s="464"/>
      <c r="D109" s="464"/>
      <c r="E109" s="464"/>
      <c r="F109" s="464"/>
      <c r="G109" s="464"/>
      <c r="H109" s="464"/>
      <c r="I109" s="464"/>
      <c r="J109" s="464"/>
      <c r="K109" s="464"/>
      <c r="L109" s="464"/>
      <c r="M109" s="464"/>
      <c r="N109" s="464"/>
      <c r="O109" s="464"/>
      <c r="P109" s="464"/>
      <c r="Q109" s="464"/>
      <c r="R109" s="464"/>
      <c r="S109" s="464"/>
      <c r="T109" s="464"/>
      <c r="U109" s="464"/>
      <c r="V109" s="464"/>
      <c r="W109" s="464"/>
      <c r="X109" s="464"/>
      <c r="Y109" s="464"/>
      <c r="Z109" s="464"/>
      <c r="AA109" s="464"/>
      <c r="AB109" s="464"/>
      <c r="AC109" s="464"/>
      <c r="AD109" s="464"/>
      <c r="AE109" s="464"/>
      <c r="AF109" s="464"/>
      <c r="AG109" s="464"/>
      <c r="AH109" s="464"/>
      <c r="AI109" s="464"/>
      <c r="AJ109" s="464"/>
    </row>
    <row r="110" spans="1:36" ht="15.75" customHeight="1">
      <c r="A110" s="463"/>
      <c r="B110" s="464"/>
      <c r="C110" s="464"/>
      <c r="D110" s="464"/>
      <c r="E110" s="464"/>
      <c r="F110" s="464"/>
      <c r="G110" s="464"/>
      <c r="H110" s="464"/>
      <c r="I110" s="464"/>
      <c r="J110" s="464"/>
      <c r="K110" s="464"/>
      <c r="L110" s="464"/>
      <c r="M110" s="464"/>
      <c r="N110" s="464"/>
      <c r="O110" s="464"/>
      <c r="P110" s="464"/>
      <c r="Q110" s="464"/>
      <c r="R110" s="464"/>
      <c r="S110" s="464"/>
      <c r="T110" s="464"/>
      <c r="U110" s="464"/>
      <c r="V110" s="464"/>
      <c r="W110" s="464"/>
      <c r="X110" s="464"/>
      <c r="Y110" s="464"/>
      <c r="Z110" s="464"/>
      <c r="AA110" s="464"/>
      <c r="AB110" s="464"/>
      <c r="AC110" s="464"/>
      <c r="AD110" s="464"/>
      <c r="AE110" s="464"/>
      <c r="AF110" s="464"/>
      <c r="AG110" s="464"/>
      <c r="AH110" s="464"/>
      <c r="AI110" s="464"/>
      <c r="AJ110" s="464"/>
    </row>
    <row r="111" spans="1:36" ht="15.75" customHeight="1">
      <c r="A111" s="463"/>
      <c r="B111" s="464"/>
      <c r="C111" s="464"/>
      <c r="D111" s="464"/>
      <c r="E111" s="464"/>
      <c r="F111" s="464"/>
      <c r="G111" s="464"/>
      <c r="H111" s="464"/>
      <c r="I111" s="464"/>
      <c r="J111" s="464"/>
      <c r="K111" s="464"/>
      <c r="L111" s="464"/>
      <c r="M111" s="464"/>
      <c r="N111" s="464"/>
      <c r="O111" s="464"/>
      <c r="P111" s="464"/>
      <c r="Q111" s="464"/>
      <c r="R111" s="464"/>
      <c r="S111" s="464"/>
      <c r="T111" s="464"/>
      <c r="U111" s="464"/>
      <c r="V111" s="464"/>
      <c r="W111" s="464"/>
      <c r="X111" s="464"/>
      <c r="Y111" s="464"/>
      <c r="Z111" s="464"/>
      <c r="AA111" s="464"/>
      <c r="AB111" s="464"/>
      <c r="AC111" s="464"/>
      <c r="AD111" s="464"/>
      <c r="AE111" s="464"/>
      <c r="AF111" s="464"/>
      <c r="AG111" s="464"/>
      <c r="AH111" s="464"/>
      <c r="AI111" s="464"/>
      <c r="AJ111" s="464"/>
    </row>
    <row r="112" spans="1:36" ht="15.75" customHeight="1">
      <c r="A112" s="463"/>
      <c r="B112" s="464"/>
      <c r="C112" s="464"/>
      <c r="D112" s="464"/>
      <c r="E112" s="464"/>
      <c r="F112" s="464"/>
      <c r="G112" s="464"/>
      <c r="H112" s="464"/>
      <c r="I112" s="464"/>
      <c r="J112" s="464"/>
      <c r="K112" s="464"/>
      <c r="L112" s="464"/>
      <c r="M112" s="464"/>
      <c r="N112" s="464"/>
      <c r="O112" s="464"/>
      <c r="P112" s="464"/>
      <c r="Q112" s="464"/>
      <c r="R112" s="464"/>
      <c r="S112" s="464"/>
      <c r="T112" s="464"/>
      <c r="U112" s="464"/>
      <c r="V112" s="464"/>
      <c r="W112" s="464"/>
      <c r="X112" s="464"/>
      <c r="Y112" s="464"/>
      <c r="Z112" s="464"/>
      <c r="AA112" s="464"/>
      <c r="AB112" s="464"/>
      <c r="AC112" s="464"/>
      <c r="AD112" s="464"/>
      <c r="AE112" s="464"/>
      <c r="AF112" s="464"/>
      <c r="AG112" s="464"/>
      <c r="AH112" s="464"/>
      <c r="AI112" s="464"/>
      <c r="AJ112" s="464"/>
    </row>
    <row r="113" spans="1:36" ht="15.75" customHeight="1">
      <c r="A113" s="463"/>
      <c r="B113" s="464"/>
      <c r="C113" s="464"/>
      <c r="D113" s="464"/>
      <c r="E113" s="464"/>
      <c r="F113" s="464"/>
      <c r="G113" s="464"/>
      <c r="H113" s="464"/>
      <c r="I113" s="464"/>
      <c r="J113" s="464"/>
      <c r="K113" s="464"/>
      <c r="L113" s="464"/>
      <c r="M113" s="464"/>
      <c r="N113" s="464"/>
      <c r="O113" s="464"/>
      <c r="P113" s="464"/>
      <c r="Q113" s="464"/>
      <c r="R113" s="464"/>
      <c r="S113" s="464"/>
      <c r="T113" s="464"/>
      <c r="U113" s="464"/>
      <c r="V113" s="464"/>
      <c r="W113" s="464"/>
      <c r="X113" s="464"/>
      <c r="Y113" s="464"/>
      <c r="Z113" s="464"/>
      <c r="AA113" s="464"/>
      <c r="AB113" s="464"/>
      <c r="AC113" s="464"/>
      <c r="AD113" s="464"/>
      <c r="AE113" s="464"/>
      <c r="AF113" s="464"/>
      <c r="AG113" s="464"/>
      <c r="AH113" s="464"/>
      <c r="AI113" s="464"/>
      <c r="AJ113" s="464"/>
    </row>
    <row r="114" spans="1:36" ht="15.75" customHeight="1">
      <c r="A114" s="463"/>
      <c r="B114" s="464"/>
      <c r="C114" s="464"/>
      <c r="D114" s="464"/>
      <c r="E114" s="464"/>
      <c r="F114" s="464"/>
      <c r="G114" s="464"/>
      <c r="H114" s="464"/>
      <c r="I114" s="464"/>
      <c r="J114" s="464"/>
      <c r="K114" s="464"/>
      <c r="L114" s="464"/>
      <c r="M114" s="464"/>
      <c r="N114" s="464"/>
      <c r="O114" s="464"/>
      <c r="P114" s="464"/>
      <c r="Q114" s="464"/>
      <c r="R114" s="464"/>
      <c r="S114" s="464"/>
      <c r="T114" s="464"/>
      <c r="U114" s="464"/>
      <c r="V114" s="464"/>
      <c r="W114" s="464"/>
      <c r="X114" s="464"/>
      <c r="Y114" s="464"/>
      <c r="Z114" s="464"/>
      <c r="AA114" s="464"/>
      <c r="AB114" s="464"/>
      <c r="AC114" s="464"/>
      <c r="AD114" s="464"/>
      <c r="AE114" s="464"/>
      <c r="AF114" s="464"/>
      <c r="AG114" s="464"/>
      <c r="AH114" s="464"/>
      <c r="AI114" s="464"/>
      <c r="AJ114" s="464"/>
    </row>
    <row r="115" spans="1:36" ht="15.75" customHeight="1">
      <c r="A115" s="463"/>
      <c r="B115" s="464"/>
      <c r="C115" s="464"/>
      <c r="D115" s="464"/>
      <c r="E115" s="464"/>
      <c r="F115" s="464"/>
      <c r="G115" s="464"/>
      <c r="H115" s="464"/>
      <c r="I115" s="464"/>
      <c r="J115" s="464"/>
      <c r="K115" s="464"/>
      <c r="L115" s="464"/>
      <c r="M115" s="464"/>
      <c r="N115" s="464"/>
      <c r="O115" s="464"/>
      <c r="P115" s="464"/>
      <c r="Q115" s="464"/>
      <c r="R115" s="464"/>
      <c r="S115" s="464"/>
      <c r="T115" s="464"/>
      <c r="U115" s="464"/>
      <c r="V115" s="464"/>
      <c r="W115" s="464"/>
      <c r="X115" s="464"/>
      <c r="Y115" s="464"/>
      <c r="Z115" s="464"/>
      <c r="AA115" s="464"/>
      <c r="AB115" s="464"/>
      <c r="AC115" s="464"/>
      <c r="AD115" s="464"/>
      <c r="AE115" s="464"/>
      <c r="AF115" s="464"/>
      <c r="AG115" s="464"/>
      <c r="AH115" s="464"/>
      <c r="AI115" s="464"/>
      <c r="AJ115" s="464"/>
    </row>
    <row r="116" spans="1:36" ht="15.75" customHeight="1">
      <c r="A116" s="463"/>
      <c r="B116" s="464"/>
      <c r="C116" s="464"/>
      <c r="D116" s="464"/>
      <c r="E116" s="464"/>
      <c r="F116" s="464"/>
      <c r="G116" s="464"/>
      <c r="H116" s="464"/>
      <c r="I116" s="464"/>
      <c r="J116" s="464"/>
      <c r="K116" s="464"/>
      <c r="L116" s="464"/>
      <c r="M116" s="464"/>
      <c r="N116" s="464"/>
      <c r="O116" s="464"/>
      <c r="P116" s="464"/>
      <c r="Q116" s="464"/>
      <c r="R116" s="464"/>
      <c r="S116" s="464"/>
      <c r="T116" s="464"/>
      <c r="U116" s="464"/>
      <c r="V116" s="464"/>
      <c r="W116" s="464"/>
      <c r="X116" s="464"/>
      <c r="Y116" s="464"/>
      <c r="Z116" s="464"/>
      <c r="AA116" s="464"/>
      <c r="AB116" s="464"/>
      <c r="AC116" s="464"/>
      <c r="AD116" s="464"/>
      <c r="AE116" s="464"/>
      <c r="AF116" s="464"/>
      <c r="AG116" s="464"/>
      <c r="AH116" s="464"/>
      <c r="AI116" s="464"/>
      <c r="AJ116" s="464"/>
    </row>
    <row r="117" spans="1:36" ht="15.75" customHeight="1">
      <c r="A117" s="463"/>
      <c r="B117" s="464"/>
      <c r="C117" s="464"/>
      <c r="D117" s="464"/>
      <c r="E117" s="464"/>
      <c r="F117" s="464"/>
      <c r="G117" s="464"/>
      <c r="H117" s="464"/>
      <c r="I117" s="464"/>
      <c r="J117" s="464"/>
      <c r="K117" s="464"/>
      <c r="L117" s="464"/>
      <c r="M117" s="464"/>
      <c r="N117" s="464"/>
      <c r="O117" s="464"/>
      <c r="P117" s="464"/>
      <c r="Q117" s="464"/>
      <c r="R117" s="464"/>
      <c r="S117" s="464"/>
      <c r="T117" s="464"/>
      <c r="U117" s="464"/>
      <c r="V117" s="464"/>
      <c r="W117" s="464"/>
      <c r="X117" s="464"/>
      <c r="Y117" s="464"/>
      <c r="Z117" s="464"/>
      <c r="AA117" s="464"/>
      <c r="AB117" s="464"/>
      <c r="AC117" s="464"/>
      <c r="AD117" s="464"/>
      <c r="AE117" s="464"/>
      <c r="AF117" s="464"/>
      <c r="AG117" s="464"/>
      <c r="AH117" s="464"/>
      <c r="AI117" s="464"/>
      <c r="AJ117" s="464"/>
    </row>
    <row r="118" spans="1:36" ht="15.75" customHeight="1">
      <c r="A118" s="463"/>
      <c r="B118" s="464"/>
      <c r="C118" s="464"/>
      <c r="D118" s="464"/>
      <c r="E118" s="464"/>
      <c r="F118" s="464"/>
      <c r="G118" s="464"/>
      <c r="H118" s="464"/>
      <c r="I118" s="464"/>
      <c r="J118" s="464"/>
      <c r="K118" s="464"/>
      <c r="L118" s="464"/>
      <c r="M118" s="464"/>
      <c r="N118" s="464"/>
      <c r="O118" s="464"/>
      <c r="P118" s="464"/>
      <c r="Q118" s="464"/>
      <c r="R118" s="464"/>
      <c r="S118" s="464"/>
      <c r="T118" s="464"/>
      <c r="U118" s="464"/>
      <c r="V118" s="464"/>
      <c r="W118" s="464"/>
      <c r="X118" s="464"/>
      <c r="Y118" s="464"/>
      <c r="Z118" s="464"/>
      <c r="AA118" s="464"/>
      <c r="AB118" s="464"/>
      <c r="AC118" s="464"/>
      <c r="AD118" s="464"/>
      <c r="AE118" s="464"/>
      <c r="AF118" s="464"/>
      <c r="AG118" s="464"/>
      <c r="AH118" s="464"/>
      <c r="AI118" s="464"/>
      <c r="AJ118" s="464"/>
    </row>
    <row r="119" spans="1:36" ht="15.75" customHeight="1">
      <c r="A119" s="463"/>
      <c r="B119" s="464"/>
      <c r="C119" s="464"/>
      <c r="D119" s="464"/>
      <c r="E119" s="464"/>
      <c r="F119" s="464"/>
      <c r="G119" s="464"/>
      <c r="H119" s="464"/>
      <c r="I119" s="464"/>
      <c r="J119" s="464"/>
      <c r="K119" s="464"/>
      <c r="L119" s="464"/>
      <c r="M119" s="464"/>
      <c r="N119" s="464"/>
      <c r="O119" s="464"/>
      <c r="P119" s="464"/>
      <c r="Q119" s="464"/>
      <c r="R119" s="464"/>
      <c r="S119" s="464"/>
      <c r="T119" s="464"/>
      <c r="U119" s="464"/>
      <c r="V119" s="464"/>
      <c r="W119" s="464"/>
      <c r="X119" s="464"/>
      <c r="Y119" s="464"/>
      <c r="Z119" s="464"/>
      <c r="AA119" s="464"/>
      <c r="AB119" s="464"/>
      <c r="AC119" s="464"/>
      <c r="AD119" s="464"/>
      <c r="AE119" s="464"/>
      <c r="AF119" s="464"/>
      <c r="AG119" s="464"/>
      <c r="AH119" s="464"/>
      <c r="AI119" s="464"/>
      <c r="AJ119" s="464"/>
    </row>
    <row r="120" spans="1:36" ht="15.75" customHeight="1">
      <c r="A120" s="463"/>
      <c r="B120" s="464"/>
      <c r="C120" s="464"/>
      <c r="D120" s="464"/>
      <c r="E120" s="464"/>
      <c r="F120" s="464"/>
      <c r="G120" s="464"/>
      <c r="H120" s="464"/>
      <c r="I120" s="464"/>
      <c r="J120" s="464"/>
      <c r="K120" s="464"/>
      <c r="L120" s="464"/>
      <c r="M120" s="464"/>
      <c r="N120" s="464"/>
      <c r="O120" s="464"/>
      <c r="P120" s="464"/>
      <c r="Q120" s="464"/>
      <c r="R120" s="464"/>
      <c r="S120" s="464"/>
      <c r="T120" s="464"/>
      <c r="U120" s="464"/>
      <c r="V120" s="464"/>
      <c r="W120" s="464"/>
      <c r="X120" s="464"/>
      <c r="Y120" s="464"/>
      <c r="Z120" s="464"/>
      <c r="AA120" s="464"/>
      <c r="AB120" s="464"/>
      <c r="AC120" s="464"/>
      <c r="AD120" s="464"/>
      <c r="AE120" s="464"/>
      <c r="AF120" s="464"/>
      <c r="AG120" s="464"/>
      <c r="AH120" s="464"/>
      <c r="AI120" s="464"/>
      <c r="AJ120" s="464"/>
    </row>
    <row r="121" spans="1:36" ht="15.75" customHeight="1">
      <c r="A121" s="463"/>
      <c r="B121" s="464"/>
      <c r="C121" s="464"/>
      <c r="D121" s="464"/>
      <c r="E121" s="464"/>
      <c r="F121" s="464"/>
      <c r="G121" s="464"/>
      <c r="H121" s="464"/>
      <c r="I121" s="464"/>
      <c r="J121" s="464"/>
      <c r="K121" s="464"/>
      <c r="L121" s="464"/>
      <c r="M121" s="464"/>
      <c r="N121" s="464"/>
      <c r="O121" s="464"/>
      <c r="P121" s="464"/>
      <c r="Q121" s="464"/>
      <c r="R121" s="464"/>
      <c r="S121" s="464"/>
      <c r="T121" s="464"/>
      <c r="U121" s="464"/>
      <c r="V121" s="464"/>
      <c r="W121" s="464"/>
      <c r="X121" s="464"/>
      <c r="Y121" s="464"/>
      <c r="Z121" s="464"/>
      <c r="AA121" s="464"/>
      <c r="AB121" s="464"/>
      <c r="AC121" s="464"/>
      <c r="AD121" s="464"/>
      <c r="AE121" s="464"/>
      <c r="AF121" s="464"/>
      <c r="AG121" s="464"/>
      <c r="AH121" s="464"/>
      <c r="AI121" s="464"/>
      <c r="AJ121" s="464"/>
    </row>
    <row r="122" spans="1:36" ht="15.75" customHeight="1">
      <c r="A122" s="463"/>
      <c r="B122" s="464"/>
      <c r="C122" s="464"/>
      <c r="D122" s="464"/>
      <c r="E122" s="464"/>
      <c r="F122" s="464"/>
      <c r="G122" s="464"/>
      <c r="H122" s="464"/>
      <c r="I122" s="464"/>
      <c r="J122" s="464"/>
      <c r="K122" s="464"/>
      <c r="L122" s="464"/>
      <c r="M122" s="464"/>
      <c r="N122" s="464"/>
      <c r="O122" s="464"/>
      <c r="P122" s="464"/>
      <c r="Q122" s="464"/>
      <c r="R122" s="464"/>
      <c r="S122" s="464"/>
      <c r="T122" s="464"/>
      <c r="U122" s="464"/>
      <c r="V122" s="464"/>
      <c r="W122" s="464"/>
      <c r="X122" s="464"/>
      <c r="Y122" s="464"/>
      <c r="Z122" s="464"/>
      <c r="AA122" s="464"/>
      <c r="AB122" s="464"/>
      <c r="AC122" s="464"/>
      <c r="AD122" s="464"/>
      <c r="AE122" s="464"/>
      <c r="AF122" s="464"/>
      <c r="AG122" s="464"/>
      <c r="AH122" s="464"/>
      <c r="AI122" s="464"/>
      <c r="AJ122" s="464"/>
    </row>
    <row r="123" spans="1:36" ht="15.75" customHeight="1">
      <c r="A123" s="463"/>
      <c r="B123" s="464"/>
      <c r="C123" s="464"/>
      <c r="D123" s="464"/>
      <c r="E123" s="464"/>
      <c r="F123" s="464"/>
      <c r="G123" s="464"/>
      <c r="H123" s="464"/>
      <c r="I123" s="464"/>
      <c r="J123" s="464"/>
      <c r="K123" s="464"/>
      <c r="L123" s="464"/>
      <c r="M123" s="464"/>
      <c r="N123" s="464"/>
      <c r="O123" s="464"/>
      <c r="P123" s="464"/>
      <c r="Q123" s="464"/>
      <c r="R123" s="464"/>
      <c r="S123" s="464"/>
      <c r="T123" s="464"/>
      <c r="U123" s="464"/>
      <c r="V123" s="464"/>
      <c r="W123" s="464"/>
      <c r="X123" s="464"/>
      <c r="Y123" s="464"/>
      <c r="Z123" s="464"/>
      <c r="AA123" s="464"/>
      <c r="AB123" s="464"/>
      <c r="AC123" s="464"/>
      <c r="AD123" s="464"/>
      <c r="AE123" s="464"/>
      <c r="AF123" s="464"/>
      <c r="AG123" s="464"/>
      <c r="AH123" s="464"/>
      <c r="AI123" s="464"/>
      <c r="AJ123" s="464"/>
    </row>
    <row r="124" spans="1:36" ht="15.75" customHeight="1">
      <c r="A124" s="463"/>
      <c r="B124" s="464"/>
      <c r="C124" s="464"/>
      <c r="D124" s="464"/>
      <c r="E124" s="464"/>
      <c r="F124" s="464"/>
      <c r="G124" s="464"/>
      <c r="H124" s="464"/>
      <c r="I124" s="464"/>
      <c r="J124" s="464"/>
      <c r="K124" s="464"/>
      <c r="L124" s="464"/>
      <c r="M124" s="464"/>
      <c r="N124" s="464"/>
      <c r="O124" s="464"/>
      <c r="P124" s="464"/>
      <c r="Q124" s="464"/>
      <c r="R124" s="464"/>
      <c r="S124" s="464"/>
      <c r="T124" s="464"/>
      <c r="U124" s="464"/>
      <c r="V124" s="464"/>
      <c r="W124" s="464"/>
      <c r="X124" s="464"/>
      <c r="Y124" s="464"/>
      <c r="Z124" s="464"/>
      <c r="AA124" s="464"/>
      <c r="AB124" s="464"/>
      <c r="AC124" s="464"/>
      <c r="AD124" s="464"/>
      <c r="AE124" s="464"/>
      <c r="AF124" s="464"/>
      <c r="AG124" s="464"/>
      <c r="AH124" s="464"/>
      <c r="AI124" s="464"/>
      <c r="AJ124" s="464"/>
    </row>
    <row r="125" spans="1:36" ht="15.75" customHeight="1">
      <c r="A125" s="463"/>
      <c r="B125" s="464"/>
      <c r="C125" s="464"/>
      <c r="D125" s="464"/>
      <c r="E125" s="464"/>
      <c r="F125" s="464"/>
      <c r="G125" s="464"/>
      <c r="H125" s="464"/>
      <c r="I125" s="464"/>
      <c r="J125" s="464"/>
      <c r="K125" s="464"/>
      <c r="L125" s="464"/>
      <c r="M125" s="464"/>
      <c r="N125" s="464"/>
      <c r="O125" s="464"/>
      <c r="P125" s="464"/>
      <c r="Q125" s="464"/>
      <c r="R125" s="464"/>
      <c r="S125" s="464"/>
      <c r="T125" s="464"/>
      <c r="U125" s="464"/>
      <c r="V125" s="464"/>
      <c r="W125" s="464"/>
      <c r="X125" s="464"/>
      <c r="Y125" s="464"/>
      <c r="Z125" s="464"/>
      <c r="AA125" s="464"/>
      <c r="AB125" s="464"/>
      <c r="AC125" s="464"/>
      <c r="AD125" s="464"/>
      <c r="AE125" s="464"/>
      <c r="AF125" s="464"/>
      <c r="AG125" s="464"/>
      <c r="AH125" s="464"/>
      <c r="AI125" s="464"/>
      <c r="AJ125" s="464"/>
    </row>
    <row r="126" spans="1:36" ht="15.75" customHeight="1">
      <c r="A126" s="463"/>
      <c r="B126" s="464"/>
      <c r="C126" s="464"/>
      <c r="D126" s="464"/>
      <c r="E126" s="464"/>
      <c r="F126" s="464"/>
      <c r="G126" s="464"/>
      <c r="H126" s="464"/>
      <c r="I126" s="464"/>
      <c r="J126" s="464"/>
      <c r="K126" s="464"/>
      <c r="L126" s="464"/>
      <c r="M126" s="464"/>
      <c r="N126" s="464"/>
      <c r="O126" s="464"/>
      <c r="P126" s="464"/>
      <c r="Q126" s="464"/>
      <c r="R126" s="464"/>
      <c r="S126" s="464"/>
      <c r="T126" s="464"/>
      <c r="U126" s="464"/>
      <c r="V126" s="464"/>
      <c r="W126" s="464"/>
      <c r="X126" s="464"/>
      <c r="Y126" s="464"/>
      <c r="Z126" s="464"/>
      <c r="AA126" s="464"/>
      <c r="AB126" s="464"/>
      <c r="AC126" s="464"/>
      <c r="AD126" s="464"/>
      <c r="AE126" s="464"/>
      <c r="AF126" s="464"/>
      <c r="AG126" s="464"/>
      <c r="AH126" s="464"/>
      <c r="AI126" s="464"/>
      <c r="AJ126" s="464"/>
    </row>
    <row r="127" spans="1:36" ht="15.75" customHeight="1">
      <c r="A127" s="463"/>
      <c r="B127" s="464"/>
      <c r="C127" s="464"/>
      <c r="D127" s="464"/>
      <c r="E127" s="464"/>
      <c r="F127" s="464"/>
      <c r="G127" s="464"/>
      <c r="H127" s="464"/>
      <c r="I127" s="464"/>
      <c r="J127" s="464"/>
      <c r="K127" s="464"/>
      <c r="L127" s="464"/>
      <c r="M127" s="464"/>
      <c r="N127" s="464"/>
      <c r="O127" s="464"/>
      <c r="P127" s="464"/>
      <c r="Q127" s="464"/>
      <c r="R127" s="464"/>
      <c r="S127" s="464"/>
      <c r="T127" s="464"/>
      <c r="U127" s="464"/>
      <c r="V127" s="464"/>
      <c r="W127" s="464"/>
      <c r="X127" s="464"/>
      <c r="Y127" s="464"/>
      <c r="Z127" s="464"/>
      <c r="AA127" s="464"/>
      <c r="AB127" s="464"/>
      <c r="AC127" s="464"/>
      <c r="AD127" s="464"/>
      <c r="AE127" s="464"/>
      <c r="AF127" s="464"/>
      <c r="AG127" s="464"/>
      <c r="AH127" s="464"/>
      <c r="AI127" s="464"/>
      <c r="AJ127" s="464"/>
    </row>
    <row r="128" spans="1:36" ht="15.75" customHeight="1">
      <c r="A128" s="463"/>
      <c r="B128" s="464"/>
      <c r="C128" s="464"/>
      <c r="D128" s="464"/>
      <c r="E128" s="464"/>
      <c r="F128" s="464"/>
      <c r="G128" s="464"/>
      <c r="H128" s="464"/>
      <c r="I128" s="464"/>
      <c r="J128" s="464"/>
      <c r="K128" s="464"/>
      <c r="L128" s="464"/>
      <c r="M128" s="464"/>
      <c r="N128" s="464"/>
      <c r="O128" s="464"/>
      <c r="P128" s="464"/>
      <c r="Q128" s="464"/>
      <c r="R128" s="464"/>
      <c r="S128" s="464"/>
      <c r="T128" s="464"/>
      <c r="U128" s="464"/>
      <c r="V128" s="464"/>
      <c r="W128" s="464"/>
      <c r="X128" s="464"/>
      <c r="Y128" s="464"/>
      <c r="Z128" s="464"/>
      <c r="AA128" s="464"/>
      <c r="AB128" s="464"/>
      <c r="AC128" s="464"/>
      <c r="AD128" s="464"/>
      <c r="AE128" s="464"/>
      <c r="AF128" s="464"/>
      <c r="AG128" s="464"/>
      <c r="AH128" s="464"/>
      <c r="AI128" s="464"/>
      <c r="AJ128" s="464"/>
    </row>
    <row r="129" spans="1:36" ht="15.75" customHeight="1">
      <c r="A129" s="463"/>
      <c r="B129" s="464"/>
      <c r="C129" s="464"/>
      <c r="D129" s="464"/>
      <c r="E129" s="464"/>
      <c r="F129" s="464"/>
      <c r="G129" s="464"/>
      <c r="H129" s="464"/>
      <c r="I129" s="464"/>
      <c r="J129" s="464"/>
      <c r="K129" s="464"/>
      <c r="L129" s="464"/>
      <c r="M129" s="464"/>
      <c r="N129" s="464"/>
      <c r="O129" s="464"/>
      <c r="P129" s="464"/>
      <c r="Q129" s="464"/>
      <c r="R129" s="464"/>
      <c r="S129" s="464"/>
      <c r="T129" s="464"/>
      <c r="U129" s="464"/>
      <c r="V129" s="464"/>
      <c r="W129" s="464"/>
      <c r="X129" s="464"/>
      <c r="Y129" s="464"/>
      <c r="Z129" s="464"/>
      <c r="AA129" s="464"/>
      <c r="AB129" s="464"/>
      <c r="AC129" s="464"/>
      <c r="AD129" s="464"/>
      <c r="AE129" s="464"/>
      <c r="AF129" s="464"/>
      <c r="AG129" s="464"/>
      <c r="AH129" s="464"/>
      <c r="AI129" s="464"/>
      <c r="AJ129" s="464"/>
    </row>
    <row r="130" spans="1:36" ht="15.75" customHeight="1">
      <c r="A130" s="463"/>
      <c r="B130" s="464"/>
      <c r="C130" s="464"/>
      <c r="D130" s="464"/>
      <c r="E130" s="464"/>
      <c r="F130" s="464"/>
      <c r="G130" s="464"/>
      <c r="H130" s="464"/>
      <c r="I130" s="464"/>
      <c r="J130" s="464"/>
      <c r="K130" s="464"/>
      <c r="L130" s="464"/>
      <c r="M130" s="464"/>
      <c r="N130" s="464"/>
      <c r="O130" s="464"/>
      <c r="P130" s="464"/>
      <c r="Q130" s="464"/>
      <c r="R130" s="464"/>
      <c r="S130" s="464"/>
      <c r="T130" s="464"/>
      <c r="U130" s="464"/>
      <c r="V130" s="464"/>
      <c r="W130" s="464"/>
      <c r="X130" s="464"/>
      <c r="Y130" s="464"/>
      <c r="Z130" s="464"/>
      <c r="AA130" s="464"/>
      <c r="AB130" s="464"/>
      <c r="AC130" s="464"/>
      <c r="AD130" s="464"/>
      <c r="AE130" s="464"/>
      <c r="AF130" s="464"/>
      <c r="AG130" s="464"/>
      <c r="AH130" s="464"/>
      <c r="AI130" s="464"/>
      <c r="AJ130" s="464"/>
    </row>
    <row r="131" spans="1:36" ht="15.75" customHeight="1">
      <c r="A131" s="463"/>
      <c r="B131" s="464"/>
      <c r="C131" s="464"/>
      <c r="D131" s="464"/>
      <c r="E131" s="464"/>
      <c r="F131" s="464"/>
      <c r="G131" s="464"/>
      <c r="H131" s="464"/>
      <c r="I131" s="464"/>
      <c r="J131" s="464"/>
      <c r="K131" s="464"/>
      <c r="L131" s="464"/>
      <c r="M131" s="464"/>
      <c r="N131" s="464"/>
      <c r="O131" s="464"/>
      <c r="P131" s="464"/>
      <c r="Q131" s="464"/>
      <c r="R131" s="464"/>
      <c r="S131" s="464"/>
      <c r="T131" s="464"/>
      <c r="U131" s="464"/>
      <c r="V131" s="464"/>
      <c r="W131" s="464"/>
      <c r="X131" s="464"/>
      <c r="Y131" s="464"/>
      <c r="Z131" s="464"/>
      <c r="AA131" s="464"/>
      <c r="AB131" s="464"/>
      <c r="AC131" s="464"/>
      <c r="AD131" s="464"/>
      <c r="AE131" s="464"/>
      <c r="AF131" s="464"/>
      <c r="AG131" s="464"/>
      <c r="AH131" s="464"/>
      <c r="AI131" s="464"/>
      <c r="AJ131" s="464"/>
    </row>
    <row r="132" spans="1:36" ht="15.75" customHeight="1">
      <c r="A132" s="463"/>
      <c r="B132" s="464"/>
      <c r="C132" s="464"/>
      <c r="D132" s="464"/>
      <c r="E132" s="464"/>
      <c r="F132" s="464"/>
      <c r="G132" s="464"/>
      <c r="H132" s="464"/>
      <c r="I132" s="464"/>
      <c r="J132" s="464"/>
      <c r="K132" s="464"/>
      <c r="L132" s="464"/>
      <c r="M132" s="464"/>
      <c r="N132" s="464"/>
      <c r="O132" s="464"/>
      <c r="P132" s="464"/>
      <c r="Q132" s="464"/>
      <c r="R132" s="464"/>
      <c r="S132" s="464"/>
      <c r="T132" s="464"/>
      <c r="U132" s="464"/>
      <c r="V132" s="464"/>
      <c r="W132" s="464"/>
      <c r="X132" s="464"/>
      <c r="Y132" s="464"/>
      <c r="Z132" s="464"/>
      <c r="AA132" s="464"/>
      <c r="AB132" s="464"/>
      <c r="AC132" s="464"/>
      <c r="AD132" s="464"/>
      <c r="AE132" s="464"/>
      <c r="AF132" s="464"/>
      <c r="AG132" s="464"/>
      <c r="AH132" s="464"/>
      <c r="AI132" s="464"/>
      <c r="AJ132" s="464"/>
    </row>
    <row r="133" spans="1:36" ht="15.75" customHeight="1">
      <c r="A133" s="463"/>
      <c r="B133" s="464"/>
      <c r="C133" s="464"/>
      <c r="D133" s="464"/>
      <c r="E133" s="464"/>
      <c r="F133" s="464"/>
      <c r="G133" s="464"/>
      <c r="H133" s="464"/>
      <c r="I133" s="464"/>
      <c r="J133" s="464"/>
      <c r="K133" s="464"/>
      <c r="L133" s="464"/>
      <c r="M133" s="464"/>
      <c r="N133" s="464"/>
      <c r="O133" s="464"/>
      <c r="P133" s="464"/>
      <c r="Q133" s="464"/>
      <c r="R133" s="464"/>
      <c r="S133" s="464"/>
      <c r="T133" s="464"/>
      <c r="U133" s="464"/>
      <c r="V133" s="464"/>
      <c r="W133" s="464"/>
      <c r="X133" s="464"/>
      <c r="Y133" s="464"/>
      <c r="Z133" s="464"/>
      <c r="AA133" s="464"/>
      <c r="AB133" s="464"/>
      <c r="AC133" s="464"/>
      <c r="AD133" s="464"/>
      <c r="AE133" s="464"/>
      <c r="AF133" s="464"/>
      <c r="AG133" s="464"/>
      <c r="AH133" s="464"/>
      <c r="AI133" s="464"/>
      <c r="AJ133" s="464"/>
    </row>
    <row r="134" spans="1:36" ht="15.75" customHeight="1">
      <c r="A134" s="463"/>
      <c r="B134" s="464"/>
      <c r="C134" s="464"/>
      <c r="D134" s="464"/>
      <c r="E134" s="464"/>
      <c r="F134" s="464"/>
      <c r="G134" s="464"/>
      <c r="H134" s="464"/>
      <c r="I134" s="464"/>
      <c r="J134" s="464"/>
      <c r="K134" s="464"/>
      <c r="L134" s="464"/>
      <c r="M134" s="464"/>
      <c r="N134" s="464"/>
      <c r="O134" s="464"/>
      <c r="P134" s="464"/>
      <c r="Q134" s="464"/>
      <c r="R134" s="464"/>
      <c r="S134" s="464"/>
      <c r="T134" s="464"/>
      <c r="U134" s="464"/>
      <c r="V134" s="464"/>
      <c r="W134" s="464"/>
      <c r="X134" s="464"/>
      <c r="Y134" s="464"/>
      <c r="Z134" s="464"/>
      <c r="AA134" s="464"/>
      <c r="AB134" s="464"/>
      <c r="AC134" s="464"/>
      <c r="AD134" s="464"/>
      <c r="AE134" s="464"/>
      <c r="AF134" s="464"/>
      <c r="AG134" s="464"/>
      <c r="AH134" s="464"/>
      <c r="AI134" s="464"/>
      <c r="AJ134" s="464"/>
    </row>
    <row r="135" spans="1:36" ht="15.75" customHeight="1">
      <c r="A135" s="463"/>
      <c r="B135" s="464"/>
      <c r="C135" s="464"/>
      <c r="D135" s="464"/>
      <c r="E135" s="464"/>
      <c r="F135" s="464"/>
      <c r="G135" s="464"/>
      <c r="H135" s="464"/>
      <c r="I135" s="464"/>
      <c r="J135" s="464"/>
      <c r="K135" s="464"/>
      <c r="L135" s="464"/>
      <c r="M135" s="464"/>
      <c r="N135" s="464"/>
      <c r="O135" s="464"/>
      <c r="P135" s="464"/>
      <c r="Q135" s="464"/>
      <c r="R135" s="464"/>
      <c r="S135" s="464"/>
      <c r="T135" s="464"/>
      <c r="U135" s="464"/>
      <c r="V135" s="464"/>
      <c r="W135" s="464"/>
      <c r="X135" s="464"/>
      <c r="Y135" s="464"/>
      <c r="Z135" s="464"/>
      <c r="AA135" s="464"/>
      <c r="AB135" s="464"/>
      <c r="AC135" s="464"/>
      <c r="AD135" s="464"/>
      <c r="AE135" s="464"/>
      <c r="AF135" s="464"/>
      <c r="AG135" s="464"/>
      <c r="AH135" s="464"/>
      <c r="AI135" s="464"/>
      <c r="AJ135" s="464"/>
    </row>
    <row r="136" spans="1:36" ht="15.75" customHeight="1">
      <c r="A136" s="463"/>
      <c r="B136" s="464"/>
      <c r="C136" s="464"/>
      <c r="D136" s="464"/>
      <c r="E136" s="464"/>
      <c r="F136" s="464"/>
      <c r="G136" s="464"/>
      <c r="H136" s="464"/>
      <c r="I136" s="464"/>
      <c r="J136" s="464"/>
      <c r="K136" s="464"/>
      <c r="L136" s="464"/>
      <c r="M136" s="464"/>
      <c r="N136" s="464"/>
      <c r="O136" s="464"/>
      <c r="P136" s="464"/>
      <c r="Q136" s="464"/>
      <c r="R136" s="464"/>
      <c r="S136" s="464"/>
      <c r="T136" s="464"/>
      <c r="U136" s="464"/>
      <c r="V136" s="464"/>
      <c r="W136" s="464"/>
      <c r="X136" s="464"/>
      <c r="Y136" s="464"/>
      <c r="Z136" s="464"/>
      <c r="AA136" s="464"/>
      <c r="AB136" s="464"/>
      <c r="AC136" s="464"/>
      <c r="AD136" s="464"/>
      <c r="AE136" s="464"/>
      <c r="AF136" s="464"/>
      <c r="AG136" s="464"/>
      <c r="AH136" s="464"/>
      <c r="AI136" s="464"/>
      <c r="AJ136" s="464"/>
    </row>
    <row r="137" spans="1:36" ht="15.75" customHeight="1">
      <c r="A137" s="463"/>
      <c r="B137" s="464"/>
      <c r="C137" s="464"/>
      <c r="D137" s="464"/>
      <c r="E137" s="464"/>
      <c r="F137" s="464"/>
      <c r="G137" s="464"/>
      <c r="H137" s="464"/>
      <c r="I137" s="464"/>
      <c r="J137" s="464"/>
      <c r="K137" s="464"/>
      <c r="L137" s="464"/>
      <c r="M137" s="464"/>
      <c r="N137" s="464"/>
      <c r="O137" s="464"/>
      <c r="P137" s="464"/>
      <c r="Q137" s="464"/>
      <c r="R137" s="464"/>
      <c r="S137" s="464"/>
      <c r="T137" s="464"/>
      <c r="U137" s="464"/>
      <c r="V137" s="464"/>
      <c r="W137" s="464"/>
      <c r="X137" s="464"/>
      <c r="Y137" s="464"/>
      <c r="Z137" s="464"/>
      <c r="AA137" s="464"/>
      <c r="AB137" s="464"/>
      <c r="AC137" s="464"/>
      <c r="AD137" s="464"/>
      <c r="AE137" s="464"/>
      <c r="AF137" s="464"/>
      <c r="AG137" s="464"/>
      <c r="AH137" s="464"/>
      <c r="AI137" s="464"/>
      <c r="AJ137" s="464"/>
    </row>
    <row r="138" spans="1:36" ht="15.75" customHeight="1">
      <c r="A138" s="463"/>
      <c r="B138" s="464"/>
      <c r="C138" s="464"/>
      <c r="D138" s="464"/>
      <c r="E138" s="464"/>
      <c r="F138" s="464"/>
      <c r="G138" s="464"/>
      <c r="H138" s="464"/>
      <c r="I138" s="464"/>
      <c r="J138" s="464"/>
      <c r="K138" s="464"/>
      <c r="L138" s="464"/>
      <c r="M138" s="464"/>
      <c r="N138" s="464"/>
      <c r="O138" s="464"/>
      <c r="P138" s="464"/>
      <c r="Q138" s="464"/>
      <c r="R138" s="464"/>
      <c r="S138" s="464"/>
      <c r="T138" s="464"/>
      <c r="U138" s="464"/>
      <c r="V138" s="464"/>
      <c r="W138" s="464"/>
      <c r="X138" s="464"/>
      <c r="Y138" s="464"/>
      <c r="Z138" s="464"/>
      <c r="AA138" s="464"/>
      <c r="AB138" s="464"/>
      <c r="AC138" s="464"/>
      <c r="AD138" s="464"/>
      <c r="AE138" s="464"/>
      <c r="AF138" s="464"/>
      <c r="AG138" s="464"/>
      <c r="AH138" s="464"/>
      <c r="AI138" s="464"/>
      <c r="AJ138" s="464"/>
    </row>
    <row r="139" spans="1:36" ht="15.75" customHeight="1">
      <c r="A139" s="463"/>
      <c r="B139" s="464"/>
      <c r="C139" s="464"/>
      <c r="D139" s="464"/>
      <c r="E139" s="464"/>
      <c r="F139" s="464"/>
      <c r="G139" s="464"/>
      <c r="H139" s="464"/>
      <c r="I139" s="464"/>
      <c r="J139" s="464"/>
      <c r="K139" s="464"/>
      <c r="L139" s="464"/>
      <c r="M139" s="464"/>
      <c r="N139" s="464"/>
      <c r="O139" s="464"/>
      <c r="P139" s="464"/>
      <c r="Q139" s="464"/>
      <c r="R139" s="464"/>
      <c r="S139" s="464"/>
      <c r="T139" s="464"/>
      <c r="U139" s="464"/>
      <c r="V139" s="464"/>
      <c r="W139" s="464"/>
      <c r="X139" s="464"/>
      <c r="Y139" s="464"/>
      <c r="Z139" s="464"/>
      <c r="AA139" s="464"/>
      <c r="AB139" s="464"/>
      <c r="AC139" s="464"/>
      <c r="AD139" s="464"/>
      <c r="AE139" s="464"/>
      <c r="AF139" s="464"/>
      <c r="AG139" s="464"/>
      <c r="AH139" s="464"/>
      <c r="AI139" s="464"/>
      <c r="AJ139" s="464"/>
    </row>
    <row r="140" spans="1:36" ht="15.75" customHeight="1">
      <c r="A140" s="463"/>
      <c r="B140" s="464"/>
      <c r="C140" s="464"/>
      <c r="D140" s="464"/>
      <c r="E140" s="464"/>
      <c r="F140" s="464"/>
      <c r="G140" s="464"/>
      <c r="H140" s="464"/>
      <c r="I140" s="464"/>
      <c r="J140" s="464"/>
      <c r="K140" s="464"/>
      <c r="L140" s="464"/>
      <c r="M140" s="464"/>
      <c r="N140" s="464"/>
      <c r="O140" s="464"/>
      <c r="P140" s="464"/>
      <c r="Q140" s="464"/>
      <c r="R140" s="464"/>
      <c r="S140" s="464"/>
      <c r="T140" s="464"/>
      <c r="U140" s="464"/>
      <c r="V140" s="464"/>
      <c r="W140" s="464"/>
      <c r="X140" s="464"/>
      <c r="Y140" s="464"/>
      <c r="Z140" s="464"/>
      <c r="AA140" s="464"/>
      <c r="AB140" s="464"/>
      <c r="AC140" s="464"/>
      <c r="AD140" s="464"/>
      <c r="AE140" s="464"/>
      <c r="AF140" s="464"/>
      <c r="AG140" s="464"/>
      <c r="AH140" s="464"/>
      <c r="AI140" s="464"/>
      <c r="AJ140" s="464"/>
    </row>
    <row r="141" spans="1:36" ht="15.75" customHeight="1">
      <c r="A141" s="463"/>
      <c r="B141" s="464"/>
      <c r="C141" s="464"/>
      <c r="D141" s="464"/>
      <c r="E141" s="464"/>
      <c r="F141" s="464"/>
      <c r="G141" s="464"/>
      <c r="H141" s="464"/>
      <c r="I141" s="464"/>
      <c r="J141" s="464"/>
      <c r="K141" s="464"/>
      <c r="L141" s="464"/>
      <c r="M141" s="464"/>
      <c r="N141" s="464"/>
      <c r="O141" s="464"/>
      <c r="P141" s="464"/>
      <c r="Q141" s="464"/>
      <c r="R141" s="464"/>
      <c r="S141" s="464"/>
      <c r="T141" s="464"/>
      <c r="U141" s="464"/>
      <c r="V141" s="464"/>
      <c r="W141" s="464"/>
      <c r="X141" s="464"/>
      <c r="Y141" s="464"/>
      <c r="Z141" s="464"/>
      <c r="AA141" s="464"/>
      <c r="AB141" s="464"/>
      <c r="AC141" s="464"/>
      <c r="AD141" s="464"/>
      <c r="AE141" s="464"/>
      <c r="AF141" s="464"/>
      <c r="AG141" s="464"/>
      <c r="AH141" s="464"/>
      <c r="AI141" s="464"/>
      <c r="AJ141" s="464"/>
    </row>
    <row r="142" spans="1:36" ht="15.75" customHeight="1">
      <c r="A142" s="463"/>
      <c r="B142" s="464"/>
      <c r="C142" s="464"/>
      <c r="D142" s="464"/>
      <c r="E142" s="464"/>
      <c r="F142" s="464"/>
      <c r="G142" s="464"/>
      <c r="H142" s="464"/>
      <c r="I142" s="464"/>
      <c r="J142" s="464"/>
      <c r="K142" s="464"/>
      <c r="L142" s="464"/>
      <c r="M142" s="464"/>
      <c r="N142" s="464"/>
      <c r="O142" s="464"/>
      <c r="P142" s="464"/>
      <c r="Q142" s="464"/>
      <c r="R142" s="464"/>
      <c r="S142" s="464"/>
      <c r="T142" s="464"/>
      <c r="U142" s="464"/>
      <c r="V142" s="464"/>
      <c r="W142" s="464"/>
      <c r="X142" s="464"/>
      <c r="Y142" s="464"/>
      <c r="Z142" s="464"/>
      <c r="AA142" s="464"/>
      <c r="AB142" s="464"/>
      <c r="AC142" s="464"/>
      <c r="AD142" s="464"/>
      <c r="AE142" s="464"/>
      <c r="AF142" s="464"/>
      <c r="AG142" s="464"/>
      <c r="AH142" s="464"/>
      <c r="AI142" s="464"/>
      <c r="AJ142" s="464"/>
    </row>
    <row r="143" spans="1:36" ht="15.75" customHeight="1">
      <c r="A143" s="463"/>
      <c r="B143" s="464"/>
      <c r="C143" s="464"/>
      <c r="D143" s="464"/>
      <c r="E143" s="464"/>
      <c r="F143" s="464"/>
      <c r="G143" s="464"/>
      <c r="H143" s="464"/>
      <c r="I143" s="464"/>
      <c r="J143" s="464"/>
      <c r="K143" s="464"/>
      <c r="L143" s="464"/>
      <c r="M143" s="464"/>
      <c r="N143" s="464"/>
      <c r="O143" s="464"/>
      <c r="P143" s="464"/>
      <c r="Q143" s="464"/>
      <c r="R143" s="464"/>
      <c r="S143" s="464"/>
      <c r="T143" s="464"/>
      <c r="U143" s="464"/>
      <c r="V143" s="464"/>
      <c r="W143" s="464"/>
      <c r="X143" s="464"/>
      <c r="Y143" s="464"/>
      <c r="Z143" s="464"/>
      <c r="AA143" s="464"/>
      <c r="AB143" s="464"/>
      <c r="AC143" s="464"/>
      <c r="AD143" s="464"/>
      <c r="AE143" s="464"/>
      <c r="AF143" s="464"/>
      <c r="AG143" s="464"/>
      <c r="AH143" s="464"/>
      <c r="AI143" s="464"/>
      <c r="AJ143" s="464"/>
    </row>
    <row r="144" spans="1:36" ht="15.75" customHeight="1">
      <c r="A144" s="463"/>
      <c r="B144" s="464"/>
      <c r="C144" s="464"/>
      <c r="D144" s="464"/>
      <c r="E144" s="464"/>
      <c r="F144" s="464"/>
      <c r="G144" s="464"/>
      <c r="H144" s="464"/>
      <c r="I144" s="464"/>
      <c r="J144" s="464"/>
      <c r="K144" s="464"/>
      <c r="L144" s="464"/>
      <c r="M144" s="464"/>
      <c r="N144" s="464"/>
      <c r="O144" s="464"/>
      <c r="P144" s="464"/>
      <c r="Q144" s="464"/>
      <c r="R144" s="464"/>
      <c r="S144" s="464"/>
      <c r="T144" s="464"/>
      <c r="U144" s="464"/>
      <c r="V144" s="464"/>
      <c r="W144" s="464"/>
      <c r="X144" s="464"/>
      <c r="Y144" s="464"/>
      <c r="Z144" s="464"/>
      <c r="AA144" s="464"/>
      <c r="AB144" s="464"/>
      <c r="AC144" s="464"/>
      <c r="AD144" s="464"/>
      <c r="AE144" s="464"/>
      <c r="AF144" s="464"/>
      <c r="AG144" s="464"/>
      <c r="AH144" s="464"/>
      <c r="AI144" s="464"/>
      <c r="AJ144" s="464"/>
    </row>
    <row r="145" spans="1:36" ht="15.75" customHeight="1">
      <c r="A145" s="463"/>
      <c r="B145" s="464"/>
      <c r="C145" s="464"/>
      <c r="D145" s="464"/>
      <c r="E145" s="464"/>
      <c r="F145" s="464"/>
      <c r="G145" s="464"/>
      <c r="H145" s="464"/>
      <c r="I145" s="464"/>
      <c r="J145" s="464"/>
      <c r="K145" s="464"/>
      <c r="L145" s="464"/>
      <c r="M145" s="464"/>
      <c r="N145" s="464"/>
      <c r="O145" s="464"/>
      <c r="P145" s="464"/>
      <c r="Q145" s="464"/>
      <c r="R145" s="464"/>
      <c r="S145" s="464"/>
      <c r="T145" s="464"/>
      <c r="U145" s="464"/>
      <c r="V145" s="464"/>
      <c r="W145" s="464"/>
      <c r="X145" s="464"/>
      <c r="Y145" s="464"/>
      <c r="Z145" s="464"/>
      <c r="AA145" s="464"/>
      <c r="AB145" s="464"/>
      <c r="AC145" s="464"/>
      <c r="AD145" s="464"/>
      <c r="AE145" s="464"/>
      <c r="AF145" s="464"/>
      <c r="AG145" s="464"/>
      <c r="AH145" s="464"/>
      <c r="AI145" s="464"/>
      <c r="AJ145" s="464"/>
    </row>
    <row r="146" spans="1:36" ht="15.75" customHeight="1">
      <c r="A146" s="463"/>
      <c r="B146" s="464"/>
      <c r="C146" s="464"/>
      <c r="D146" s="464"/>
      <c r="E146" s="464"/>
      <c r="F146" s="464"/>
      <c r="G146" s="464"/>
      <c r="H146" s="464"/>
      <c r="I146" s="464"/>
      <c r="J146" s="464"/>
      <c r="K146" s="464"/>
      <c r="L146" s="464"/>
      <c r="M146" s="464"/>
      <c r="N146" s="464"/>
      <c r="O146" s="464"/>
      <c r="P146" s="464"/>
      <c r="Q146" s="464"/>
      <c r="R146" s="464"/>
      <c r="S146" s="464"/>
      <c r="T146" s="464"/>
      <c r="U146" s="464"/>
      <c r="V146" s="464"/>
      <c r="W146" s="464"/>
      <c r="X146" s="464"/>
      <c r="Y146" s="464"/>
      <c r="Z146" s="464"/>
      <c r="AA146" s="464"/>
      <c r="AB146" s="464"/>
      <c r="AC146" s="464"/>
      <c r="AD146" s="464"/>
      <c r="AE146" s="464"/>
      <c r="AF146" s="464"/>
      <c r="AG146" s="464"/>
      <c r="AH146" s="464"/>
      <c r="AI146" s="464"/>
      <c r="AJ146" s="464"/>
    </row>
    <row r="147" spans="1:36" ht="15.75" customHeight="1">
      <c r="A147" s="463"/>
      <c r="B147" s="464"/>
      <c r="C147" s="464"/>
      <c r="D147" s="464"/>
      <c r="E147" s="464"/>
      <c r="F147" s="464"/>
      <c r="G147" s="464"/>
      <c r="H147" s="464"/>
      <c r="I147" s="464"/>
      <c r="J147" s="464"/>
      <c r="K147" s="464"/>
      <c r="L147" s="464"/>
      <c r="M147" s="464"/>
      <c r="N147" s="464"/>
      <c r="O147" s="464"/>
      <c r="P147" s="464"/>
      <c r="Q147" s="464"/>
      <c r="R147" s="464"/>
      <c r="S147" s="464"/>
      <c r="T147" s="464"/>
      <c r="U147" s="464"/>
      <c r="V147" s="464"/>
      <c r="W147" s="464"/>
      <c r="X147" s="464"/>
      <c r="Y147" s="464"/>
      <c r="Z147" s="464"/>
      <c r="AA147" s="464"/>
      <c r="AB147" s="464"/>
      <c r="AC147" s="464"/>
      <c r="AD147" s="464"/>
      <c r="AE147" s="464"/>
      <c r="AF147" s="464"/>
      <c r="AG147" s="464"/>
      <c r="AH147" s="464"/>
      <c r="AI147" s="464"/>
      <c r="AJ147" s="464"/>
    </row>
    <row r="148" spans="1:36" ht="15.75" customHeight="1">
      <c r="A148" s="463"/>
      <c r="B148" s="464"/>
      <c r="C148" s="464"/>
      <c r="D148" s="464"/>
      <c r="E148" s="464"/>
      <c r="F148" s="464"/>
      <c r="G148" s="464"/>
      <c r="H148" s="464"/>
      <c r="I148" s="464"/>
      <c r="J148" s="464"/>
      <c r="K148" s="464"/>
      <c r="L148" s="464"/>
      <c r="M148" s="464"/>
      <c r="N148" s="464"/>
      <c r="O148" s="464"/>
      <c r="P148" s="464"/>
      <c r="Q148" s="464"/>
      <c r="R148" s="464"/>
      <c r="S148" s="464"/>
      <c r="T148" s="464"/>
      <c r="U148" s="464"/>
      <c r="V148" s="464"/>
      <c r="W148" s="464"/>
      <c r="X148" s="464"/>
      <c r="Y148" s="464"/>
      <c r="Z148" s="464"/>
      <c r="AA148" s="464"/>
      <c r="AB148" s="464"/>
      <c r="AC148" s="464"/>
      <c r="AD148" s="464"/>
      <c r="AE148" s="464"/>
      <c r="AF148" s="464"/>
      <c r="AG148" s="464"/>
      <c r="AH148" s="464"/>
      <c r="AI148" s="464"/>
      <c r="AJ148" s="464"/>
    </row>
    <row r="149" spans="1:36" ht="15.75" customHeight="1">
      <c r="A149" s="463"/>
      <c r="B149" s="464"/>
      <c r="C149" s="464"/>
      <c r="D149" s="464"/>
      <c r="E149" s="464"/>
      <c r="F149" s="464"/>
      <c r="G149" s="464"/>
      <c r="H149" s="464"/>
      <c r="I149" s="464"/>
      <c r="J149" s="464"/>
      <c r="K149" s="464"/>
      <c r="L149" s="464"/>
      <c r="M149" s="464"/>
      <c r="N149" s="464"/>
      <c r="O149" s="464"/>
      <c r="P149" s="464"/>
      <c r="Q149" s="464"/>
      <c r="R149" s="464"/>
      <c r="S149" s="464"/>
      <c r="T149" s="464"/>
      <c r="U149" s="464"/>
      <c r="V149" s="464"/>
      <c r="W149" s="464"/>
      <c r="X149" s="464"/>
      <c r="Y149" s="464"/>
      <c r="Z149" s="464"/>
      <c r="AA149" s="464"/>
      <c r="AB149" s="464"/>
      <c r="AC149" s="464"/>
      <c r="AD149" s="464"/>
      <c r="AE149" s="464"/>
      <c r="AF149" s="464"/>
      <c r="AG149" s="464"/>
      <c r="AH149" s="464"/>
      <c r="AI149" s="464"/>
      <c r="AJ149" s="464"/>
    </row>
    <row r="150" spans="1:36" ht="15.75" customHeight="1">
      <c r="A150" s="463"/>
      <c r="B150" s="464"/>
      <c r="C150" s="464"/>
      <c r="D150" s="464"/>
      <c r="E150" s="464"/>
      <c r="F150" s="464"/>
      <c r="G150" s="464"/>
      <c r="H150" s="464"/>
      <c r="I150" s="464"/>
      <c r="J150" s="464"/>
      <c r="K150" s="464"/>
      <c r="L150" s="464"/>
      <c r="M150" s="464"/>
      <c r="N150" s="464"/>
      <c r="O150" s="464"/>
      <c r="P150" s="464"/>
      <c r="Q150" s="464"/>
      <c r="R150" s="464"/>
      <c r="S150" s="464"/>
      <c r="T150" s="464"/>
      <c r="U150" s="464"/>
      <c r="V150" s="464"/>
      <c r="W150" s="464"/>
      <c r="X150" s="464"/>
      <c r="Y150" s="464"/>
      <c r="Z150" s="464"/>
      <c r="AA150" s="464"/>
      <c r="AB150" s="464"/>
      <c r="AC150" s="464"/>
      <c r="AD150" s="464"/>
      <c r="AE150" s="464"/>
      <c r="AF150" s="464"/>
      <c r="AG150" s="464"/>
      <c r="AH150" s="464"/>
      <c r="AI150" s="464"/>
      <c r="AJ150" s="464"/>
    </row>
    <row r="151" spans="1:36" ht="15.75" customHeight="1">
      <c r="A151" s="463"/>
      <c r="B151" s="464"/>
      <c r="C151" s="464"/>
      <c r="D151" s="464"/>
      <c r="E151" s="464"/>
      <c r="F151" s="464"/>
      <c r="G151" s="464"/>
      <c r="H151" s="464"/>
      <c r="I151" s="464"/>
      <c r="J151" s="464"/>
      <c r="K151" s="464"/>
      <c r="L151" s="464"/>
      <c r="M151" s="464"/>
      <c r="N151" s="464"/>
      <c r="O151" s="464"/>
      <c r="P151" s="464"/>
      <c r="Q151" s="464"/>
      <c r="R151" s="464"/>
      <c r="S151" s="464"/>
      <c r="T151" s="464"/>
      <c r="U151" s="464"/>
      <c r="V151" s="464"/>
      <c r="W151" s="464"/>
      <c r="X151" s="464"/>
      <c r="Y151" s="464"/>
      <c r="Z151" s="464"/>
      <c r="AA151" s="464"/>
      <c r="AB151" s="464"/>
      <c r="AC151" s="464"/>
      <c r="AD151" s="464"/>
      <c r="AE151" s="464"/>
      <c r="AF151" s="464"/>
      <c r="AG151" s="464"/>
      <c r="AH151" s="464"/>
      <c r="AI151" s="464"/>
      <c r="AJ151" s="464"/>
    </row>
    <row r="152" spans="1:36" ht="15.75" customHeight="1">
      <c r="A152" s="463"/>
      <c r="B152" s="464"/>
      <c r="C152" s="464"/>
      <c r="D152" s="464"/>
      <c r="E152" s="464"/>
      <c r="F152" s="464"/>
      <c r="G152" s="464"/>
      <c r="H152" s="464"/>
      <c r="I152" s="464"/>
      <c r="J152" s="464"/>
      <c r="K152" s="464"/>
      <c r="L152" s="464"/>
      <c r="M152" s="464"/>
      <c r="N152" s="464"/>
      <c r="O152" s="464"/>
      <c r="P152" s="464"/>
      <c r="Q152" s="464"/>
      <c r="R152" s="464"/>
      <c r="S152" s="464"/>
      <c r="T152" s="464"/>
      <c r="U152" s="464"/>
      <c r="V152" s="464"/>
      <c r="W152" s="464"/>
      <c r="X152" s="464"/>
      <c r="Y152" s="464"/>
      <c r="Z152" s="464"/>
      <c r="AA152" s="464"/>
      <c r="AB152" s="464"/>
      <c r="AC152" s="464"/>
      <c r="AD152" s="464"/>
      <c r="AE152" s="464"/>
      <c r="AF152" s="464"/>
      <c r="AG152" s="464"/>
      <c r="AH152" s="464"/>
      <c r="AI152" s="464"/>
      <c r="AJ152" s="464"/>
    </row>
    <row r="153" spans="1:36" ht="15.75" customHeight="1">
      <c r="A153" s="463"/>
      <c r="B153" s="464"/>
      <c r="C153" s="464"/>
      <c r="D153" s="464"/>
      <c r="E153" s="464"/>
      <c r="F153" s="464"/>
      <c r="G153" s="464"/>
      <c r="H153" s="464"/>
      <c r="I153" s="464"/>
      <c r="J153" s="464"/>
      <c r="K153" s="464"/>
      <c r="L153" s="464"/>
      <c r="M153" s="464"/>
      <c r="N153" s="464"/>
      <c r="O153" s="464"/>
      <c r="P153" s="464"/>
      <c r="Q153" s="464"/>
      <c r="R153" s="464"/>
      <c r="S153" s="464"/>
      <c r="T153" s="464"/>
      <c r="U153" s="464"/>
      <c r="V153" s="464"/>
      <c r="W153" s="464"/>
      <c r="X153" s="464"/>
      <c r="Y153" s="464"/>
      <c r="Z153" s="464"/>
      <c r="AA153" s="464"/>
      <c r="AB153" s="464"/>
      <c r="AC153" s="464"/>
      <c r="AD153" s="464"/>
      <c r="AE153" s="464"/>
      <c r="AF153" s="464"/>
      <c r="AG153" s="464"/>
      <c r="AH153" s="464"/>
      <c r="AI153" s="464"/>
      <c r="AJ153" s="464"/>
    </row>
    <row r="154" spans="1:36" ht="15.75" customHeight="1">
      <c r="A154" s="463"/>
      <c r="B154" s="464"/>
      <c r="C154" s="464"/>
      <c r="D154" s="464"/>
      <c r="E154" s="464"/>
      <c r="F154" s="464"/>
      <c r="G154" s="464"/>
      <c r="H154" s="464"/>
      <c r="I154" s="464"/>
      <c r="J154" s="464"/>
      <c r="K154" s="464"/>
      <c r="L154" s="464"/>
      <c r="M154" s="464"/>
      <c r="N154" s="464"/>
      <c r="O154" s="464"/>
      <c r="P154" s="464"/>
      <c r="Q154" s="464"/>
      <c r="R154" s="464"/>
      <c r="S154" s="464"/>
      <c r="T154" s="464"/>
      <c r="U154" s="464"/>
      <c r="V154" s="464"/>
      <c r="W154" s="464"/>
      <c r="X154" s="464"/>
      <c r="Y154" s="464"/>
      <c r="Z154" s="464"/>
      <c r="AA154" s="464"/>
      <c r="AB154" s="464"/>
      <c r="AC154" s="464"/>
      <c r="AD154" s="464"/>
      <c r="AE154" s="464"/>
      <c r="AF154" s="464"/>
      <c r="AG154" s="464"/>
      <c r="AH154" s="464"/>
      <c r="AI154" s="464"/>
      <c r="AJ154" s="464"/>
    </row>
    <row r="155" spans="1:36" ht="15.75" customHeight="1">
      <c r="A155" s="463"/>
      <c r="B155" s="464"/>
      <c r="C155" s="464"/>
      <c r="D155" s="464"/>
      <c r="E155" s="464"/>
      <c r="F155" s="464"/>
      <c r="G155" s="464"/>
      <c r="H155" s="464"/>
      <c r="I155" s="464"/>
      <c r="J155" s="464"/>
      <c r="K155" s="464"/>
      <c r="L155" s="464"/>
      <c r="M155" s="464"/>
      <c r="N155" s="464"/>
      <c r="O155" s="464"/>
      <c r="P155" s="464"/>
      <c r="Q155" s="464"/>
      <c r="R155" s="464"/>
      <c r="S155" s="464"/>
      <c r="T155" s="464"/>
      <c r="U155" s="464"/>
      <c r="V155" s="464"/>
      <c r="W155" s="464"/>
      <c r="X155" s="464"/>
      <c r="Y155" s="464"/>
      <c r="Z155" s="464"/>
      <c r="AA155" s="464"/>
      <c r="AB155" s="464"/>
      <c r="AC155" s="464"/>
      <c r="AD155" s="464"/>
      <c r="AE155" s="464"/>
      <c r="AF155" s="464"/>
      <c r="AG155" s="464"/>
      <c r="AH155" s="464"/>
      <c r="AI155" s="464"/>
      <c r="AJ155" s="464"/>
    </row>
    <row r="156" spans="1:36" ht="15.75" customHeight="1">
      <c r="A156" s="463"/>
      <c r="B156" s="464"/>
      <c r="C156" s="464"/>
      <c r="D156" s="464"/>
      <c r="E156" s="464"/>
      <c r="F156" s="464"/>
      <c r="G156" s="464"/>
      <c r="H156" s="464"/>
      <c r="I156" s="464"/>
      <c r="J156" s="464"/>
      <c r="K156" s="464"/>
      <c r="L156" s="464"/>
      <c r="M156" s="464"/>
      <c r="N156" s="464"/>
      <c r="O156" s="464"/>
      <c r="P156" s="464"/>
      <c r="Q156" s="464"/>
      <c r="R156" s="464"/>
      <c r="S156" s="464"/>
      <c r="T156" s="464"/>
      <c r="U156" s="464"/>
      <c r="V156" s="464"/>
      <c r="W156" s="464"/>
      <c r="X156" s="464"/>
      <c r="Y156" s="464"/>
      <c r="Z156" s="464"/>
      <c r="AA156" s="464"/>
      <c r="AB156" s="464"/>
      <c r="AC156" s="464"/>
      <c r="AD156" s="464"/>
      <c r="AE156" s="464"/>
      <c r="AF156" s="464"/>
      <c r="AG156" s="464"/>
      <c r="AH156" s="464"/>
      <c r="AI156" s="464"/>
      <c r="AJ156" s="464"/>
    </row>
    <row r="157" spans="1:36" ht="15.75" customHeight="1">
      <c r="A157" s="463"/>
      <c r="B157" s="464"/>
      <c r="C157" s="464"/>
      <c r="D157" s="464"/>
      <c r="E157" s="464"/>
      <c r="F157" s="464"/>
      <c r="G157" s="464"/>
      <c r="H157" s="464"/>
      <c r="I157" s="464"/>
      <c r="J157" s="464"/>
      <c r="K157" s="464"/>
      <c r="L157" s="464"/>
      <c r="M157" s="464"/>
      <c r="N157" s="464"/>
      <c r="O157" s="464"/>
      <c r="P157" s="464"/>
      <c r="Q157" s="464"/>
      <c r="R157" s="464"/>
      <c r="S157" s="464"/>
      <c r="T157" s="464"/>
      <c r="U157" s="464"/>
      <c r="V157" s="464"/>
      <c r="W157" s="464"/>
      <c r="X157" s="464"/>
      <c r="Y157" s="464"/>
      <c r="Z157" s="464"/>
      <c r="AA157" s="464"/>
      <c r="AB157" s="464"/>
      <c r="AC157" s="464"/>
      <c r="AD157" s="464"/>
      <c r="AE157" s="464"/>
      <c r="AF157" s="464"/>
      <c r="AG157" s="464"/>
      <c r="AH157" s="464"/>
      <c r="AI157" s="464"/>
      <c r="AJ157" s="464"/>
    </row>
    <row r="158" spans="1:36" ht="15.75" customHeight="1">
      <c r="A158" s="463"/>
      <c r="B158" s="464"/>
      <c r="C158" s="464"/>
      <c r="D158" s="464"/>
      <c r="E158" s="464"/>
      <c r="F158" s="464"/>
      <c r="G158" s="464"/>
      <c r="H158" s="464"/>
      <c r="I158" s="464"/>
      <c r="J158" s="464"/>
      <c r="K158" s="464"/>
      <c r="L158" s="464"/>
      <c r="M158" s="464"/>
      <c r="N158" s="464"/>
      <c r="O158" s="464"/>
      <c r="P158" s="464"/>
      <c r="Q158" s="464"/>
      <c r="R158" s="464"/>
      <c r="S158" s="464"/>
      <c r="T158" s="464"/>
      <c r="U158" s="464"/>
      <c r="V158" s="464"/>
      <c r="W158" s="464"/>
      <c r="X158" s="464"/>
      <c r="Y158" s="464"/>
      <c r="Z158" s="464"/>
      <c r="AA158" s="464"/>
      <c r="AB158" s="464"/>
      <c r="AC158" s="464"/>
      <c r="AD158" s="464"/>
      <c r="AE158" s="464"/>
      <c r="AF158" s="464"/>
      <c r="AG158" s="464"/>
      <c r="AH158" s="464"/>
      <c r="AI158" s="464"/>
      <c r="AJ158" s="464"/>
    </row>
    <row r="159" spans="1:36" ht="15.75" customHeight="1">
      <c r="A159" s="463"/>
      <c r="B159" s="464"/>
      <c r="C159" s="464"/>
      <c r="D159" s="464"/>
      <c r="E159" s="464"/>
      <c r="F159" s="464"/>
      <c r="G159" s="464"/>
      <c r="H159" s="464"/>
      <c r="I159" s="464"/>
      <c r="J159" s="464"/>
      <c r="K159" s="464"/>
      <c r="L159" s="464"/>
      <c r="M159" s="464"/>
      <c r="N159" s="464"/>
      <c r="O159" s="464"/>
      <c r="P159" s="464"/>
      <c r="Q159" s="464"/>
      <c r="R159" s="464"/>
      <c r="S159" s="464"/>
      <c r="T159" s="464"/>
      <c r="U159" s="464"/>
      <c r="V159" s="464"/>
      <c r="W159" s="464"/>
      <c r="X159" s="464"/>
      <c r="Y159" s="464"/>
      <c r="Z159" s="464"/>
      <c r="AA159" s="464"/>
      <c r="AB159" s="464"/>
      <c r="AC159" s="464"/>
      <c r="AD159" s="464"/>
      <c r="AE159" s="464"/>
      <c r="AF159" s="464"/>
      <c r="AG159" s="464"/>
      <c r="AH159" s="464"/>
      <c r="AI159" s="464"/>
      <c r="AJ159" s="464"/>
    </row>
    <row r="160" spans="1:36" ht="15.75" customHeight="1">
      <c r="A160" s="463"/>
      <c r="B160" s="464"/>
      <c r="C160" s="464"/>
      <c r="D160" s="464"/>
      <c r="E160" s="464"/>
      <c r="F160" s="464"/>
      <c r="G160" s="464"/>
      <c r="H160" s="464"/>
      <c r="I160" s="464"/>
      <c r="J160" s="464"/>
      <c r="K160" s="464"/>
      <c r="L160" s="464"/>
      <c r="M160" s="464"/>
      <c r="N160" s="464"/>
      <c r="O160" s="464"/>
      <c r="P160" s="464"/>
      <c r="Q160" s="464"/>
      <c r="R160" s="464"/>
      <c r="S160" s="464"/>
      <c r="T160" s="464"/>
      <c r="U160" s="464"/>
      <c r="V160" s="464"/>
      <c r="W160" s="464"/>
      <c r="X160" s="464"/>
      <c r="Y160" s="464"/>
      <c r="Z160" s="464"/>
      <c r="AA160" s="464"/>
      <c r="AB160" s="464"/>
      <c r="AC160" s="464"/>
      <c r="AD160" s="464"/>
      <c r="AE160" s="464"/>
      <c r="AF160" s="464"/>
      <c r="AG160" s="464"/>
      <c r="AH160" s="464"/>
      <c r="AI160" s="464"/>
      <c r="AJ160" s="464"/>
    </row>
    <row r="161" spans="1:36" ht="15.75" customHeight="1">
      <c r="A161" s="463"/>
      <c r="B161" s="464"/>
      <c r="C161" s="464"/>
      <c r="D161" s="464"/>
      <c r="E161" s="464"/>
      <c r="F161" s="464"/>
      <c r="G161" s="464"/>
      <c r="H161" s="464"/>
      <c r="I161" s="464"/>
      <c r="J161" s="464"/>
      <c r="K161" s="464"/>
      <c r="L161" s="464"/>
      <c r="M161" s="464"/>
      <c r="N161" s="464"/>
      <c r="O161" s="464"/>
      <c r="P161" s="464"/>
      <c r="Q161" s="464"/>
      <c r="R161" s="464"/>
      <c r="S161" s="464"/>
      <c r="T161" s="464"/>
      <c r="U161" s="464"/>
      <c r="V161" s="464"/>
      <c r="W161" s="464"/>
      <c r="X161" s="464"/>
      <c r="Y161" s="464"/>
      <c r="Z161" s="464"/>
      <c r="AA161" s="464"/>
      <c r="AB161" s="464"/>
      <c r="AC161" s="464"/>
      <c r="AD161" s="464"/>
      <c r="AE161" s="464"/>
      <c r="AF161" s="464"/>
      <c r="AG161" s="464"/>
      <c r="AH161" s="464"/>
      <c r="AI161" s="464"/>
      <c r="AJ161" s="464"/>
    </row>
    <row r="162" spans="1:36" ht="15.75" customHeight="1">
      <c r="A162" s="463"/>
      <c r="B162" s="464"/>
      <c r="C162" s="464"/>
      <c r="D162" s="464"/>
      <c r="E162" s="464"/>
      <c r="F162" s="464"/>
      <c r="G162" s="464"/>
      <c r="H162" s="464"/>
      <c r="I162" s="464"/>
      <c r="J162" s="464"/>
      <c r="K162" s="464"/>
      <c r="L162" s="464"/>
      <c r="M162" s="464"/>
      <c r="N162" s="464"/>
      <c r="O162" s="464"/>
      <c r="P162" s="464"/>
      <c r="Q162" s="464"/>
      <c r="R162" s="464"/>
      <c r="S162" s="464"/>
      <c r="T162" s="464"/>
      <c r="U162" s="464"/>
      <c r="V162" s="464"/>
      <c r="W162" s="464"/>
      <c r="X162" s="464"/>
      <c r="Y162" s="464"/>
      <c r="Z162" s="464"/>
      <c r="AA162" s="464"/>
      <c r="AB162" s="464"/>
      <c r="AC162" s="464"/>
      <c r="AD162" s="464"/>
      <c r="AE162" s="464"/>
      <c r="AF162" s="464"/>
      <c r="AG162" s="464"/>
      <c r="AH162" s="464"/>
      <c r="AI162" s="464"/>
      <c r="AJ162" s="464"/>
    </row>
    <row r="163" spans="1:36" ht="15.75" customHeight="1">
      <c r="A163" s="463"/>
      <c r="B163" s="464"/>
      <c r="C163" s="464"/>
      <c r="D163" s="464"/>
      <c r="E163" s="464"/>
      <c r="F163" s="464"/>
      <c r="G163" s="464"/>
      <c r="H163" s="464"/>
      <c r="I163" s="464"/>
      <c r="J163" s="464"/>
      <c r="K163" s="464"/>
      <c r="L163" s="464"/>
      <c r="M163" s="464"/>
      <c r="N163" s="464"/>
      <c r="O163" s="464"/>
      <c r="P163" s="464"/>
      <c r="Q163" s="464"/>
      <c r="R163" s="464"/>
      <c r="S163" s="464"/>
      <c r="T163" s="464"/>
      <c r="U163" s="464"/>
      <c r="V163" s="464"/>
      <c r="W163" s="464"/>
      <c r="X163" s="464"/>
      <c r="Y163" s="464"/>
      <c r="Z163" s="464"/>
      <c r="AA163" s="464"/>
      <c r="AB163" s="464"/>
      <c r="AC163" s="464"/>
      <c r="AD163" s="464"/>
      <c r="AE163" s="464"/>
      <c r="AF163" s="464"/>
      <c r="AG163" s="464"/>
      <c r="AH163" s="464"/>
      <c r="AI163" s="464"/>
      <c r="AJ163" s="464"/>
    </row>
    <row r="164" spans="1:36" ht="15.75" customHeight="1">
      <c r="A164" s="463"/>
      <c r="B164" s="464"/>
      <c r="C164" s="464"/>
      <c r="D164" s="464"/>
      <c r="E164" s="464"/>
      <c r="F164" s="464"/>
      <c r="G164" s="464"/>
      <c r="H164" s="464"/>
      <c r="I164" s="464"/>
      <c r="J164" s="464"/>
      <c r="K164" s="464"/>
      <c r="L164" s="464"/>
      <c r="M164" s="464"/>
      <c r="N164" s="464"/>
      <c r="O164" s="464"/>
      <c r="P164" s="464"/>
      <c r="Q164" s="464"/>
      <c r="R164" s="464"/>
      <c r="S164" s="464"/>
      <c r="T164" s="464"/>
      <c r="U164" s="464"/>
      <c r="V164" s="464"/>
      <c r="W164" s="464"/>
      <c r="X164" s="464"/>
      <c r="Y164" s="464"/>
      <c r="Z164" s="464"/>
      <c r="AA164" s="464"/>
      <c r="AB164" s="464"/>
      <c r="AC164" s="464"/>
      <c r="AD164" s="464"/>
      <c r="AE164" s="464"/>
      <c r="AF164" s="464"/>
      <c r="AG164" s="464"/>
      <c r="AH164" s="464"/>
      <c r="AI164" s="464"/>
      <c r="AJ164" s="464"/>
    </row>
    <row r="165" spans="1:36" ht="15.75" customHeight="1">
      <c r="A165" s="463"/>
      <c r="B165" s="464"/>
      <c r="C165" s="464"/>
      <c r="D165" s="464"/>
      <c r="E165" s="464"/>
      <c r="F165" s="464"/>
      <c r="G165" s="464"/>
      <c r="H165" s="464"/>
      <c r="I165" s="464"/>
      <c r="J165" s="464"/>
      <c r="K165" s="464"/>
      <c r="L165" s="464"/>
      <c r="M165" s="464"/>
      <c r="N165" s="464"/>
      <c r="O165" s="464"/>
      <c r="P165" s="464"/>
      <c r="Q165" s="464"/>
      <c r="R165" s="464"/>
      <c r="S165" s="464"/>
      <c r="T165" s="464"/>
      <c r="U165" s="464"/>
      <c r="V165" s="464"/>
      <c r="W165" s="464"/>
      <c r="X165" s="464"/>
      <c r="Y165" s="464"/>
      <c r="Z165" s="464"/>
      <c r="AA165" s="464"/>
      <c r="AB165" s="464"/>
      <c r="AC165" s="464"/>
      <c r="AD165" s="464"/>
      <c r="AE165" s="464"/>
      <c r="AF165" s="464"/>
      <c r="AG165" s="464"/>
      <c r="AH165" s="464"/>
      <c r="AI165" s="464"/>
      <c r="AJ165" s="464"/>
    </row>
    <row r="166" spans="1:36" ht="15.75" customHeight="1">
      <c r="A166" s="463"/>
      <c r="B166" s="464"/>
      <c r="C166" s="464"/>
      <c r="D166" s="464"/>
      <c r="E166" s="464"/>
      <c r="F166" s="464"/>
      <c r="G166" s="464"/>
      <c r="H166" s="464"/>
      <c r="I166" s="464"/>
      <c r="J166" s="464"/>
      <c r="K166" s="464"/>
      <c r="L166" s="464"/>
      <c r="M166" s="464"/>
      <c r="N166" s="464"/>
      <c r="O166" s="464"/>
      <c r="P166" s="464"/>
      <c r="Q166" s="464"/>
      <c r="R166" s="464"/>
      <c r="S166" s="464"/>
      <c r="T166" s="464"/>
      <c r="U166" s="464"/>
      <c r="V166" s="464"/>
      <c r="W166" s="464"/>
      <c r="X166" s="464"/>
      <c r="Y166" s="464"/>
      <c r="Z166" s="464"/>
      <c r="AA166" s="464"/>
      <c r="AB166" s="464"/>
      <c r="AC166" s="464"/>
      <c r="AD166" s="464"/>
      <c r="AE166" s="464"/>
      <c r="AF166" s="464"/>
      <c r="AG166" s="464"/>
      <c r="AH166" s="464"/>
      <c r="AI166" s="464"/>
      <c r="AJ166" s="464"/>
    </row>
    <row r="167" spans="1:36" ht="15.75" customHeight="1">
      <c r="A167" s="463"/>
      <c r="B167" s="464"/>
      <c r="C167" s="464"/>
      <c r="D167" s="464"/>
      <c r="E167" s="464"/>
      <c r="F167" s="464"/>
      <c r="G167" s="464"/>
      <c r="H167" s="464"/>
      <c r="I167" s="464"/>
      <c r="J167" s="464"/>
      <c r="K167" s="464"/>
      <c r="L167" s="464"/>
      <c r="M167" s="464"/>
      <c r="N167" s="464"/>
      <c r="O167" s="464"/>
      <c r="P167" s="464"/>
      <c r="Q167" s="464"/>
      <c r="R167" s="464"/>
      <c r="S167" s="464"/>
      <c r="T167" s="464"/>
      <c r="U167" s="464"/>
      <c r="V167" s="464"/>
      <c r="W167" s="464"/>
      <c r="X167" s="464"/>
      <c r="Y167" s="464"/>
      <c r="Z167" s="464"/>
      <c r="AA167" s="464"/>
      <c r="AB167" s="464"/>
      <c r="AC167" s="464"/>
      <c r="AD167" s="464"/>
      <c r="AE167" s="464"/>
      <c r="AF167" s="464"/>
      <c r="AG167" s="464"/>
      <c r="AH167" s="464"/>
      <c r="AI167" s="464"/>
      <c r="AJ167" s="464"/>
    </row>
    <row r="168" spans="1:36" ht="15.75" customHeight="1">
      <c r="A168" s="463"/>
      <c r="B168" s="464"/>
      <c r="C168" s="464"/>
      <c r="D168" s="464"/>
      <c r="E168" s="464"/>
      <c r="F168" s="464"/>
      <c r="G168" s="464"/>
      <c r="H168" s="464"/>
      <c r="I168" s="464"/>
      <c r="J168" s="464"/>
      <c r="K168" s="464"/>
      <c r="L168" s="464"/>
      <c r="M168" s="464"/>
      <c r="N168" s="464"/>
      <c r="O168" s="464"/>
      <c r="P168" s="464"/>
      <c r="Q168" s="464"/>
      <c r="R168" s="464"/>
      <c r="S168" s="464"/>
      <c r="T168" s="464"/>
      <c r="U168" s="464"/>
      <c r="V168" s="464"/>
      <c r="W168" s="464"/>
      <c r="X168" s="464"/>
      <c r="Y168" s="464"/>
      <c r="Z168" s="464"/>
      <c r="AA168" s="464"/>
      <c r="AB168" s="464"/>
      <c r="AC168" s="464"/>
      <c r="AD168" s="464"/>
      <c r="AE168" s="464"/>
      <c r="AF168" s="464"/>
      <c r="AG168" s="464"/>
      <c r="AH168" s="464"/>
      <c r="AI168" s="464"/>
      <c r="AJ168" s="464"/>
    </row>
    <row r="169" spans="1:36" ht="15.75" customHeight="1">
      <c r="A169" s="463"/>
      <c r="B169" s="464"/>
      <c r="C169" s="464"/>
      <c r="D169" s="464"/>
      <c r="E169" s="464"/>
      <c r="F169" s="464"/>
      <c r="G169" s="464"/>
      <c r="H169" s="464"/>
      <c r="I169" s="464"/>
      <c r="J169" s="464"/>
      <c r="K169" s="464"/>
      <c r="L169" s="464"/>
      <c r="M169" s="464"/>
      <c r="N169" s="464"/>
      <c r="O169" s="464"/>
      <c r="P169" s="464"/>
      <c r="Q169" s="464"/>
      <c r="R169" s="464"/>
      <c r="S169" s="464"/>
      <c r="T169" s="464"/>
      <c r="U169" s="464"/>
      <c r="V169" s="464"/>
      <c r="W169" s="464"/>
      <c r="X169" s="464"/>
      <c r="Y169" s="464"/>
      <c r="Z169" s="464"/>
      <c r="AA169" s="464"/>
      <c r="AB169" s="464"/>
      <c r="AC169" s="464"/>
      <c r="AD169" s="464"/>
      <c r="AE169" s="464"/>
      <c r="AF169" s="464"/>
      <c r="AG169" s="464"/>
      <c r="AH169" s="464"/>
      <c r="AI169" s="464"/>
      <c r="AJ169" s="464"/>
    </row>
    <row r="170" spans="1:36" ht="15.75" customHeight="1">
      <c r="A170" s="463"/>
      <c r="B170" s="464"/>
      <c r="C170" s="464"/>
      <c r="D170" s="464"/>
      <c r="E170" s="464"/>
      <c r="F170" s="464"/>
      <c r="G170" s="464"/>
      <c r="H170" s="464"/>
      <c r="I170" s="464"/>
      <c r="J170" s="464"/>
      <c r="K170" s="464"/>
      <c r="L170" s="464"/>
      <c r="M170" s="464"/>
      <c r="N170" s="464"/>
      <c r="O170" s="464"/>
      <c r="P170" s="464"/>
      <c r="Q170" s="464"/>
      <c r="R170" s="464"/>
      <c r="S170" s="464"/>
      <c r="T170" s="464"/>
      <c r="U170" s="464"/>
      <c r="V170" s="464"/>
      <c r="W170" s="464"/>
      <c r="X170" s="464"/>
      <c r="Y170" s="464"/>
      <c r="Z170" s="464"/>
      <c r="AA170" s="464"/>
      <c r="AB170" s="464"/>
      <c r="AC170" s="464"/>
      <c r="AD170" s="464"/>
      <c r="AE170" s="464"/>
      <c r="AF170" s="464"/>
      <c r="AG170" s="464"/>
      <c r="AH170" s="464"/>
      <c r="AI170" s="464"/>
      <c r="AJ170" s="464"/>
    </row>
    <row r="171" spans="1:36" ht="15.75" customHeight="1">
      <c r="A171" s="463"/>
      <c r="B171" s="464"/>
      <c r="C171" s="464"/>
      <c r="D171" s="464"/>
      <c r="E171" s="464"/>
      <c r="F171" s="464"/>
      <c r="G171" s="464"/>
      <c r="H171" s="464"/>
      <c r="I171" s="464"/>
      <c r="J171" s="464"/>
      <c r="K171" s="464"/>
      <c r="L171" s="464"/>
      <c r="M171" s="464"/>
      <c r="N171" s="464"/>
      <c r="O171" s="464"/>
      <c r="P171" s="464"/>
      <c r="Q171" s="464"/>
      <c r="R171" s="464"/>
      <c r="S171" s="464"/>
      <c r="T171" s="464"/>
      <c r="U171" s="464"/>
      <c r="V171" s="464"/>
      <c r="W171" s="464"/>
      <c r="X171" s="464"/>
      <c r="Y171" s="464"/>
      <c r="Z171" s="464"/>
      <c r="AA171" s="464"/>
      <c r="AB171" s="464"/>
      <c r="AC171" s="464"/>
      <c r="AD171" s="464"/>
      <c r="AE171" s="464"/>
      <c r="AF171" s="464"/>
      <c r="AG171" s="464"/>
      <c r="AH171" s="464"/>
      <c r="AI171" s="464"/>
      <c r="AJ171" s="464"/>
    </row>
    <row r="172" spans="1:36" ht="15.75" customHeight="1">
      <c r="A172" s="463"/>
      <c r="B172" s="464"/>
      <c r="C172" s="464"/>
      <c r="D172" s="464"/>
      <c r="E172" s="464"/>
      <c r="F172" s="464"/>
      <c r="G172" s="464"/>
      <c r="H172" s="464"/>
      <c r="I172" s="464"/>
      <c r="J172" s="464"/>
      <c r="K172" s="464"/>
      <c r="L172" s="464"/>
      <c r="M172" s="464"/>
      <c r="N172" s="464"/>
      <c r="O172" s="464"/>
      <c r="P172" s="464"/>
      <c r="Q172" s="464"/>
      <c r="R172" s="464"/>
      <c r="S172" s="464"/>
      <c r="T172" s="464"/>
      <c r="U172" s="464"/>
      <c r="V172" s="464"/>
      <c r="W172" s="464"/>
      <c r="X172" s="464"/>
      <c r="Y172" s="464"/>
      <c r="Z172" s="464"/>
      <c r="AA172" s="464"/>
      <c r="AB172" s="464"/>
      <c r="AC172" s="464"/>
      <c r="AD172" s="464"/>
      <c r="AE172" s="464"/>
      <c r="AF172" s="464"/>
      <c r="AG172" s="464"/>
      <c r="AH172" s="464"/>
      <c r="AI172" s="464"/>
      <c r="AJ172" s="464"/>
    </row>
    <row r="173" spans="1:36" ht="15.75" customHeight="1">
      <c r="A173" s="463"/>
      <c r="B173" s="464"/>
      <c r="C173" s="464"/>
      <c r="D173" s="464"/>
      <c r="E173" s="464"/>
      <c r="F173" s="464"/>
      <c r="G173" s="464"/>
      <c r="H173" s="464"/>
      <c r="I173" s="464"/>
      <c r="J173" s="464"/>
      <c r="K173" s="464"/>
      <c r="L173" s="464"/>
      <c r="M173" s="464"/>
      <c r="N173" s="464"/>
      <c r="O173" s="464"/>
      <c r="P173" s="464"/>
      <c r="Q173" s="464"/>
      <c r="R173" s="464"/>
      <c r="S173" s="464"/>
      <c r="T173" s="464"/>
      <c r="U173" s="464"/>
      <c r="V173" s="464"/>
      <c r="W173" s="464"/>
      <c r="X173" s="464"/>
      <c r="Y173" s="464"/>
      <c r="Z173" s="464"/>
      <c r="AA173" s="464"/>
      <c r="AB173" s="464"/>
      <c r="AC173" s="464"/>
      <c r="AD173" s="464"/>
      <c r="AE173" s="464"/>
      <c r="AF173" s="464"/>
      <c r="AG173" s="464"/>
      <c r="AH173" s="464"/>
      <c r="AI173" s="464"/>
      <c r="AJ173" s="464"/>
    </row>
    <row r="174" spans="1:36" ht="15.75" customHeight="1">
      <c r="A174" s="463"/>
      <c r="B174" s="464"/>
      <c r="C174" s="464"/>
      <c r="D174" s="464"/>
      <c r="E174" s="464"/>
      <c r="F174" s="464"/>
      <c r="G174" s="464"/>
      <c r="H174" s="464"/>
      <c r="I174" s="464"/>
      <c r="J174" s="464"/>
      <c r="K174" s="464"/>
      <c r="L174" s="464"/>
      <c r="M174" s="464"/>
      <c r="N174" s="464"/>
      <c r="O174" s="464"/>
      <c r="P174" s="464"/>
      <c r="Q174" s="464"/>
      <c r="R174" s="464"/>
      <c r="S174" s="464"/>
      <c r="T174" s="464"/>
      <c r="U174" s="464"/>
      <c r="V174" s="464"/>
      <c r="W174" s="464"/>
      <c r="X174" s="464"/>
      <c r="Y174" s="464"/>
      <c r="Z174" s="464"/>
      <c r="AA174" s="464"/>
      <c r="AB174" s="464"/>
      <c r="AC174" s="464"/>
      <c r="AD174" s="464"/>
      <c r="AE174" s="464"/>
      <c r="AF174" s="464"/>
      <c r="AG174" s="464"/>
      <c r="AH174" s="464"/>
      <c r="AI174" s="464"/>
      <c r="AJ174" s="464"/>
    </row>
    <row r="175" spans="1:36" ht="15.75" customHeight="1">
      <c r="A175" s="463"/>
      <c r="B175" s="464"/>
      <c r="C175" s="464"/>
      <c r="D175" s="464"/>
      <c r="E175" s="464"/>
      <c r="F175" s="464"/>
      <c r="G175" s="464"/>
      <c r="H175" s="464"/>
      <c r="I175" s="464"/>
      <c r="J175" s="464"/>
      <c r="K175" s="464"/>
      <c r="L175" s="464"/>
      <c r="M175" s="464"/>
      <c r="N175" s="464"/>
      <c r="O175" s="464"/>
      <c r="P175" s="464"/>
      <c r="Q175" s="464"/>
      <c r="R175" s="464"/>
      <c r="S175" s="464"/>
      <c r="T175" s="464"/>
      <c r="U175" s="464"/>
      <c r="V175" s="464"/>
      <c r="W175" s="464"/>
      <c r="X175" s="464"/>
      <c r="Y175" s="464"/>
      <c r="Z175" s="464"/>
      <c r="AA175" s="464"/>
      <c r="AB175" s="464"/>
      <c r="AC175" s="464"/>
      <c r="AD175" s="464"/>
      <c r="AE175" s="464"/>
      <c r="AF175" s="464"/>
      <c r="AG175" s="464"/>
      <c r="AH175" s="464"/>
      <c r="AI175" s="464"/>
      <c r="AJ175" s="464"/>
    </row>
    <row r="176" spans="1:36" ht="15.75" customHeight="1">
      <c r="A176" s="463"/>
      <c r="B176" s="464"/>
      <c r="C176" s="464"/>
      <c r="D176" s="464"/>
      <c r="E176" s="464"/>
      <c r="F176" s="464"/>
      <c r="G176" s="464"/>
      <c r="H176" s="464"/>
      <c r="I176" s="464"/>
      <c r="J176" s="464"/>
      <c r="K176" s="464"/>
      <c r="L176" s="464"/>
      <c r="M176" s="464"/>
      <c r="N176" s="464"/>
      <c r="O176" s="464"/>
      <c r="P176" s="464"/>
      <c r="Q176" s="464"/>
      <c r="R176" s="464"/>
      <c r="S176" s="464"/>
      <c r="T176" s="464"/>
      <c r="U176" s="464"/>
      <c r="V176" s="464"/>
      <c r="W176" s="464"/>
      <c r="X176" s="464"/>
      <c r="Y176" s="464"/>
      <c r="Z176" s="464"/>
      <c r="AA176" s="464"/>
      <c r="AB176" s="464"/>
      <c r="AC176" s="464"/>
      <c r="AD176" s="464"/>
      <c r="AE176" s="464"/>
      <c r="AF176" s="464"/>
      <c r="AG176" s="464"/>
      <c r="AH176" s="464"/>
      <c r="AI176" s="464"/>
      <c r="AJ176" s="464"/>
    </row>
    <row r="177" spans="1:36" ht="15.75" customHeight="1">
      <c r="A177" s="463"/>
      <c r="B177" s="464"/>
      <c r="C177" s="464"/>
      <c r="D177" s="464"/>
      <c r="E177" s="464"/>
      <c r="F177" s="464"/>
      <c r="G177" s="464"/>
      <c r="H177" s="464"/>
      <c r="I177" s="464"/>
      <c r="J177" s="464"/>
      <c r="K177" s="464"/>
      <c r="L177" s="464"/>
      <c r="M177" s="464"/>
      <c r="N177" s="464"/>
      <c r="O177" s="464"/>
      <c r="P177" s="464"/>
      <c r="Q177" s="464"/>
      <c r="R177" s="464"/>
      <c r="S177" s="464"/>
      <c r="T177" s="464"/>
      <c r="U177" s="464"/>
      <c r="V177" s="464"/>
      <c r="W177" s="464"/>
      <c r="X177" s="464"/>
      <c r="Y177" s="464"/>
      <c r="Z177" s="464"/>
      <c r="AA177" s="464"/>
      <c r="AB177" s="464"/>
      <c r="AC177" s="464"/>
      <c r="AD177" s="464"/>
      <c r="AE177" s="464"/>
      <c r="AF177" s="464"/>
      <c r="AG177" s="464"/>
      <c r="AH177" s="464"/>
      <c r="AI177" s="464"/>
      <c r="AJ177" s="464"/>
    </row>
    <row r="178" spans="1:36" ht="15.75" customHeight="1">
      <c r="A178" s="463"/>
      <c r="B178" s="464"/>
      <c r="C178" s="464"/>
      <c r="D178" s="464"/>
      <c r="E178" s="464"/>
      <c r="F178" s="464"/>
      <c r="G178" s="464"/>
      <c r="H178" s="464"/>
      <c r="I178" s="464"/>
      <c r="J178" s="464"/>
      <c r="K178" s="464"/>
      <c r="L178" s="464"/>
      <c r="M178" s="464"/>
      <c r="N178" s="464"/>
      <c r="O178" s="464"/>
      <c r="P178" s="464"/>
      <c r="Q178" s="464"/>
      <c r="R178" s="464"/>
      <c r="S178" s="464"/>
      <c r="T178" s="464"/>
      <c r="U178" s="464"/>
      <c r="V178" s="464"/>
      <c r="W178" s="464"/>
      <c r="X178" s="464"/>
      <c r="Y178" s="464"/>
      <c r="Z178" s="464"/>
      <c r="AA178" s="464"/>
      <c r="AB178" s="464"/>
      <c r="AC178" s="464"/>
      <c r="AD178" s="464"/>
      <c r="AE178" s="464"/>
      <c r="AF178" s="464"/>
      <c r="AG178" s="464"/>
      <c r="AH178" s="464"/>
      <c r="AI178" s="464"/>
      <c r="AJ178" s="464"/>
    </row>
    <row r="179" spans="1:36" ht="15.75" customHeight="1">
      <c r="A179" s="463"/>
      <c r="B179" s="464"/>
      <c r="C179" s="464"/>
      <c r="D179" s="464"/>
      <c r="E179" s="464"/>
      <c r="F179" s="464"/>
      <c r="G179" s="464"/>
      <c r="H179" s="464"/>
      <c r="I179" s="464"/>
      <c r="J179" s="464"/>
      <c r="K179" s="464"/>
      <c r="L179" s="464"/>
      <c r="M179" s="464"/>
      <c r="N179" s="464"/>
      <c r="O179" s="464"/>
      <c r="P179" s="464"/>
      <c r="Q179" s="464"/>
      <c r="R179" s="464"/>
      <c r="S179" s="464"/>
      <c r="T179" s="464"/>
      <c r="U179" s="464"/>
      <c r="V179" s="464"/>
      <c r="W179" s="464"/>
      <c r="X179" s="464"/>
      <c r="Y179" s="464"/>
      <c r="Z179" s="464"/>
      <c r="AA179" s="464"/>
      <c r="AB179" s="464"/>
      <c r="AC179" s="464"/>
      <c r="AD179" s="464"/>
      <c r="AE179" s="464"/>
      <c r="AF179" s="464"/>
      <c r="AG179" s="464"/>
      <c r="AH179" s="464"/>
      <c r="AI179" s="464"/>
      <c r="AJ179" s="464"/>
    </row>
    <row r="180" spans="1:36" ht="15.75" customHeight="1">
      <c r="A180" s="463"/>
      <c r="B180" s="464"/>
      <c r="C180" s="464"/>
      <c r="D180" s="464"/>
      <c r="E180" s="464"/>
      <c r="F180" s="464"/>
      <c r="G180" s="464"/>
      <c r="H180" s="464"/>
      <c r="I180" s="464"/>
      <c r="J180" s="464"/>
      <c r="K180" s="464"/>
      <c r="L180" s="464"/>
      <c r="M180" s="464"/>
      <c r="N180" s="464"/>
      <c r="O180" s="464"/>
      <c r="P180" s="464"/>
      <c r="Q180" s="464"/>
      <c r="R180" s="464"/>
      <c r="S180" s="464"/>
      <c r="T180" s="464"/>
      <c r="U180" s="464"/>
      <c r="V180" s="464"/>
      <c r="W180" s="464"/>
      <c r="X180" s="464"/>
      <c r="Y180" s="464"/>
      <c r="Z180" s="464"/>
      <c r="AA180" s="464"/>
      <c r="AB180" s="464"/>
      <c r="AC180" s="464"/>
      <c r="AD180" s="464"/>
      <c r="AE180" s="464"/>
      <c r="AF180" s="464"/>
      <c r="AG180" s="464"/>
      <c r="AH180" s="464"/>
      <c r="AI180" s="464"/>
      <c r="AJ180" s="464"/>
    </row>
    <row r="181" spans="1:36" ht="15.75" customHeight="1">
      <c r="A181" s="463"/>
      <c r="B181" s="464"/>
      <c r="C181" s="464"/>
      <c r="D181" s="464"/>
      <c r="E181" s="464"/>
      <c r="F181" s="464"/>
      <c r="G181" s="464"/>
      <c r="H181" s="464"/>
      <c r="I181" s="464"/>
      <c r="J181" s="464"/>
      <c r="K181" s="464"/>
      <c r="L181" s="464"/>
      <c r="M181" s="464"/>
      <c r="N181" s="464"/>
      <c r="O181" s="464"/>
      <c r="P181" s="464"/>
      <c r="Q181" s="464"/>
      <c r="R181" s="464"/>
      <c r="S181" s="464"/>
      <c r="T181" s="464"/>
      <c r="U181" s="464"/>
      <c r="V181" s="464"/>
      <c r="W181" s="464"/>
      <c r="X181" s="464"/>
      <c r="Y181" s="464"/>
      <c r="Z181" s="464"/>
      <c r="AA181" s="464"/>
      <c r="AB181" s="464"/>
      <c r="AC181" s="464"/>
      <c r="AD181" s="464"/>
      <c r="AE181" s="464"/>
      <c r="AF181" s="464"/>
      <c r="AG181" s="464"/>
      <c r="AH181" s="464"/>
      <c r="AI181" s="464"/>
      <c r="AJ181" s="464"/>
    </row>
    <row r="182" spans="1:36" ht="15.75" customHeight="1">
      <c r="A182" s="463"/>
      <c r="B182" s="464"/>
      <c r="C182" s="464"/>
      <c r="D182" s="464"/>
      <c r="E182" s="464"/>
      <c r="F182" s="464"/>
      <c r="G182" s="464"/>
      <c r="H182" s="464"/>
      <c r="I182" s="464"/>
      <c r="J182" s="464"/>
      <c r="K182" s="464"/>
      <c r="L182" s="464"/>
      <c r="M182" s="464"/>
      <c r="N182" s="464"/>
      <c r="O182" s="464"/>
      <c r="P182" s="464"/>
      <c r="Q182" s="464"/>
      <c r="R182" s="464"/>
      <c r="S182" s="464"/>
      <c r="T182" s="464"/>
      <c r="U182" s="464"/>
      <c r="V182" s="464"/>
      <c r="W182" s="464"/>
      <c r="X182" s="464"/>
      <c r="Y182" s="464"/>
      <c r="Z182" s="464"/>
      <c r="AA182" s="464"/>
      <c r="AB182" s="464"/>
      <c r="AC182" s="464"/>
      <c r="AD182" s="464"/>
      <c r="AE182" s="464"/>
      <c r="AF182" s="464"/>
      <c r="AG182" s="464"/>
      <c r="AH182" s="464"/>
      <c r="AI182" s="464"/>
      <c r="AJ182" s="464"/>
    </row>
    <row r="183" spans="1:36" ht="15.75" customHeight="1">
      <c r="A183" s="463"/>
      <c r="B183" s="464"/>
      <c r="C183" s="464"/>
      <c r="D183" s="464"/>
      <c r="E183" s="464"/>
      <c r="F183" s="464"/>
      <c r="G183" s="464"/>
      <c r="H183" s="464"/>
      <c r="I183" s="464"/>
      <c r="J183" s="464"/>
      <c r="K183" s="464"/>
      <c r="L183" s="464"/>
      <c r="M183" s="464"/>
      <c r="N183" s="464"/>
      <c r="O183" s="464"/>
      <c r="P183" s="464"/>
      <c r="Q183" s="464"/>
      <c r="R183" s="464"/>
      <c r="S183" s="464"/>
      <c r="T183" s="464"/>
      <c r="U183" s="464"/>
      <c r="V183" s="464"/>
      <c r="W183" s="464"/>
      <c r="X183" s="464"/>
      <c r="Y183" s="464"/>
      <c r="Z183" s="464"/>
      <c r="AA183" s="464"/>
      <c r="AB183" s="464"/>
      <c r="AC183" s="464"/>
      <c r="AD183" s="464"/>
      <c r="AE183" s="464"/>
      <c r="AF183" s="464"/>
      <c r="AG183" s="464"/>
      <c r="AH183" s="464"/>
      <c r="AI183" s="464"/>
      <c r="AJ183" s="464"/>
    </row>
    <row r="184" spans="1:36" ht="15.75" customHeight="1">
      <c r="A184" s="463"/>
      <c r="B184" s="464"/>
      <c r="C184" s="464"/>
      <c r="D184" s="464"/>
      <c r="E184" s="464"/>
      <c r="F184" s="464"/>
      <c r="G184" s="464"/>
      <c r="H184" s="464"/>
      <c r="I184" s="464"/>
      <c r="J184" s="464"/>
      <c r="K184" s="464"/>
      <c r="L184" s="464"/>
      <c r="M184" s="464"/>
      <c r="N184" s="464"/>
      <c r="O184" s="464"/>
      <c r="P184" s="464"/>
      <c r="Q184" s="464"/>
      <c r="R184" s="464"/>
      <c r="S184" s="464"/>
      <c r="T184" s="464"/>
      <c r="U184" s="464"/>
      <c r="V184" s="464"/>
      <c r="W184" s="464"/>
      <c r="X184" s="464"/>
      <c r="Y184" s="464"/>
      <c r="Z184" s="464"/>
      <c r="AA184" s="464"/>
      <c r="AB184" s="464"/>
      <c r="AC184" s="464"/>
      <c r="AD184" s="464"/>
      <c r="AE184" s="464"/>
      <c r="AF184" s="464"/>
      <c r="AG184" s="464"/>
      <c r="AH184" s="464"/>
      <c r="AI184" s="464"/>
      <c r="AJ184" s="464"/>
    </row>
    <row r="185" spans="1:36" ht="15.75" customHeight="1">
      <c r="A185" s="463"/>
      <c r="B185" s="464"/>
      <c r="C185" s="464"/>
      <c r="D185" s="464"/>
      <c r="E185" s="464"/>
      <c r="F185" s="464"/>
      <c r="G185" s="464"/>
      <c r="H185" s="464"/>
      <c r="I185" s="464"/>
      <c r="J185" s="464"/>
      <c r="K185" s="464"/>
      <c r="L185" s="464"/>
      <c r="M185" s="464"/>
      <c r="N185" s="464"/>
      <c r="O185" s="464"/>
      <c r="P185" s="464"/>
      <c r="Q185" s="464"/>
      <c r="R185" s="464"/>
      <c r="S185" s="464"/>
      <c r="T185" s="464"/>
      <c r="U185" s="464"/>
      <c r="V185" s="464"/>
      <c r="W185" s="464"/>
      <c r="X185" s="464"/>
      <c r="Y185" s="464"/>
      <c r="Z185" s="464"/>
      <c r="AA185" s="464"/>
      <c r="AB185" s="464"/>
      <c r="AC185" s="464"/>
      <c r="AD185" s="464"/>
      <c r="AE185" s="464"/>
      <c r="AF185" s="464"/>
      <c r="AG185" s="464"/>
      <c r="AH185" s="464"/>
      <c r="AI185" s="464"/>
      <c r="AJ185" s="464"/>
    </row>
    <row r="186" spans="1:36" ht="15.75" customHeight="1">
      <c r="A186" s="463"/>
      <c r="B186" s="464"/>
      <c r="C186" s="464"/>
      <c r="D186" s="464"/>
      <c r="E186" s="464"/>
      <c r="F186" s="464"/>
      <c r="G186" s="464"/>
      <c r="H186" s="464"/>
      <c r="I186" s="464"/>
      <c r="J186" s="464"/>
      <c r="K186" s="464"/>
      <c r="L186" s="464"/>
      <c r="M186" s="464"/>
      <c r="N186" s="464"/>
      <c r="O186" s="464"/>
      <c r="P186" s="464"/>
      <c r="Q186" s="464"/>
      <c r="R186" s="464"/>
      <c r="S186" s="464"/>
      <c r="T186" s="464"/>
      <c r="U186" s="464"/>
      <c r="V186" s="464"/>
      <c r="W186" s="464"/>
      <c r="X186" s="464"/>
      <c r="Y186" s="464"/>
      <c r="Z186" s="464"/>
      <c r="AA186" s="464"/>
      <c r="AB186" s="464"/>
      <c r="AC186" s="464"/>
      <c r="AD186" s="464"/>
      <c r="AE186" s="464"/>
      <c r="AF186" s="464"/>
      <c r="AG186" s="464"/>
      <c r="AH186" s="464"/>
      <c r="AI186" s="464"/>
      <c r="AJ186" s="464"/>
    </row>
    <row r="187" spans="1:36" ht="15.75" customHeight="1">
      <c r="A187" s="463"/>
      <c r="B187" s="464"/>
      <c r="C187" s="464"/>
      <c r="D187" s="464"/>
      <c r="E187" s="464"/>
      <c r="F187" s="464"/>
      <c r="G187" s="464"/>
      <c r="H187" s="464"/>
      <c r="I187" s="464"/>
      <c r="J187" s="464"/>
      <c r="K187" s="464"/>
      <c r="L187" s="464"/>
      <c r="M187" s="464"/>
      <c r="N187" s="464"/>
      <c r="O187" s="464"/>
      <c r="P187" s="464"/>
      <c r="Q187" s="464"/>
      <c r="R187" s="464"/>
      <c r="S187" s="464"/>
      <c r="T187" s="464"/>
      <c r="U187" s="464"/>
      <c r="V187" s="464"/>
      <c r="W187" s="464"/>
      <c r="X187" s="464"/>
      <c r="Y187" s="464"/>
      <c r="Z187" s="464"/>
      <c r="AA187" s="464"/>
      <c r="AB187" s="464"/>
      <c r="AC187" s="464"/>
      <c r="AD187" s="464"/>
      <c r="AE187" s="464"/>
      <c r="AF187" s="464"/>
      <c r="AG187" s="464"/>
      <c r="AH187" s="464"/>
      <c r="AI187" s="464"/>
      <c r="AJ187" s="464"/>
    </row>
    <row r="188" spans="1:36" ht="15.75" customHeight="1">
      <c r="A188" s="463"/>
      <c r="B188" s="464"/>
      <c r="C188" s="464"/>
      <c r="D188" s="464"/>
      <c r="E188" s="464"/>
      <c r="F188" s="464"/>
      <c r="G188" s="464"/>
      <c r="H188" s="464"/>
      <c r="I188" s="464"/>
      <c r="J188" s="464"/>
      <c r="K188" s="464"/>
      <c r="L188" s="464"/>
      <c r="M188" s="464"/>
      <c r="N188" s="464"/>
      <c r="O188" s="464"/>
      <c r="P188" s="464"/>
      <c r="Q188" s="464"/>
      <c r="R188" s="464"/>
      <c r="S188" s="464"/>
      <c r="T188" s="464"/>
      <c r="U188" s="464"/>
      <c r="V188" s="464"/>
      <c r="W188" s="464"/>
      <c r="X188" s="464"/>
      <c r="Y188" s="464"/>
      <c r="Z188" s="464"/>
      <c r="AA188" s="464"/>
      <c r="AB188" s="464"/>
      <c r="AC188" s="464"/>
      <c r="AD188" s="464"/>
      <c r="AE188" s="464"/>
      <c r="AF188" s="464"/>
      <c r="AG188" s="464"/>
      <c r="AH188" s="464"/>
      <c r="AI188" s="464"/>
      <c r="AJ188" s="464"/>
    </row>
    <row r="189" spans="1:36" ht="15.75" customHeight="1">
      <c r="A189" s="463"/>
      <c r="B189" s="464"/>
      <c r="C189" s="464"/>
      <c r="D189" s="464"/>
      <c r="E189" s="464"/>
      <c r="F189" s="464"/>
      <c r="G189" s="464"/>
      <c r="H189" s="464"/>
      <c r="I189" s="464"/>
      <c r="J189" s="464"/>
      <c r="K189" s="464"/>
      <c r="L189" s="464"/>
      <c r="M189" s="464"/>
      <c r="N189" s="464"/>
      <c r="O189" s="464"/>
      <c r="P189" s="464"/>
      <c r="Q189" s="464"/>
      <c r="R189" s="464"/>
      <c r="S189" s="464"/>
      <c r="T189" s="464"/>
      <c r="U189" s="464"/>
      <c r="V189" s="464"/>
      <c r="W189" s="464"/>
      <c r="X189" s="464"/>
      <c r="Y189" s="464"/>
      <c r="Z189" s="464"/>
      <c r="AA189" s="464"/>
      <c r="AB189" s="464"/>
      <c r="AC189" s="464"/>
      <c r="AD189" s="464"/>
      <c r="AE189" s="464"/>
      <c r="AF189" s="464"/>
      <c r="AG189" s="464"/>
      <c r="AH189" s="464"/>
      <c r="AI189" s="464"/>
      <c r="AJ189" s="464"/>
    </row>
    <row r="190" spans="1:36" ht="15.75" customHeight="1">
      <c r="A190" s="463"/>
      <c r="B190" s="464"/>
      <c r="C190" s="464"/>
      <c r="D190" s="464"/>
      <c r="E190" s="464"/>
      <c r="F190" s="464"/>
      <c r="G190" s="464"/>
      <c r="H190" s="464"/>
      <c r="I190" s="464"/>
      <c r="J190" s="464"/>
      <c r="K190" s="464"/>
      <c r="L190" s="464"/>
      <c r="M190" s="464"/>
      <c r="N190" s="464"/>
      <c r="O190" s="464"/>
      <c r="P190" s="464"/>
      <c r="Q190" s="464"/>
      <c r="R190" s="464"/>
      <c r="S190" s="464"/>
      <c r="T190" s="464"/>
      <c r="U190" s="464"/>
      <c r="V190" s="464"/>
      <c r="W190" s="464"/>
      <c r="X190" s="464"/>
      <c r="Y190" s="464"/>
      <c r="Z190" s="464"/>
      <c r="AA190" s="464"/>
      <c r="AB190" s="464"/>
      <c r="AC190" s="464"/>
      <c r="AD190" s="464"/>
      <c r="AE190" s="464"/>
      <c r="AF190" s="464"/>
      <c r="AG190" s="464"/>
      <c r="AH190" s="464"/>
      <c r="AI190" s="464"/>
      <c r="AJ190" s="464"/>
    </row>
    <row r="191" spans="1:36" ht="15.75" customHeight="1">
      <c r="A191" s="463"/>
      <c r="B191" s="464"/>
      <c r="C191" s="464"/>
      <c r="D191" s="464"/>
      <c r="E191" s="464"/>
      <c r="F191" s="464"/>
      <c r="G191" s="464"/>
      <c r="H191" s="464"/>
      <c r="I191" s="464"/>
      <c r="J191" s="464"/>
      <c r="K191" s="464"/>
      <c r="L191" s="464"/>
      <c r="M191" s="464"/>
      <c r="N191" s="464"/>
      <c r="O191" s="464"/>
      <c r="P191" s="464"/>
      <c r="Q191" s="464"/>
      <c r="R191" s="464"/>
      <c r="S191" s="464"/>
      <c r="T191" s="464"/>
      <c r="U191" s="464"/>
      <c r="V191" s="464"/>
      <c r="W191" s="464"/>
      <c r="X191" s="464"/>
      <c r="Y191" s="464"/>
      <c r="Z191" s="464"/>
      <c r="AA191" s="464"/>
      <c r="AB191" s="464"/>
      <c r="AC191" s="464"/>
      <c r="AD191" s="464"/>
      <c r="AE191" s="464"/>
      <c r="AF191" s="464"/>
      <c r="AG191" s="464"/>
      <c r="AH191" s="464"/>
      <c r="AI191" s="464"/>
      <c r="AJ191" s="464"/>
    </row>
    <row r="192" spans="1:36" ht="15.75" customHeight="1">
      <c r="A192" s="463"/>
      <c r="B192" s="464"/>
      <c r="C192" s="464"/>
      <c r="D192" s="464"/>
      <c r="E192" s="464"/>
      <c r="F192" s="464"/>
      <c r="G192" s="464"/>
      <c r="H192" s="464"/>
      <c r="I192" s="464"/>
      <c r="J192" s="464"/>
      <c r="K192" s="464"/>
      <c r="L192" s="464"/>
      <c r="M192" s="464"/>
      <c r="N192" s="464"/>
      <c r="O192" s="464"/>
      <c r="P192" s="464"/>
      <c r="Q192" s="464"/>
      <c r="R192" s="464"/>
      <c r="S192" s="464"/>
      <c r="T192" s="464"/>
      <c r="U192" s="464"/>
      <c r="V192" s="464"/>
      <c r="W192" s="464"/>
      <c r="X192" s="464"/>
      <c r="Y192" s="464"/>
      <c r="Z192" s="464"/>
      <c r="AA192" s="464"/>
      <c r="AB192" s="464"/>
      <c r="AC192" s="464"/>
      <c r="AD192" s="464"/>
      <c r="AE192" s="464"/>
      <c r="AF192" s="464"/>
      <c r="AG192" s="464"/>
      <c r="AH192" s="464"/>
      <c r="AI192" s="464"/>
      <c r="AJ192" s="464"/>
    </row>
    <row r="193" spans="1:36" ht="15.75" customHeight="1">
      <c r="A193" s="463"/>
      <c r="B193" s="464"/>
      <c r="C193" s="464"/>
      <c r="D193" s="464"/>
      <c r="E193" s="464"/>
      <c r="F193" s="464"/>
      <c r="G193" s="464"/>
      <c r="H193" s="464"/>
      <c r="I193" s="464"/>
      <c r="J193" s="464"/>
      <c r="K193" s="464"/>
      <c r="L193" s="464"/>
      <c r="M193" s="464"/>
      <c r="N193" s="464"/>
      <c r="O193" s="464"/>
      <c r="P193" s="464"/>
      <c r="Q193" s="464"/>
      <c r="R193" s="464"/>
      <c r="S193" s="464"/>
      <c r="T193" s="464"/>
      <c r="U193" s="464"/>
      <c r="V193" s="464"/>
      <c r="W193" s="464"/>
      <c r="X193" s="464"/>
      <c r="Y193" s="464"/>
      <c r="Z193" s="464"/>
      <c r="AA193" s="464"/>
      <c r="AB193" s="464"/>
      <c r="AC193" s="464"/>
      <c r="AD193" s="464"/>
      <c r="AE193" s="464"/>
      <c r="AF193" s="464"/>
      <c r="AG193" s="464"/>
      <c r="AH193" s="464"/>
      <c r="AI193" s="464"/>
      <c r="AJ193" s="464"/>
    </row>
    <row r="194" spans="1:36" ht="15.75" customHeight="1">
      <c r="A194" s="463"/>
      <c r="B194" s="464"/>
      <c r="C194" s="464"/>
      <c r="D194" s="464"/>
      <c r="E194" s="464"/>
      <c r="F194" s="464"/>
      <c r="G194" s="464"/>
      <c r="H194" s="464"/>
      <c r="I194" s="464"/>
      <c r="J194" s="464"/>
      <c r="K194" s="464"/>
      <c r="L194" s="464"/>
      <c r="M194" s="464"/>
      <c r="N194" s="464"/>
      <c r="O194" s="464"/>
      <c r="P194" s="464"/>
      <c r="Q194" s="464"/>
      <c r="R194" s="464"/>
      <c r="S194" s="464"/>
      <c r="T194" s="464"/>
      <c r="U194" s="464"/>
      <c r="V194" s="464"/>
      <c r="W194" s="464"/>
      <c r="X194" s="464"/>
      <c r="Y194" s="464"/>
      <c r="Z194" s="464"/>
      <c r="AA194" s="464"/>
      <c r="AB194" s="464"/>
      <c r="AC194" s="464"/>
      <c r="AD194" s="464"/>
      <c r="AE194" s="464"/>
      <c r="AF194" s="464"/>
      <c r="AG194" s="464"/>
      <c r="AH194" s="464"/>
      <c r="AI194" s="464"/>
      <c r="AJ194" s="464"/>
    </row>
    <row r="195" spans="1:36" ht="15.75" customHeight="1">
      <c r="A195" s="463"/>
      <c r="B195" s="464"/>
      <c r="C195" s="464"/>
      <c r="D195" s="464"/>
      <c r="E195" s="464"/>
      <c r="F195" s="464"/>
      <c r="G195" s="464"/>
      <c r="H195" s="464"/>
      <c r="I195" s="464"/>
      <c r="J195" s="464"/>
      <c r="K195" s="464"/>
      <c r="L195" s="464"/>
      <c r="M195" s="464"/>
      <c r="N195" s="464"/>
      <c r="O195" s="464"/>
      <c r="P195" s="464"/>
      <c r="Q195" s="464"/>
      <c r="R195" s="464"/>
      <c r="S195" s="464"/>
      <c r="T195" s="464"/>
      <c r="U195" s="464"/>
      <c r="V195" s="464"/>
      <c r="W195" s="464"/>
      <c r="X195" s="464"/>
      <c r="Y195" s="464"/>
      <c r="Z195" s="464"/>
      <c r="AA195" s="464"/>
      <c r="AB195" s="464"/>
      <c r="AC195" s="464"/>
      <c r="AD195" s="464"/>
      <c r="AE195" s="464"/>
      <c r="AF195" s="464"/>
      <c r="AG195" s="464"/>
      <c r="AH195" s="464"/>
      <c r="AI195" s="464"/>
      <c r="AJ195" s="464"/>
    </row>
    <row r="196" spans="1:36" ht="15.75" customHeight="1">
      <c r="A196" s="463"/>
      <c r="B196" s="464"/>
      <c r="C196" s="464"/>
      <c r="D196" s="464"/>
      <c r="E196" s="464"/>
      <c r="F196" s="464"/>
      <c r="G196" s="464"/>
      <c r="H196" s="464"/>
      <c r="I196" s="464"/>
      <c r="J196" s="464"/>
      <c r="K196" s="464"/>
      <c r="L196" s="464"/>
      <c r="M196" s="464"/>
      <c r="N196" s="464"/>
      <c r="O196" s="464"/>
      <c r="P196" s="464"/>
      <c r="Q196" s="464"/>
      <c r="R196" s="464"/>
      <c r="S196" s="464"/>
      <c r="T196" s="464"/>
      <c r="U196" s="464"/>
      <c r="V196" s="464"/>
      <c r="W196" s="464"/>
      <c r="X196" s="464"/>
      <c r="Y196" s="464"/>
      <c r="Z196" s="464"/>
      <c r="AA196" s="464"/>
      <c r="AB196" s="464"/>
      <c r="AC196" s="464"/>
      <c r="AD196" s="464"/>
      <c r="AE196" s="464"/>
      <c r="AF196" s="464"/>
      <c r="AG196" s="464"/>
      <c r="AH196" s="464"/>
      <c r="AI196" s="464"/>
      <c r="AJ196" s="464"/>
    </row>
    <row r="197" spans="1:36" ht="15.75" customHeight="1">
      <c r="A197" s="463"/>
      <c r="B197" s="464"/>
      <c r="C197" s="464"/>
      <c r="D197" s="464"/>
      <c r="E197" s="464"/>
      <c r="F197" s="464"/>
      <c r="G197" s="464"/>
      <c r="H197" s="464"/>
      <c r="I197" s="464"/>
      <c r="J197" s="464"/>
      <c r="K197" s="464"/>
      <c r="L197" s="464"/>
      <c r="M197" s="464"/>
      <c r="N197" s="464"/>
      <c r="O197" s="464"/>
      <c r="P197" s="464"/>
      <c r="Q197" s="464"/>
      <c r="R197" s="464"/>
      <c r="S197" s="464"/>
      <c r="T197" s="464"/>
      <c r="U197" s="464"/>
      <c r="V197" s="464"/>
      <c r="W197" s="464"/>
      <c r="X197" s="464"/>
      <c r="Y197" s="464"/>
      <c r="Z197" s="464"/>
      <c r="AA197" s="464"/>
      <c r="AB197" s="464"/>
      <c r="AC197" s="464"/>
      <c r="AD197" s="464"/>
      <c r="AE197" s="464"/>
      <c r="AF197" s="464"/>
      <c r="AG197" s="464"/>
      <c r="AH197" s="464"/>
      <c r="AI197" s="464"/>
      <c r="AJ197" s="464"/>
    </row>
    <row r="198" spans="1:36" ht="15.75" customHeight="1">
      <c r="A198" s="463"/>
      <c r="B198" s="464"/>
      <c r="C198" s="464"/>
      <c r="D198" s="464"/>
      <c r="E198" s="464"/>
      <c r="F198" s="464"/>
      <c r="G198" s="464"/>
      <c r="H198" s="464"/>
      <c r="I198" s="464"/>
      <c r="J198" s="464"/>
      <c r="K198" s="464"/>
      <c r="L198" s="464"/>
      <c r="M198" s="464"/>
      <c r="N198" s="464"/>
      <c r="O198" s="464"/>
      <c r="P198" s="464"/>
      <c r="Q198" s="464"/>
      <c r="R198" s="464"/>
      <c r="S198" s="464"/>
      <c r="T198" s="464"/>
      <c r="U198" s="464"/>
      <c r="V198" s="464"/>
      <c r="W198" s="464"/>
      <c r="X198" s="464"/>
      <c r="Y198" s="464"/>
      <c r="Z198" s="464"/>
      <c r="AA198" s="464"/>
      <c r="AB198" s="464"/>
      <c r="AC198" s="464"/>
      <c r="AD198" s="464"/>
      <c r="AE198" s="464"/>
      <c r="AF198" s="464"/>
      <c r="AG198" s="464"/>
      <c r="AH198" s="464"/>
      <c r="AI198" s="464"/>
      <c r="AJ198" s="464"/>
    </row>
    <row r="199" spans="1:36" ht="15.75" customHeight="1">
      <c r="A199" s="463"/>
      <c r="B199" s="464"/>
      <c r="C199" s="464"/>
      <c r="D199" s="464"/>
      <c r="E199" s="464"/>
      <c r="F199" s="464"/>
      <c r="G199" s="464"/>
      <c r="H199" s="464"/>
      <c r="I199" s="464"/>
      <c r="J199" s="464"/>
      <c r="K199" s="464"/>
      <c r="L199" s="464"/>
      <c r="M199" s="464"/>
      <c r="N199" s="464"/>
      <c r="O199" s="464"/>
      <c r="P199" s="464"/>
      <c r="Q199" s="464"/>
      <c r="R199" s="464"/>
      <c r="S199" s="464"/>
      <c r="T199" s="464"/>
      <c r="U199" s="464"/>
      <c r="V199" s="464"/>
      <c r="W199" s="464"/>
      <c r="X199" s="464"/>
      <c r="Y199" s="464"/>
      <c r="Z199" s="464"/>
      <c r="AA199" s="464"/>
      <c r="AB199" s="464"/>
      <c r="AC199" s="464"/>
      <c r="AD199" s="464"/>
      <c r="AE199" s="464"/>
      <c r="AF199" s="464"/>
      <c r="AG199" s="464"/>
      <c r="AH199" s="464"/>
      <c r="AI199" s="464"/>
      <c r="AJ199" s="464"/>
    </row>
    <row r="200" spans="1:36" ht="15.75" customHeight="1">
      <c r="A200" s="463"/>
      <c r="B200" s="464"/>
      <c r="C200" s="464"/>
      <c r="D200" s="464"/>
      <c r="E200" s="464"/>
      <c r="F200" s="464"/>
      <c r="G200" s="464"/>
      <c r="H200" s="464"/>
      <c r="I200" s="464"/>
      <c r="J200" s="464"/>
      <c r="K200" s="464"/>
      <c r="L200" s="464"/>
      <c r="M200" s="464"/>
      <c r="N200" s="464"/>
      <c r="O200" s="464"/>
      <c r="P200" s="464"/>
      <c r="Q200" s="464"/>
      <c r="R200" s="464"/>
      <c r="S200" s="464"/>
      <c r="T200" s="464"/>
      <c r="U200" s="464"/>
      <c r="V200" s="464"/>
      <c r="W200" s="464"/>
      <c r="X200" s="464"/>
      <c r="Y200" s="464"/>
      <c r="Z200" s="464"/>
      <c r="AA200" s="464"/>
      <c r="AB200" s="464"/>
      <c r="AC200" s="464"/>
      <c r="AD200" s="464"/>
      <c r="AE200" s="464"/>
      <c r="AF200" s="464"/>
      <c r="AG200" s="464"/>
      <c r="AH200" s="464"/>
      <c r="AI200" s="464"/>
      <c r="AJ200" s="464"/>
    </row>
    <row r="201" spans="1:36" ht="15.75" customHeight="1">
      <c r="A201" s="463"/>
      <c r="B201" s="464"/>
      <c r="C201" s="464"/>
      <c r="D201" s="464"/>
      <c r="E201" s="464"/>
      <c r="F201" s="464"/>
      <c r="G201" s="464"/>
      <c r="H201" s="464"/>
      <c r="I201" s="464"/>
      <c r="J201" s="464"/>
      <c r="K201" s="464"/>
      <c r="L201" s="464"/>
      <c r="M201" s="464"/>
      <c r="N201" s="464"/>
      <c r="O201" s="464"/>
      <c r="P201" s="464"/>
      <c r="Q201" s="464"/>
      <c r="R201" s="464"/>
      <c r="S201" s="464"/>
      <c r="T201" s="464"/>
      <c r="U201" s="464"/>
      <c r="V201" s="464"/>
      <c r="W201" s="464"/>
      <c r="X201" s="464"/>
      <c r="Y201" s="464"/>
      <c r="Z201" s="464"/>
      <c r="AA201" s="464"/>
      <c r="AB201" s="464"/>
      <c r="AC201" s="464"/>
      <c r="AD201" s="464"/>
      <c r="AE201" s="464"/>
      <c r="AF201" s="464"/>
      <c r="AG201" s="464"/>
      <c r="AH201" s="464"/>
      <c r="AI201" s="464"/>
      <c r="AJ201" s="464"/>
    </row>
    <row r="202" spans="1:36" ht="15.75" customHeight="1">
      <c r="A202" s="463"/>
      <c r="B202" s="464"/>
      <c r="C202" s="464"/>
      <c r="D202" s="464"/>
      <c r="E202" s="464"/>
      <c r="F202" s="464"/>
      <c r="G202" s="464"/>
      <c r="H202" s="464"/>
      <c r="I202" s="464"/>
      <c r="J202" s="464"/>
      <c r="K202" s="464"/>
      <c r="L202" s="464"/>
      <c r="M202" s="464"/>
      <c r="N202" s="464"/>
      <c r="O202" s="464"/>
      <c r="P202" s="464"/>
      <c r="Q202" s="464"/>
      <c r="R202" s="464"/>
      <c r="S202" s="464"/>
      <c r="T202" s="464"/>
      <c r="U202" s="464"/>
      <c r="V202" s="464"/>
      <c r="W202" s="464"/>
      <c r="X202" s="464"/>
      <c r="Y202" s="464"/>
      <c r="Z202" s="464"/>
      <c r="AA202" s="464"/>
      <c r="AB202" s="464"/>
      <c r="AC202" s="464"/>
      <c r="AD202" s="464"/>
      <c r="AE202" s="464"/>
      <c r="AF202" s="464"/>
      <c r="AG202" s="464"/>
      <c r="AH202" s="464"/>
      <c r="AI202" s="464"/>
      <c r="AJ202" s="464"/>
    </row>
    <row r="203" spans="1:36" ht="15.75" customHeight="1">
      <c r="A203" s="463"/>
      <c r="B203" s="464"/>
      <c r="C203" s="464"/>
      <c r="D203" s="464"/>
      <c r="E203" s="464"/>
      <c r="F203" s="464"/>
      <c r="G203" s="464"/>
      <c r="H203" s="464"/>
      <c r="I203" s="464"/>
      <c r="J203" s="464"/>
      <c r="K203" s="464"/>
      <c r="L203" s="464"/>
      <c r="M203" s="464"/>
      <c r="N203" s="464"/>
      <c r="O203" s="464"/>
      <c r="P203" s="464"/>
      <c r="Q203" s="464"/>
      <c r="R203" s="464"/>
      <c r="S203" s="464"/>
      <c r="T203" s="464"/>
      <c r="U203" s="464"/>
      <c r="V203" s="464"/>
      <c r="W203" s="464"/>
      <c r="X203" s="464"/>
      <c r="Y203" s="464"/>
      <c r="Z203" s="464"/>
      <c r="AA203" s="464"/>
      <c r="AB203" s="464"/>
      <c r="AC203" s="464"/>
      <c r="AD203" s="464"/>
      <c r="AE203" s="464"/>
      <c r="AF203" s="464"/>
      <c r="AG203" s="464"/>
      <c r="AH203" s="464"/>
      <c r="AI203" s="464"/>
      <c r="AJ203" s="464"/>
    </row>
    <row r="204" spans="1:36" ht="15.75" customHeight="1">
      <c r="A204" s="463"/>
      <c r="B204" s="464"/>
      <c r="C204" s="464"/>
      <c r="D204" s="464"/>
      <c r="E204" s="464"/>
      <c r="F204" s="464"/>
      <c r="G204" s="464"/>
      <c r="H204" s="464"/>
      <c r="I204" s="464"/>
      <c r="J204" s="464"/>
      <c r="K204" s="464"/>
      <c r="L204" s="464"/>
      <c r="M204" s="464"/>
      <c r="N204" s="464"/>
      <c r="O204" s="464"/>
      <c r="P204" s="464"/>
      <c r="Q204" s="464"/>
      <c r="R204" s="464"/>
      <c r="S204" s="464"/>
      <c r="T204" s="464"/>
      <c r="U204" s="464"/>
      <c r="V204" s="464"/>
      <c r="W204" s="464"/>
      <c r="X204" s="464"/>
      <c r="Y204" s="464"/>
      <c r="Z204" s="464"/>
      <c r="AA204" s="464"/>
      <c r="AB204" s="464"/>
      <c r="AC204" s="464"/>
      <c r="AD204" s="464"/>
      <c r="AE204" s="464"/>
      <c r="AF204" s="464"/>
      <c r="AG204" s="464"/>
      <c r="AH204" s="464"/>
      <c r="AI204" s="464"/>
      <c r="AJ204" s="464"/>
    </row>
    <row r="205" spans="1:36" ht="15.75" customHeight="1">
      <c r="A205" s="463"/>
      <c r="B205" s="464"/>
      <c r="C205" s="464"/>
      <c r="D205" s="464"/>
      <c r="E205" s="464"/>
      <c r="F205" s="464"/>
      <c r="G205" s="464"/>
      <c r="H205" s="464"/>
      <c r="I205" s="464"/>
      <c r="J205" s="464"/>
      <c r="K205" s="464"/>
      <c r="L205" s="464"/>
      <c r="M205" s="464"/>
      <c r="N205" s="464"/>
      <c r="O205" s="464"/>
      <c r="P205" s="464"/>
      <c r="Q205" s="464"/>
      <c r="R205" s="464"/>
      <c r="S205" s="464"/>
      <c r="T205" s="464"/>
      <c r="U205" s="464"/>
      <c r="V205" s="464"/>
      <c r="W205" s="464"/>
      <c r="X205" s="464"/>
      <c r="Y205" s="464"/>
      <c r="Z205" s="464"/>
      <c r="AA205" s="464"/>
      <c r="AB205" s="464"/>
      <c r="AC205" s="464"/>
      <c r="AD205" s="464"/>
      <c r="AE205" s="464"/>
      <c r="AF205" s="464"/>
      <c r="AG205" s="464"/>
      <c r="AH205" s="464"/>
      <c r="AI205" s="464"/>
      <c r="AJ205" s="464"/>
    </row>
    <row r="206" spans="1:36" ht="15.75" customHeight="1">
      <c r="A206" s="463"/>
      <c r="B206" s="464"/>
      <c r="C206" s="464"/>
      <c r="D206" s="464"/>
      <c r="E206" s="464"/>
      <c r="F206" s="464"/>
      <c r="G206" s="464"/>
      <c r="H206" s="464"/>
      <c r="I206" s="464"/>
      <c r="J206" s="464"/>
      <c r="K206" s="464"/>
      <c r="L206" s="464"/>
      <c r="M206" s="464"/>
      <c r="N206" s="464"/>
      <c r="O206" s="464"/>
      <c r="P206" s="464"/>
      <c r="Q206" s="464"/>
      <c r="R206" s="464"/>
      <c r="S206" s="464"/>
      <c r="T206" s="464"/>
      <c r="U206" s="464"/>
      <c r="V206" s="464"/>
      <c r="W206" s="464"/>
      <c r="X206" s="464"/>
      <c r="Y206" s="464"/>
      <c r="Z206" s="464"/>
      <c r="AA206" s="464"/>
      <c r="AB206" s="464"/>
      <c r="AC206" s="464"/>
      <c r="AD206" s="464"/>
      <c r="AE206" s="464"/>
      <c r="AF206" s="464"/>
      <c r="AG206" s="464"/>
      <c r="AH206" s="464"/>
      <c r="AI206" s="464"/>
      <c r="AJ206" s="464"/>
    </row>
    <row r="207" spans="1:36" ht="15.75" customHeight="1">
      <c r="A207" s="463"/>
      <c r="B207" s="464"/>
      <c r="C207" s="464"/>
      <c r="D207" s="464"/>
      <c r="E207" s="464"/>
      <c r="F207" s="464"/>
      <c r="G207" s="464"/>
      <c r="H207" s="464"/>
      <c r="I207" s="464"/>
      <c r="J207" s="464"/>
      <c r="K207" s="464"/>
      <c r="L207" s="464"/>
      <c r="M207" s="464"/>
      <c r="N207" s="464"/>
      <c r="O207" s="464"/>
      <c r="P207" s="464"/>
      <c r="Q207" s="464"/>
      <c r="R207" s="464"/>
      <c r="S207" s="464"/>
      <c r="T207" s="464"/>
      <c r="U207" s="464"/>
      <c r="V207" s="464"/>
      <c r="W207" s="464"/>
      <c r="X207" s="464"/>
      <c r="Y207" s="464"/>
      <c r="Z207" s="464"/>
      <c r="AA207" s="464"/>
      <c r="AB207" s="464"/>
      <c r="AC207" s="464"/>
      <c r="AD207" s="464"/>
      <c r="AE207" s="464"/>
      <c r="AF207" s="464"/>
      <c r="AG207" s="464"/>
      <c r="AH207" s="464"/>
      <c r="AI207" s="464"/>
      <c r="AJ207" s="464"/>
    </row>
    <row r="208" spans="1:36" ht="15.75" customHeight="1">
      <c r="A208" s="463"/>
      <c r="B208" s="464"/>
      <c r="C208" s="464"/>
      <c r="D208" s="464"/>
      <c r="E208" s="464"/>
      <c r="F208" s="464"/>
      <c r="G208" s="464"/>
      <c r="H208" s="464"/>
      <c r="I208" s="464"/>
      <c r="J208" s="464"/>
      <c r="K208" s="464"/>
      <c r="L208" s="464"/>
      <c r="M208" s="464"/>
      <c r="N208" s="464"/>
      <c r="O208" s="464"/>
      <c r="P208" s="464"/>
      <c r="Q208" s="464"/>
      <c r="R208" s="464"/>
      <c r="S208" s="464"/>
      <c r="T208" s="464"/>
      <c r="U208" s="464"/>
      <c r="V208" s="464"/>
      <c r="W208" s="464"/>
      <c r="X208" s="464"/>
      <c r="Y208" s="464"/>
      <c r="Z208" s="464"/>
      <c r="AA208" s="464"/>
      <c r="AB208" s="464"/>
      <c r="AC208" s="464"/>
      <c r="AD208" s="464"/>
      <c r="AE208" s="464"/>
      <c r="AF208" s="464"/>
      <c r="AG208" s="464"/>
      <c r="AH208" s="464"/>
      <c r="AI208" s="464"/>
      <c r="AJ208" s="464"/>
    </row>
    <row r="209" spans="1:36" ht="15.75" customHeight="1">
      <c r="A209" s="463"/>
      <c r="B209" s="464"/>
      <c r="C209" s="464"/>
      <c r="D209" s="464"/>
      <c r="E209" s="464"/>
      <c r="F209" s="464"/>
      <c r="G209" s="464"/>
      <c r="H209" s="464"/>
      <c r="I209" s="464"/>
      <c r="J209" s="464"/>
      <c r="K209" s="464"/>
      <c r="L209" s="464"/>
      <c r="M209" s="464"/>
      <c r="N209" s="464"/>
      <c r="O209" s="464"/>
      <c r="P209" s="464"/>
      <c r="Q209" s="464"/>
      <c r="R209" s="464"/>
      <c r="S209" s="464"/>
      <c r="T209" s="464"/>
      <c r="U209" s="464"/>
      <c r="V209" s="464"/>
      <c r="W209" s="464"/>
      <c r="X209" s="464"/>
      <c r="Y209" s="464"/>
      <c r="Z209" s="464"/>
      <c r="AA209" s="464"/>
      <c r="AB209" s="464"/>
      <c r="AC209" s="464"/>
      <c r="AD209" s="464"/>
      <c r="AE209" s="464"/>
      <c r="AF209" s="464"/>
      <c r="AG209" s="464"/>
      <c r="AH209" s="464"/>
      <c r="AI209" s="464"/>
      <c r="AJ209" s="464"/>
    </row>
    <row r="210" spans="1:36" ht="15.75" customHeight="1">
      <c r="A210" s="463"/>
      <c r="B210" s="464"/>
      <c r="C210" s="464"/>
      <c r="D210" s="464"/>
      <c r="E210" s="464"/>
      <c r="F210" s="464"/>
      <c r="G210" s="464"/>
      <c r="H210" s="464"/>
      <c r="I210" s="464"/>
      <c r="J210" s="464"/>
      <c r="K210" s="464"/>
      <c r="L210" s="464"/>
      <c r="M210" s="464"/>
      <c r="N210" s="464"/>
      <c r="O210" s="464"/>
      <c r="P210" s="464"/>
      <c r="Q210" s="464"/>
      <c r="R210" s="464"/>
      <c r="S210" s="464"/>
      <c r="T210" s="464"/>
      <c r="U210" s="464"/>
      <c r="V210" s="464"/>
      <c r="W210" s="464"/>
      <c r="X210" s="464"/>
      <c r="Y210" s="464"/>
      <c r="Z210" s="464"/>
      <c r="AA210" s="464"/>
      <c r="AB210" s="464"/>
      <c r="AC210" s="464"/>
      <c r="AD210" s="464"/>
      <c r="AE210" s="464"/>
      <c r="AF210" s="464"/>
      <c r="AG210" s="464"/>
      <c r="AH210" s="464"/>
      <c r="AI210" s="464"/>
      <c r="AJ210" s="464"/>
    </row>
    <row r="211" spans="1:36" ht="15.75" customHeight="1">
      <c r="A211" s="463"/>
      <c r="B211" s="464"/>
      <c r="C211" s="464"/>
      <c r="D211" s="464"/>
      <c r="E211" s="464"/>
      <c r="F211" s="464"/>
      <c r="G211" s="464"/>
      <c r="H211" s="464"/>
      <c r="I211" s="464"/>
      <c r="J211" s="464"/>
      <c r="K211" s="464"/>
      <c r="L211" s="464"/>
      <c r="M211" s="464"/>
      <c r="N211" s="464"/>
      <c r="O211" s="464"/>
      <c r="P211" s="464"/>
      <c r="Q211" s="464"/>
      <c r="R211" s="464"/>
      <c r="S211" s="464"/>
      <c r="T211" s="464"/>
      <c r="U211" s="464"/>
      <c r="V211" s="464"/>
      <c r="W211" s="464"/>
      <c r="X211" s="464"/>
      <c r="Y211" s="464"/>
      <c r="Z211" s="464"/>
      <c r="AA211" s="464"/>
      <c r="AB211" s="464"/>
      <c r="AC211" s="464"/>
      <c r="AD211" s="464"/>
      <c r="AE211" s="464"/>
      <c r="AF211" s="464"/>
      <c r="AG211" s="464"/>
      <c r="AH211" s="464"/>
      <c r="AI211" s="464"/>
      <c r="AJ211" s="464"/>
    </row>
    <row r="212" spans="1:36" ht="15.75" customHeight="1">
      <c r="A212" s="463"/>
      <c r="B212" s="464"/>
      <c r="C212" s="464"/>
      <c r="D212" s="464"/>
      <c r="E212" s="464"/>
      <c r="F212" s="464"/>
      <c r="G212" s="464"/>
      <c r="H212" s="464"/>
      <c r="I212" s="464"/>
      <c r="J212" s="464"/>
      <c r="K212" s="464"/>
      <c r="L212" s="464"/>
      <c r="M212" s="464"/>
      <c r="N212" s="464"/>
      <c r="O212" s="464"/>
      <c r="P212" s="464"/>
      <c r="Q212" s="464"/>
      <c r="R212" s="464"/>
      <c r="S212" s="464"/>
      <c r="T212" s="464"/>
      <c r="U212" s="464"/>
      <c r="V212" s="464"/>
      <c r="W212" s="464"/>
      <c r="X212" s="464"/>
      <c r="Y212" s="464"/>
      <c r="Z212" s="464"/>
      <c r="AA212" s="464"/>
      <c r="AB212" s="464"/>
      <c r="AC212" s="464"/>
      <c r="AD212" s="464"/>
      <c r="AE212" s="464"/>
      <c r="AF212" s="464"/>
      <c r="AG212" s="464"/>
      <c r="AH212" s="464"/>
      <c r="AI212" s="464"/>
      <c r="AJ212" s="464"/>
    </row>
    <row r="213" spans="1:36" ht="15.75" customHeight="1">
      <c r="A213" s="463"/>
      <c r="B213" s="464"/>
      <c r="C213" s="464"/>
      <c r="D213" s="464"/>
      <c r="E213" s="464"/>
      <c r="F213" s="464"/>
      <c r="G213" s="464"/>
      <c r="H213" s="464"/>
      <c r="I213" s="464"/>
      <c r="J213" s="464"/>
      <c r="K213" s="464"/>
      <c r="L213" s="464"/>
      <c r="M213" s="464"/>
      <c r="N213" s="464"/>
      <c r="O213" s="464"/>
      <c r="P213" s="464"/>
      <c r="Q213" s="464"/>
      <c r="R213" s="464"/>
      <c r="S213" s="464"/>
      <c r="T213" s="464"/>
      <c r="U213" s="464"/>
      <c r="V213" s="464"/>
      <c r="W213" s="464"/>
      <c r="X213" s="464"/>
      <c r="Y213" s="464"/>
      <c r="Z213" s="464"/>
      <c r="AA213" s="464"/>
      <c r="AB213" s="464"/>
      <c r="AC213" s="464"/>
      <c r="AD213" s="464"/>
      <c r="AE213" s="464"/>
      <c r="AF213" s="464"/>
      <c r="AG213" s="464"/>
      <c r="AH213" s="464"/>
      <c r="AI213" s="464"/>
      <c r="AJ213" s="464"/>
    </row>
    <row r="214" spans="1:36" ht="15.75" customHeight="1">
      <c r="A214" s="463"/>
      <c r="B214" s="464"/>
      <c r="C214" s="464"/>
      <c r="D214" s="464"/>
      <c r="E214" s="464"/>
      <c r="F214" s="464"/>
      <c r="G214" s="464"/>
      <c r="H214" s="464"/>
      <c r="I214" s="464"/>
      <c r="J214" s="464"/>
      <c r="K214" s="464"/>
      <c r="L214" s="464"/>
      <c r="M214" s="464"/>
      <c r="N214" s="464"/>
      <c r="O214" s="464"/>
      <c r="P214" s="464"/>
      <c r="Q214" s="464"/>
      <c r="R214" s="464"/>
      <c r="S214" s="464"/>
      <c r="T214" s="464"/>
      <c r="U214" s="464"/>
      <c r="V214" s="464"/>
      <c r="W214" s="464"/>
      <c r="X214" s="464"/>
      <c r="Y214" s="464"/>
      <c r="Z214" s="464"/>
      <c r="AA214" s="464"/>
      <c r="AB214" s="464"/>
      <c r="AC214" s="464"/>
      <c r="AD214" s="464"/>
      <c r="AE214" s="464"/>
      <c r="AF214" s="464"/>
      <c r="AG214" s="464"/>
      <c r="AH214" s="464"/>
      <c r="AI214" s="464"/>
      <c r="AJ214" s="464"/>
    </row>
    <row r="215" spans="1:36" ht="15.75" customHeight="1">
      <c r="A215" s="463"/>
      <c r="B215" s="464"/>
      <c r="C215" s="464"/>
      <c r="D215" s="464"/>
      <c r="E215" s="464"/>
      <c r="F215" s="464"/>
      <c r="G215" s="464"/>
      <c r="H215" s="464"/>
      <c r="I215" s="464"/>
      <c r="J215" s="464"/>
      <c r="K215" s="464"/>
      <c r="L215" s="464"/>
      <c r="M215" s="464"/>
      <c r="N215" s="464"/>
      <c r="O215" s="464"/>
      <c r="P215" s="464"/>
      <c r="Q215" s="464"/>
      <c r="R215" s="464"/>
      <c r="S215" s="464"/>
      <c r="T215" s="464"/>
      <c r="U215" s="464"/>
      <c r="V215" s="464"/>
      <c r="W215" s="464"/>
      <c r="X215" s="464"/>
      <c r="Y215" s="464"/>
      <c r="Z215" s="464"/>
      <c r="AA215" s="464"/>
      <c r="AB215" s="464"/>
      <c r="AC215" s="464"/>
      <c r="AD215" s="464"/>
      <c r="AE215" s="464"/>
      <c r="AF215" s="464"/>
      <c r="AG215" s="464"/>
      <c r="AH215" s="464"/>
      <c r="AI215" s="464"/>
      <c r="AJ215" s="464"/>
    </row>
    <row r="216" spans="1:36" ht="15.75" customHeight="1">
      <c r="A216" s="463"/>
      <c r="B216" s="464"/>
      <c r="C216" s="464"/>
      <c r="D216" s="464"/>
      <c r="E216" s="464"/>
      <c r="F216" s="464"/>
      <c r="G216" s="464"/>
      <c r="H216" s="464"/>
      <c r="I216" s="464"/>
      <c r="J216" s="464"/>
      <c r="K216" s="464"/>
      <c r="L216" s="464"/>
      <c r="M216" s="464"/>
      <c r="N216" s="464"/>
      <c r="O216" s="464"/>
      <c r="P216" s="464"/>
      <c r="Q216" s="464"/>
      <c r="R216" s="464"/>
      <c r="S216" s="464"/>
      <c r="T216" s="464"/>
      <c r="U216" s="464"/>
      <c r="V216" s="464"/>
      <c r="W216" s="464"/>
      <c r="X216" s="464"/>
      <c r="Y216" s="464"/>
      <c r="Z216" s="464"/>
      <c r="AA216" s="464"/>
      <c r="AB216" s="464"/>
      <c r="AC216" s="464"/>
      <c r="AD216" s="464"/>
      <c r="AE216" s="464"/>
      <c r="AF216" s="464"/>
      <c r="AG216" s="464"/>
      <c r="AH216" s="464"/>
      <c r="AI216" s="464"/>
      <c r="AJ216" s="464"/>
    </row>
    <row r="217" spans="1:36" ht="15.75" customHeight="1">
      <c r="A217" s="463"/>
      <c r="B217" s="464"/>
      <c r="C217" s="464"/>
      <c r="D217" s="464"/>
      <c r="E217" s="464"/>
      <c r="F217" s="464"/>
      <c r="G217" s="464"/>
      <c r="H217" s="464"/>
      <c r="I217" s="464"/>
      <c r="J217" s="464"/>
      <c r="K217" s="464"/>
      <c r="L217" s="464"/>
      <c r="M217" s="464"/>
      <c r="N217" s="464"/>
      <c r="O217" s="464"/>
      <c r="P217" s="464"/>
      <c r="Q217" s="464"/>
      <c r="R217" s="464"/>
      <c r="S217" s="464"/>
      <c r="T217" s="464"/>
      <c r="U217" s="464"/>
      <c r="V217" s="464"/>
      <c r="W217" s="464"/>
      <c r="X217" s="464"/>
      <c r="Y217" s="464"/>
      <c r="Z217" s="464"/>
      <c r="AA217" s="464"/>
      <c r="AB217" s="464"/>
      <c r="AC217" s="464"/>
      <c r="AD217" s="464"/>
      <c r="AE217" s="464"/>
      <c r="AF217" s="464"/>
      <c r="AG217" s="464"/>
      <c r="AH217" s="464"/>
      <c r="AI217" s="464"/>
      <c r="AJ217" s="464"/>
    </row>
    <row r="218" spans="1:36" ht="15.75" customHeight="1">
      <c r="A218" s="463"/>
      <c r="B218" s="464"/>
      <c r="C218" s="464"/>
      <c r="D218" s="464"/>
      <c r="E218" s="464"/>
      <c r="F218" s="464"/>
      <c r="G218" s="464"/>
      <c r="H218" s="464"/>
      <c r="I218" s="464"/>
      <c r="J218" s="464"/>
      <c r="K218" s="464"/>
      <c r="L218" s="464"/>
      <c r="M218" s="464"/>
      <c r="N218" s="464"/>
      <c r="O218" s="464"/>
      <c r="P218" s="464"/>
      <c r="Q218" s="464"/>
      <c r="R218" s="464"/>
      <c r="S218" s="464"/>
      <c r="T218" s="464"/>
      <c r="U218" s="464"/>
      <c r="V218" s="464"/>
      <c r="W218" s="464"/>
      <c r="X218" s="464"/>
      <c r="Y218" s="464"/>
      <c r="Z218" s="464"/>
      <c r="AA218" s="464"/>
      <c r="AB218" s="464"/>
      <c r="AC218" s="464"/>
      <c r="AD218" s="464"/>
      <c r="AE218" s="464"/>
      <c r="AF218" s="464"/>
      <c r="AG218" s="464"/>
      <c r="AH218" s="464"/>
      <c r="AI218" s="464"/>
      <c r="AJ218" s="464"/>
    </row>
    <row r="219" spans="1:36" ht="15.75" customHeight="1">
      <c r="A219" s="463"/>
      <c r="B219" s="464"/>
      <c r="C219" s="464"/>
      <c r="D219" s="464"/>
      <c r="E219" s="464"/>
      <c r="F219" s="464"/>
      <c r="G219" s="464"/>
      <c r="H219" s="464"/>
      <c r="I219" s="464"/>
      <c r="J219" s="464"/>
      <c r="K219" s="464"/>
      <c r="L219" s="464"/>
      <c r="M219" s="464"/>
      <c r="N219" s="464"/>
      <c r="O219" s="464"/>
      <c r="P219" s="464"/>
      <c r="Q219" s="464"/>
      <c r="R219" s="464"/>
      <c r="S219" s="464"/>
      <c r="T219" s="464"/>
      <c r="U219" s="464"/>
      <c r="V219" s="464"/>
      <c r="W219" s="464"/>
      <c r="X219" s="464"/>
      <c r="Y219" s="464"/>
      <c r="Z219" s="464"/>
      <c r="AA219" s="464"/>
      <c r="AB219" s="464"/>
      <c r="AC219" s="464"/>
      <c r="AD219" s="464"/>
      <c r="AE219" s="464"/>
      <c r="AF219" s="464"/>
      <c r="AG219" s="464"/>
      <c r="AH219" s="464"/>
      <c r="AI219" s="464"/>
      <c r="AJ219" s="464"/>
    </row>
    <row r="220" spans="1:36" ht="15.75" customHeight="1">
      <c r="A220" s="463"/>
      <c r="B220" s="464"/>
      <c r="C220" s="464"/>
      <c r="D220" s="464"/>
      <c r="E220" s="464"/>
      <c r="F220" s="464"/>
      <c r="G220" s="464"/>
      <c r="H220" s="464"/>
      <c r="I220" s="464"/>
      <c r="J220" s="464"/>
      <c r="K220" s="464"/>
      <c r="L220" s="464"/>
      <c r="M220" s="464"/>
      <c r="N220" s="464"/>
      <c r="O220" s="464"/>
      <c r="P220" s="464"/>
      <c r="Q220" s="464"/>
      <c r="R220" s="464"/>
      <c r="S220" s="464"/>
      <c r="T220" s="464"/>
      <c r="U220" s="464"/>
      <c r="V220" s="464"/>
      <c r="W220" s="464"/>
      <c r="X220" s="464"/>
      <c r="Y220" s="464"/>
      <c r="Z220" s="464"/>
      <c r="AA220" s="464"/>
      <c r="AB220" s="464"/>
      <c r="AC220" s="464"/>
      <c r="AD220" s="464"/>
      <c r="AE220" s="464"/>
      <c r="AF220" s="464"/>
      <c r="AG220" s="464"/>
      <c r="AH220" s="464"/>
      <c r="AI220" s="464"/>
      <c r="AJ220" s="464"/>
    </row>
    <row r="221" spans="1:36" ht="15.75" customHeight="1">
      <c r="A221" s="463"/>
      <c r="B221" s="464"/>
      <c r="C221" s="464"/>
      <c r="D221" s="464"/>
      <c r="E221" s="464"/>
      <c r="F221" s="464"/>
      <c r="G221" s="464"/>
      <c r="H221" s="464"/>
      <c r="I221" s="464"/>
      <c r="J221" s="464"/>
      <c r="K221" s="464"/>
      <c r="L221" s="464"/>
      <c r="M221" s="464"/>
      <c r="N221" s="464"/>
      <c r="O221" s="464"/>
      <c r="P221" s="464"/>
      <c r="Q221" s="464"/>
      <c r="R221" s="464"/>
      <c r="S221" s="464"/>
      <c r="T221" s="464"/>
      <c r="U221" s="464"/>
      <c r="V221" s="464"/>
      <c r="W221" s="464"/>
      <c r="X221" s="464"/>
      <c r="Y221" s="464"/>
      <c r="Z221" s="464"/>
      <c r="AA221" s="464"/>
      <c r="AB221" s="464"/>
      <c r="AC221" s="464"/>
      <c r="AD221" s="464"/>
      <c r="AE221" s="464"/>
      <c r="AF221" s="464"/>
      <c r="AG221" s="464"/>
      <c r="AH221" s="464"/>
      <c r="AI221" s="464"/>
      <c r="AJ221" s="464"/>
    </row>
    <row r="222" spans="1:36" ht="15.75" customHeight="1">
      <c r="A222" s="463"/>
      <c r="B222" s="464"/>
      <c r="C222" s="464"/>
      <c r="D222" s="464"/>
      <c r="E222" s="464"/>
      <c r="F222" s="464"/>
      <c r="G222" s="464"/>
      <c r="H222" s="464"/>
      <c r="I222" s="464"/>
      <c r="J222" s="464"/>
      <c r="K222" s="464"/>
      <c r="L222" s="464"/>
      <c r="M222" s="464"/>
      <c r="N222" s="464"/>
      <c r="O222" s="464"/>
      <c r="P222" s="464"/>
      <c r="Q222" s="464"/>
      <c r="R222" s="464"/>
      <c r="S222" s="464"/>
      <c r="T222" s="464"/>
      <c r="U222" s="464"/>
      <c r="V222" s="464"/>
      <c r="W222" s="464"/>
      <c r="X222" s="464"/>
      <c r="Y222" s="464"/>
      <c r="Z222" s="464"/>
      <c r="AA222" s="464"/>
      <c r="AB222" s="464"/>
      <c r="AC222" s="464"/>
      <c r="AD222" s="464"/>
      <c r="AE222" s="464"/>
      <c r="AF222" s="464"/>
      <c r="AG222" s="464"/>
      <c r="AH222" s="464"/>
      <c r="AI222" s="464"/>
      <c r="AJ222" s="464"/>
    </row>
    <row r="223" spans="1:36" ht="15.75" customHeight="1">
      <c r="A223" s="463"/>
      <c r="B223" s="464"/>
      <c r="C223" s="464"/>
      <c r="D223" s="464"/>
      <c r="E223" s="464"/>
      <c r="F223" s="464"/>
      <c r="G223" s="464"/>
      <c r="H223" s="464"/>
      <c r="I223" s="464"/>
      <c r="J223" s="464"/>
      <c r="K223" s="464"/>
      <c r="L223" s="464"/>
      <c r="M223" s="464"/>
      <c r="N223" s="464"/>
      <c r="O223" s="464"/>
      <c r="P223" s="464"/>
      <c r="Q223" s="464"/>
      <c r="R223" s="464"/>
      <c r="S223" s="464"/>
      <c r="T223" s="464"/>
      <c r="U223" s="464"/>
      <c r="V223" s="464"/>
      <c r="W223" s="464"/>
      <c r="X223" s="464"/>
      <c r="Y223" s="464"/>
      <c r="Z223" s="464"/>
      <c r="AA223" s="464"/>
      <c r="AB223" s="464"/>
      <c r="AC223" s="464"/>
      <c r="AD223" s="464"/>
      <c r="AE223" s="464"/>
      <c r="AF223" s="464"/>
      <c r="AG223" s="464"/>
      <c r="AH223" s="464"/>
      <c r="AI223" s="464"/>
      <c r="AJ223" s="464"/>
    </row>
    <row r="224" spans="1:36" ht="15.75" customHeight="1">
      <c r="A224" s="463"/>
      <c r="B224" s="464"/>
      <c r="C224" s="464"/>
      <c r="D224" s="464"/>
      <c r="E224" s="464"/>
      <c r="F224" s="464"/>
      <c r="G224" s="464"/>
      <c r="H224" s="464"/>
      <c r="I224" s="464"/>
      <c r="J224" s="464"/>
      <c r="K224" s="464"/>
      <c r="L224" s="464"/>
      <c r="M224" s="464"/>
      <c r="N224" s="464"/>
      <c r="O224" s="464"/>
      <c r="P224" s="464"/>
      <c r="Q224" s="464"/>
      <c r="R224" s="464"/>
      <c r="S224" s="464"/>
      <c r="T224" s="464"/>
      <c r="U224" s="464"/>
      <c r="V224" s="464"/>
      <c r="W224" s="464"/>
      <c r="X224" s="464"/>
      <c r="Y224" s="464"/>
      <c r="Z224" s="464"/>
      <c r="AA224" s="464"/>
      <c r="AB224" s="464"/>
      <c r="AC224" s="464"/>
      <c r="AD224" s="464"/>
      <c r="AE224" s="464"/>
      <c r="AF224" s="464"/>
      <c r="AG224" s="464"/>
      <c r="AH224" s="464"/>
      <c r="AI224" s="464"/>
      <c r="AJ224" s="464"/>
    </row>
    <row r="225" spans="1:36" ht="15.75" customHeight="1">
      <c r="A225" s="463"/>
      <c r="B225" s="464"/>
      <c r="C225" s="464"/>
      <c r="D225" s="464"/>
      <c r="E225" s="464"/>
      <c r="F225" s="464"/>
      <c r="G225" s="464"/>
      <c r="H225" s="464"/>
      <c r="I225" s="464"/>
      <c r="J225" s="464"/>
      <c r="K225" s="464"/>
      <c r="L225" s="464"/>
      <c r="M225" s="464"/>
      <c r="N225" s="464"/>
      <c r="O225" s="464"/>
      <c r="P225" s="464"/>
      <c r="Q225" s="464"/>
      <c r="R225" s="464"/>
      <c r="S225" s="464"/>
      <c r="T225" s="464"/>
      <c r="U225" s="464"/>
      <c r="V225" s="464"/>
      <c r="W225" s="464"/>
      <c r="X225" s="464"/>
      <c r="Y225" s="464"/>
      <c r="Z225" s="464"/>
      <c r="AA225" s="464"/>
      <c r="AB225" s="464"/>
      <c r="AC225" s="464"/>
      <c r="AD225" s="464"/>
      <c r="AE225" s="464"/>
      <c r="AF225" s="464"/>
      <c r="AG225" s="464"/>
      <c r="AH225" s="464"/>
      <c r="AI225" s="464"/>
      <c r="AJ225" s="464"/>
    </row>
    <row r="226" spans="1:36" ht="15.75" customHeight="1">
      <c r="A226" s="463"/>
      <c r="B226" s="464"/>
      <c r="C226" s="464"/>
      <c r="D226" s="464"/>
      <c r="E226" s="464"/>
      <c r="F226" s="464"/>
      <c r="G226" s="464"/>
      <c r="H226" s="464"/>
      <c r="I226" s="464"/>
      <c r="J226" s="464"/>
      <c r="K226" s="464"/>
      <c r="L226" s="464"/>
      <c r="M226" s="464"/>
      <c r="N226" s="464"/>
      <c r="O226" s="464"/>
      <c r="P226" s="464"/>
      <c r="Q226" s="464"/>
      <c r="R226" s="464"/>
      <c r="S226" s="464"/>
      <c r="T226" s="464"/>
      <c r="U226" s="464"/>
      <c r="V226" s="464"/>
      <c r="W226" s="464"/>
      <c r="X226" s="464"/>
      <c r="Y226" s="464"/>
      <c r="Z226" s="464"/>
      <c r="AA226" s="464"/>
      <c r="AB226" s="464"/>
      <c r="AC226" s="464"/>
      <c r="AD226" s="464"/>
      <c r="AE226" s="464"/>
      <c r="AF226" s="464"/>
      <c r="AG226" s="464"/>
      <c r="AH226" s="464"/>
      <c r="AI226" s="464"/>
      <c r="AJ226" s="464"/>
    </row>
    <row r="227" spans="1:36" ht="15.75" customHeight="1">
      <c r="A227" s="463"/>
      <c r="B227" s="464"/>
      <c r="C227" s="464"/>
      <c r="D227" s="464"/>
      <c r="E227" s="464"/>
      <c r="F227" s="464"/>
      <c r="G227" s="464"/>
      <c r="H227" s="464"/>
      <c r="I227" s="464"/>
      <c r="J227" s="464"/>
      <c r="K227" s="464"/>
      <c r="L227" s="464"/>
      <c r="M227" s="464"/>
      <c r="N227" s="464"/>
      <c r="O227" s="464"/>
      <c r="P227" s="464"/>
      <c r="Q227" s="464"/>
      <c r="R227" s="464"/>
      <c r="S227" s="464"/>
      <c r="T227" s="464"/>
      <c r="U227" s="464"/>
      <c r="V227" s="464"/>
      <c r="W227" s="464"/>
      <c r="X227" s="464"/>
      <c r="Y227" s="464"/>
      <c r="Z227" s="464"/>
      <c r="AA227" s="464"/>
      <c r="AB227" s="464"/>
      <c r="AC227" s="464"/>
      <c r="AD227" s="464"/>
      <c r="AE227" s="464"/>
      <c r="AF227" s="464"/>
      <c r="AG227" s="464"/>
      <c r="AH227" s="464"/>
      <c r="AI227" s="464"/>
      <c r="AJ227" s="464"/>
    </row>
    <row r="228" spans="1:36" ht="15.75" customHeight="1">
      <c r="A228" s="463"/>
      <c r="B228" s="464"/>
      <c r="C228" s="464"/>
      <c r="D228" s="464"/>
      <c r="E228" s="464"/>
      <c r="F228" s="464"/>
      <c r="G228" s="464"/>
      <c r="H228" s="464"/>
      <c r="I228" s="464"/>
      <c r="J228" s="464"/>
      <c r="K228" s="464"/>
      <c r="L228" s="464"/>
      <c r="M228" s="464"/>
      <c r="N228" s="464"/>
      <c r="O228" s="464"/>
      <c r="P228" s="464"/>
      <c r="Q228" s="464"/>
      <c r="R228" s="464"/>
      <c r="S228" s="464"/>
      <c r="T228" s="464"/>
      <c r="U228" s="464"/>
      <c r="V228" s="464"/>
      <c r="W228" s="464"/>
      <c r="X228" s="464"/>
      <c r="Y228" s="464"/>
      <c r="Z228" s="464"/>
      <c r="AA228" s="464"/>
      <c r="AB228" s="464"/>
      <c r="AC228" s="464"/>
      <c r="AD228" s="464"/>
      <c r="AE228" s="464"/>
      <c r="AF228" s="464"/>
      <c r="AG228" s="464"/>
      <c r="AH228" s="464"/>
      <c r="AI228" s="464"/>
      <c r="AJ228" s="464"/>
    </row>
    <row r="229" spans="1:36" ht="15.75" customHeight="1">
      <c r="A229" s="463"/>
      <c r="B229" s="464"/>
      <c r="C229" s="464"/>
      <c r="D229" s="464"/>
      <c r="E229" s="464"/>
      <c r="F229" s="464"/>
      <c r="G229" s="464"/>
      <c r="H229" s="464"/>
      <c r="I229" s="464"/>
      <c r="J229" s="464"/>
      <c r="K229" s="464"/>
      <c r="L229" s="464"/>
      <c r="M229" s="464"/>
      <c r="N229" s="464"/>
      <c r="O229" s="464"/>
      <c r="P229" s="464"/>
      <c r="Q229" s="464"/>
      <c r="R229" s="464"/>
      <c r="S229" s="464"/>
      <c r="T229" s="464"/>
      <c r="U229" s="464"/>
      <c r="V229" s="464"/>
      <c r="W229" s="464"/>
      <c r="X229" s="464"/>
      <c r="Y229" s="464"/>
      <c r="Z229" s="464"/>
      <c r="AA229" s="464"/>
      <c r="AB229" s="464"/>
      <c r="AC229" s="464"/>
      <c r="AD229" s="464"/>
      <c r="AE229" s="464"/>
      <c r="AF229" s="464"/>
      <c r="AG229" s="464"/>
      <c r="AH229" s="464"/>
      <c r="AI229" s="464"/>
      <c r="AJ229" s="464"/>
    </row>
    <row r="230" spans="1:36" ht="15.75" customHeight="1">
      <c r="A230" s="463"/>
      <c r="B230" s="464"/>
      <c r="C230" s="464"/>
      <c r="D230" s="464"/>
      <c r="E230" s="464"/>
      <c r="F230" s="464"/>
      <c r="G230" s="464"/>
      <c r="H230" s="464"/>
      <c r="I230" s="464"/>
      <c r="J230" s="464"/>
      <c r="K230" s="464"/>
      <c r="L230" s="464"/>
      <c r="M230" s="464"/>
      <c r="N230" s="464"/>
      <c r="O230" s="464"/>
      <c r="P230" s="464"/>
      <c r="Q230" s="464"/>
      <c r="R230" s="464"/>
      <c r="S230" s="464"/>
      <c r="T230" s="464"/>
      <c r="U230" s="464"/>
      <c r="V230" s="464"/>
      <c r="W230" s="464"/>
      <c r="X230" s="464"/>
      <c r="Y230" s="464"/>
      <c r="Z230" s="464"/>
      <c r="AA230" s="464"/>
      <c r="AB230" s="464"/>
      <c r="AC230" s="464"/>
      <c r="AD230" s="464"/>
      <c r="AE230" s="464"/>
      <c r="AF230" s="464"/>
      <c r="AG230" s="464"/>
      <c r="AH230" s="464"/>
      <c r="AI230" s="464"/>
      <c r="AJ230" s="464"/>
    </row>
    <row r="231" spans="1:36" ht="15.75" customHeight="1">
      <c r="A231" s="463"/>
      <c r="B231" s="464"/>
      <c r="C231" s="464"/>
      <c r="D231" s="464"/>
      <c r="E231" s="464"/>
      <c r="F231" s="464"/>
      <c r="G231" s="464"/>
      <c r="H231" s="464"/>
      <c r="I231" s="464"/>
      <c r="J231" s="464"/>
      <c r="K231" s="464"/>
      <c r="L231" s="464"/>
      <c r="M231" s="464"/>
      <c r="N231" s="464"/>
      <c r="O231" s="464"/>
      <c r="P231" s="464"/>
      <c r="Q231" s="464"/>
      <c r="R231" s="464"/>
      <c r="S231" s="464"/>
      <c r="T231" s="464"/>
      <c r="U231" s="464"/>
      <c r="V231" s="464"/>
      <c r="W231" s="464"/>
      <c r="X231" s="464"/>
      <c r="Y231" s="464"/>
      <c r="Z231" s="464"/>
      <c r="AA231" s="464"/>
      <c r="AB231" s="464"/>
      <c r="AC231" s="464"/>
      <c r="AD231" s="464"/>
      <c r="AE231" s="464"/>
      <c r="AF231" s="464"/>
      <c r="AG231" s="464"/>
      <c r="AH231" s="464"/>
      <c r="AI231" s="464"/>
      <c r="AJ231" s="464"/>
    </row>
    <row r="232" spans="1:36" ht="15.75" customHeight="1">
      <c r="A232" s="463"/>
      <c r="B232" s="464"/>
      <c r="C232" s="464"/>
      <c r="D232" s="464"/>
      <c r="E232" s="464"/>
      <c r="F232" s="464"/>
      <c r="G232" s="464"/>
      <c r="H232" s="464"/>
      <c r="I232" s="464"/>
      <c r="J232" s="464"/>
      <c r="K232" s="464"/>
      <c r="L232" s="464"/>
      <c r="M232" s="464"/>
      <c r="N232" s="464"/>
      <c r="O232" s="464"/>
      <c r="P232" s="464"/>
      <c r="Q232" s="464"/>
      <c r="R232" s="464"/>
      <c r="S232" s="464"/>
      <c r="T232" s="464"/>
      <c r="U232" s="464"/>
      <c r="V232" s="464"/>
      <c r="W232" s="464"/>
      <c r="X232" s="464"/>
      <c r="Y232" s="464"/>
      <c r="Z232" s="464"/>
      <c r="AA232" s="464"/>
      <c r="AB232" s="464"/>
      <c r="AC232" s="464"/>
      <c r="AD232" s="464"/>
      <c r="AE232" s="464"/>
      <c r="AF232" s="464"/>
      <c r="AG232" s="464"/>
      <c r="AH232" s="464"/>
      <c r="AI232" s="464"/>
      <c r="AJ232" s="464"/>
    </row>
    <row r="233" spans="1:36" ht="15.75" customHeight="1">
      <c r="A233" s="463"/>
      <c r="B233" s="464"/>
      <c r="C233" s="464"/>
      <c r="D233" s="464"/>
      <c r="E233" s="464"/>
      <c r="F233" s="464"/>
      <c r="G233" s="464"/>
      <c r="H233" s="464"/>
      <c r="I233" s="464"/>
      <c r="J233" s="464"/>
      <c r="K233" s="464"/>
      <c r="L233" s="464"/>
      <c r="M233" s="464"/>
      <c r="N233" s="464"/>
      <c r="O233" s="464"/>
      <c r="P233" s="464"/>
      <c r="Q233" s="464"/>
      <c r="R233" s="464"/>
      <c r="S233" s="464"/>
      <c r="T233" s="464"/>
      <c r="U233" s="464"/>
      <c r="V233" s="464"/>
      <c r="W233" s="464"/>
      <c r="X233" s="464"/>
      <c r="Y233" s="464"/>
      <c r="Z233" s="464"/>
      <c r="AA233" s="464"/>
      <c r="AB233" s="464"/>
      <c r="AC233" s="464"/>
      <c r="AD233" s="464"/>
      <c r="AE233" s="464"/>
      <c r="AF233" s="464"/>
      <c r="AG233" s="464"/>
      <c r="AH233" s="464"/>
      <c r="AI233" s="464"/>
      <c r="AJ233" s="464"/>
    </row>
    <row r="234" spans="1:36" ht="15.75" customHeight="1">
      <c r="A234" s="463"/>
      <c r="B234" s="464"/>
      <c r="C234" s="464"/>
      <c r="D234" s="464"/>
      <c r="E234" s="464"/>
      <c r="F234" s="464"/>
      <c r="G234" s="464"/>
      <c r="H234" s="464"/>
      <c r="I234" s="464"/>
      <c r="J234" s="464"/>
      <c r="K234" s="464"/>
      <c r="L234" s="464"/>
      <c r="M234" s="464"/>
      <c r="N234" s="464"/>
      <c r="O234" s="464"/>
      <c r="P234" s="464"/>
      <c r="Q234" s="464"/>
      <c r="R234" s="464"/>
      <c r="S234" s="464"/>
      <c r="T234" s="464"/>
      <c r="U234" s="464"/>
      <c r="V234" s="464"/>
      <c r="W234" s="464"/>
      <c r="X234" s="464"/>
      <c r="Y234" s="464"/>
      <c r="Z234" s="464"/>
      <c r="AA234" s="464"/>
      <c r="AB234" s="464"/>
      <c r="AC234" s="464"/>
      <c r="AD234" s="464"/>
      <c r="AE234" s="464"/>
      <c r="AF234" s="464"/>
      <c r="AG234" s="464"/>
      <c r="AH234" s="464"/>
      <c r="AI234" s="464"/>
      <c r="AJ234" s="464"/>
    </row>
    <row r="235" spans="1:36" ht="15.75" customHeight="1">
      <c r="A235" s="463"/>
      <c r="B235" s="464"/>
      <c r="C235" s="464"/>
      <c r="D235" s="464"/>
      <c r="E235" s="464"/>
      <c r="F235" s="464"/>
      <c r="G235" s="464"/>
      <c r="H235" s="464"/>
      <c r="I235" s="464"/>
      <c r="J235" s="464"/>
      <c r="K235" s="464"/>
      <c r="L235" s="464"/>
      <c r="M235" s="464"/>
      <c r="N235" s="464"/>
      <c r="O235" s="464"/>
      <c r="P235" s="464"/>
      <c r="Q235" s="464"/>
      <c r="R235" s="464"/>
      <c r="S235" s="464"/>
      <c r="T235" s="464"/>
      <c r="U235" s="464"/>
      <c r="V235" s="464"/>
      <c r="W235" s="464"/>
      <c r="X235" s="464"/>
      <c r="Y235" s="464"/>
      <c r="Z235" s="464"/>
      <c r="AA235" s="464"/>
      <c r="AB235" s="464"/>
      <c r="AC235" s="464"/>
      <c r="AD235" s="464"/>
      <c r="AE235" s="464"/>
      <c r="AF235" s="464"/>
      <c r="AG235" s="464"/>
      <c r="AH235" s="464"/>
      <c r="AI235" s="464"/>
      <c r="AJ235" s="464"/>
    </row>
    <row r="236" spans="1:36" ht="15.75" customHeight="1">
      <c r="A236" s="463"/>
      <c r="B236" s="464"/>
      <c r="C236" s="464"/>
      <c r="D236" s="464"/>
      <c r="E236" s="464"/>
      <c r="F236" s="464"/>
      <c r="G236" s="464"/>
      <c r="H236" s="464"/>
      <c r="I236" s="464"/>
      <c r="J236" s="464"/>
      <c r="K236" s="464"/>
      <c r="L236" s="464"/>
      <c r="M236" s="464"/>
      <c r="N236" s="464"/>
      <c r="O236" s="464"/>
      <c r="P236" s="464"/>
      <c r="Q236" s="464"/>
      <c r="R236" s="464"/>
      <c r="S236" s="464"/>
      <c r="T236" s="464"/>
      <c r="U236" s="464"/>
      <c r="V236" s="464"/>
      <c r="W236" s="464"/>
      <c r="X236" s="464"/>
      <c r="Y236" s="464"/>
      <c r="Z236" s="464"/>
      <c r="AA236" s="464"/>
      <c r="AB236" s="464"/>
      <c r="AC236" s="464"/>
      <c r="AD236" s="464"/>
      <c r="AE236" s="464"/>
      <c r="AF236" s="464"/>
      <c r="AG236" s="464"/>
      <c r="AH236" s="464"/>
      <c r="AI236" s="464"/>
      <c r="AJ236" s="464"/>
    </row>
    <row r="237" spans="1:36" ht="15.75" customHeight="1">
      <c r="A237" s="463"/>
      <c r="B237" s="464"/>
      <c r="C237" s="464"/>
      <c r="D237" s="464"/>
      <c r="E237" s="464"/>
      <c r="F237" s="464"/>
      <c r="G237" s="464"/>
      <c r="H237" s="464"/>
      <c r="I237" s="464"/>
      <c r="J237" s="464"/>
      <c r="K237" s="464"/>
      <c r="L237" s="464"/>
      <c r="M237" s="464"/>
      <c r="N237" s="464"/>
      <c r="O237" s="464"/>
      <c r="P237" s="464"/>
      <c r="Q237" s="464"/>
      <c r="R237" s="464"/>
      <c r="S237" s="464"/>
      <c r="T237" s="464"/>
      <c r="U237" s="464"/>
      <c r="V237" s="464"/>
      <c r="W237" s="464"/>
      <c r="X237" s="464"/>
      <c r="Y237" s="464"/>
      <c r="Z237" s="464"/>
      <c r="AA237" s="464"/>
      <c r="AB237" s="464"/>
      <c r="AC237" s="464"/>
      <c r="AD237" s="464"/>
      <c r="AE237" s="464"/>
      <c r="AF237" s="464"/>
      <c r="AG237" s="464"/>
      <c r="AH237" s="464"/>
      <c r="AI237" s="464"/>
      <c r="AJ237" s="464"/>
    </row>
    <row r="238" spans="1:36" ht="15.75" customHeight="1">
      <c r="A238" s="463"/>
      <c r="B238" s="464"/>
      <c r="C238" s="464"/>
      <c r="D238" s="464"/>
      <c r="E238" s="464"/>
      <c r="F238" s="464"/>
      <c r="G238" s="464"/>
      <c r="H238" s="464"/>
      <c r="I238" s="464"/>
      <c r="J238" s="464"/>
      <c r="K238" s="464"/>
      <c r="L238" s="464"/>
      <c r="M238" s="464"/>
      <c r="N238" s="464"/>
      <c r="O238" s="464"/>
      <c r="P238" s="464"/>
      <c r="Q238" s="464"/>
      <c r="R238" s="464"/>
      <c r="S238" s="464"/>
      <c r="T238" s="464"/>
      <c r="U238" s="464"/>
      <c r="V238" s="464"/>
      <c r="W238" s="464"/>
      <c r="X238" s="464"/>
      <c r="Y238" s="464"/>
      <c r="Z238" s="464"/>
      <c r="AA238" s="464"/>
      <c r="AB238" s="464"/>
      <c r="AC238" s="464"/>
      <c r="AD238" s="464"/>
      <c r="AE238" s="464"/>
      <c r="AF238" s="464"/>
      <c r="AG238" s="464"/>
      <c r="AH238" s="464"/>
      <c r="AI238" s="464"/>
      <c r="AJ238" s="464"/>
    </row>
    <row r="239" spans="1:36" ht="15.75" customHeight="1">
      <c r="A239" s="463"/>
      <c r="B239" s="464"/>
      <c r="C239" s="464"/>
      <c r="D239" s="464"/>
      <c r="E239" s="464"/>
      <c r="F239" s="464"/>
      <c r="G239" s="464"/>
      <c r="H239" s="464"/>
      <c r="I239" s="464"/>
      <c r="J239" s="464"/>
      <c r="K239" s="464"/>
      <c r="L239" s="464"/>
      <c r="M239" s="464"/>
      <c r="N239" s="464"/>
      <c r="O239" s="464"/>
      <c r="P239" s="464"/>
      <c r="Q239" s="464"/>
      <c r="R239" s="464"/>
      <c r="S239" s="464"/>
      <c r="T239" s="464"/>
      <c r="U239" s="464"/>
      <c r="V239" s="464"/>
      <c r="W239" s="464"/>
      <c r="X239" s="464"/>
      <c r="Y239" s="464"/>
      <c r="Z239" s="464"/>
      <c r="AA239" s="464"/>
      <c r="AB239" s="464"/>
      <c r="AC239" s="464"/>
      <c r="AD239" s="464"/>
      <c r="AE239" s="464"/>
      <c r="AF239" s="464"/>
      <c r="AG239" s="464"/>
      <c r="AH239" s="464"/>
      <c r="AI239" s="464"/>
      <c r="AJ239" s="464"/>
    </row>
    <row r="240" spans="1:36" ht="15.75" customHeight="1">
      <c r="A240" s="463"/>
      <c r="B240" s="464"/>
      <c r="C240" s="464"/>
      <c r="D240" s="464"/>
      <c r="E240" s="464"/>
      <c r="F240" s="464"/>
      <c r="G240" s="464"/>
      <c r="H240" s="464"/>
      <c r="I240" s="464"/>
      <c r="J240" s="464"/>
      <c r="K240" s="464"/>
      <c r="L240" s="464"/>
      <c r="M240" s="464"/>
      <c r="N240" s="464"/>
      <c r="O240" s="464"/>
      <c r="P240" s="464"/>
      <c r="Q240" s="464"/>
      <c r="R240" s="464"/>
      <c r="S240" s="464"/>
      <c r="T240" s="464"/>
      <c r="U240" s="464"/>
      <c r="V240" s="464"/>
      <c r="W240" s="464"/>
      <c r="X240" s="464"/>
      <c r="Y240" s="464"/>
      <c r="Z240" s="464"/>
      <c r="AA240" s="464"/>
      <c r="AB240" s="464"/>
      <c r="AC240" s="464"/>
      <c r="AD240" s="464"/>
      <c r="AE240" s="464"/>
      <c r="AF240" s="464"/>
      <c r="AG240" s="464"/>
      <c r="AH240" s="464"/>
      <c r="AI240" s="464"/>
      <c r="AJ240" s="464"/>
    </row>
    <row r="241" spans="1:36" ht="15.75" customHeight="1">
      <c r="A241" s="463"/>
      <c r="B241" s="464"/>
      <c r="C241" s="464"/>
      <c r="D241" s="464"/>
      <c r="E241" s="464"/>
      <c r="F241" s="464"/>
      <c r="G241" s="464"/>
      <c r="H241" s="464"/>
      <c r="I241" s="464"/>
      <c r="J241" s="464"/>
      <c r="K241" s="464"/>
      <c r="L241" s="464"/>
      <c r="M241" s="464"/>
      <c r="N241" s="464"/>
      <c r="O241" s="464"/>
      <c r="P241" s="464"/>
      <c r="Q241" s="464"/>
      <c r="R241" s="464"/>
      <c r="S241" s="464"/>
      <c r="T241" s="464"/>
      <c r="U241" s="464"/>
      <c r="V241" s="464"/>
      <c r="W241" s="464"/>
      <c r="X241" s="464"/>
      <c r="Y241" s="464"/>
      <c r="Z241" s="464"/>
      <c r="AA241" s="464"/>
      <c r="AB241" s="464"/>
      <c r="AC241" s="464"/>
      <c r="AD241" s="464"/>
      <c r="AE241" s="464"/>
      <c r="AF241" s="464"/>
      <c r="AG241" s="464"/>
      <c r="AH241" s="464"/>
      <c r="AI241" s="464"/>
      <c r="AJ241" s="464"/>
    </row>
    <row r="242" spans="1:36" ht="15.75" customHeight="1">
      <c r="A242" s="463"/>
      <c r="B242" s="464"/>
      <c r="C242" s="464"/>
      <c r="D242" s="464"/>
      <c r="E242" s="464"/>
      <c r="F242" s="464"/>
      <c r="G242" s="464"/>
      <c r="H242" s="464"/>
      <c r="I242" s="464"/>
      <c r="J242" s="464"/>
      <c r="K242" s="464"/>
      <c r="L242" s="464"/>
      <c r="M242" s="464"/>
      <c r="N242" s="464"/>
      <c r="O242" s="464"/>
      <c r="P242" s="464"/>
      <c r="Q242" s="464"/>
      <c r="R242" s="464"/>
      <c r="S242" s="464"/>
      <c r="T242" s="464"/>
      <c r="U242" s="464"/>
      <c r="V242" s="464"/>
      <c r="W242" s="464"/>
      <c r="X242" s="464"/>
      <c r="Y242" s="464"/>
      <c r="Z242" s="464"/>
      <c r="AA242" s="464"/>
      <c r="AB242" s="464"/>
      <c r="AC242" s="464"/>
      <c r="AD242" s="464"/>
      <c r="AE242" s="464"/>
      <c r="AF242" s="464"/>
      <c r="AG242" s="464"/>
      <c r="AH242" s="464"/>
      <c r="AI242" s="464"/>
      <c r="AJ242" s="464"/>
    </row>
    <row r="243" spans="1:36" ht="15.75" customHeight="1">
      <c r="A243" s="463"/>
      <c r="B243" s="464"/>
      <c r="C243" s="464"/>
      <c r="D243" s="464"/>
      <c r="E243" s="464"/>
      <c r="F243" s="464"/>
      <c r="G243" s="464"/>
      <c r="H243" s="464"/>
      <c r="I243" s="464"/>
      <c r="J243" s="464"/>
      <c r="K243" s="464"/>
      <c r="L243" s="464"/>
      <c r="M243" s="464"/>
      <c r="N243" s="464"/>
      <c r="O243" s="464"/>
      <c r="P243" s="464"/>
      <c r="Q243" s="464"/>
      <c r="R243" s="464"/>
      <c r="S243" s="464"/>
      <c r="T243" s="464"/>
      <c r="U243" s="464"/>
      <c r="V243" s="464"/>
      <c r="W243" s="464"/>
      <c r="X243" s="464"/>
      <c r="Y243" s="464"/>
      <c r="Z243" s="464"/>
      <c r="AA243" s="464"/>
      <c r="AB243" s="464"/>
      <c r="AC243" s="464"/>
      <c r="AD243" s="464"/>
      <c r="AE243" s="464"/>
      <c r="AF243" s="464"/>
      <c r="AG243" s="464"/>
      <c r="AH243" s="464"/>
      <c r="AI243" s="464"/>
      <c r="AJ243" s="464"/>
    </row>
    <row r="244" spans="1:36" ht="15.75" customHeight="1">
      <c r="A244" s="463"/>
      <c r="B244" s="464"/>
      <c r="C244" s="464"/>
      <c r="D244" s="464"/>
      <c r="E244" s="464"/>
      <c r="F244" s="464"/>
      <c r="G244" s="464"/>
      <c r="H244" s="464"/>
      <c r="I244" s="464"/>
      <c r="J244" s="464"/>
      <c r="K244" s="464"/>
      <c r="L244" s="464"/>
      <c r="M244" s="464"/>
      <c r="N244" s="464"/>
      <c r="O244" s="464"/>
      <c r="P244" s="464"/>
      <c r="Q244" s="464"/>
      <c r="R244" s="464"/>
      <c r="S244" s="464"/>
      <c r="T244" s="464"/>
      <c r="U244" s="464"/>
      <c r="V244" s="464"/>
      <c r="W244" s="464"/>
      <c r="X244" s="464"/>
      <c r="Y244" s="464"/>
      <c r="Z244" s="464"/>
      <c r="AA244" s="464"/>
      <c r="AB244" s="464"/>
      <c r="AC244" s="464"/>
      <c r="AD244" s="464"/>
      <c r="AE244" s="464"/>
      <c r="AF244" s="464"/>
      <c r="AG244" s="464"/>
      <c r="AH244" s="464"/>
      <c r="AI244" s="464"/>
      <c r="AJ244" s="464"/>
    </row>
    <row r="245" spans="1:36" ht="15.75" customHeight="1">
      <c r="A245" s="463"/>
      <c r="B245" s="464"/>
      <c r="C245" s="464"/>
      <c r="D245" s="464"/>
      <c r="E245" s="464"/>
      <c r="F245" s="464"/>
      <c r="G245" s="464"/>
      <c r="H245" s="464"/>
      <c r="I245" s="464"/>
      <c r="J245" s="464"/>
      <c r="K245" s="464"/>
      <c r="L245" s="464"/>
      <c r="M245" s="464"/>
      <c r="N245" s="464"/>
      <c r="O245" s="464"/>
      <c r="P245" s="464"/>
      <c r="Q245" s="464"/>
      <c r="R245" s="464"/>
      <c r="S245" s="464"/>
      <c r="T245" s="464"/>
      <c r="U245" s="464"/>
      <c r="V245" s="464"/>
      <c r="W245" s="464"/>
      <c r="X245" s="464"/>
      <c r="Y245" s="464"/>
      <c r="Z245" s="464"/>
      <c r="AA245" s="464"/>
      <c r="AB245" s="464"/>
      <c r="AC245" s="464"/>
      <c r="AD245" s="464"/>
      <c r="AE245" s="464"/>
      <c r="AF245" s="464"/>
      <c r="AG245" s="464"/>
      <c r="AH245" s="464"/>
      <c r="AI245" s="464"/>
      <c r="AJ245" s="464"/>
    </row>
    <row r="246" spans="1:36" ht="15.75" customHeight="1">
      <c r="A246" s="463"/>
      <c r="B246" s="464"/>
      <c r="C246" s="464"/>
      <c r="D246" s="464"/>
      <c r="E246" s="464"/>
      <c r="F246" s="464"/>
      <c r="G246" s="464"/>
      <c r="H246" s="464"/>
      <c r="I246" s="464"/>
      <c r="J246" s="464"/>
      <c r="K246" s="464"/>
      <c r="L246" s="464"/>
      <c r="M246" s="464"/>
      <c r="N246" s="464"/>
      <c r="O246" s="464"/>
      <c r="P246" s="464"/>
      <c r="Q246" s="464"/>
      <c r="R246" s="464"/>
      <c r="S246" s="464"/>
      <c r="T246" s="464"/>
      <c r="U246" s="464"/>
      <c r="V246" s="464"/>
      <c r="W246" s="464"/>
      <c r="X246" s="464"/>
      <c r="Y246" s="464"/>
      <c r="Z246" s="464"/>
      <c r="AA246" s="464"/>
      <c r="AB246" s="464"/>
      <c r="AC246" s="464"/>
      <c r="AD246" s="464"/>
      <c r="AE246" s="464"/>
      <c r="AF246" s="464"/>
      <c r="AG246" s="464"/>
      <c r="AH246" s="464"/>
      <c r="AI246" s="464"/>
      <c r="AJ246" s="464"/>
    </row>
    <row r="247" spans="1:36" ht="15.75" customHeight="1">
      <c r="A247" s="463"/>
      <c r="B247" s="464"/>
      <c r="C247" s="464"/>
      <c r="D247" s="464"/>
      <c r="E247" s="464"/>
      <c r="F247" s="464"/>
      <c r="G247" s="464"/>
      <c r="H247" s="464"/>
      <c r="I247" s="464"/>
      <c r="J247" s="464"/>
      <c r="K247" s="464"/>
      <c r="L247" s="464"/>
      <c r="M247" s="464"/>
      <c r="N247" s="464"/>
      <c r="O247" s="464"/>
      <c r="P247" s="464"/>
      <c r="Q247" s="464"/>
      <c r="R247" s="464"/>
      <c r="S247" s="464"/>
      <c r="T247" s="464"/>
      <c r="U247" s="464"/>
      <c r="V247" s="464"/>
      <c r="W247" s="464"/>
      <c r="X247" s="464"/>
      <c r="Y247" s="464"/>
      <c r="Z247" s="464"/>
      <c r="AA247" s="464"/>
      <c r="AB247" s="464"/>
      <c r="AC247" s="464"/>
      <c r="AD247" s="464"/>
      <c r="AE247" s="464"/>
      <c r="AF247" s="464"/>
      <c r="AG247" s="464"/>
      <c r="AH247" s="464"/>
      <c r="AI247" s="464"/>
      <c r="AJ247" s="464"/>
    </row>
    <row r="248" spans="1:36" ht="15.75" customHeight="1">
      <c r="A248" s="463"/>
      <c r="B248" s="464"/>
      <c r="C248" s="464"/>
      <c r="D248" s="464"/>
      <c r="E248" s="464"/>
      <c r="F248" s="464"/>
      <c r="G248" s="464"/>
      <c r="H248" s="464"/>
      <c r="I248" s="464"/>
      <c r="J248" s="464"/>
      <c r="K248" s="464"/>
      <c r="L248" s="464"/>
      <c r="M248" s="464"/>
      <c r="N248" s="464"/>
      <c r="O248" s="464"/>
      <c r="P248" s="464"/>
      <c r="Q248" s="464"/>
      <c r="R248" s="464"/>
      <c r="S248" s="464"/>
      <c r="T248" s="464"/>
      <c r="U248" s="464"/>
      <c r="V248" s="464"/>
      <c r="W248" s="464"/>
      <c r="X248" s="464"/>
      <c r="Y248" s="464"/>
      <c r="Z248" s="464"/>
      <c r="AA248" s="464"/>
      <c r="AB248" s="464"/>
      <c r="AC248" s="464"/>
      <c r="AD248" s="464"/>
      <c r="AE248" s="464"/>
      <c r="AF248" s="464"/>
      <c r="AG248" s="464"/>
      <c r="AH248" s="464"/>
      <c r="AI248" s="464"/>
      <c r="AJ248" s="464"/>
    </row>
    <row r="249" spans="1:36" ht="15.75" customHeight="1"/>
    <row r="250" spans="1:36" ht="15.75" customHeight="1"/>
    <row r="251" spans="1:36" ht="15.75" customHeight="1"/>
    <row r="252" spans="1:36" ht="15.75" customHeight="1"/>
    <row r="253" spans="1:36" ht="15.75" customHeight="1"/>
    <row r="254" spans="1:36" ht="15.75" customHeight="1"/>
    <row r="255" spans="1:36" ht="15.75" customHeight="1"/>
    <row r="256" spans="1:3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I31:J31"/>
    <mergeCell ref="K31:L31"/>
    <mergeCell ref="M31:N31"/>
    <mergeCell ref="C21:E21"/>
    <mergeCell ref="F21:H21"/>
    <mergeCell ref="C31:D31"/>
    <mergeCell ref="E31:F31"/>
    <mergeCell ref="G31:H31"/>
  </mergeCells>
  <pageMargins left="0.70866141732283472" right="0.70866141732283472" top="0.78740157480314965" bottom="0.78740157480314965"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J1000"/>
  <sheetViews>
    <sheetView topLeftCell="A16" workbookViewId="0">
      <selection activeCell="H41" sqref="H41"/>
    </sheetView>
  </sheetViews>
  <sheetFormatPr baseColWidth="10" defaultColWidth="14.33203125" defaultRowHeight="15" customHeight="1"/>
  <cols>
    <col min="1" max="1" width="15.5546875" customWidth="1"/>
    <col min="2" max="2" width="27.6640625" customWidth="1"/>
    <col min="3" max="3" width="20.33203125" customWidth="1"/>
    <col min="4" max="17" width="15.33203125" customWidth="1"/>
    <col min="18" max="36" width="11.33203125" customWidth="1"/>
  </cols>
  <sheetData>
    <row r="1" spans="1:36" ht="15.75" customHeight="1">
      <c r="A1" s="461"/>
      <c r="B1" s="462"/>
      <c r="C1" s="462"/>
      <c r="D1" s="462"/>
      <c r="E1" s="462"/>
      <c r="F1" s="462"/>
      <c r="G1" s="462"/>
      <c r="H1" s="462"/>
      <c r="I1" s="462"/>
      <c r="J1" s="462"/>
      <c r="K1" s="462"/>
      <c r="L1" s="462"/>
      <c r="M1" s="462"/>
      <c r="N1" s="462"/>
      <c r="O1" s="462"/>
      <c r="P1" s="462"/>
      <c r="Q1" s="462"/>
      <c r="R1" s="462"/>
      <c r="S1" s="462"/>
      <c r="T1" s="462"/>
      <c r="U1" s="462"/>
      <c r="V1" s="462"/>
      <c r="W1" s="462"/>
      <c r="X1" s="462"/>
      <c r="Y1" s="462"/>
      <c r="Z1" s="462"/>
      <c r="AA1" s="462"/>
      <c r="AB1" s="462"/>
      <c r="AC1" s="462"/>
      <c r="AD1" s="462"/>
      <c r="AE1" s="462"/>
      <c r="AF1" s="462"/>
      <c r="AG1" s="462"/>
      <c r="AH1" s="462"/>
      <c r="AI1" s="462"/>
      <c r="AJ1" s="462"/>
    </row>
    <row r="2" spans="1:36" ht="15.75" customHeight="1">
      <c r="A2" s="463"/>
      <c r="B2" s="464"/>
      <c r="C2" s="464"/>
      <c r="D2" s="464"/>
      <c r="E2" s="464"/>
      <c r="F2" s="464"/>
      <c r="G2" s="464"/>
      <c r="H2" s="464"/>
      <c r="I2" s="464"/>
      <c r="J2" s="464"/>
      <c r="K2" s="464"/>
      <c r="L2" s="464"/>
      <c r="M2" s="464"/>
      <c r="N2" s="464"/>
      <c r="O2" s="464"/>
      <c r="P2" s="464"/>
      <c r="Q2" s="464"/>
      <c r="R2" s="464"/>
      <c r="S2" s="464"/>
      <c r="T2" s="464"/>
      <c r="U2" s="464"/>
      <c r="V2" s="464"/>
      <c r="W2" s="464"/>
      <c r="X2" s="464"/>
      <c r="Y2" s="464"/>
      <c r="Z2" s="464"/>
      <c r="AA2" s="464"/>
      <c r="AB2" s="464"/>
      <c r="AC2" s="464"/>
      <c r="AD2" s="464"/>
      <c r="AE2" s="464"/>
      <c r="AF2" s="464"/>
      <c r="AG2" s="464"/>
      <c r="AH2" s="464"/>
      <c r="AI2" s="464"/>
      <c r="AJ2" s="464"/>
    </row>
    <row r="3" spans="1:36" ht="15.75" customHeight="1">
      <c r="A3" s="465"/>
      <c r="B3" s="462" t="s">
        <v>3633</v>
      </c>
      <c r="C3" s="462" t="s">
        <v>3634</v>
      </c>
      <c r="D3" s="466">
        <v>250000</v>
      </c>
      <c r="E3" s="466">
        <v>500000</v>
      </c>
      <c r="F3" s="466">
        <v>1000000</v>
      </c>
      <c r="G3" s="466">
        <v>1500000</v>
      </c>
      <c r="H3" s="466">
        <v>2000000</v>
      </c>
      <c r="I3" s="466">
        <v>2500000</v>
      </c>
      <c r="J3" s="466">
        <v>3000000</v>
      </c>
      <c r="K3" s="466">
        <v>4000000</v>
      </c>
      <c r="L3" s="466">
        <v>5000000</v>
      </c>
      <c r="M3" s="466">
        <v>7500000</v>
      </c>
      <c r="N3" s="466">
        <v>10000000</v>
      </c>
      <c r="O3" s="466">
        <v>12500000</v>
      </c>
      <c r="P3" s="466">
        <v>15000000</v>
      </c>
      <c r="Q3" s="466">
        <v>20000000</v>
      </c>
      <c r="R3" s="466">
        <v>25000000</v>
      </c>
      <c r="S3" s="464"/>
      <c r="T3" s="464"/>
      <c r="U3" s="464"/>
      <c r="V3" s="464"/>
      <c r="W3" s="464"/>
      <c r="X3" s="464"/>
      <c r="Y3" s="464"/>
      <c r="Z3" s="464"/>
      <c r="AA3" s="464"/>
      <c r="AB3" s="464"/>
      <c r="AC3" s="464"/>
      <c r="AD3" s="464"/>
      <c r="AE3" s="464"/>
      <c r="AF3" s="464"/>
      <c r="AG3" s="464"/>
      <c r="AH3" s="464"/>
      <c r="AI3" s="464"/>
      <c r="AJ3" s="464"/>
    </row>
    <row r="4" spans="1:36" ht="15.75" customHeight="1">
      <c r="A4" s="465"/>
      <c r="B4" s="467" t="s">
        <v>3635</v>
      </c>
      <c r="C4" s="468">
        <v>0</v>
      </c>
      <c r="D4" s="469">
        <v>945</v>
      </c>
      <c r="E4" s="469">
        <v>1124.56</v>
      </c>
      <c r="F4" s="469">
        <v>1475.15</v>
      </c>
      <c r="G4" s="469">
        <v>2216.0300000000002</v>
      </c>
      <c r="H4" s="469">
        <v>2857.68</v>
      </c>
      <c r="I4" s="469">
        <v>3677.94</v>
      </c>
      <c r="J4" s="469">
        <v>4200.53</v>
      </c>
      <c r="K4" s="469">
        <v>5313</v>
      </c>
      <c r="L4" s="469">
        <v>6375.6</v>
      </c>
      <c r="M4" s="469">
        <v>8607.06</v>
      </c>
      <c r="N4" s="469">
        <v>11675.66</v>
      </c>
      <c r="O4" s="470"/>
      <c r="P4" s="470"/>
      <c r="Q4" s="470"/>
      <c r="R4" s="470"/>
      <c r="S4" s="464"/>
      <c r="T4" s="464"/>
      <c r="U4" s="464"/>
      <c r="V4" s="464"/>
      <c r="W4" s="464"/>
      <c r="X4" s="464"/>
      <c r="Y4" s="464"/>
      <c r="Z4" s="464"/>
      <c r="AA4" s="464"/>
      <c r="AB4" s="464"/>
      <c r="AC4" s="464"/>
      <c r="AD4" s="464"/>
      <c r="AE4" s="464"/>
      <c r="AF4" s="464"/>
      <c r="AG4" s="464"/>
      <c r="AH4" s="464"/>
      <c r="AI4" s="464"/>
      <c r="AJ4" s="464"/>
    </row>
    <row r="5" spans="1:36" ht="15.75" customHeight="1">
      <c r="A5" s="465"/>
      <c r="B5" s="467" t="s">
        <v>3636</v>
      </c>
      <c r="C5" s="468">
        <v>5000000</v>
      </c>
      <c r="D5" s="470"/>
      <c r="E5" s="469">
        <v>1124.56</v>
      </c>
      <c r="F5" s="469">
        <v>1475.15</v>
      </c>
      <c r="G5" s="469">
        <v>2216.0300000000002</v>
      </c>
      <c r="H5" s="469">
        <v>2857.68</v>
      </c>
      <c r="I5" s="469">
        <v>3677.94</v>
      </c>
      <c r="J5" s="469">
        <v>4200.53</v>
      </c>
      <c r="K5" s="469">
        <v>5313</v>
      </c>
      <c r="L5" s="469">
        <v>6375.6</v>
      </c>
      <c r="M5" s="469">
        <v>8607.06</v>
      </c>
      <c r="N5" s="469">
        <v>11675.66</v>
      </c>
      <c r="O5" s="470"/>
      <c r="P5" s="470"/>
      <c r="Q5" s="470"/>
      <c r="R5" s="470"/>
      <c r="S5" s="464"/>
      <c r="T5" s="464"/>
      <c r="U5" s="464"/>
      <c r="V5" s="464"/>
      <c r="W5" s="464"/>
      <c r="X5" s="464"/>
      <c r="Y5" s="464"/>
      <c r="Z5" s="464"/>
      <c r="AA5" s="464"/>
      <c r="AB5" s="464"/>
      <c r="AC5" s="464"/>
      <c r="AD5" s="464"/>
      <c r="AE5" s="464"/>
      <c r="AF5" s="464"/>
      <c r="AG5" s="464"/>
      <c r="AH5" s="464"/>
      <c r="AI5" s="464"/>
      <c r="AJ5" s="464"/>
    </row>
    <row r="6" spans="1:36" ht="15.75" customHeight="1">
      <c r="A6" s="465"/>
      <c r="B6" s="467" t="s">
        <v>3637</v>
      </c>
      <c r="C6" s="468">
        <v>50000000</v>
      </c>
      <c r="D6" s="470"/>
      <c r="E6" s="469">
        <v>1256.8599999999999</v>
      </c>
      <c r="F6" s="469">
        <v>1739.75</v>
      </c>
      <c r="G6" s="469">
        <v>2612.9299999999998</v>
      </c>
      <c r="H6" s="469">
        <v>3134.88</v>
      </c>
      <c r="I6" s="469">
        <v>4352.68</v>
      </c>
      <c r="J6" s="469">
        <v>4961.26</v>
      </c>
      <c r="K6" s="469">
        <v>6230.7</v>
      </c>
      <c r="L6" s="469">
        <v>7534.8</v>
      </c>
      <c r="M6" s="469">
        <v>9748.8700000000008</v>
      </c>
      <c r="N6" s="469">
        <v>13415.22</v>
      </c>
      <c r="O6" s="470"/>
      <c r="P6" s="470"/>
      <c r="Q6" s="470"/>
      <c r="R6" s="470"/>
      <c r="S6" s="464"/>
      <c r="T6" s="464"/>
      <c r="U6" s="464"/>
      <c r="V6" s="464"/>
      <c r="W6" s="464"/>
      <c r="X6" s="464"/>
      <c r="Y6" s="464"/>
      <c r="Z6" s="464"/>
      <c r="AA6" s="464"/>
      <c r="AB6" s="464"/>
      <c r="AC6" s="464"/>
      <c r="AD6" s="464"/>
      <c r="AE6" s="464"/>
      <c r="AF6" s="464"/>
      <c r="AG6" s="464"/>
      <c r="AH6" s="464"/>
      <c r="AI6" s="464"/>
      <c r="AJ6" s="464"/>
    </row>
    <row r="7" spans="1:36" ht="15.75" customHeight="1">
      <c r="A7" s="465"/>
      <c r="B7" s="467" t="s">
        <v>3638</v>
      </c>
      <c r="C7" s="468">
        <v>100000000</v>
      </c>
      <c r="D7" s="470"/>
      <c r="E7" s="469">
        <v>1567.75</v>
      </c>
      <c r="F7" s="469">
        <v>2447.56</v>
      </c>
      <c r="G7" s="469">
        <v>3651.48</v>
      </c>
      <c r="H7" s="469">
        <v>4180.68</v>
      </c>
      <c r="I7" s="469">
        <v>5007.55</v>
      </c>
      <c r="J7" s="469">
        <v>5225.8599999999997</v>
      </c>
      <c r="K7" s="469">
        <v>6641.25</v>
      </c>
      <c r="L7" s="469">
        <v>8382.4699999999993</v>
      </c>
      <c r="M7" s="469">
        <v>11161.65</v>
      </c>
      <c r="N7" s="469">
        <v>14373.46</v>
      </c>
      <c r="O7" s="470"/>
      <c r="P7" s="470"/>
      <c r="Q7" s="470"/>
      <c r="R7" s="470"/>
      <c r="S7" s="464"/>
      <c r="T7" s="464"/>
      <c r="U7" s="464"/>
      <c r="V7" s="464"/>
      <c r="W7" s="464"/>
      <c r="X7" s="464"/>
      <c r="Y7" s="464"/>
      <c r="Z7" s="464"/>
      <c r="AA7" s="464"/>
      <c r="AB7" s="464"/>
      <c r="AC7" s="464"/>
      <c r="AD7" s="464"/>
      <c r="AE7" s="464"/>
      <c r="AF7" s="464"/>
      <c r="AG7" s="464"/>
      <c r="AH7" s="464"/>
      <c r="AI7" s="464"/>
      <c r="AJ7" s="464"/>
    </row>
    <row r="8" spans="1:36" ht="15.75" customHeight="1">
      <c r="A8" s="465"/>
      <c r="B8" s="467" t="s">
        <v>3639</v>
      </c>
      <c r="C8" s="468">
        <v>150000000</v>
      </c>
      <c r="D8" s="470"/>
      <c r="E8" s="470"/>
      <c r="F8" s="470"/>
      <c r="G8" s="470"/>
      <c r="H8" s="470"/>
      <c r="I8" s="470"/>
      <c r="J8" s="470"/>
      <c r="K8" s="470"/>
      <c r="L8" s="470"/>
      <c r="M8" s="470"/>
      <c r="N8" s="471">
        <v>11400</v>
      </c>
      <c r="O8" s="471">
        <v>13750</v>
      </c>
      <c r="P8" s="471">
        <v>15750</v>
      </c>
      <c r="Q8" s="471">
        <v>20000</v>
      </c>
      <c r="R8" s="471">
        <v>24000</v>
      </c>
      <c r="S8" s="464"/>
      <c r="T8" s="464"/>
      <c r="U8" s="464"/>
      <c r="V8" s="464"/>
      <c r="W8" s="464"/>
      <c r="X8" s="464"/>
      <c r="Y8" s="464"/>
      <c r="Z8" s="464"/>
      <c r="AA8" s="464"/>
      <c r="AB8" s="464"/>
      <c r="AC8" s="464"/>
      <c r="AD8" s="464"/>
      <c r="AE8" s="464"/>
      <c r="AF8" s="464"/>
      <c r="AG8" s="464"/>
      <c r="AH8" s="464"/>
      <c r="AI8" s="464"/>
      <c r="AJ8" s="464"/>
    </row>
    <row r="9" spans="1:36" ht="15.75" customHeight="1">
      <c r="A9" s="465"/>
      <c r="B9" s="467" t="s">
        <v>3640</v>
      </c>
      <c r="C9" s="468">
        <v>300000000</v>
      </c>
      <c r="D9" s="470"/>
      <c r="E9" s="470"/>
      <c r="F9" s="470"/>
      <c r="G9" s="470"/>
      <c r="H9" s="470"/>
      <c r="I9" s="470"/>
      <c r="J9" s="470"/>
      <c r="K9" s="470"/>
      <c r="L9" s="470"/>
      <c r="M9" s="470"/>
      <c r="N9" s="471">
        <v>12540.000000000002</v>
      </c>
      <c r="O9" s="471">
        <v>15125.000000000002</v>
      </c>
      <c r="P9" s="471">
        <v>17325</v>
      </c>
      <c r="Q9" s="471">
        <v>22000</v>
      </c>
      <c r="R9" s="471">
        <v>25200</v>
      </c>
      <c r="S9" s="464"/>
      <c r="T9" s="464"/>
      <c r="U9" s="464"/>
      <c r="V9" s="464"/>
      <c r="W9" s="464"/>
      <c r="X9" s="464"/>
      <c r="Y9" s="464"/>
      <c r="Z9" s="464"/>
      <c r="AA9" s="464"/>
      <c r="AB9" s="464"/>
      <c r="AC9" s="464"/>
      <c r="AD9" s="464"/>
      <c r="AE9" s="464"/>
      <c r="AF9" s="464"/>
      <c r="AG9" s="464"/>
      <c r="AH9" s="464"/>
      <c r="AI9" s="464"/>
      <c r="AJ9" s="464"/>
    </row>
    <row r="10" spans="1:36" ht="15.75" customHeight="1">
      <c r="A10" s="465"/>
      <c r="B10" s="467" t="s">
        <v>3641</v>
      </c>
      <c r="C10" s="468">
        <v>450000000</v>
      </c>
      <c r="D10" s="470"/>
      <c r="E10" s="470"/>
      <c r="F10" s="470"/>
      <c r="G10" s="470"/>
      <c r="H10" s="470"/>
      <c r="I10" s="470"/>
      <c r="J10" s="470"/>
      <c r="K10" s="470"/>
      <c r="L10" s="470"/>
      <c r="M10" s="470"/>
      <c r="N10" s="471">
        <v>13790</v>
      </c>
      <c r="O10" s="471">
        <v>16150</v>
      </c>
      <c r="P10" s="471">
        <v>18900</v>
      </c>
      <c r="Q10" s="471">
        <v>24000</v>
      </c>
      <c r="R10" s="471">
        <v>26460</v>
      </c>
      <c r="S10" s="464"/>
      <c r="T10" s="464"/>
      <c r="U10" s="464"/>
      <c r="V10" s="464"/>
      <c r="W10" s="464"/>
      <c r="X10" s="464"/>
      <c r="Y10" s="464"/>
      <c r="Z10" s="464"/>
      <c r="AA10" s="464"/>
      <c r="AB10" s="464"/>
      <c r="AC10" s="464"/>
      <c r="AD10" s="464"/>
      <c r="AE10" s="464"/>
      <c r="AF10" s="464"/>
      <c r="AG10" s="464"/>
      <c r="AH10" s="464"/>
      <c r="AI10" s="464"/>
      <c r="AJ10" s="464"/>
    </row>
    <row r="11" spans="1:36" ht="15.75" customHeight="1">
      <c r="A11" s="465"/>
      <c r="B11" s="467" t="s">
        <v>3642</v>
      </c>
      <c r="C11" s="468">
        <v>600000000</v>
      </c>
      <c r="D11" s="470"/>
      <c r="E11" s="470"/>
      <c r="F11" s="470"/>
      <c r="G11" s="470"/>
      <c r="H11" s="470"/>
      <c r="I11" s="470"/>
      <c r="J11" s="470"/>
      <c r="K11" s="470"/>
      <c r="L11" s="470"/>
      <c r="M11" s="470"/>
      <c r="N11" s="471">
        <v>14900</v>
      </c>
      <c r="O11" s="471">
        <v>17300</v>
      </c>
      <c r="P11" s="471">
        <v>19900</v>
      </c>
      <c r="Q11" s="471">
        <v>25500</v>
      </c>
      <c r="R11" s="471">
        <v>27800</v>
      </c>
      <c r="S11" s="464"/>
      <c r="T11" s="464"/>
      <c r="U11" s="464"/>
      <c r="V11" s="464"/>
      <c r="W11" s="464"/>
      <c r="X11" s="464"/>
      <c r="Y11" s="464"/>
      <c r="Z11" s="464"/>
      <c r="AA11" s="464"/>
      <c r="AB11" s="464"/>
      <c r="AC11" s="464"/>
      <c r="AD11" s="464"/>
      <c r="AE11" s="464"/>
      <c r="AF11" s="464"/>
      <c r="AG11" s="464"/>
      <c r="AH11" s="464"/>
      <c r="AI11" s="464"/>
      <c r="AJ11" s="464"/>
    </row>
    <row r="12" spans="1:36" ht="15.75" customHeight="1">
      <c r="A12" s="465"/>
      <c r="B12" s="467" t="s">
        <v>3643</v>
      </c>
      <c r="C12" s="468">
        <v>750000000</v>
      </c>
      <c r="D12" s="470"/>
      <c r="E12" s="470"/>
      <c r="F12" s="470"/>
      <c r="G12" s="470"/>
      <c r="H12" s="470"/>
      <c r="I12" s="470"/>
      <c r="J12" s="470"/>
      <c r="K12" s="470"/>
      <c r="L12" s="470"/>
      <c r="M12" s="470"/>
      <c r="N12" s="471">
        <v>16200</v>
      </c>
      <c r="O12" s="471">
        <v>18900</v>
      </c>
      <c r="P12" s="471">
        <v>21000</v>
      </c>
      <c r="Q12" s="471">
        <v>27000</v>
      </c>
      <c r="R12" s="471">
        <v>29500</v>
      </c>
      <c r="S12" s="464"/>
      <c r="T12" s="464"/>
      <c r="U12" s="464"/>
      <c r="V12" s="464"/>
      <c r="W12" s="464"/>
      <c r="X12" s="464"/>
      <c r="Y12" s="464"/>
      <c r="Z12" s="464"/>
      <c r="AA12" s="464"/>
      <c r="AB12" s="464"/>
      <c r="AC12" s="464"/>
      <c r="AD12" s="464"/>
      <c r="AE12" s="464"/>
      <c r="AF12" s="464"/>
      <c r="AG12" s="464"/>
      <c r="AH12" s="464"/>
      <c r="AI12" s="464"/>
      <c r="AJ12" s="464"/>
    </row>
    <row r="13" spans="1:36" ht="15.75" customHeight="1">
      <c r="A13" s="465"/>
      <c r="B13" s="467" t="s">
        <v>3644</v>
      </c>
      <c r="C13" s="468">
        <v>1000000000</v>
      </c>
      <c r="D13" s="470"/>
      <c r="E13" s="470"/>
      <c r="F13" s="470"/>
      <c r="G13" s="470"/>
      <c r="H13" s="470"/>
      <c r="I13" s="470"/>
      <c r="J13" s="470"/>
      <c r="K13" s="470"/>
      <c r="L13" s="470"/>
      <c r="M13" s="470"/>
      <c r="N13" s="471">
        <v>17000</v>
      </c>
      <c r="O13" s="471">
        <v>20500</v>
      </c>
      <c r="P13" s="471">
        <v>22400</v>
      </c>
      <c r="Q13" s="471">
        <v>28500</v>
      </c>
      <c r="R13" s="471">
        <v>32000</v>
      </c>
      <c r="S13" s="464"/>
      <c r="T13" s="464"/>
      <c r="U13" s="464"/>
      <c r="V13" s="464"/>
      <c r="W13" s="464"/>
      <c r="X13" s="464"/>
      <c r="Y13" s="464"/>
      <c r="Z13" s="464"/>
      <c r="AA13" s="464"/>
      <c r="AB13" s="464"/>
      <c r="AC13" s="464"/>
      <c r="AD13" s="464"/>
      <c r="AE13" s="464"/>
      <c r="AF13" s="464"/>
      <c r="AG13" s="464"/>
      <c r="AH13" s="464"/>
      <c r="AI13" s="464"/>
      <c r="AJ13" s="464"/>
    </row>
    <row r="14" spans="1:36" ht="15.75" customHeight="1">
      <c r="A14" s="465"/>
      <c r="B14" s="467" t="s">
        <v>3645</v>
      </c>
      <c r="C14" s="468">
        <v>1250000000</v>
      </c>
      <c r="D14" s="470"/>
      <c r="E14" s="470"/>
      <c r="F14" s="470"/>
      <c r="G14" s="470"/>
      <c r="H14" s="470"/>
      <c r="I14" s="470"/>
      <c r="J14" s="470"/>
      <c r="K14" s="470"/>
      <c r="L14" s="470"/>
      <c r="M14" s="470"/>
      <c r="N14" s="471">
        <v>18000</v>
      </c>
      <c r="O14" s="471">
        <v>21500</v>
      </c>
      <c r="P14" s="471">
        <v>23400</v>
      </c>
      <c r="Q14" s="471">
        <v>30000</v>
      </c>
      <c r="R14" s="471">
        <v>34000</v>
      </c>
      <c r="S14" s="464"/>
      <c r="T14" s="464"/>
      <c r="U14" s="464"/>
      <c r="V14" s="464"/>
      <c r="W14" s="464"/>
      <c r="X14" s="464"/>
      <c r="Y14" s="464"/>
      <c r="Z14" s="464"/>
      <c r="AA14" s="464"/>
      <c r="AB14" s="464"/>
      <c r="AC14" s="464"/>
      <c r="AD14" s="464"/>
      <c r="AE14" s="464"/>
      <c r="AF14" s="464"/>
      <c r="AG14" s="464"/>
      <c r="AH14" s="464"/>
      <c r="AI14" s="464"/>
      <c r="AJ14" s="464"/>
    </row>
    <row r="15" spans="1:36" ht="15.75" customHeight="1">
      <c r="A15" s="465"/>
      <c r="B15" s="464"/>
      <c r="C15" s="464"/>
      <c r="D15" s="464"/>
      <c r="E15" s="464"/>
      <c r="F15" s="464"/>
      <c r="G15" s="464"/>
      <c r="H15" s="464"/>
      <c r="I15" s="464"/>
      <c r="J15" s="464"/>
      <c r="K15" s="464"/>
      <c r="L15" s="464"/>
      <c r="M15" s="464"/>
      <c r="N15" s="464"/>
      <c r="O15" s="464"/>
      <c r="P15" s="464"/>
      <c r="Q15" s="464"/>
      <c r="R15" s="464"/>
      <c r="S15" s="464"/>
      <c r="T15" s="464"/>
      <c r="U15" s="464"/>
      <c r="V15" s="464"/>
      <c r="W15" s="464"/>
      <c r="X15" s="464"/>
      <c r="Y15" s="464"/>
      <c r="Z15" s="464"/>
      <c r="AA15" s="464"/>
      <c r="AB15" s="464"/>
      <c r="AC15" s="464"/>
      <c r="AD15" s="464"/>
      <c r="AE15" s="464"/>
      <c r="AF15" s="464"/>
      <c r="AG15" s="464"/>
      <c r="AH15" s="464"/>
      <c r="AI15" s="464"/>
      <c r="AJ15" s="464"/>
    </row>
    <row r="16" spans="1:36" ht="15.75" customHeight="1">
      <c r="A16" s="465"/>
      <c r="B16" s="464"/>
      <c r="C16" s="464"/>
      <c r="D16" s="464"/>
      <c r="E16" s="464"/>
      <c r="F16" s="464"/>
      <c r="G16" s="464"/>
      <c r="H16" s="464"/>
      <c r="I16" s="464"/>
      <c r="J16" s="464"/>
      <c r="K16" s="464"/>
      <c r="L16" s="464"/>
      <c r="M16" s="464"/>
      <c r="N16" s="464"/>
      <c r="O16" s="464"/>
      <c r="P16" s="464"/>
      <c r="Q16" s="464"/>
      <c r="R16" s="464"/>
      <c r="S16" s="464"/>
      <c r="T16" s="464"/>
      <c r="U16" s="464"/>
      <c r="V16" s="464"/>
      <c r="W16" s="464"/>
      <c r="X16" s="464"/>
      <c r="Y16" s="464"/>
      <c r="Z16" s="464"/>
      <c r="AA16" s="464"/>
      <c r="AB16" s="464"/>
      <c r="AC16" s="464"/>
      <c r="AD16" s="464"/>
      <c r="AE16" s="464"/>
      <c r="AF16" s="464"/>
      <c r="AG16" s="464"/>
      <c r="AH16" s="464"/>
      <c r="AI16" s="464"/>
      <c r="AJ16" s="464"/>
    </row>
    <row r="17" spans="1:36" ht="15.75" customHeight="1">
      <c r="A17" s="465"/>
      <c r="B17" s="464"/>
      <c r="C17" s="464"/>
      <c r="D17" s="464"/>
      <c r="E17" s="464"/>
      <c r="F17" s="464"/>
      <c r="G17" s="464"/>
      <c r="H17" s="464"/>
      <c r="I17" s="464"/>
      <c r="J17" s="464"/>
      <c r="K17" s="464"/>
      <c r="L17" s="464"/>
      <c r="M17" s="464"/>
      <c r="N17" s="464"/>
      <c r="O17" s="464"/>
      <c r="P17" s="464"/>
      <c r="Q17" s="464"/>
      <c r="R17" s="464"/>
      <c r="S17" s="464"/>
      <c r="T17" s="464"/>
      <c r="U17" s="464"/>
      <c r="V17" s="464"/>
      <c r="W17" s="464"/>
      <c r="X17" s="464"/>
      <c r="Y17" s="464"/>
      <c r="Z17" s="464"/>
      <c r="AA17" s="464"/>
      <c r="AB17" s="464"/>
      <c r="AC17" s="464"/>
      <c r="AD17" s="464"/>
      <c r="AE17" s="464"/>
      <c r="AF17" s="464"/>
      <c r="AG17" s="464"/>
      <c r="AH17" s="464"/>
      <c r="AI17" s="464"/>
      <c r="AJ17" s="464"/>
    </row>
    <row r="18" spans="1:36" ht="15.75" customHeight="1">
      <c r="A18" s="465"/>
      <c r="B18" s="464"/>
      <c r="C18" s="464"/>
      <c r="D18" s="464"/>
      <c r="E18" s="464"/>
      <c r="F18" s="464"/>
      <c r="G18" s="464"/>
      <c r="H18" s="464"/>
      <c r="I18" s="464"/>
      <c r="J18" s="464"/>
      <c r="K18" s="464"/>
      <c r="L18" s="464"/>
      <c r="M18" s="464"/>
      <c r="N18" s="464"/>
      <c r="O18" s="464"/>
      <c r="P18" s="464"/>
      <c r="Q18" s="464"/>
      <c r="R18" s="464"/>
      <c r="S18" s="464"/>
      <c r="T18" s="464"/>
      <c r="U18" s="464"/>
      <c r="V18" s="464"/>
      <c r="W18" s="464"/>
      <c r="X18" s="464"/>
      <c r="Y18" s="464"/>
      <c r="Z18" s="464"/>
      <c r="AA18" s="464"/>
      <c r="AB18" s="464"/>
      <c r="AC18" s="464"/>
      <c r="AD18" s="464"/>
      <c r="AE18" s="464"/>
      <c r="AF18" s="464"/>
      <c r="AG18" s="464"/>
      <c r="AH18" s="464"/>
      <c r="AI18" s="464"/>
      <c r="AJ18" s="464"/>
    </row>
    <row r="19" spans="1:36" ht="15.75" customHeight="1">
      <c r="A19" s="465"/>
      <c r="B19" s="464"/>
      <c r="C19" s="464"/>
      <c r="D19" s="464"/>
      <c r="E19" s="464"/>
      <c r="F19" s="464"/>
      <c r="G19" s="464"/>
      <c r="H19" s="464"/>
      <c r="I19" s="464"/>
      <c r="J19" s="464"/>
      <c r="K19" s="464"/>
      <c r="L19" s="464"/>
      <c r="M19" s="464"/>
      <c r="N19" s="464"/>
      <c r="O19" s="464"/>
      <c r="P19" s="464"/>
      <c r="Q19" s="464"/>
      <c r="R19" s="464"/>
      <c r="S19" s="464"/>
      <c r="T19" s="464"/>
      <c r="U19" s="464"/>
      <c r="V19" s="464"/>
      <c r="W19" s="464"/>
      <c r="X19" s="464"/>
      <c r="Y19" s="464"/>
      <c r="Z19" s="464"/>
      <c r="AA19" s="464"/>
      <c r="AB19" s="464"/>
      <c r="AC19" s="464"/>
      <c r="AD19" s="464"/>
      <c r="AE19" s="464"/>
      <c r="AF19" s="464"/>
      <c r="AG19" s="464"/>
      <c r="AH19" s="464"/>
      <c r="AI19" s="464"/>
      <c r="AJ19" s="464"/>
    </row>
    <row r="20" spans="1:36" ht="15.75" customHeight="1">
      <c r="A20" s="465"/>
      <c r="B20" s="464"/>
      <c r="C20" s="464"/>
      <c r="D20" s="464"/>
      <c r="E20" s="464"/>
      <c r="F20" s="464"/>
      <c r="G20" s="464"/>
      <c r="H20" s="464"/>
      <c r="I20" s="464"/>
      <c r="J20" s="464"/>
      <c r="K20" s="464"/>
      <c r="L20" s="464"/>
      <c r="M20" s="464"/>
      <c r="N20" s="464"/>
      <c r="O20" s="464"/>
      <c r="P20" s="464"/>
      <c r="Q20" s="464"/>
      <c r="R20" s="464"/>
      <c r="S20" s="464"/>
      <c r="T20" s="464"/>
      <c r="U20" s="464"/>
      <c r="V20" s="464"/>
      <c r="W20" s="464"/>
      <c r="X20" s="464"/>
      <c r="Y20" s="464"/>
      <c r="Z20" s="464"/>
      <c r="AA20" s="464"/>
      <c r="AB20" s="464"/>
      <c r="AC20" s="464"/>
      <c r="AD20" s="464"/>
      <c r="AE20" s="464"/>
      <c r="AF20" s="464"/>
      <c r="AG20" s="464"/>
      <c r="AH20" s="464"/>
      <c r="AI20" s="464"/>
      <c r="AJ20" s="464"/>
    </row>
    <row r="21" spans="1:36" ht="15.75" customHeight="1">
      <c r="A21" s="465"/>
      <c r="C21" s="1083" t="s">
        <v>2398</v>
      </c>
      <c r="D21" s="1085"/>
      <c r="E21" s="1084"/>
      <c r="F21" s="1086" t="s">
        <v>3111</v>
      </c>
      <c r="G21" s="1085"/>
      <c r="H21" s="1084"/>
      <c r="J21" s="168" t="s">
        <v>3646</v>
      </c>
      <c r="K21" s="472">
        <v>250000</v>
      </c>
      <c r="L21" s="464"/>
      <c r="M21" s="464"/>
      <c r="O21" s="464"/>
      <c r="P21" s="464"/>
      <c r="Q21" s="464"/>
      <c r="R21" s="464"/>
      <c r="S21" s="464"/>
      <c r="T21" s="464"/>
      <c r="U21" s="464"/>
      <c r="V21" s="464"/>
      <c r="W21" s="464"/>
      <c r="X21" s="464"/>
      <c r="Y21" s="464"/>
      <c r="Z21" s="464"/>
      <c r="AA21" s="464"/>
      <c r="AB21" s="464"/>
      <c r="AC21" s="464"/>
      <c r="AD21" s="464"/>
      <c r="AE21" s="464"/>
      <c r="AF21" s="464"/>
      <c r="AG21" s="464"/>
      <c r="AH21" s="464"/>
      <c r="AI21" s="464"/>
      <c r="AJ21" s="464"/>
    </row>
    <row r="22" spans="1:36" ht="15.75" customHeight="1">
      <c r="A22" s="465"/>
      <c r="C22" s="473" t="s">
        <v>3113</v>
      </c>
      <c r="D22" s="22" t="s">
        <v>3114</v>
      </c>
      <c r="E22" s="22" t="s">
        <v>3115</v>
      </c>
      <c r="F22" s="473" t="s">
        <v>3113</v>
      </c>
      <c r="G22" s="22" t="s">
        <v>3114</v>
      </c>
      <c r="H22" s="474" t="s">
        <v>3115</v>
      </c>
      <c r="I22" s="475"/>
      <c r="J22" s="168" t="s">
        <v>3647</v>
      </c>
      <c r="K22" s="472">
        <v>25000000</v>
      </c>
      <c r="L22" s="464"/>
      <c r="M22" s="464"/>
      <c r="O22" s="464"/>
      <c r="P22" s="464"/>
      <c r="Q22" s="464"/>
      <c r="R22" s="464"/>
      <c r="S22" s="464"/>
      <c r="T22" s="464"/>
      <c r="U22" s="464"/>
      <c r="V22" s="464"/>
      <c r="W22" s="464"/>
      <c r="X22" s="464"/>
      <c r="Y22" s="464"/>
      <c r="Z22" s="464"/>
      <c r="AA22" s="464"/>
      <c r="AB22" s="464"/>
      <c r="AC22" s="464"/>
      <c r="AD22" s="464"/>
      <c r="AE22" s="464"/>
      <c r="AF22" s="464"/>
      <c r="AG22" s="464"/>
      <c r="AH22" s="464"/>
      <c r="AI22" s="464"/>
      <c r="AJ22" s="464"/>
    </row>
    <row r="23" spans="1:36" ht="15.75" customHeight="1">
      <c r="A23" s="465"/>
      <c r="B23" s="476" t="s">
        <v>3117</v>
      </c>
      <c r="C23" s="477">
        <f>IF(Deckungssumme1GI&gt;K22,K22,Deckungssumme1GI)</f>
        <v>0</v>
      </c>
      <c r="D23" s="478">
        <f>IF(Deckungssumme2GI&gt;K22,K22,Deckungssumme2GI)</f>
        <v>0</v>
      </c>
      <c r="E23" s="478">
        <f>IF(Deckungssumme3GI&gt;K22,K22,Deckungssumme3GI)</f>
        <v>0</v>
      </c>
      <c r="F23" s="477">
        <f>IF(Deckungssumme1&gt;K22,K22,Deckungssumme1)</f>
        <v>0</v>
      </c>
      <c r="G23" s="478">
        <f>IF(Deckungssumme2&gt;K22,K22,Deckungssumme2)</f>
        <v>0</v>
      </c>
      <c r="H23" s="479">
        <f>IF(Deckungssumme3&gt;K22,K22,Deckungssumme3)</f>
        <v>0</v>
      </c>
      <c r="J23" s="168" t="s">
        <v>3648</v>
      </c>
      <c r="K23" s="472">
        <v>1500000000</v>
      </c>
      <c r="L23" s="464"/>
      <c r="M23" s="464"/>
      <c r="O23" s="464"/>
      <c r="P23" s="464"/>
      <c r="Q23" s="464"/>
      <c r="R23" s="464"/>
      <c r="S23" s="464"/>
      <c r="T23" s="464"/>
      <c r="U23" s="464"/>
      <c r="V23" s="464"/>
      <c r="W23" s="464"/>
      <c r="X23" s="464"/>
      <c r="Y23" s="464"/>
      <c r="Z23" s="464"/>
      <c r="AA23" s="464"/>
      <c r="AB23" s="464"/>
      <c r="AC23" s="464"/>
      <c r="AD23" s="464"/>
      <c r="AE23" s="464"/>
      <c r="AF23" s="464"/>
      <c r="AG23" s="464"/>
      <c r="AH23" s="464"/>
      <c r="AI23" s="464"/>
      <c r="AJ23" s="464"/>
    </row>
    <row r="24" spans="1:36" ht="15.75" customHeight="1">
      <c r="A24" s="465"/>
      <c r="B24" s="480" t="s">
        <v>3119</v>
      </c>
      <c r="C24" s="477" t="str">
        <f>IF(Deckungssumme1GI=0,"",D48)</f>
        <v/>
      </c>
      <c r="D24" s="478" t="str">
        <f>IF(Deckungssumme2GI=0,"",F48)</f>
        <v/>
      </c>
      <c r="E24" s="478" t="str">
        <f>IF(Deckungssumme3GI=0,"",H48)</f>
        <v/>
      </c>
      <c r="F24" s="477" t="str">
        <f>IF(Deckungssumme1=0,"",J48)</f>
        <v/>
      </c>
      <c r="G24" s="478" t="str">
        <f>IF(Deckungssumme2=0,"",L48)</f>
        <v/>
      </c>
      <c r="H24" s="479" t="str">
        <f>IF(Deckungssumme3=0,"",N48)</f>
        <v/>
      </c>
      <c r="J24" s="464"/>
      <c r="K24" s="464"/>
      <c r="L24" s="464"/>
      <c r="M24" s="464"/>
      <c r="O24" s="464"/>
      <c r="P24" s="464"/>
      <c r="Q24" s="464"/>
      <c r="R24" s="464"/>
      <c r="S24" s="464"/>
      <c r="T24" s="464"/>
      <c r="U24" s="464"/>
      <c r="V24" s="464"/>
      <c r="W24" s="464"/>
      <c r="X24" s="464"/>
      <c r="Y24" s="464"/>
      <c r="Z24" s="464"/>
      <c r="AA24" s="464"/>
      <c r="AB24" s="464"/>
      <c r="AC24" s="464"/>
      <c r="AD24" s="464"/>
      <c r="AE24" s="464"/>
      <c r="AF24" s="464"/>
      <c r="AG24" s="464"/>
      <c r="AH24" s="464"/>
      <c r="AI24" s="464"/>
      <c r="AJ24" s="464"/>
    </row>
    <row r="25" spans="1:36" ht="15.75" customHeight="1">
      <c r="A25" s="465"/>
      <c r="B25" s="480" t="s">
        <v>3649</v>
      </c>
      <c r="C25" s="477">
        <f>IF(MAX(AußenumsatzGI,VereinsvermögenGI)&gt;K23,"Umsatz zu groß!",MAX(AußenumsatzGI,VereinsvermögenGI))</f>
        <v>0</v>
      </c>
      <c r="D25" s="478">
        <f>IF(MAX(AußenumsatzGI,VereinsvermögenGI)&gt;K23,"Umsatz zu groß!",MAX(AußenumsatzGI,VereinsvermögenGI))</f>
        <v>0</v>
      </c>
      <c r="E25" s="478">
        <f>IF(MAX(AußenumsatzGI,VereinsvermögenGI)&gt;K23,"Umsatz zu groß!",MAX(AußenumsatzGI,VereinsvermögenGI))</f>
        <v>0</v>
      </c>
      <c r="F25" s="477">
        <f>IF(MAX(Außenumsatz,Vereinsvermögen)&gt;K23,"Umsatz zu groß!",MAX(Außenumsatz,Vereinsvermögen))</f>
        <v>0</v>
      </c>
      <c r="G25" s="478">
        <f>IF(MAX(Außenumsatz,Vereinsvermögen)&gt;K23,"Umsatz zu groß!",MAX(Außenumsatz,Vereinsvermögen))</f>
        <v>0</v>
      </c>
      <c r="H25" s="479">
        <f>IF(MAX(Außenumsatz,Vereinsvermögen)&gt;K23,"Umsatz zu groß!",MAX(Außenumsatz,Vereinsvermögen))</f>
        <v>0</v>
      </c>
      <c r="J25" s="464"/>
      <c r="K25" s="464"/>
      <c r="L25" s="464"/>
      <c r="M25" s="464"/>
      <c r="O25" s="464"/>
      <c r="P25" s="464"/>
      <c r="Q25" s="464"/>
      <c r="R25" s="464"/>
      <c r="S25" s="464"/>
      <c r="T25" s="464"/>
      <c r="U25" s="464"/>
      <c r="V25" s="464"/>
      <c r="W25" s="464"/>
      <c r="X25" s="464"/>
      <c r="Y25" s="464"/>
      <c r="Z25" s="464"/>
      <c r="AA25" s="464"/>
      <c r="AB25" s="464"/>
      <c r="AC25" s="464"/>
      <c r="AD25" s="464"/>
      <c r="AE25" s="464"/>
      <c r="AF25" s="464"/>
      <c r="AG25" s="464"/>
      <c r="AH25" s="464"/>
      <c r="AI25" s="464"/>
      <c r="AJ25" s="464"/>
    </row>
    <row r="26" spans="1:36" ht="15.75" customHeight="1">
      <c r="A26" s="465"/>
      <c r="B26" s="480" t="s">
        <v>3650</v>
      </c>
      <c r="C26" s="477" t="e">
        <f t="shared" ref="C26:H26" si="0">MATCH(C24,$D$3:$R$3,1)</f>
        <v>#N/A</v>
      </c>
      <c r="D26" s="478" t="e">
        <f t="shared" si="0"/>
        <v>#N/A</v>
      </c>
      <c r="E26" s="478" t="e">
        <f t="shared" si="0"/>
        <v>#N/A</v>
      </c>
      <c r="F26" s="477" t="e">
        <f t="shared" si="0"/>
        <v>#N/A</v>
      </c>
      <c r="G26" s="478" t="e">
        <f t="shared" si="0"/>
        <v>#N/A</v>
      </c>
      <c r="H26" s="479" t="e">
        <f t="shared" si="0"/>
        <v>#N/A</v>
      </c>
      <c r="J26" s="464"/>
      <c r="K26" s="464"/>
      <c r="L26" s="464"/>
      <c r="M26" s="464"/>
      <c r="O26" s="464"/>
      <c r="P26" s="464"/>
      <c r="Q26" s="464"/>
      <c r="R26" s="464"/>
      <c r="S26" s="464"/>
      <c r="T26" s="464"/>
      <c r="U26" s="464"/>
      <c r="V26" s="464"/>
      <c r="W26" s="464"/>
      <c r="X26" s="464"/>
      <c r="Y26" s="464"/>
      <c r="Z26" s="464"/>
      <c r="AA26" s="464"/>
      <c r="AB26" s="464"/>
      <c r="AC26" s="464"/>
      <c r="AD26" s="464"/>
      <c r="AE26" s="464"/>
      <c r="AF26" s="464"/>
      <c r="AG26" s="464"/>
      <c r="AH26" s="464"/>
      <c r="AI26" s="464"/>
      <c r="AJ26" s="464"/>
    </row>
    <row r="27" spans="1:36" ht="15.75" customHeight="1">
      <c r="A27" s="465"/>
      <c r="B27" s="480" t="s">
        <v>3651</v>
      </c>
      <c r="C27" s="477">
        <f t="shared" ref="C27:H27" si="1">MATCH(C25,$C$4:$C$14,1)</f>
        <v>1</v>
      </c>
      <c r="D27" s="478">
        <f t="shared" si="1"/>
        <v>1</v>
      </c>
      <c r="E27" s="478">
        <f t="shared" si="1"/>
        <v>1</v>
      </c>
      <c r="F27" s="477">
        <f t="shared" si="1"/>
        <v>1</v>
      </c>
      <c r="G27" s="478">
        <f t="shared" si="1"/>
        <v>1</v>
      </c>
      <c r="H27" s="479">
        <f t="shared" si="1"/>
        <v>1</v>
      </c>
      <c r="J27" s="464"/>
      <c r="K27" s="464"/>
      <c r="L27" s="464"/>
      <c r="M27" s="464"/>
      <c r="O27" s="464"/>
      <c r="P27" s="464"/>
      <c r="Q27" s="464"/>
      <c r="R27" s="464"/>
      <c r="S27" s="464"/>
      <c r="T27" s="464"/>
      <c r="U27" s="464"/>
      <c r="V27" s="464"/>
      <c r="W27" s="464"/>
      <c r="X27" s="464"/>
      <c r="Y27" s="464"/>
      <c r="Z27" s="464"/>
      <c r="AA27" s="464"/>
      <c r="AB27" s="464"/>
      <c r="AC27" s="464"/>
      <c r="AD27" s="464"/>
      <c r="AE27" s="464"/>
      <c r="AF27" s="464"/>
      <c r="AG27" s="464"/>
      <c r="AH27" s="464"/>
      <c r="AI27" s="464"/>
      <c r="AJ27" s="464"/>
    </row>
    <row r="28" spans="1:36" ht="15.75" customHeight="1">
      <c r="A28" s="465"/>
      <c r="B28" s="481" t="s">
        <v>3118</v>
      </c>
      <c r="C28" s="482" t="str">
        <f t="shared" ref="C28:H28" si="2">IFERROR(INDEX($D$4:$R$14,C27,C26),"")</f>
        <v/>
      </c>
      <c r="D28" s="483" t="str">
        <f t="shared" si="2"/>
        <v/>
      </c>
      <c r="E28" s="483" t="str">
        <f t="shared" si="2"/>
        <v/>
      </c>
      <c r="F28" s="483" t="str">
        <f t="shared" si="2"/>
        <v/>
      </c>
      <c r="G28" s="483" t="str">
        <f t="shared" si="2"/>
        <v/>
      </c>
      <c r="H28" s="484" t="str">
        <f t="shared" si="2"/>
        <v/>
      </c>
      <c r="J28" s="464"/>
      <c r="K28" s="464"/>
      <c r="L28" s="464"/>
      <c r="M28" s="464"/>
      <c r="O28" s="464"/>
      <c r="P28" s="464"/>
      <c r="Q28" s="464"/>
      <c r="R28" s="464"/>
      <c r="S28" s="464"/>
      <c r="T28" s="464"/>
      <c r="U28" s="464"/>
      <c r="V28" s="464"/>
      <c r="W28" s="464"/>
      <c r="X28" s="464"/>
      <c r="Y28" s="464"/>
      <c r="Z28" s="464"/>
      <c r="AA28" s="464"/>
      <c r="AB28" s="464"/>
      <c r="AC28" s="464"/>
      <c r="AD28" s="464"/>
      <c r="AE28" s="464"/>
      <c r="AF28" s="464"/>
      <c r="AG28" s="464"/>
      <c r="AH28" s="464"/>
      <c r="AI28" s="464"/>
      <c r="AJ28" s="464"/>
    </row>
    <row r="29" spans="1:36" ht="15.75" customHeight="1">
      <c r="A29" s="465"/>
      <c r="O29" s="464"/>
      <c r="P29" s="464"/>
      <c r="Q29" s="464"/>
      <c r="R29" s="464"/>
      <c r="S29" s="464"/>
      <c r="T29" s="464"/>
      <c r="U29" s="464"/>
      <c r="V29" s="464"/>
      <c r="W29" s="464"/>
      <c r="X29" s="464"/>
      <c r="Y29" s="464"/>
      <c r="Z29" s="464"/>
      <c r="AA29" s="464"/>
      <c r="AB29" s="464"/>
      <c r="AC29" s="464"/>
      <c r="AD29" s="464"/>
      <c r="AE29" s="464"/>
      <c r="AF29" s="464"/>
      <c r="AG29" s="464"/>
      <c r="AH29" s="464"/>
      <c r="AI29" s="464"/>
      <c r="AJ29" s="464"/>
    </row>
    <row r="30" spans="1:36" ht="15.75" customHeight="1">
      <c r="A30" s="465"/>
      <c r="O30" s="464"/>
      <c r="P30" s="464"/>
      <c r="Q30" s="464"/>
      <c r="R30" s="464"/>
      <c r="S30" s="464"/>
      <c r="T30" s="464"/>
      <c r="U30" s="464"/>
      <c r="V30" s="464"/>
      <c r="W30" s="464"/>
      <c r="X30" s="464"/>
      <c r="Y30" s="464"/>
      <c r="Z30" s="464"/>
      <c r="AA30" s="464"/>
      <c r="AB30" s="464"/>
      <c r="AC30" s="464"/>
      <c r="AD30" s="464"/>
      <c r="AE30" s="464"/>
      <c r="AF30" s="464"/>
      <c r="AG30" s="464"/>
      <c r="AH30" s="464"/>
      <c r="AI30" s="464"/>
      <c r="AJ30" s="464"/>
    </row>
    <row r="31" spans="1:36" ht="15.75" customHeight="1">
      <c r="A31" s="465"/>
      <c r="B31" s="485" t="s">
        <v>3652</v>
      </c>
      <c r="C31" s="1083" t="s">
        <v>3113</v>
      </c>
      <c r="D31" s="1084"/>
      <c r="E31" s="1083" t="s">
        <v>3114</v>
      </c>
      <c r="F31" s="1087"/>
      <c r="G31" s="1088" t="s">
        <v>3115</v>
      </c>
      <c r="H31" s="1084"/>
      <c r="I31" s="1083" t="s">
        <v>3113</v>
      </c>
      <c r="J31" s="1084"/>
      <c r="K31" s="1083" t="s">
        <v>3114</v>
      </c>
      <c r="L31" s="1084"/>
      <c r="M31" s="1083" t="s">
        <v>3115</v>
      </c>
      <c r="N31" s="1084"/>
      <c r="O31" s="464"/>
      <c r="P31" s="464"/>
      <c r="Q31" s="464"/>
      <c r="R31" s="464"/>
      <c r="S31" s="464"/>
      <c r="T31" s="464"/>
      <c r="U31" s="464"/>
      <c r="V31" s="464"/>
      <c r="W31" s="464"/>
      <c r="X31" s="464"/>
      <c r="Y31" s="464"/>
      <c r="Z31" s="464"/>
      <c r="AA31" s="464"/>
      <c r="AB31" s="464"/>
      <c r="AC31" s="464"/>
      <c r="AD31" s="464"/>
      <c r="AE31" s="464"/>
      <c r="AF31" s="464"/>
      <c r="AG31" s="464"/>
      <c r="AH31" s="464"/>
      <c r="AI31" s="464"/>
      <c r="AJ31" s="464"/>
    </row>
    <row r="32" spans="1:36" ht="15.75" customHeight="1">
      <c r="A32" s="465"/>
      <c r="B32" s="486">
        <v>250000</v>
      </c>
      <c r="C32" s="487">
        <f t="shared" ref="C32:C46" si="3">$C$23</f>
        <v>0</v>
      </c>
      <c r="D32" s="488">
        <f t="shared" ref="D32:D46" si="4">IF(C32&lt;=B32,B32,"")</f>
        <v>250000</v>
      </c>
      <c r="E32" s="487">
        <f t="shared" ref="E32:E46" si="5">$D$23</f>
        <v>0</v>
      </c>
      <c r="F32" s="488">
        <f t="shared" ref="F32:F46" si="6">IF(E32&lt;=B32,B32,"")</f>
        <v>250000</v>
      </c>
      <c r="G32" s="487">
        <f t="shared" ref="G32:G46" si="7">$E$23</f>
        <v>0</v>
      </c>
      <c r="H32" s="488">
        <f t="shared" ref="H32:H46" si="8">IF(G32&lt;=B32,B32,"")</f>
        <v>250000</v>
      </c>
      <c r="I32" s="487">
        <f t="shared" ref="I32:I46" si="9">$F$23</f>
        <v>0</v>
      </c>
      <c r="J32" s="488">
        <f t="shared" ref="J32:J46" si="10">IF(I32&lt;=B32,B32,"")</f>
        <v>250000</v>
      </c>
      <c r="K32" s="487">
        <f t="shared" ref="K32:K46" si="11">$G$23</f>
        <v>0</v>
      </c>
      <c r="L32" s="488">
        <f t="shared" ref="L32:L46" si="12">IF(K32&lt;=B32,B32,"")</f>
        <v>250000</v>
      </c>
      <c r="M32" s="487">
        <f t="shared" ref="M32:M46" si="13">$H$23</f>
        <v>0</v>
      </c>
      <c r="N32" s="488">
        <f t="shared" ref="N32:N46" si="14">IF(M32&lt;=B32,B32,"")</f>
        <v>250000</v>
      </c>
      <c r="O32" s="464"/>
      <c r="P32" s="464"/>
      <c r="Q32" s="464"/>
      <c r="R32" s="464"/>
      <c r="S32" s="464"/>
      <c r="T32" s="464"/>
      <c r="U32" s="464"/>
      <c r="V32" s="464"/>
      <c r="W32" s="464"/>
      <c r="X32" s="464"/>
      <c r="Y32" s="464"/>
      <c r="Z32" s="464"/>
      <c r="AA32" s="464"/>
      <c r="AB32" s="464"/>
      <c r="AC32" s="464"/>
      <c r="AD32" s="464"/>
      <c r="AE32" s="464"/>
      <c r="AF32" s="464"/>
      <c r="AG32" s="464"/>
      <c r="AH32" s="464"/>
      <c r="AI32" s="464"/>
      <c r="AJ32" s="464"/>
    </row>
    <row r="33" spans="1:36" ht="15.75" customHeight="1">
      <c r="A33" s="465"/>
      <c r="B33" s="486">
        <v>500000</v>
      </c>
      <c r="C33" s="487">
        <f t="shared" si="3"/>
        <v>0</v>
      </c>
      <c r="D33" s="488">
        <f t="shared" si="4"/>
        <v>500000</v>
      </c>
      <c r="E33" s="487">
        <f t="shared" si="5"/>
        <v>0</v>
      </c>
      <c r="F33" s="488">
        <f t="shared" si="6"/>
        <v>500000</v>
      </c>
      <c r="G33" s="487">
        <f t="shared" si="7"/>
        <v>0</v>
      </c>
      <c r="H33" s="488">
        <f t="shared" si="8"/>
        <v>500000</v>
      </c>
      <c r="I33" s="487">
        <f t="shared" si="9"/>
        <v>0</v>
      </c>
      <c r="J33" s="488">
        <f t="shared" si="10"/>
        <v>500000</v>
      </c>
      <c r="K33" s="487">
        <f t="shared" si="11"/>
        <v>0</v>
      </c>
      <c r="L33" s="488">
        <f t="shared" si="12"/>
        <v>500000</v>
      </c>
      <c r="M33" s="487">
        <f t="shared" si="13"/>
        <v>0</v>
      </c>
      <c r="N33" s="488">
        <f t="shared" si="14"/>
        <v>500000</v>
      </c>
      <c r="O33" s="464"/>
      <c r="P33" s="464"/>
      <c r="Q33" s="464"/>
      <c r="R33" s="464"/>
      <c r="S33" s="464"/>
      <c r="T33" s="464"/>
      <c r="U33" s="464"/>
      <c r="V33" s="464"/>
      <c r="W33" s="464"/>
      <c r="X33" s="464"/>
      <c r="Y33" s="464"/>
      <c r="Z33" s="464"/>
      <c r="AA33" s="464"/>
      <c r="AB33" s="464"/>
      <c r="AC33" s="464"/>
      <c r="AD33" s="464"/>
      <c r="AE33" s="464"/>
      <c r="AF33" s="464"/>
      <c r="AG33" s="464"/>
      <c r="AH33" s="464"/>
      <c r="AI33" s="464"/>
      <c r="AJ33" s="464"/>
    </row>
    <row r="34" spans="1:36" ht="15.75" customHeight="1">
      <c r="A34" s="465"/>
      <c r="B34" s="486">
        <v>1000000</v>
      </c>
      <c r="C34" s="487">
        <f t="shared" si="3"/>
        <v>0</v>
      </c>
      <c r="D34" s="488">
        <f t="shared" si="4"/>
        <v>1000000</v>
      </c>
      <c r="E34" s="487">
        <f t="shared" si="5"/>
        <v>0</v>
      </c>
      <c r="F34" s="488">
        <f t="shared" si="6"/>
        <v>1000000</v>
      </c>
      <c r="G34" s="487">
        <f t="shared" si="7"/>
        <v>0</v>
      </c>
      <c r="H34" s="488">
        <f t="shared" si="8"/>
        <v>1000000</v>
      </c>
      <c r="I34" s="487">
        <f t="shared" si="9"/>
        <v>0</v>
      </c>
      <c r="J34" s="488">
        <f t="shared" si="10"/>
        <v>1000000</v>
      </c>
      <c r="K34" s="487">
        <f t="shared" si="11"/>
        <v>0</v>
      </c>
      <c r="L34" s="488">
        <f t="shared" si="12"/>
        <v>1000000</v>
      </c>
      <c r="M34" s="487">
        <f t="shared" si="13"/>
        <v>0</v>
      </c>
      <c r="N34" s="488">
        <f t="shared" si="14"/>
        <v>1000000</v>
      </c>
      <c r="O34" s="464"/>
      <c r="P34" s="464"/>
      <c r="Q34" s="464"/>
      <c r="R34" s="464"/>
      <c r="S34" s="464"/>
      <c r="T34" s="464"/>
      <c r="U34" s="464"/>
      <c r="V34" s="464"/>
      <c r="W34" s="464"/>
      <c r="X34" s="464"/>
      <c r="Y34" s="464"/>
      <c r="Z34" s="464"/>
      <c r="AA34" s="464"/>
      <c r="AB34" s="464"/>
      <c r="AC34" s="464"/>
      <c r="AD34" s="464"/>
      <c r="AE34" s="464"/>
      <c r="AF34" s="464"/>
      <c r="AG34" s="464"/>
      <c r="AH34" s="464"/>
      <c r="AI34" s="464"/>
      <c r="AJ34" s="464"/>
    </row>
    <row r="35" spans="1:36" ht="15.75" customHeight="1">
      <c r="A35" s="465"/>
      <c r="B35" s="486">
        <v>1500000</v>
      </c>
      <c r="C35" s="487">
        <f t="shared" si="3"/>
        <v>0</v>
      </c>
      <c r="D35" s="488">
        <f t="shared" si="4"/>
        <v>1500000</v>
      </c>
      <c r="E35" s="487">
        <f t="shared" si="5"/>
        <v>0</v>
      </c>
      <c r="F35" s="488">
        <f t="shared" si="6"/>
        <v>1500000</v>
      </c>
      <c r="G35" s="487">
        <f t="shared" si="7"/>
        <v>0</v>
      </c>
      <c r="H35" s="488">
        <f t="shared" si="8"/>
        <v>1500000</v>
      </c>
      <c r="I35" s="487">
        <f t="shared" si="9"/>
        <v>0</v>
      </c>
      <c r="J35" s="488">
        <f t="shared" si="10"/>
        <v>1500000</v>
      </c>
      <c r="K35" s="487">
        <f t="shared" si="11"/>
        <v>0</v>
      </c>
      <c r="L35" s="488">
        <f t="shared" si="12"/>
        <v>1500000</v>
      </c>
      <c r="M35" s="487">
        <f t="shared" si="13"/>
        <v>0</v>
      </c>
      <c r="N35" s="488">
        <f t="shared" si="14"/>
        <v>1500000</v>
      </c>
      <c r="O35" s="464"/>
      <c r="P35" s="464"/>
      <c r="Q35" s="464"/>
      <c r="R35" s="464"/>
      <c r="S35" s="464"/>
      <c r="T35" s="464"/>
      <c r="U35" s="464"/>
      <c r="V35" s="464"/>
      <c r="W35" s="464"/>
      <c r="X35" s="464"/>
      <c r="Y35" s="464"/>
      <c r="Z35" s="464"/>
      <c r="AA35" s="464"/>
      <c r="AB35" s="464"/>
      <c r="AC35" s="464"/>
      <c r="AD35" s="464"/>
      <c r="AE35" s="464"/>
      <c r="AF35" s="464"/>
      <c r="AG35" s="464"/>
      <c r="AH35" s="464"/>
      <c r="AI35" s="464"/>
      <c r="AJ35" s="464"/>
    </row>
    <row r="36" spans="1:36" ht="15.75" customHeight="1">
      <c r="A36" s="465"/>
      <c r="B36" s="486">
        <v>2000000</v>
      </c>
      <c r="C36" s="487">
        <f t="shared" si="3"/>
        <v>0</v>
      </c>
      <c r="D36" s="488">
        <f t="shared" si="4"/>
        <v>2000000</v>
      </c>
      <c r="E36" s="487">
        <f t="shared" si="5"/>
        <v>0</v>
      </c>
      <c r="F36" s="488">
        <f t="shared" si="6"/>
        <v>2000000</v>
      </c>
      <c r="G36" s="487">
        <f t="shared" si="7"/>
        <v>0</v>
      </c>
      <c r="H36" s="488">
        <f t="shared" si="8"/>
        <v>2000000</v>
      </c>
      <c r="I36" s="487">
        <f t="shared" si="9"/>
        <v>0</v>
      </c>
      <c r="J36" s="488">
        <f t="shared" si="10"/>
        <v>2000000</v>
      </c>
      <c r="K36" s="487">
        <f t="shared" si="11"/>
        <v>0</v>
      </c>
      <c r="L36" s="488">
        <f t="shared" si="12"/>
        <v>2000000</v>
      </c>
      <c r="M36" s="487">
        <f t="shared" si="13"/>
        <v>0</v>
      </c>
      <c r="N36" s="488">
        <f t="shared" si="14"/>
        <v>2000000</v>
      </c>
      <c r="O36" s="464"/>
      <c r="P36" s="464"/>
      <c r="Q36" s="464"/>
      <c r="R36" s="464"/>
      <c r="S36" s="464"/>
      <c r="T36" s="464"/>
      <c r="U36" s="464"/>
      <c r="V36" s="464"/>
      <c r="W36" s="464"/>
      <c r="X36" s="464"/>
      <c r="Y36" s="464"/>
      <c r="Z36" s="464"/>
      <c r="AA36" s="464"/>
      <c r="AB36" s="464"/>
      <c r="AC36" s="464"/>
      <c r="AD36" s="464"/>
      <c r="AE36" s="464"/>
      <c r="AF36" s="464"/>
      <c r="AG36" s="464"/>
      <c r="AH36" s="464"/>
      <c r="AI36" s="464"/>
      <c r="AJ36" s="464"/>
    </row>
    <row r="37" spans="1:36" ht="15.75" customHeight="1">
      <c r="A37" s="465"/>
      <c r="B37" s="486">
        <v>2500000</v>
      </c>
      <c r="C37" s="487">
        <f t="shared" si="3"/>
        <v>0</v>
      </c>
      <c r="D37" s="488">
        <f t="shared" si="4"/>
        <v>2500000</v>
      </c>
      <c r="E37" s="487">
        <f t="shared" si="5"/>
        <v>0</v>
      </c>
      <c r="F37" s="488">
        <f t="shared" si="6"/>
        <v>2500000</v>
      </c>
      <c r="G37" s="487">
        <f t="shared" si="7"/>
        <v>0</v>
      </c>
      <c r="H37" s="488">
        <f t="shared" si="8"/>
        <v>2500000</v>
      </c>
      <c r="I37" s="487">
        <f t="shared" si="9"/>
        <v>0</v>
      </c>
      <c r="J37" s="488">
        <f t="shared" si="10"/>
        <v>2500000</v>
      </c>
      <c r="K37" s="487">
        <f t="shared" si="11"/>
        <v>0</v>
      </c>
      <c r="L37" s="488">
        <f t="shared" si="12"/>
        <v>2500000</v>
      </c>
      <c r="M37" s="487">
        <f t="shared" si="13"/>
        <v>0</v>
      </c>
      <c r="N37" s="488">
        <f t="shared" si="14"/>
        <v>2500000</v>
      </c>
      <c r="O37" s="464"/>
      <c r="P37" s="464"/>
      <c r="Q37" s="464"/>
      <c r="R37" s="464"/>
      <c r="S37" s="464"/>
      <c r="T37" s="464"/>
      <c r="U37" s="464"/>
      <c r="V37" s="464"/>
      <c r="W37" s="464"/>
      <c r="X37" s="464"/>
      <c r="Y37" s="464"/>
      <c r="Z37" s="464"/>
      <c r="AA37" s="464"/>
      <c r="AB37" s="464"/>
      <c r="AC37" s="464"/>
      <c r="AD37" s="464"/>
      <c r="AE37" s="464"/>
      <c r="AF37" s="464"/>
      <c r="AG37" s="464"/>
      <c r="AH37" s="464"/>
      <c r="AI37" s="464"/>
      <c r="AJ37" s="464"/>
    </row>
    <row r="38" spans="1:36" ht="15.75" customHeight="1">
      <c r="A38" s="465"/>
      <c r="B38" s="486">
        <v>3000000</v>
      </c>
      <c r="C38" s="487">
        <f t="shared" si="3"/>
        <v>0</v>
      </c>
      <c r="D38" s="488">
        <f t="shared" si="4"/>
        <v>3000000</v>
      </c>
      <c r="E38" s="487">
        <f t="shared" si="5"/>
        <v>0</v>
      </c>
      <c r="F38" s="488">
        <f t="shared" si="6"/>
        <v>3000000</v>
      </c>
      <c r="G38" s="487">
        <f t="shared" si="7"/>
        <v>0</v>
      </c>
      <c r="H38" s="488">
        <f t="shared" si="8"/>
        <v>3000000</v>
      </c>
      <c r="I38" s="487">
        <f t="shared" si="9"/>
        <v>0</v>
      </c>
      <c r="J38" s="488">
        <f t="shared" si="10"/>
        <v>3000000</v>
      </c>
      <c r="K38" s="487">
        <f t="shared" si="11"/>
        <v>0</v>
      </c>
      <c r="L38" s="488">
        <f t="shared" si="12"/>
        <v>3000000</v>
      </c>
      <c r="M38" s="487">
        <f t="shared" si="13"/>
        <v>0</v>
      </c>
      <c r="N38" s="488">
        <f t="shared" si="14"/>
        <v>3000000</v>
      </c>
      <c r="O38" s="464"/>
      <c r="P38" s="464"/>
      <c r="Q38" s="464"/>
      <c r="R38" s="464"/>
      <c r="S38" s="464"/>
      <c r="T38" s="464"/>
      <c r="U38" s="464"/>
      <c r="V38" s="464"/>
      <c r="W38" s="464"/>
      <c r="X38" s="464"/>
      <c r="Y38" s="464"/>
      <c r="Z38" s="464"/>
      <c r="AA38" s="464"/>
      <c r="AB38" s="464"/>
      <c r="AC38" s="464"/>
      <c r="AD38" s="464"/>
      <c r="AE38" s="464"/>
      <c r="AF38" s="464"/>
      <c r="AG38" s="464"/>
      <c r="AH38" s="464"/>
      <c r="AI38" s="464"/>
      <c r="AJ38" s="464"/>
    </row>
    <row r="39" spans="1:36" ht="15.75" customHeight="1">
      <c r="A39" s="465"/>
      <c r="B39" s="486">
        <v>4000000</v>
      </c>
      <c r="C39" s="487">
        <f t="shared" si="3"/>
        <v>0</v>
      </c>
      <c r="D39" s="488">
        <f t="shared" si="4"/>
        <v>4000000</v>
      </c>
      <c r="E39" s="487">
        <f t="shared" si="5"/>
        <v>0</v>
      </c>
      <c r="F39" s="488">
        <f t="shared" si="6"/>
        <v>4000000</v>
      </c>
      <c r="G39" s="487">
        <f t="shared" si="7"/>
        <v>0</v>
      </c>
      <c r="H39" s="488">
        <f t="shared" si="8"/>
        <v>4000000</v>
      </c>
      <c r="I39" s="487">
        <f t="shared" si="9"/>
        <v>0</v>
      </c>
      <c r="J39" s="488">
        <f t="shared" si="10"/>
        <v>4000000</v>
      </c>
      <c r="K39" s="487">
        <f t="shared" si="11"/>
        <v>0</v>
      </c>
      <c r="L39" s="488">
        <f t="shared" si="12"/>
        <v>4000000</v>
      </c>
      <c r="M39" s="487">
        <f t="shared" si="13"/>
        <v>0</v>
      </c>
      <c r="N39" s="488">
        <f t="shared" si="14"/>
        <v>4000000</v>
      </c>
      <c r="O39" s="464"/>
      <c r="P39" s="464"/>
      <c r="Q39" s="464"/>
      <c r="R39" s="464"/>
      <c r="S39" s="464"/>
      <c r="T39" s="464"/>
      <c r="U39" s="464"/>
      <c r="V39" s="464"/>
      <c r="W39" s="464"/>
      <c r="X39" s="464"/>
      <c r="Y39" s="464"/>
      <c r="Z39" s="464"/>
      <c r="AA39" s="464"/>
      <c r="AB39" s="464"/>
      <c r="AC39" s="464"/>
      <c r="AD39" s="464"/>
      <c r="AE39" s="464"/>
      <c r="AF39" s="464"/>
      <c r="AG39" s="464"/>
      <c r="AH39" s="464"/>
      <c r="AI39" s="464"/>
      <c r="AJ39" s="464"/>
    </row>
    <row r="40" spans="1:36" ht="15.75" customHeight="1">
      <c r="A40" s="465"/>
      <c r="B40" s="486">
        <v>5000000</v>
      </c>
      <c r="C40" s="487">
        <f t="shared" si="3"/>
        <v>0</v>
      </c>
      <c r="D40" s="488">
        <f t="shared" si="4"/>
        <v>5000000</v>
      </c>
      <c r="E40" s="487">
        <f t="shared" si="5"/>
        <v>0</v>
      </c>
      <c r="F40" s="488">
        <f t="shared" si="6"/>
        <v>5000000</v>
      </c>
      <c r="G40" s="487">
        <f t="shared" si="7"/>
        <v>0</v>
      </c>
      <c r="H40" s="488">
        <f t="shared" si="8"/>
        <v>5000000</v>
      </c>
      <c r="I40" s="487">
        <f t="shared" si="9"/>
        <v>0</v>
      </c>
      <c r="J40" s="488">
        <f t="shared" si="10"/>
        <v>5000000</v>
      </c>
      <c r="K40" s="487">
        <f t="shared" si="11"/>
        <v>0</v>
      </c>
      <c r="L40" s="488">
        <f t="shared" si="12"/>
        <v>5000000</v>
      </c>
      <c r="M40" s="487">
        <f t="shared" si="13"/>
        <v>0</v>
      </c>
      <c r="N40" s="488">
        <f t="shared" si="14"/>
        <v>5000000</v>
      </c>
      <c r="O40" s="464"/>
      <c r="P40" s="464"/>
      <c r="Q40" s="464"/>
      <c r="R40" s="464"/>
      <c r="S40" s="464"/>
      <c r="T40" s="464"/>
      <c r="U40" s="464"/>
      <c r="V40" s="464"/>
      <c r="W40" s="464"/>
      <c r="X40" s="464"/>
      <c r="Y40" s="464"/>
      <c r="Z40" s="464"/>
      <c r="AA40" s="464"/>
      <c r="AB40" s="464"/>
      <c r="AC40" s="464"/>
      <c r="AD40" s="464"/>
      <c r="AE40" s="464"/>
      <c r="AF40" s="464"/>
      <c r="AG40" s="464"/>
      <c r="AH40" s="464"/>
      <c r="AI40" s="464"/>
      <c r="AJ40" s="464"/>
    </row>
    <row r="41" spans="1:36" ht="15.75" customHeight="1">
      <c r="A41" s="465"/>
      <c r="B41" s="486">
        <v>7500000</v>
      </c>
      <c r="C41" s="487">
        <f t="shared" si="3"/>
        <v>0</v>
      </c>
      <c r="D41" s="488">
        <f t="shared" si="4"/>
        <v>7500000</v>
      </c>
      <c r="E41" s="487">
        <f t="shared" si="5"/>
        <v>0</v>
      </c>
      <c r="F41" s="488">
        <f t="shared" si="6"/>
        <v>7500000</v>
      </c>
      <c r="G41" s="487">
        <f t="shared" si="7"/>
        <v>0</v>
      </c>
      <c r="H41" s="488">
        <f t="shared" si="8"/>
        <v>7500000</v>
      </c>
      <c r="I41" s="487">
        <f t="shared" si="9"/>
        <v>0</v>
      </c>
      <c r="J41" s="488">
        <f t="shared" si="10"/>
        <v>7500000</v>
      </c>
      <c r="K41" s="487">
        <f t="shared" si="11"/>
        <v>0</v>
      </c>
      <c r="L41" s="488">
        <f t="shared" si="12"/>
        <v>7500000</v>
      </c>
      <c r="M41" s="487">
        <f t="shared" si="13"/>
        <v>0</v>
      </c>
      <c r="N41" s="488">
        <f t="shared" si="14"/>
        <v>7500000</v>
      </c>
      <c r="O41" s="464"/>
      <c r="P41" s="464"/>
      <c r="Q41" s="464"/>
      <c r="R41" s="464"/>
      <c r="S41" s="464"/>
      <c r="T41" s="464"/>
      <c r="U41" s="464"/>
      <c r="V41" s="464"/>
      <c r="W41" s="464"/>
      <c r="X41" s="464"/>
      <c r="Y41" s="464"/>
      <c r="Z41" s="464"/>
      <c r="AA41" s="464"/>
      <c r="AB41" s="464"/>
      <c r="AC41" s="464"/>
      <c r="AD41" s="464"/>
      <c r="AE41" s="464"/>
      <c r="AF41" s="464"/>
      <c r="AG41" s="464"/>
      <c r="AH41" s="464"/>
      <c r="AI41" s="464"/>
      <c r="AJ41" s="464"/>
    </row>
    <row r="42" spans="1:36" ht="15.75" customHeight="1">
      <c r="A42" s="465"/>
      <c r="B42" s="486">
        <v>10000000</v>
      </c>
      <c r="C42" s="487">
        <f t="shared" si="3"/>
        <v>0</v>
      </c>
      <c r="D42" s="488">
        <f t="shared" si="4"/>
        <v>10000000</v>
      </c>
      <c r="E42" s="487">
        <f t="shared" si="5"/>
        <v>0</v>
      </c>
      <c r="F42" s="488">
        <f t="shared" si="6"/>
        <v>10000000</v>
      </c>
      <c r="G42" s="487">
        <f t="shared" si="7"/>
        <v>0</v>
      </c>
      <c r="H42" s="488">
        <f t="shared" si="8"/>
        <v>10000000</v>
      </c>
      <c r="I42" s="487">
        <f t="shared" si="9"/>
        <v>0</v>
      </c>
      <c r="J42" s="488">
        <f t="shared" si="10"/>
        <v>10000000</v>
      </c>
      <c r="K42" s="487">
        <f t="shared" si="11"/>
        <v>0</v>
      </c>
      <c r="L42" s="488">
        <f t="shared" si="12"/>
        <v>10000000</v>
      </c>
      <c r="M42" s="487">
        <f t="shared" si="13"/>
        <v>0</v>
      </c>
      <c r="N42" s="488">
        <f t="shared" si="14"/>
        <v>10000000</v>
      </c>
      <c r="O42" s="464"/>
      <c r="P42" s="464"/>
      <c r="Q42" s="464"/>
      <c r="R42" s="464"/>
      <c r="S42" s="464"/>
      <c r="T42" s="464"/>
      <c r="U42" s="464"/>
      <c r="V42" s="464"/>
      <c r="W42" s="464"/>
      <c r="X42" s="464"/>
      <c r="Y42" s="464"/>
      <c r="Z42" s="464"/>
      <c r="AA42" s="464"/>
      <c r="AB42" s="464"/>
      <c r="AC42" s="464"/>
      <c r="AD42" s="464"/>
      <c r="AE42" s="464"/>
      <c r="AF42" s="464"/>
      <c r="AG42" s="464"/>
      <c r="AH42" s="464"/>
      <c r="AI42" s="464"/>
      <c r="AJ42" s="464"/>
    </row>
    <row r="43" spans="1:36" ht="15.75" customHeight="1">
      <c r="A43" s="465"/>
      <c r="B43" s="486">
        <v>12500000</v>
      </c>
      <c r="C43" s="487">
        <f t="shared" si="3"/>
        <v>0</v>
      </c>
      <c r="D43" s="488">
        <f t="shared" si="4"/>
        <v>12500000</v>
      </c>
      <c r="E43" s="487">
        <f t="shared" si="5"/>
        <v>0</v>
      </c>
      <c r="F43" s="488">
        <f t="shared" si="6"/>
        <v>12500000</v>
      </c>
      <c r="G43" s="487">
        <f t="shared" si="7"/>
        <v>0</v>
      </c>
      <c r="H43" s="488">
        <f t="shared" si="8"/>
        <v>12500000</v>
      </c>
      <c r="I43" s="487">
        <f t="shared" si="9"/>
        <v>0</v>
      </c>
      <c r="J43" s="488">
        <f t="shared" si="10"/>
        <v>12500000</v>
      </c>
      <c r="K43" s="487">
        <f t="shared" si="11"/>
        <v>0</v>
      </c>
      <c r="L43" s="488">
        <f t="shared" si="12"/>
        <v>12500000</v>
      </c>
      <c r="M43" s="487">
        <f t="shared" si="13"/>
        <v>0</v>
      </c>
      <c r="N43" s="488">
        <f t="shared" si="14"/>
        <v>12500000</v>
      </c>
      <c r="O43" s="464"/>
      <c r="P43" s="464"/>
      <c r="Q43" s="464"/>
      <c r="R43" s="464"/>
      <c r="S43" s="464"/>
      <c r="T43" s="464"/>
      <c r="U43" s="464"/>
      <c r="V43" s="464"/>
      <c r="W43" s="464"/>
      <c r="X43" s="464"/>
      <c r="Y43" s="464"/>
      <c r="Z43" s="464"/>
      <c r="AA43" s="464"/>
      <c r="AB43" s="464"/>
      <c r="AC43" s="464"/>
      <c r="AD43" s="464"/>
      <c r="AE43" s="464"/>
      <c r="AF43" s="464"/>
      <c r="AG43" s="464"/>
      <c r="AH43" s="464"/>
      <c r="AI43" s="464"/>
      <c r="AJ43" s="464"/>
    </row>
    <row r="44" spans="1:36" ht="15.75" customHeight="1">
      <c r="A44" s="465"/>
      <c r="B44" s="486">
        <v>15000000</v>
      </c>
      <c r="C44" s="487">
        <f t="shared" si="3"/>
        <v>0</v>
      </c>
      <c r="D44" s="488">
        <f t="shared" si="4"/>
        <v>15000000</v>
      </c>
      <c r="E44" s="487">
        <f t="shared" si="5"/>
        <v>0</v>
      </c>
      <c r="F44" s="488">
        <f t="shared" si="6"/>
        <v>15000000</v>
      </c>
      <c r="G44" s="487">
        <f t="shared" si="7"/>
        <v>0</v>
      </c>
      <c r="H44" s="488">
        <f t="shared" si="8"/>
        <v>15000000</v>
      </c>
      <c r="I44" s="487">
        <f t="shared" si="9"/>
        <v>0</v>
      </c>
      <c r="J44" s="488">
        <f t="shared" si="10"/>
        <v>15000000</v>
      </c>
      <c r="K44" s="487">
        <f t="shared" si="11"/>
        <v>0</v>
      </c>
      <c r="L44" s="488">
        <f t="shared" si="12"/>
        <v>15000000</v>
      </c>
      <c r="M44" s="487">
        <f t="shared" si="13"/>
        <v>0</v>
      </c>
      <c r="N44" s="488">
        <f t="shared" si="14"/>
        <v>15000000</v>
      </c>
      <c r="O44" s="464"/>
      <c r="P44" s="464"/>
      <c r="Q44" s="464"/>
      <c r="R44" s="464"/>
      <c r="S44" s="464"/>
      <c r="T44" s="464"/>
      <c r="U44" s="464"/>
      <c r="V44" s="464"/>
      <c r="W44" s="464"/>
      <c r="X44" s="464"/>
      <c r="Y44" s="464"/>
      <c r="Z44" s="464"/>
      <c r="AA44" s="464"/>
      <c r="AB44" s="464"/>
      <c r="AC44" s="464"/>
      <c r="AD44" s="464"/>
      <c r="AE44" s="464"/>
      <c r="AF44" s="464"/>
      <c r="AG44" s="464"/>
      <c r="AH44" s="464"/>
      <c r="AI44" s="464"/>
      <c r="AJ44" s="464"/>
    </row>
    <row r="45" spans="1:36" ht="15.75" customHeight="1">
      <c r="A45" s="465"/>
      <c r="B45" s="486">
        <v>20000000</v>
      </c>
      <c r="C45" s="487">
        <f t="shared" si="3"/>
        <v>0</v>
      </c>
      <c r="D45" s="488">
        <f t="shared" si="4"/>
        <v>20000000</v>
      </c>
      <c r="E45" s="487">
        <f t="shared" si="5"/>
        <v>0</v>
      </c>
      <c r="F45" s="488">
        <f t="shared" si="6"/>
        <v>20000000</v>
      </c>
      <c r="G45" s="487">
        <f t="shared" si="7"/>
        <v>0</v>
      </c>
      <c r="H45" s="488">
        <f t="shared" si="8"/>
        <v>20000000</v>
      </c>
      <c r="I45" s="487">
        <f t="shared" si="9"/>
        <v>0</v>
      </c>
      <c r="J45" s="488">
        <f t="shared" si="10"/>
        <v>20000000</v>
      </c>
      <c r="K45" s="487">
        <f t="shared" si="11"/>
        <v>0</v>
      </c>
      <c r="L45" s="488">
        <f t="shared" si="12"/>
        <v>20000000</v>
      </c>
      <c r="M45" s="487">
        <f t="shared" si="13"/>
        <v>0</v>
      </c>
      <c r="N45" s="488">
        <f t="shared" si="14"/>
        <v>20000000</v>
      </c>
      <c r="O45" s="464"/>
      <c r="P45" s="464"/>
      <c r="Q45" s="464"/>
      <c r="R45" s="464"/>
      <c r="S45" s="464"/>
      <c r="T45" s="464"/>
      <c r="U45" s="464"/>
      <c r="V45" s="464"/>
      <c r="W45" s="464"/>
      <c r="X45" s="464"/>
      <c r="Y45" s="464"/>
      <c r="Z45" s="464"/>
      <c r="AA45" s="464"/>
      <c r="AB45" s="464"/>
      <c r="AC45" s="464"/>
      <c r="AD45" s="464"/>
      <c r="AE45" s="464"/>
      <c r="AF45" s="464"/>
      <c r="AG45" s="464"/>
      <c r="AH45" s="464"/>
      <c r="AI45" s="464"/>
      <c r="AJ45" s="464"/>
    </row>
    <row r="46" spans="1:36" ht="15.75" customHeight="1">
      <c r="A46" s="465"/>
      <c r="B46" s="489">
        <v>25000000</v>
      </c>
      <c r="C46" s="487">
        <f t="shared" si="3"/>
        <v>0</v>
      </c>
      <c r="D46" s="488">
        <f t="shared" si="4"/>
        <v>25000000</v>
      </c>
      <c r="E46" s="487">
        <f t="shared" si="5"/>
        <v>0</v>
      </c>
      <c r="F46" s="488">
        <f t="shared" si="6"/>
        <v>25000000</v>
      </c>
      <c r="G46" s="487">
        <f t="shared" si="7"/>
        <v>0</v>
      </c>
      <c r="H46" s="488">
        <f t="shared" si="8"/>
        <v>25000000</v>
      </c>
      <c r="I46" s="487">
        <f t="shared" si="9"/>
        <v>0</v>
      </c>
      <c r="J46" s="488">
        <f t="shared" si="10"/>
        <v>25000000</v>
      </c>
      <c r="K46" s="487">
        <f t="shared" si="11"/>
        <v>0</v>
      </c>
      <c r="L46" s="488">
        <f t="shared" si="12"/>
        <v>25000000</v>
      </c>
      <c r="M46" s="487">
        <f t="shared" si="13"/>
        <v>0</v>
      </c>
      <c r="N46" s="488">
        <f t="shared" si="14"/>
        <v>25000000</v>
      </c>
      <c r="O46" s="464"/>
      <c r="P46" s="464"/>
      <c r="Q46" s="464"/>
      <c r="R46" s="464"/>
      <c r="S46" s="464"/>
      <c r="T46" s="464"/>
      <c r="U46" s="464"/>
      <c r="V46" s="464"/>
      <c r="W46" s="464"/>
      <c r="X46" s="464"/>
      <c r="Y46" s="464"/>
      <c r="Z46" s="464"/>
      <c r="AA46" s="464"/>
      <c r="AB46" s="464"/>
      <c r="AC46" s="464"/>
      <c r="AD46" s="464"/>
      <c r="AE46" s="464"/>
      <c r="AF46" s="464"/>
      <c r="AG46" s="464"/>
      <c r="AH46" s="464"/>
      <c r="AI46" s="464"/>
      <c r="AJ46" s="464"/>
    </row>
    <row r="47" spans="1:36" ht="15.75" customHeight="1">
      <c r="A47" s="465"/>
      <c r="C47" s="487"/>
      <c r="D47" s="488"/>
      <c r="E47" s="487"/>
      <c r="F47" s="488"/>
      <c r="G47" s="487"/>
      <c r="H47" s="488"/>
      <c r="I47" s="487"/>
      <c r="J47" s="488"/>
      <c r="K47" s="487"/>
      <c r="L47" s="488"/>
      <c r="M47" s="487"/>
      <c r="N47" s="488"/>
      <c r="O47" s="464"/>
      <c r="P47" s="464"/>
      <c r="Q47" s="464"/>
      <c r="R47" s="464"/>
      <c r="S47" s="464"/>
      <c r="T47" s="464"/>
      <c r="U47" s="464"/>
      <c r="V47" s="464"/>
      <c r="W47" s="464"/>
      <c r="X47" s="464"/>
      <c r="Y47" s="464"/>
      <c r="Z47" s="464"/>
      <c r="AA47" s="464"/>
      <c r="AB47" s="464"/>
      <c r="AC47" s="464"/>
      <c r="AD47" s="464"/>
      <c r="AE47" s="464"/>
      <c r="AF47" s="464"/>
      <c r="AG47" s="464"/>
      <c r="AH47" s="464"/>
      <c r="AI47" s="464"/>
      <c r="AJ47" s="464"/>
    </row>
    <row r="48" spans="1:36" ht="15.75" customHeight="1">
      <c r="A48" s="465"/>
      <c r="C48" s="490"/>
      <c r="D48" s="491">
        <f>MIN(D32:D46)</f>
        <v>250000</v>
      </c>
      <c r="E48" s="490"/>
      <c r="F48" s="491">
        <f>MIN(F32:F46)</f>
        <v>250000</v>
      </c>
      <c r="G48" s="490"/>
      <c r="H48" s="491">
        <f>MIN(H32:H46)</f>
        <v>250000</v>
      </c>
      <c r="I48" s="490"/>
      <c r="J48" s="491">
        <f>MIN(J32:J46)</f>
        <v>250000</v>
      </c>
      <c r="K48" s="490"/>
      <c r="L48" s="491">
        <f>MIN(L32:L46)</f>
        <v>250000</v>
      </c>
      <c r="M48" s="490"/>
      <c r="N48" s="491">
        <f>MIN(N32:N46)</f>
        <v>250000</v>
      </c>
      <c r="O48" s="464"/>
      <c r="P48" s="464"/>
      <c r="Q48" s="464"/>
      <c r="R48" s="464"/>
      <c r="S48" s="464"/>
      <c r="T48" s="464"/>
      <c r="U48" s="464"/>
      <c r="V48" s="464"/>
      <c r="W48" s="464"/>
      <c r="X48" s="464"/>
      <c r="Y48" s="464"/>
      <c r="Z48" s="464"/>
      <c r="AA48" s="464"/>
      <c r="AB48" s="464"/>
      <c r="AC48" s="464"/>
      <c r="AD48" s="464"/>
      <c r="AE48" s="464"/>
      <c r="AF48" s="464"/>
      <c r="AG48" s="464"/>
      <c r="AH48" s="464"/>
      <c r="AI48" s="464"/>
      <c r="AJ48" s="464"/>
    </row>
    <row r="49" spans="1:36" ht="15.75" customHeight="1">
      <c r="A49" s="465"/>
      <c r="B49" s="464"/>
      <c r="C49" s="464"/>
      <c r="D49" s="464"/>
      <c r="E49" s="464"/>
      <c r="F49" s="464"/>
      <c r="G49" s="464"/>
      <c r="H49" s="464"/>
      <c r="I49" s="464"/>
      <c r="J49" s="464"/>
      <c r="K49" s="464"/>
      <c r="L49" s="464"/>
      <c r="M49" s="464"/>
      <c r="N49" s="464"/>
      <c r="O49" s="464"/>
      <c r="P49" s="464"/>
      <c r="Q49" s="464"/>
      <c r="R49" s="464"/>
      <c r="S49" s="464"/>
      <c r="T49" s="464"/>
      <c r="U49" s="464"/>
      <c r="V49" s="464"/>
      <c r="W49" s="464"/>
      <c r="X49" s="464"/>
      <c r="Y49" s="464"/>
      <c r="Z49" s="464"/>
      <c r="AA49" s="464"/>
      <c r="AB49" s="464"/>
      <c r="AC49" s="464"/>
      <c r="AD49" s="464"/>
      <c r="AE49" s="464"/>
      <c r="AF49" s="464"/>
      <c r="AG49" s="464"/>
      <c r="AH49" s="464"/>
      <c r="AI49" s="464"/>
      <c r="AJ49" s="464"/>
    </row>
    <row r="50" spans="1:36" ht="15.75" customHeight="1">
      <c r="A50" s="465"/>
      <c r="B50" s="464"/>
      <c r="C50" s="464"/>
      <c r="D50" s="464"/>
      <c r="E50" s="464"/>
      <c r="F50" s="464"/>
      <c r="G50" s="464"/>
      <c r="H50" s="464"/>
      <c r="I50" s="464"/>
      <c r="J50" s="464"/>
      <c r="K50" s="464"/>
      <c r="L50" s="464"/>
      <c r="M50" s="464"/>
      <c r="N50" s="464"/>
      <c r="O50" s="464"/>
      <c r="P50" s="464"/>
      <c r="Q50" s="464"/>
      <c r="R50" s="464"/>
      <c r="S50" s="464"/>
      <c r="T50" s="464"/>
      <c r="U50" s="464"/>
      <c r="V50" s="464"/>
      <c r="W50" s="464"/>
      <c r="X50" s="464"/>
      <c r="Y50" s="464"/>
      <c r="Z50" s="464"/>
      <c r="AA50" s="464"/>
      <c r="AB50" s="464"/>
      <c r="AC50" s="464"/>
      <c r="AD50" s="464"/>
      <c r="AE50" s="464"/>
      <c r="AF50" s="464"/>
      <c r="AG50" s="464"/>
      <c r="AH50" s="464"/>
      <c r="AI50" s="464"/>
      <c r="AJ50" s="464"/>
    </row>
    <row r="51" spans="1:36" ht="15.75" customHeight="1">
      <c r="A51" s="465"/>
      <c r="B51" s="464"/>
      <c r="C51" s="464"/>
      <c r="D51" s="464"/>
      <c r="E51" s="464"/>
      <c r="F51" s="464"/>
      <c r="G51" s="464"/>
      <c r="H51" s="464"/>
      <c r="I51" s="464"/>
      <c r="J51" s="464"/>
      <c r="K51" s="464"/>
      <c r="L51" s="464"/>
      <c r="M51" s="464"/>
      <c r="N51" s="464"/>
      <c r="O51" s="464"/>
      <c r="P51" s="464"/>
      <c r="Q51" s="464"/>
      <c r="R51" s="464"/>
      <c r="S51" s="464"/>
      <c r="T51" s="464"/>
      <c r="U51" s="464"/>
      <c r="V51" s="464"/>
      <c r="W51" s="464"/>
      <c r="X51" s="464"/>
      <c r="Y51" s="464"/>
      <c r="Z51" s="464"/>
      <c r="AA51" s="464"/>
      <c r="AB51" s="464"/>
      <c r="AC51" s="464"/>
      <c r="AD51" s="464"/>
      <c r="AE51" s="464"/>
      <c r="AF51" s="464"/>
      <c r="AG51" s="464"/>
      <c r="AH51" s="464"/>
      <c r="AI51" s="464"/>
      <c r="AJ51" s="464"/>
    </row>
    <row r="52" spans="1:36" ht="15.75" customHeight="1">
      <c r="A52" s="465"/>
      <c r="B52" s="464"/>
      <c r="C52" s="464"/>
      <c r="D52" s="464"/>
      <c r="E52" s="464"/>
      <c r="F52" s="464"/>
      <c r="G52" s="464"/>
      <c r="H52" s="464"/>
      <c r="I52" s="464"/>
      <c r="J52" s="464"/>
      <c r="K52" s="464"/>
      <c r="L52" s="464"/>
      <c r="M52" s="464"/>
      <c r="N52" s="464"/>
      <c r="O52" s="464"/>
      <c r="P52" s="464"/>
      <c r="Q52" s="464"/>
      <c r="R52" s="464"/>
      <c r="S52" s="464"/>
      <c r="T52" s="464"/>
      <c r="U52" s="464"/>
      <c r="V52" s="464"/>
      <c r="W52" s="464"/>
      <c r="X52" s="464"/>
      <c r="Y52" s="464"/>
      <c r="Z52" s="464"/>
      <c r="AA52" s="464"/>
      <c r="AB52" s="464"/>
      <c r="AC52" s="464"/>
      <c r="AD52" s="464"/>
      <c r="AE52" s="464"/>
      <c r="AF52" s="464"/>
      <c r="AG52" s="464"/>
      <c r="AH52" s="464"/>
      <c r="AI52" s="464"/>
      <c r="AJ52" s="464"/>
    </row>
    <row r="53" spans="1:36" ht="15.75" customHeight="1">
      <c r="A53" s="463"/>
      <c r="B53" s="464"/>
      <c r="C53" s="464"/>
      <c r="D53" s="464"/>
      <c r="E53" s="464"/>
      <c r="F53" s="464"/>
      <c r="G53" s="464"/>
      <c r="H53" s="464"/>
      <c r="I53" s="464"/>
      <c r="J53" s="464"/>
      <c r="K53" s="464"/>
      <c r="L53" s="464"/>
      <c r="M53" s="464"/>
      <c r="N53" s="464"/>
      <c r="O53" s="464"/>
      <c r="P53" s="464"/>
      <c r="Q53" s="464"/>
      <c r="R53" s="464"/>
      <c r="S53" s="464"/>
      <c r="T53" s="464"/>
      <c r="U53" s="464"/>
      <c r="V53" s="464"/>
      <c r="W53" s="464"/>
      <c r="X53" s="464"/>
      <c r="Y53" s="464"/>
      <c r="Z53" s="464"/>
      <c r="AA53" s="464"/>
      <c r="AB53" s="464"/>
      <c r="AC53" s="464"/>
      <c r="AD53" s="464"/>
      <c r="AE53" s="464"/>
      <c r="AF53" s="464"/>
      <c r="AG53" s="464"/>
      <c r="AH53" s="464"/>
      <c r="AI53" s="464"/>
      <c r="AJ53" s="464"/>
    </row>
    <row r="54" spans="1:36" ht="15.75" customHeight="1">
      <c r="A54" s="463"/>
      <c r="B54" s="464"/>
      <c r="C54" s="464"/>
      <c r="D54" s="464"/>
      <c r="E54" s="464"/>
      <c r="F54" s="464"/>
      <c r="G54" s="464"/>
      <c r="H54" s="464"/>
      <c r="I54" s="464"/>
      <c r="J54" s="464"/>
      <c r="K54" s="464"/>
      <c r="L54" s="464"/>
      <c r="M54" s="464"/>
      <c r="N54" s="464"/>
      <c r="O54" s="464"/>
      <c r="P54" s="464"/>
      <c r="Q54" s="464"/>
      <c r="R54" s="464"/>
      <c r="S54" s="464"/>
      <c r="T54" s="464"/>
      <c r="U54" s="464"/>
      <c r="V54" s="464"/>
      <c r="W54" s="464"/>
      <c r="X54" s="464"/>
      <c r="Y54" s="464"/>
      <c r="Z54" s="464"/>
      <c r="AA54" s="464"/>
      <c r="AB54" s="464"/>
      <c r="AC54" s="464"/>
      <c r="AD54" s="464"/>
      <c r="AE54" s="464"/>
      <c r="AF54" s="464"/>
      <c r="AG54" s="464"/>
      <c r="AH54" s="464"/>
      <c r="AI54" s="464"/>
      <c r="AJ54" s="464"/>
    </row>
    <row r="55" spans="1:36" ht="15.75" customHeight="1">
      <c r="A55" s="463"/>
      <c r="B55" s="464"/>
      <c r="C55" s="464"/>
      <c r="D55" s="464"/>
      <c r="E55" s="464"/>
      <c r="F55" s="464"/>
      <c r="G55" s="464"/>
      <c r="H55" s="464"/>
      <c r="I55" s="464"/>
      <c r="J55" s="464"/>
      <c r="K55" s="464"/>
      <c r="L55" s="464"/>
      <c r="M55" s="464"/>
      <c r="N55" s="464"/>
      <c r="O55" s="464"/>
      <c r="P55" s="464"/>
      <c r="Q55" s="464"/>
      <c r="R55" s="464"/>
      <c r="S55" s="464"/>
      <c r="T55" s="464"/>
      <c r="U55" s="464"/>
      <c r="V55" s="464"/>
      <c r="W55" s="464"/>
      <c r="X55" s="464"/>
      <c r="Y55" s="464"/>
      <c r="Z55" s="464"/>
      <c r="AA55" s="464"/>
      <c r="AB55" s="464"/>
      <c r="AC55" s="464"/>
      <c r="AD55" s="464"/>
      <c r="AE55" s="464"/>
      <c r="AF55" s="464"/>
      <c r="AG55" s="464"/>
      <c r="AH55" s="464"/>
      <c r="AI55" s="464"/>
      <c r="AJ55" s="464"/>
    </row>
    <row r="56" spans="1:36" ht="15.75" customHeight="1">
      <c r="A56" s="463"/>
      <c r="B56" s="464"/>
      <c r="C56" s="464"/>
      <c r="D56" s="464"/>
      <c r="E56" s="464"/>
      <c r="F56" s="464"/>
      <c r="G56" s="464"/>
      <c r="H56" s="464"/>
      <c r="I56" s="464"/>
      <c r="J56" s="464"/>
      <c r="K56" s="464"/>
      <c r="L56" s="464"/>
      <c r="M56" s="464"/>
      <c r="N56" s="464"/>
      <c r="O56" s="464"/>
      <c r="P56" s="464"/>
      <c r="Q56" s="464"/>
      <c r="R56" s="464"/>
      <c r="S56" s="464"/>
      <c r="T56" s="464"/>
      <c r="U56" s="464"/>
      <c r="V56" s="464"/>
      <c r="W56" s="464"/>
      <c r="X56" s="464"/>
      <c r="Y56" s="464"/>
      <c r="Z56" s="464"/>
      <c r="AA56" s="464"/>
      <c r="AB56" s="464"/>
      <c r="AC56" s="464"/>
      <c r="AD56" s="464"/>
      <c r="AE56" s="464"/>
      <c r="AF56" s="464"/>
      <c r="AG56" s="464"/>
      <c r="AH56" s="464"/>
      <c r="AI56" s="464"/>
      <c r="AJ56" s="464"/>
    </row>
    <row r="57" spans="1:36" ht="15.75" customHeight="1">
      <c r="A57" s="463"/>
      <c r="B57" s="464"/>
      <c r="C57" s="464"/>
      <c r="D57" s="464"/>
      <c r="E57" s="464"/>
      <c r="F57" s="464"/>
      <c r="G57" s="464"/>
      <c r="H57" s="464"/>
      <c r="I57" s="464"/>
      <c r="J57" s="464"/>
      <c r="K57" s="464"/>
      <c r="L57" s="464"/>
      <c r="M57" s="464"/>
      <c r="N57" s="464"/>
      <c r="O57" s="464"/>
      <c r="P57" s="464"/>
      <c r="Q57" s="464"/>
      <c r="R57" s="464"/>
      <c r="S57" s="464"/>
      <c r="T57" s="464"/>
      <c r="U57" s="464"/>
      <c r="V57" s="464"/>
      <c r="W57" s="464"/>
      <c r="X57" s="464"/>
      <c r="Y57" s="464"/>
      <c r="Z57" s="464"/>
      <c r="AA57" s="464"/>
      <c r="AB57" s="464"/>
      <c r="AC57" s="464"/>
      <c r="AD57" s="464"/>
      <c r="AE57" s="464"/>
      <c r="AF57" s="464"/>
      <c r="AG57" s="464"/>
      <c r="AH57" s="464"/>
      <c r="AI57" s="464"/>
      <c r="AJ57" s="464"/>
    </row>
    <row r="58" spans="1:36" ht="15.75" customHeight="1">
      <c r="A58" s="463"/>
      <c r="B58" s="464"/>
      <c r="C58" s="464"/>
      <c r="D58" s="464"/>
      <c r="E58" s="464"/>
      <c r="F58" s="464"/>
      <c r="G58" s="464"/>
      <c r="H58" s="464"/>
      <c r="I58" s="464"/>
      <c r="J58" s="464"/>
      <c r="K58" s="464"/>
      <c r="L58" s="464"/>
      <c r="M58" s="464"/>
      <c r="N58" s="464"/>
      <c r="O58" s="464"/>
      <c r="P58" s="464"/>
      <c r="Q58" s="464"/>
      <c r="R58" s="464"/>
      <c r="S58" s="464"/>
      <c r="T58" s="464"/>
      <c r="U58" s="464"/>
      <c r="V58" s="464"/>
      <c r="W58" s="464"/>
      <c r="X58" s="464"/>
      <c r="Y58" s="464"/>
      <c r="Z58" s="464"/>
      <c r="AA58" s="464"/>
      <c r="AB58" s="464"/>
      <c r="AC58" s="464"/>
      <c r="AD58" s="464"/>
      <c r="AE58" s="464"/>
      <c r="AF58" s="464"/>
      <c r="AG58" s="464"/>
      <c r="AH58" s="464"/>
      <c r="AI58" s="464"/>
      <c r="AJ58" s="464"/>
    </row>
    <row r="59" spans="1:36" ht="15.75" customHeight="1">
      <c r="A59" s="463"/>
      <c r="B59" s="464"/>
      <c r="C59" s="464"/>
      <c r="D59" s="464"/>
      <c r="E59" s="464"/>
      <c r="F59" s="464"/>
      <c r="G59" s="464"/>
      <c r="H59" s="464"/>
      <c r="I59" s="464"/>
      <c r="J59" s="464"/>
      <c r="K59" s="464"/>
      <c r="L59" s="464"/>
      <c r="M59" s="464"/>
      <c r="N59" s="464"/>
      <c r="O59" s="464"/>
      <c r="P59" s="464"/>
      <c r="Q59" s="464"/>
      <c r="R59" s="464"/>
      <c r="S59" s="464"/>
      <c r="T59" s="464"/>
      <c r="U59" s="464"/>
      <c r="V59" s="464"/>
      <c r="W59" s="464"/>
      <c r="X59" s="464"/>
      <c r="Y59" s="464"/>
      <c r="Z59" s="464"/>
      <c r="AA59" s="464"/>
      <c r="AB59" s="464"/>
      <c r="AC59" s="464"/>
      <c r="AD59" s="464"/>
      <c r="AE59" s="464"/>
      <c r="AF59" s="464"/>
      <c r="AG59" s="464"/>
      <c r="AH59" s="464"/>
      <c r="AI59" s="464"/>
      <c r="AJ59" s="464"/>
    </row>
    <row r="60" spans="1:36" ht="15.75" customHeight="1">
      <c r="A60" s="463"/>
      <c r="B60" s="464"/>
      <c r="C60" s="464"/>
      <c r="D60" s="464"/>
      <c r="E60" s="464"/>
      <c r="F60" s="464"/>
      <c r="G60" s="464"/>
      <c r="H60" s="464"/>
      <c r="I60" s="464"/>
      <c r="J60" s="464"/>
      <c r="K60" s="464"/>
      <c r="L60" s="464"/>
      <c r="M60" s="464"/>
      <c r="N60" s="464"/>
      <c r="O60" s="464"/>
      <c r="P60" s="464"/>
      <c r="Q60" s="464"/>
      <c r="R60" s="464"/>
      <c r="S60" s="464"/>
      <c r="T60" s="464"/>
      <c r="U60" s="464"/>
      <c r="V60" s="464"/>
      <c r="W60" s="464"/>
      <c r="X60" s="464"/>
      <c r="Y60" s="464"/>
      <c r="Z60" s="464"/>
      <c r="AA60" s="464"/>
      <c r="AB60" s="464"/>
      <c r="AC60" s="464"/>
      <c r="AD60" s="464"/>
      <c r="AE60" s="464"/>
      <c r="AF60" s="464"/>
      <c r="AG60" s="464"/>
      <c r="AH60" s="464"/>
      <c r="AI60" s="464"/>
      <c r="AJ60" s="464"/>
    </row>
    <row r="61" spans="1:36" ht="15.75" customHeight="1">
      <c r="A61" s="463"/>
      <c r="B61" s="464"/>
      <c r="C61" s="464"/>
      <c r="D61" s="464"/>
      <c r="E61" s="464"/>
      <c r="F61" s="464"/>
      <c r="G61" s="464"/>
      <c r="H61" s="464"/>
      <c r="I61" s="464"/>
      <c r="J61" s="464"/>
      <c r="K61" s="464"/>
      <c r="L61" s="464"/>
      <c r="M61" s="464"/>
      <c r="N61" s="464"/>
      <c r="O61" s="464"/>
      <c r="P61" s="464"/>
      <c r="Q61" s="464"/>
      <c r="R61" s="464"/>
      <c r="S61" s="464"/>
      <c r="T61" s="464"/>
      <c r="U61" s="464"/>
      <c r="V61" s="464"/>
      <c r="W61" s="464"/>
      <c r="X61" s="464"/>
      <c r="Y61" s="464"/>
      <c r="Z61" s="464"/>
      <c r="AA61" s="464"/>
      <c r="AB61" s="464"/>
      <c r="AC61" s="464"/>
      <c r="AD61" s="464"/>
      <c r="AE61" s="464"/>
      <c r="AF61" s="464"/>
      <c r="AG61" s="464"/>
      <c r="AH61" s="464"/>
      <c r="AI61" s="464"/>
      <c r="AJ61" s="464"/>
    </row>
    <row r="62" spans="1:36" ht="15.75" customHeight="1">
      <c r="A62" s="463"/>
      <c r="B62" s="464"/>
      <c r="C62" s="464"/>
      <c r="D62" s="464"/>
      <c r="E62" s="464"/>
      <c r="F62" s="464"/>
      <c r="G62" s="464"/>
      <c r="H62" s="464"/>
      <c r="I62" s="464"/>
      <c r="J62" s="464"/>
      <c r="K62" s="464"/>
      <c r="L62" s="464"/>
      <c r="M62" s="464"/>
      <c r="N62" s="464"/>
      <c r="O62" s="464"/>
      <c r="P62" s="464"/>
      <c r="Q62" s="464"/>
      <c r="R62" s="464"/>
      <c r="S62" s="464"/>
      <c r="T62" s="464"/>
      <c r="U62" s="464"/>
      <c r="V62" s="464"/>
      <c r="W62" s="464"/>
      <c r="X62" s="464"/>
      <c r="Y62" s="464"/>
      <c r="Z62" s="464"/>
      <c r="AA62" s="464"/>
      <c r="AB62" s="464"/>
      <c r="AC62" s="464"/>
      <c r="AD62" s="464"/>
      <c r="AE62" s="464"/>
      <c r="AF62" s="464"/>
      <c r="AG62" s="464"/>
      <c r="AH62" s="464"/>
      <c r="AI62" s="464"/>
      <c r="AJ62" s="464"/>
    </row>
    <row r="63" spans="1:36" ht="15.75" customHeight="1">
      <c r="A63" s="463"/>
      <c r="B63" s="464"/>
      <c r="C63" s="464"/>
      <c r="D63" s="464"/>
      <c r="E63" s="464"/>
      <c r="F63" s="464"/>
      <c r="G63" s="464"/>
      <c r="H63" s="464"/>
      <c r="I63" s="464"/>
      <c r="J63" s="464"/>
      <c r="K63" s="464"/>
      <c r="L63" s="464"/>
      <c r="M63" s="464"/>
      <c r="N63" s="464"/>
      <c r="O63" s="464"/>
      <c r="P63" s="464"/>
      <c r="Q63" s="464"/>
      <c r="R63" s="464"/>
      <c r="S63" s="464"/>
      <c r="T63" s="464"/>
      <c r="U63" s="464"/>
      <c r="V63" s="464"/>
      <c r="W63" s="464"/>
      <c r="X63" s="464"/>
      <c r="Y63" s="464"/>
      <c r="Z63" s="464"/>
      <c r="AA63" s="464"/>
      <c r="AB63" s="464"/>
      <c r="AC63" s="464"/>
      <c r="AD63" s="464"/>
      <c r="AE63" s="464"/>
      <c r="AF63" s="464"/>
      <c r="AG63" s="464"/>
      <c r="AH63" s="464"/>
      <c r="AI63" s="464"/>
      <c r="AJ63" s="464"/>
    </row>
    <row r="64" spans="1:36" ht="15.75" customHeight="1">
      <c r="A64" s="463"/>
      <c r="B64" s="464"/>
      <c r="C64" s="464"/>
      <c r="D64" s="464"/>
      <c r="E64" s="464"/>
      <c r="F64" s="464"/>
      <c r="G64" s="464"/>
      <c r="H64" s="464"/>
      <c r="I64" s="464"/>
      <c r="J64" s="464"/>
      <c r="K64" s="464"/>
      <c r="L64" s="464"/>
      <c r="M64" s="464"/>
      <c r="N64" s="464"/>
      <c r="O64" s="464"/>
      <c r="P64" s="464"/>
      <c r="Q64" s="464"/>
      <c r="R64" s="464"/>
      <c r="S64" s="464"/>
      <c r="T64" s="464"/>
      <c r="U64" s="464"/>
      <c r="V64" s="464"/>
      <c r="W64" s="464"/>
      <c r="X64" s="464"/>
      <c r="Y64" s="464"/>
      <c r="Z64" s="464"/>
      <c r="AA64" s="464"/>
      <c r="AB64" s="464"/>
      <c r="AC64" s="464"/>
      <c r="AD64" s="464"/>
      <c r="AE64" s="464"/>
      <c r="AF64" s="464"/>
      <c r="AG64" s="464"/>
      <c r="AH64" s="464"/>
      <c r="AI64" s="464"/>
      <c r="AJ64" s="464"/>
    </row>
    <row r="65" spans="1:36" ht="15.75" customHeight="1">
      <c r="A65" s="463"/>
      <c r="B65" s="464"/>
      <c r="C65" s="464"/>
      <c r="D65" s="464"/>
      <c r="E65" s="464"/>
      <c r="F65" s="464"/>
      <c r="G65" s="464"/>
      <c r="H65" s="464"/>
      <c r="I65" s="464"/>
      <c r="J65" s="464"/>
      <c r="K65" s="464"/>
      <c r="L65" s="464"/>
      <c r="M65" s="464"/>
      <c r="N65" s="464"/>
      <c r="O65" s="464"/>
      <c r="P65" s="464"/>
      <c r="Q65" s="464"/>
      <c r="R65" s="464"/>
      <c r="S65" s="464"/>
      <c r="T65" s="464"/>
      <c r="U65" s="464"/>
      <c r="V65" s="464"/>
      <c r="W65" s="464"/>
      <c r="X65" s="464"/>
      <c r="Y65" s="464"/>
      <c r="Z65" s="464"/>
      <c r="AA65" s="464"/>
      <c r="AB65" s="464"/>
      <c r="AC65" s="464"/>
      <c r="AD65" s="464"/>
      <c r="AE65" s="464"/>
      <c r="AF65" s="464"/>
      <c r="AG65" s="464"/>
      <c r="AH65" s="464"/>
      <c r="AI65" s="464"/>
      <c r="AJ65" s="464"/>
    </row>
    <row r="66" spans="1:36" ht="15.75" customHeight="1">
      <c r="A66" s="463"/>
      <c r="B66" s="464"/>
      <c r="C66" s="464"/>
      <c r="D66" s="464"/>
      <c r="E66" s="464"/>
      <c r="F66" s="464"/>
      <c r="G66" s="464"/>
      <c r="H66" s="464"/>
      <c r="I66" s="464"/>
      <c r="J66" s="464"/>
      <c r="K66" s="464"/>
      <c r="L66" s="464"/>
      <c r="M66" s="464"/>
      <c r="N66" s="464"/>
      <c r="O66" s="464"/>
      <c r="P66" s="464"/>
      <c r="Q66" s="464"/>
      <c r="R66" s="464"/>
      <c r="S66" s="464"/>
      <c r="T66" s="464"/>
      <c r="U66" s="464"/>
      <c r="V66" s="464"/>
      <c r="W66" s="464"/>
      <c r="X66" s="464"/>
      <c r="Y66" s="464"/>
      <c r="Z66" s="464"/>
      <c r="AA66" s="464"/>
      <c r="AB66" s="464"/>
      <c r="AC66" s="464"/>
      <c r="AD66" s="464"/>
      <c r="AE66" s="464"/>
      <c r="AF66" s="464"/>
      <c r="AG66" s="464"/>
      <c r="AH66" s="464"/>
      <c r="AI66" s="464"/>
      <c r="AJ66" s="464"/>
    </row>
    <row r="67" spans="1:36" ht="15.75" customHeight="1">
      <c r="A67" s="463"/>
      <c r="B67" s="464"/>
      <c r="C67" s="464"/>
      <c r="D67" s="464"/>
      <c r="E67" s="464"/>
      <c r="F67" s="464"/>
      <c r="G67" s="464"/>
      <c r="H67" s="464"/>
      <c r="I67" s="464"/>
      <c r="J67" s="464"/>
      <c r="K67" s="464"/>
      <c r="L67" s="464"/>
      <c r="M67" s="464"/>
      <c r="N67" s="464"/>
      <c r="O67" s="464"/>
      <c r="P67" s="464"/>
      <c r="Q67" s="464"/>
      <c r="R67" s="464"/>
      <c r="S67" s="464"/>
      <c r="T67" s="464"/>
      <c r="U67" s="464"/>
      <c r="V67" s="464"/>
      <c r="W67" s="464"/>
      <c r="X67" s="464"/>
      <c r="Y67" s="464"/>
      <c r="Z67" s="464"/>
      <c r="AA67" s="464"/>
      <c r="AB67" s="464"/>
      <c r="AC67" s="464"/>
      <c r="AD67" s="464"/>
      <c r="AE67" s="464"/>
      <c r="AF67" s="464"/>
      <c r="AG67" s="464"/>
      <c r="AH67" s="464"/>
      <c r="AI67" s="464"/>
      <c r="AJ67" s="464"/>
    </row>
    <row r="68" spans="1:36" ht="15.75" customHeight="1">
      <c r="A68" s="463"/>
      <c r="B68" s="464"/>
      <c r="C68" s="464"/>
      <c r="D68" s="464"/>
      <c r="E68" s="464"/>
      <c r="F68" s="464"/>
      <c r="G68" s="464"/>
      <c r="H68" s="464"/>
      <c r="I68" s="464"/>
      <c r="J68" s="464"/>
      <c r="K68" s="464"/>
      <c r="L68" s="464"/>
      <c r="M68" s="464"/>
      <c r="N68" s="464"/>
      <c r="O68" s="464"/>
      <c r="P68" s="464"/>
      <c r="Q68" s="464"/>
      <c r="R68" s="464"/>
      <c r="S68" s="464"/>
      <c r="T68" s="464"/>
      <c r="U68" s="464"/>
      <c r="V68" s="464"/>
      <c r="W68" s="464"/>
      <c r="X68" s="464"/>
      <c r="Y68" s="464"/>
      <c r="Z68" s="464"/>
      <c r="AA68" s="464"/>
      <c r="AB68" s="464"/>
      <c r="AC68" s="464"/>
      <c r="AD68" s="464"/>
      <c r="AE68" s="464"/>
      <c r="AF68" s="464"/>
      <c r="AG68" s="464"/>
      <c r="AH68" s="464"/>
      <c r="AI68" s="464"/>
      <c r="AJ68" s="464"/>
    </row>
    <row r="69" spans="1:36" ht="15.75" customHeight="1">
      <c r="A69" s="463"/>
      <c r="B69" s="464"/>
      <c r="C69" s="464"/>
      <c r="D69" s="464"/>
      <c r="E69" s="464"/>
      <c r="F69" s="464"/>
      <c r="G69" s="464"/>
      <c r="H69" s="464"/>
      <c r="I69" s="464"/>
      <c r="J69" s="464"/>
      <c r="K69" s="464"/>
      <c r="L69" s="464"/>
      <c r="M69" s="464"/>
      <c r="N69" s="464"/>
      <c r="O69" s="464"/>
      <c r="P69" s="464"/>
      <c r="Q69" s="464"/>
      <c r="R69" s="464"/>
      <c r="S69" s="464"/>
      <c r="T69" s="464"/>
      <c r="U69" s="464"/>
      <c r="V69" s="464"/>
      <c r="W69" s="464"/>
      <c r="X69" s="464"/>
      <c r="Y69" s="464"/>
      <c r="Z69" s="464"/>
      <c r="AA69" s="464"/>
      <c r="AB69" s="464"/>
      <c r="AC69" s="464"/>
      <c r="AD69" s="464"/>
      <c r="AE69" s="464"/>
      <c r="AF69" s="464"/>
      <c r="AG69" s="464"/>
      <c r="AH69" s="464"/>
      <c r="AI69" s="464"/>
      <c r="AJ69" s="464"/>
    </row>
    <row r="70" spans="1:36" ht="15.75" customHeight="1">
      <c r="A70" s="463"/>
      <c r="B70" s="464"/>
      <c r="C70" s="464"/>
      <c r="D70" s="464"/>
      <c r="E70" s="464"/>
      <c r="F70" s="464"/>
      <c r="G70" s="464"/>
      <c r="H70" s="464"/>
      <c r="I70" s="464"/>
      <c r="J70" s="464"/>
      <c r="K70" s="464"/>
      <c r="L70" s="464"/>
      <c r="M70" s="464"/>
      <c r="N70" s="464"/>
      <c r="O70" s="464"/>
      <c r="P70" s="464"/>
      <c r="Q70" s="464"/>
      <c r="R70" s="464"/>
      <c r="S70" s="464"/>
      <c r="T70" s="464"/>
      <c r="U70" s="464"/>
      <c r="V70" s="464"/>
      <c r="W70" s="464"/>
      <c r="X70" s="464"/>
      <c r="Y70" s="464"/>
      <c r="Z70" s="464"/>
      <c r="AA70" s="464"/>
      <c r="AB70" s="464"/>
      <c r="AC70" s="464"/>
      <c r="AD70" s="464"/>
      <c r="AE70" s="464"/>
      <c r="AF70" s="464"/>
      <c r="AG70" s="464"/>
      <c r="AH70" s="464"/>
      <c r="AI70" s="464"/>
      <c r="AJ70" s="464"/>
    </row>
    <row r="71" spans="1:36" ht="15.75" customHeight="1">
      <c r="A71" s="463"/>
      <c r="B71" s="464"/>
      <c r="C71" s="464"/>
      <c r="D71" s="464"/>
      <c r="E71" s="464"/>
      <c r="F71" s="464"/>
      <c r="G71" s="464"/>
      <c r="H71" s="464"/>
      <c r="I71" s="464"/>
      <c r="J71" s="464"/>
      <c r="K71" s="464"/>
      <c r="L71" s="464"/>
      <c r="M71" s="464"/>
      <c r="N71" s="464"/>
      <c r="O71" s="464"/>
      <c r="P71" s="464"/>
      <c r="Q71" s="464"/>
      <c r="R71" s="464"/>
      <c r="S71" s="464"/>
      <c r="T71" s="464"/>
      <c r="U71" s="464"/>
      <c r="V71" s="464"/>
      <c r="W71" s="464"/>
      <c r="X71" s="464"/>
      <c r="Y71" s="464"/>
      <c r="Z71" s="464"/>
      <c r="AA71" s="464"/>
      <c r="AB71" s="464"/>
      <c r="AC71" s="464"/>
      <c r="AD71" s="464"/>
      <c r="AE71" s="464"/>
      <c r="AF71" s="464"/>
      <c r="AG71" s="464"/>
      <c r="AH71" s="464"/>
      <c r="AI71" s="464"/>
      <c r="AJ71" s="464"/>
    </row>
    <row r="72" spans="1:36" ht="15.75" customHeight="1">
      <c r="A72" s="463"/>
      <c r="B72" s="464"/>
      <c r="C72" s="464"/>
      <c r="D72" s="464"/>
      <c r="E72" s="464"/>
      <c r="F72" s="464"/>
      <c r="G72" s="464"/>
      <c r="H72" s="464"/>
      <c r="I72" s="464"/>
      <c r="J72" s="464"/>
      <c r="K72" s="464"/>
      <c r="L72" s="464"/>
      <c r="M72" s="464"/>
      <c r="N72" s="464"/>
      <c r="O72" s="464"/>
      <c r="P72" s="464"/>
      <c r="Q72" s="464"/>
      <c r="R72" s="464"/>
      <c r="S72" s="464"/>
      <c r="T72" s="464"/>
      <c r="U72" s="464"/>
      <c r="V72" s="464"/>
      <c r="W72" s="464"/>
      <c r="X72" s="464"/>
      <c r="Y72" s="464"/>
      <c r="Z72" s="464"/>
      <c r="AA72" s="464"/>
      <c r="AB72" s="464"/>
      <c r="AC72" s="464"/>
      <c r="AD72" s="464"/>
      <c r="AE72" s="464"/>
      <c r="AF72" s="464"/>
      <c r="AG72" s="464"/>
      <c r="AH72" s="464"/>
      <c r="AI72" s="464"/>
      <c r="AJ72" s="464"/>
    </row>
    <row r="73" spans="1:36" ht="15.75" customHeight="1">
      <c r="A73" s="463"/>
      <c r="B73" s="464"/>
      <c r="C73" s="464"/>
      <c r="D73" s="464"/>
      <c r="E73" s="464"/>
      <c r="F73" s="464"/>
      <c r="G73" s="464"/>
      <c r="H73" s="464"/>
      <c r="I73" s="464"/>
      <c r="J73" s="464"/>
      <c r="K73" s="464"/>
      <c r="L73" s="464"/>
      <c r="M73" s="464"/>
      <c r="N73" s="464"/>
      <c r="O73" s="464"/>
      <c r="P73" s="464"/>
      <c r="Q73" s="464"/>
      <c r="R73" s="464"/>
      <c r="S73" s="464"/>
      <c r="T73" s="464"/>
      <c r="U73" s="464"/>
      <c r="V73" s="464"/>
      <c r="W73" s="464"/>
      <c r="X73" s="464"/>
      <c r="Y73" s="464"/>
      <c r="Z73" s="464"/>
      <c r="AA73" s="464"/>
      <c r="AB73" s="464"/>
      <c r="AC73" s="464"/>
      <c r="AD73" s="464"/>
      <c r="AE73" s="464"/>
      <c r="AF73" s="464"/>
      <c r="AG73" s="464"/>
      <c r="AH73" s="464"/>
      <c r="AI73" s="464"/>
      <c r="AJ73" s="464"/>
    </row>
    <row r="74" spans="1:36" ht="15.75" customHeight="1">
      <c r="A74" s="463"/>
      <c r="B74" s="464"/>
      <c r="C74" s="464"/>
      <c r="D74" s="464"/>
      <c r="E74" s="464"/>
      <c r="F74" s="464"/>
      <c r="G74" s="464"/>
      <c r="H74" s="464"/>
      <c r="I74" s="464"/>
      <c r="J74" s="464"/>
      <c r="K74" s="464"/>
      <c r="L74" s="464"/>
      <c r="M74" s="464"/>
      <c r="N74" s="464"/>
      <c r="O74" s="464"/>
      <c r="P74" s="464"/>
      <c r="Q74" s="464"/>
      <c r="R74" s="464"/>
      <c r="S74" s="464"/>
      <c r="T74" s="464"/>
      <c r="U74" s="464"/>
      <c r="V74" s="464"/>
      <c r="W74" s="464"/>
      <c r="X74" s="464"/>
      <c r="Y74" s="464"/>
      <c r="Z74" s="464"/>
      <c r="AA74" s="464"/>
      <c r="AB74" s="464"/>
      <c r="AC74" s="464"/>
      <c r="AD74" s="464"/>
      <c r="AE74" s="464"/>
      <c r="AF74" s="464"/>
      <c r="AG74" s="464"/>
      <c r="AH74" s="464"/>
      <c r="AI74" s="464"/>
      <c r="AJ74" s="464"/>
    </row>
    <row r="75" spans="1:36" ht="15.75" customHeight="1">
      <c r="A75" s="463"/>
      <c r="B75" s="464"/>
      <c r="C75" s="464"/>
      <c r="D75" s="464"/>
      <c r="E75" s="464"/>
      <c r="F75" s="464"/>
      <c r="G75" s="464"/>
      <c r="H75" s="464"/>
      <c r="I75" s="464"/>
      <c r="J75" s="464"/>
      <c r="K75" s="464"/>
      <c r="L75" s="464"/>
      <c r="M75" s="464"/>
      <c r="N75" s="464"/>
      <c r="O75" s="464"/>
      <c r="P75" s="464"/>
      <c r="Q75" s="464"/>
      <c r="R75" s="464"/>
      <c r="S75" s="464"/>
      <c r="T75" s="464"/>
      <c r="U75" s="464"/>
      <c r="V75" s="464"/>
      <c r="W75" s="464"/>
      <c r="X75" s="464"/>
      <c r="Y75" s="464"/>
      <c r="Z75" s="464"/>
      <c r="AA75" s="464"/>
      <c r="AB75" s="464"/>
      <c r="AC75" s="464"/>
      <c r="AD75" s="464"/>
      <c r="AE75" s="464"/>
      <c r="AF75" s="464"/>
      <c r="AG75" s="464"/>
      <c r="AH75" s="464"/>
      <c r="AI75" s="464"/>
      <c r="AJ75" s="464"/>
    </row>
    <row r="76" spans="1:36" ht="15.75" customHeight="1">
      <c r="A76" s="463"/>
      <c r="B76" s="464"/>
      <c r="C76" s="464"/>
      <c r="D76" s="464"/>
      <c r="E76" s="464"/>
      <c r="F76" s="464"/>
      <c r="G76" s="464"/>
      <c r="H76" s="464"/>
      <c r="I76" s="464"/>
      <c r="J76" s="464"/>
      <c r="K76" s="464"/>
      <c r="L76" s="464"/>
      <c r="M76" s="464"/>
      <c r="N76" s="464"/>
      <c r="O76" s="464"/>
      <c r="P76" s="464"/>
      <c r="Q76" s="464"/>
      <c r="R76" s="464"/>
      <c r="S76" s="464"/>
      <c r="T76" s="464"/>
      <c r="U76" s="464"/>
      <c r="V76" s="464"/>
      <c r="W76" s="464"/>
      <c r="X76" s="464"/>
      <c r="Y76" s="464"/>
      <c r="Z76" s="464"/>
      <c r="AA76" s="464"/>
      <c r="AB76" s="464"/>
      <c r="AC76" s="464"/>
      <c r="AD76" s="464"/>
      <c r="AE76" s="464"/>
      <c r="AF76" s="464"/>
      <c r="AG76" s="464"/>
      <c r="AH76" s="464"/>
      <c r="AI76" s="464"/>
      <c r="AJ76" s="464"/>
    </row>
    <row r="77" spans="1:36" ht="15.75" customHeight="1">
      <c r="A77" s="463"/>
      <c r="B77" s="464"/>
      <c r="C77" s="464"/>
      <c r="D77" s="464"/>
      <c r="E77" s="464"/>
      <c r="F77" s="464"/>
      <c r="G77" s="464"/>
      <c r="H77" s="464"/>
      <c r="I77" s="464"/>
      <c r="J77" s="464"/>
      <c r="K77" s="464"/>
      <c r="L77" s="464"/>
      <c r="M77" s="464"/>
      <c r="N77" s="464"/>
      <c r="O77" s="464"/>
      <c r="P77" s="464"/>
      <c r="Q77" s="464"/>
      <c r="R77" s="464"/>
      <c r="S77" s="464"/>
      <c r="T77" s="464"/>
      <c r="U77" s="464"/>
      <c r="V77" s="464"/>
      <c r="W77" s="464"/>
      <c r="X77" s="464"/>
      <c r="Y77" s="464"/>
      <c r="Z77" s="464"/>
      <c r="AA77" s="464"/>
      <c r="AB77" s="464"/>
      <c r="AC77" s="464"/>
      <c r="AD77" s="464"/>
      <c r="AE77" s="464"/>
      <c r="AF77" s="464"/>
      <c r="AG77" s="464"/>
      <c r="AH77" s="464"/>
      <c r="AI77" s="464"/>
      <c r="AJ77" s="464"/>
    </row>
    <row r="78" spans="1:36" ht="15.75" customHeight="1">
      <c r="A78" s="463"/>
      <c r="B78" s="464"/>
      <c r="C78" s="464"/>
      <c r="D78" s="464"/>
      <c r="E78" s="464"/>
      <c r="F78" s="464"/>
      <c r="G78" s="464"/>
      <c r="H78" s="464"/>
      <c r="I78" s="464"/>
      <c r="J78" s="464"/>
      <c r="K78" s="464"/>
      <c r="L78" s="464"/>
      <c r="M78" s="464"/>
      <c r="N78" s="464"/>
      <c r="O78" s="464"/>
      <c r="P78" s="464"/>
      <c r="Q78" s="464"/>
      <c r="R78" s="464"/>
      <c r="S78" s="464"/>
      <c r="T78" s="464"/>
      <c r="U78" s="464"/>
      <c r="V78" s="464"/>
      <c r="W78" s="464"/>
      <c r="X78" s="464"/>
      <c r="Y78" s="464"/>
      <c r="Z78" s="464"/>
      <c r="AA78" s="464"/>
      <c r="AB78" s="464"/>
      <c r="AC78" s="464"/>
      <c r="AD78" s="464"/>
      <c r="AE78" s="464"/>
      <c r="AF78" s="464"/>
      <c r="AG78" s="464"/>
      <c r="AH78" s="464"/>
      <c r="AI78" s="464"/>
      <c r="AJ78" s="464"/>
    </row>
    <row r="79" spans="1:36" ht="15.75" customHeight="1">
      <c r="A79" s="463"/>
      <c r="B79" s="464"/>
      <c r="C79" s="464"/>
      <c r="D79" s="464"/>
      <c r="E79" s="464"/>
      <c r="F79" s="464"/>
      <c r="G79" s="464"/>
      <c r="H79" s="464"/>
      <c r="I79" s="464"/>
      <c r="J79" s="464"/>
      <c r="K79" s="464"/>
      <c r="L79" s="464"/>
      <c r="M79" s="464"/>
      <c r="N79" s="464"/>
      <c r="O79" s="464"/>
      <c r="P79" s="464"/>
      <c r="Q79" s="464"/>
      <c r="R79" s="464"/>
      <c r="S79" s="464"/>
      <c r="T79" s="464"/>
      <c r="U79" s="464"/>
      <c r="V79" s="464"/>
      <c r="W79" s="464"/>
      <c r="X79" s="464"/>
      <c r="Y79" s="464"/>
      <c r="Z79" s="464"/>
      <c r="AA79" s="464"/>
      <c r="AB79" s="464"/>
      <c r="AC79" s="464"/>
      <c r="AD79" s="464"/>
      <c r="AE79" s="464"/>
      <c r="AF79" s="464"/>
      <c r="AG79" s="464"/>
      <c r="AH79" s="464"/>
      <c r="AI79" s="464"/>
      <c r="AJ79" s="464"/>
    </row>
    <row r="80" spans="1:36" ht="15.75" customHeight="1">
      <c r="A80" s="463"/>
      <c r="B80" s="464"/>
      <c r="C80" s="464"/>
      <c r="D80" s="464"/>
      <c r="E80" s="464"/>
      <c r="F80" s="464"/>
      <c r="G80" s="464"/>
      <c r="H80" s="464"/>
      <c r="I80" s="464"/>
      <c r="J80" s="464"/>
      <c r="K80" s="464"/>
      <c r="L80" s="464"/>
      <c r="M80" s="464"/>
      <c r="N80" s="464"/>
      <c r="O80" s="464"/>
      <c r="P80" s="464"/>
      <c r="Q80" s="464"/>
      <c r="R80" s="464"/>
      <c r="S80" s="464"/>
      <c r="T80" s="464"/>
      <c r="U80" s="464"/>
      <c r="V80" s="464"/>
      <c r="W80" s="464"/>
      <c r="X80" s="464"/>
      <c r="Y80" s="464"/>
      <c r="Z80" s="464"/>
      <c r="AA80" s="464"/>
      <c r="AB80" s="464"/>
      <c r="AC80" s="464"/>
      <c r="AD80" s="464"/>
      <c r="AE80" s="464"/>
      <c r="AF80" s="464"/>
      <c r="AG80" s="464"/>
      <c r="AH80" s="464"/>
      <c r="AI80" s="464"/>
      <c r="AJ80" s="464"/>
    </row>
    <row r="81" spans="1:36" ht="15.75" customHeight="1">
      <c r="A81" s="463"/>
      <c r="B81" s="464"/>
      <c r="C81" s="464"/>
      <c r="D81" s="464"/>
      <c r="E81" s="464"/>
      <c r="F81" s="464"/>
      <c r="G81" s="464"/>
      <c r="H81" s="464"/>
      <c r="I81" s="464"/>
      <c r="J81" s="464"/>
      <c r="K81" s="464"/>
      <c r="L81" s="464"/>
      <c r="M81" s="464"/>
      <c r="N81" s="464"/>
      <c r="O81" s="464"/>
      <c r="P81" s="464"/>
      <c r="Q81" s="464"/>
      <c r="R81" s="464"/>
      <c r="S81" s="464"/>
      <c r="T81" s="464"/>
      <c r="U81" s="464"/>
      <c r="V81" s="464"/>
      <c r="W81" s="464"/>
      <c r="X81" s="464"/>
      <c r="Y81" s="464"/>
      <c r="Z81" s="464"/>
      <c r="AA81" s="464"/>
      <c r="AB81" s="464"/>
      <c r="AC81" s="464"/>
      <c r="AD81" s="464"/>
      <c r="AE81" s="464"/>
      <c r="AF81" s="464"/>
      <c r="AG81" s="464"/>
      <c r="AH81" s="464"/>
      <c r="AI81" s="464"/>
      <c r="AJ81" s="464"/>
    </row>
    <row r="82" spans="1:36" ht="15.75" customHeight="1">
      <c r="A82" s="463"/>
      <c r="B82" s="464"/>
      <c r="C82" s="464"/>
      <c r="D82" s="464"/>
      <c r="E82" s="464"/>
      <c r="F82" s="464"/>
      <c r="G82" s="464"/>
      <c r="H82" s="464"/>
      <c r="I82" s="464"/>
      <c r="J82" s="464"/>
      <c r="K82" s="464"/>
      <c r="L82" s="464"/>
      <c r="M82" s="464"/>
      <c r="N82" s="464"/>
      <c r="O82" s="464"/>
      <c r="P82" s="464"/>
      <c r="Q82" s="464"/>
      <c r="R82" s="464"/>
      <c r="S82" s="464"/>
      <c r="T82" s="464"/>
      <c r="U82" s="464"/>
      <c r="V82" s="464"/>
      <c r="W82" s="464"/>
      <c r="X82" s="464"/>
      <c r="Y82" s="464"/>
      <c r="Z82" s="464"/>
      <c r="AA82" s="464"/>
      <c r="AB82" s="464"/>
      <c r="AC82" s="464"/>
      <c r="AD82" s="464"/>
      <c r="AE82" s="464"/>
      <c r="AF82" s="464"/>
      <c r="AG82" s="464"/>
      <c r="AH82" s="464"/>
      <c r="AI82" s="464"/>
      <c r="AJ82" s="464"/>
    </row>
    <row r="83" spans="1:36" ht="15.75" customHeight="1">
      <c r="A83" s="463"/>
      <c r="B83" s="464"/>
      <c r="C83" s="464"/>
      <c r="D83" s="464"/>
      <c r="E83" s="464"/>
      <c r="F83" s="464"/>
      <c r="G83" s="464"/>
      <c r="H83" s="464"/>
      <c r="I83" s="464"/>
      <c r="J83" s="464"/>
      <c r="K83" s="464"/>
      <c r="L83" s="464"/>
      <c r="M83" s="464"/>
      <c r="N83" s="464"/>
      <c r="O83" s="464"/>
      <c r="P83" s="464"/>
      <c r="Q83" s="464"/>
      <c r="R83" s="464"/>
      <c r="S83" s="464"/>
      <c r="T83" s="464"/>
      <c r="U83" s="464"/>
      <c r="V83" s="464"/>
      <c r="W83" s="464"/>
      <c r="X83" s="464"/>
      <c r="Y83" s="464"/>
      <c r="Z83" s="464"/>
      <c r="AA83" s="464"/>
      <c r="AB83" s="464"/>
      <c r="AC83" s="464"/>
      <c r="AD83" s="464"/>
      <c r="AE83" s="464"/>
      <c r="AF83" s="464"/>
      <c r="AG83" s="464"/>
      <c r="AH83" s="464"/>
      <c r="AI83" s="464"/>
      <c r="AJ83" s="464"/>
    </row>
    <row r="84" spans="1:36" ht="15.75" customHeight="1">
      <c r="A84" s="463"/>
      <c r="B84" s="464"/>
      <c r="C84" s="464"/>
      <c r="D84" s="464"/>
      <c r="E84" s="464"/>
      <c r="F84" s="464"/>
      <c r="G84" s="464"/>
      <c r="H84" s="464"/>
      <c r="I84" s="464"/>
      <c r="J84" s="464"/>
      <c r="K84" s="464"/>
      <c r="L84" s="464"/>
      <c r="M84" s="464"/>
      <c r="N84" s="464"/>
      <c r="O84" s="464"/>
      <c r="P84" s="464"/>
      <c r="Q84" s="464"/>
      <c r="R84" s="464"/>
      <c r="S84" s="464"/>
      <c r="T84" s="464"/>
      <c r="U84" s="464"/>
      <c r="V84" s="464"/>
      <c r="W84" s="464"/>
      <c r="X84" s="464"/>
      <c r="Y84" s="464"/>
      <c r="Z84" s="464"/>
      <c r="AA84" s="464"/>
      <c r="AB84" s="464"/>
      <c r="AC84" s="464"/>
      <c r="AD84" s="464"/>
      <c r="AE84" s="464"/>
      <c r="AF84" s="464"/>
      <c r="AG84" s="464"/>
      <c r="AH84" s="464"/>
      <c r="AI84" s="464"/>
      <c r="AJ84" s="464"/>
    </row>
    <row r="85" spans="1:36" ht="15.75" customHeight="1">
      <c r="A85" s="463"/>
      <c r="B85" s="464"/>
      <c r="C85" s="464"/>
      <c r="D85" s="464"/>
      <c r="E85" s="464"/>
      <c r="F85" s="464"/>
      <c r="G85" s="464"/>
      <c r="H85" s="464"/>
      <c r="I85" s="464"/>
      <c r="J85" s="464"/>
      <c r="K85" s="464"/>
      <c r="L85" s="464"/>
      <c r="M85" s="464"/>
      <c r="N85" s="464"/>
      <c r="O85" s="464"/>
      <c r="P85" s="464"/>
      <c r="Q85" s="464"/>
      <c r="R85" s="464"/>
      <c r="S85" s="464"/>
      <c r="T85" s="464"/>
      <c r="U85" s="464"/>
      <c r="V85" s="464"/>
      <c r="W85" s="464"/>
      <c r="X85" s="464"/>
      <c r="Y85" s="464"/>
      <c r="Z85" s="464"/>
      <c r="AA85" s="464"/>
      <c r="AB85" s="464"/>
      <c r="AC85" s="464"/>
      <c r="AD85" s="464"/>
      <c r="AE85" s="464"/>
      <c r="AF85" s="464"/>
      <c r="AG85" s="464"/>
      <c r="AH85" s="464"/>
      <c r="AI85" s="464"/>
      <c r="AJ85" s="464"/>
    </row>
    <row r="86" spans="1:36" ht="15.75" customHeight="1">
      <c r="A86" s="463"/>
      <c r="B86" s="464"/>
      <c r="C86" s="464"/>
      <c r="D86" s="464"/>
      <c r="E86" s="464"/>
      <c r="F86" s="464"/>
      <c r="G86" s="464"/>
      <c r="H86" s="464"/>
      <c r="I86" s="464"/>
      <c r="J86" s="464"/>
      <c r="K86" s="464"/>
      <c r="L86" s="464"/>
      <c r="M86" s="464"/>
      <c r="N86" s="464"/>
      <c r="O86" s="464"/>
      <c r="P86" s="464"/>
      <c r="Q86" s="464"/>
      <c r="R86" s="464"/>
      <c r="S86" s="464"/>
      <c r="T86" s="464"/>
      <c r="U86" s="464"/>
      <c r="V86" s="464"/>
      <c r="W86" s="464"/>
      <c r="X86" s="464"/>
      <c r="Y86" s="464"/>
      <c r="Z86" s="464"/>
      <c r="AA86" s="464"/>
      <c r="AB86" s="464"/>
      <c r="AC86" s="464"/>
      <c r="AD86" s="464"/>
      <c r="AE86" s="464"/>
      <c r="AF86" s="464"/>
      <c r="AG86" s="464"/>
      <c r="AH86" s="464"/>
      <c r="AI86" s="464"/>
      <c r="AJ86" s="464"/>
    </row>
    <row r="87" spans="1:36" ht="15.75" customHeight="1">
      <c r="A87" s="463"/>
      <c r="B87" s="464"/>
      <c r="C87" s="464"/>
      <c r="D87" s="464"/>
      <c r="E87" s="464"/>
      <c r="F87" s="464"/>
      <c r="G87" s="464"/>
      <c r="H87" s="464"/>
      <c r="I87" s="464"/>
      <c r="J87" s="464"/>
      <c r="K87" s="464"/>
      <c r="L87" s="464"/>
      <c r="M87" s="464"/>
      <c r="N87" s="464"/>
      <c r="O87" s="464"/>
      <c r="P87" s="464"/>
      <c r="Q87" s="464"/>
      <c r="R87" s="464"/>
      <c r="S87" s="464"/>
      <c r="T87" s="464"/>
      <c r="U87" s="464"/>
      <c r="V87" s="464"/>
      <c r="W87" s="464"/>
      <c r="X87" s="464"/>
      <c r="Y87" s="464"/>
      <c r="Z87" s="464"/>
      <c r="AA87" s="464"/>
      <c r="AB87" s="464"/>
      <c r="AC87" s="464"/>
      <c r="AD87" s="464"/>
      <c r="AE87" s="464"/>
      <c r="AF87" s="464"/>
      <c r="AG87" s="464"/>
      <c r="AH87" s="464"/>
      <c r="AI87" s="464"/>
      <c r="AJ87" s="464"/>
    </row>
    <row r="88" spans="1:36" ht="15.75" customHeight="1">
      <c r="A88" s="463"/>
      <c r="B88" s="464"/>
      <c r="C88" s="464"/>
      <c r="D88" s="464"/>
      <c r="E88" s="464"/>
      <c r="F88" s="464"/>
      <c r="G88" s="464"/>
      <c r="H88" s="464"/>
      <c r="I88" s="464"/>
      <c r="J88" s="464"/>
      <c r="K88" s="464"/>
      <c r="L88" s="464"/>
      <c r="M88" s="464"/>
      <c r="N88" s="464"/>
      <c r="O88" s="464"/>
      <c r="P88" s="464"/>
      <c r="Q88" s="464"/>
      <c r="R88" s="464"/>
      <c r="S88" s="464"/>
      <c r="T88" s="464"/>
      <c r="U88" s="464"/>
      <c r="V88" s="464"/>
      <c r="W88" s="464"/>
      <c r="X88" s="464"/>
      <c r="Y88" s="464"/>
      <c r="Z88" s="464"/>
      <c r="AA88" s="464"/>
      <c r="AB88" s="464"/>
      <c r="AC88" s="464"/>
      <c r="AD88" s="464"/>
      <c r="AE88" s="464"/>
      <c r="AF88" s="464"/>
      <c r="AG88" s="464"/>
      <c r="AH88" s="464"/>
      <c r="AI88" s="464"/>
      <c r="AJ88" s="464"/>
    </row>
    <row r="89" spans="1:36" ht="15.75" customHeight="1">
      <c r="A89" s="463"/>
      <c r="B89" s="464"/>
      <c r="C89" s="464"/>
      <c r="D89" s="464"/>
      <c r="E89" s="464"/>
      <c r="F89" s="464"/>
      <c r="G89" s="464"/>
      <c r="H89" s="464"/>
      <c r="I89" s="464"/>
      <c r="J89" s="464"/>
      <c r="K89" s="464"/>
      <c r="L89" s="464"/>
      <c r="M89" s="464"/>
      <c r="N89" s="464"/>
      <c r="O89" s="464"/>
      <c r="P89" s="464"/>
      <c r="Q89" s="464"/>
      <c r="R89" s="464"/>
      <c r="S89" s="464"/>
      <c r="T89" s="464"/>
      <c r="U89" s="464"/>
      <c r="V89" s="464"/>
      <c r="W89" s="464"/>
      <c r="X89" s="464"/>
      <c r="Y89" s="464"/>
      <c r="Z89" s="464"/>
      <c r="AA89" s="464"/>
      <c r="AB89" s="464"/>
      <c r="AC89" s="464"/>
      <c r="AD89" s="464"/>
      <c r="AE89" s="464"/>
      <c r="AF89" s="464"/>
      <c r="AG89" s="464"/>
      <c r="AH89" s="464"/>
      <c r="AI89" s="464"/>
      <c r="AJ89" s="464"/>
    </row>
    <row r="90" spans="1:36" ht="15.75" customHeight="1">
      <c r="A90" s="463"/>
      <c r="B90" s="464"/>
      <c r="C90" s="464"/>
      <c r="D90" s="464"/>
      <c r="E90" s="464"/>
      <c r="F90" s="464"/>
      <c r="G90" s="464"/>
      <c r="H90" s="464"/>
      <c r="I90" s="464"/>
      <c r="J90" s="464"/>
      <c r="K90" s="464"/>
      <c r="L90" s="464"/>
      <c r="M90" s="464"/>
      <c r="N90" s="464"/>
      <c r="O90" s="464"/>
      <c r="P90" s="464"/>
      <c r="Q90" s="464"/>
      <c r="R90" s="464"/>
      <c r="S90" s="464"/>
      <c r="T90" s="464"/>
      <c r="U90" s="464"/>
      <c r="V90" s="464"/>
      <c r="W90" s="464"/>
      <c r="X90" s="464"/>
      <c r="Y90" s="464"/>
      <c r="Z90" s="464"/>
      <c r="AA90" s="464"/>
      <c r="AB90" s="464"/>
      <c r="AC90" s="464"/>
      <c r="AD90" s="464"/>
      <c r="AE90" s="464"/>
      <c r="AF90" s="464"/>
      <c r="AG90" s="464"/>
      <c r="AH90" s="464"/>
      <c r="AI90" s="464"/>
      <c r="AJ90" s="464"/>
    </row>
    <row r="91" spans="1:36" ht="15.75" customHeight="1">
      <c r="A91" s="463"/>
      <c r="B91" s="464"/>
      <c r="C91" s="464"/>
      <c r="D91" s="464"/>
      <c r="E91" s="464"/>
      <c r="F91" s="464"/>
      <c r="G91" s="464"/>
      <c r="H91" s="464"/>
      <c r="I91" s="464"/>
      <c r="J91" s="464"/>
      <c r="K91" s="464"/>
      <c r="L91" s="464"/>
      <c r="M91" s="464"/>
      <c r="N91" s="464"/>
      <c r="O91" s="464"/>
      <c r="P91" s="464"/>
      <c r="Q91" s="464"/>
      <c r="R91" s="464"/>
      <c r="S91" s="464"/>
      <c r="T91" s="464"/>
      <c r="U91" s="464"/>
      <c r="V91" s="464"/>
      <c r="W91" s="464"/>
      <c r="X91" s="464"/>
      <c r="Y91" s="464"/>
      <c r="Z91" s="464"/>
      <c r="AA91" s="464"/>
      <c r="AB91" s="464"/>
      <c r="AC91" s="464"/>
      <c r="AD91" s="464"/>
      <c r="AE91" s="464"/>
      <c r="AF91" s="464"/>
      <c r="AG91" s="464"/>
      <c r="AH91" s="464"/>
      <c r="AI91" s="464"/>
      <c r="AJ91" s="464"/>
    </row>
    <row r="92" spans="1:36" ht="15.75" customHeight="1">
      <c r="A92" s="463"/>
      <c r="B92" s="464"/>
      <c r="C92" s="464"/>
      <c r="D92" s="464"/>
      <c r="E92" s="464"/>
      <c r="F92" s="464"/>
      <c r="G92" s="464"/>
      <c r="H92" s="464"/>
      <c r="I92" s="464"/>
      <c r="J92" s="464"/>
      <c r="K92" s="464"/>
      <c r="L92" s="464"/>
      <c r="M92" s="464"/>
      <c r="N92" s="464"/>
      <c r="O92" s="464"/>
      <c r="P92" s="464"/>
      <c r="Q92" s="464"/>
      <c r="R92" s="464"/>
      <c r="S92" s="464"/>
      <c r="T92" s="464"/>
      <c r="U92" s="464"/>
      <c r="V92" s="464"/>
      <c r="W92" s="464"/>
      <c r="X92" s="464"/>
      <c r="Y92" s="464"/>
      <c r="Z92" s="464"/>
      <c r="AA92" s="464"/>
      <c r="AB92" s="464"/>
      <c r="AC92" s="464"/>
      <c r="AD92" s="464"/>
      <c r="AE92" s="464"/>
      <c r="AF92" s="464"/>
      <c r="AG92" s="464"/>
      <c r="AH92" s="464"/>
      <c r="AI92" s="464"/>
      <c r="AJ92" s="464"/>
    </row>
    <row r="93" spans="1:36" ht="15.75" customHeight="1">
      <c r="A93" s="463"/>
      <c r="B93" s="464"/>
      <c r="C93" s="464"/>
      <c r="D93" s="464"/>
      <c r="E93" s="464"/>
      <c r="F93" s="464"/>
      <c r="G93" s="464"/>
      <c r="H93" s="464"/>
      <c r="I93" s="464"/>
      <c r="J93" s="464"/>
      <c r="K93" s="464"/>
      <c r="L93" s="464"/>
      <c r="M93" s="464"/>
      <c r="N93" s="464"/>
      <c r="O93" s="464"/>
      <c r="P93" s="464"/>
      <c r="Q93" s="464"/>
      <c r="R93" s="464"/>
      <c r="S93" s="464"/>
      <c r="T93" s="464"/>
      <c r="U93" s="464"/>
      <c r="V93" s="464"/>
      <c r="W93" s="464"/>
      <c r="X93" s="464"/>
      <c r="Y93" s="464"/>
      <c r="Z93" s="464"/>
      <c r="AA93" s="464"/>
      <c r="AB93" s="464"/>
      <c r="AC93" s="464"/>
      <c r="AD93" s="464"/>
      <c r="AE93" s="464"/>
      <c r="AF93" s="464"/>
      <c r="AG93" s="464"/>
      <c r="AH93" s="464"/>
      <c r="AI93" s="464"/>
      <c r="AJ93" s="464"/>
    </row>
    <row r="94" spans="1:36" ht="15.75" customHeight="1">
      <c r="A94" s="463"/>
      <c r="B94" s="464"/>
      <c r="C94" s="464"/>
      <c r="D94" s="464"/>
      <c r="E94" s="464"/>
      <c r="F94" s="464"/>
      <c r="G94" s="464"/>
      <c r="H94" s="464"/>
      <c r="I94" s="464"/>
      <c r="J94" s="464"/>
      <c r="K94" s="464"/>
      <c r="L94" s="464"/>
      <c r="M94" s="464"/>
      <c r="N94" s="464"/>
      <c r="O94" s="464"/>
      <c r="P94" s="464"/>
      <c r="Q94" s="464"/>
      <c r="R94" s="464"/>
      <c r="S94" s="464"/>
      <c r="T94" s="464"/>
      <c r="U94" s="464"/>
      <c r="V94" s="464"/>
      <c r="W94" s="464"/>
      <c r="X94" s="464"/>
      <c r="Y94" s="464"/>
      <c r="Z94" s="464"/>
      <c r="AA94" s="464"/>
      <c r="AB94" s="464"/>
      <c r="AC94" s="464"/>
      <c r="AD94" s="464"/>
      <c r="AE94" s="464"/>
      <c r="AF94" s="464"/>
      <c r="AG94" s="464"/>
      <c r="AH94" s="464"/>
      <c r="AI94" s="464"/>
      <c r="AJ94" s="464"/>
    </row>
    <row r="95" spans="1:36" ht="15.75" customHeight="1">
      <c r="A95" s="463"/>
      <c r="B95" s="464"/>
      <c r="C95" s="464"/>
      <c r="D95" s="464"/>
      <c r="E95" s="464"/>
      <c r="F95" s="464"/>
      <c r="G95" s="464"/>
      <c r="H95" s="464"/>
      <c r="I95" s="464"/>
      <c r="J95" s="464"/>
      <c r="K95" s="464"/>
      <c r="L95" s="464"/>
      <c r="M95" s="464"/>
      <c r="N95" s="464"/>
      <c r="O95" s="464"/>
      <c r="P95" s="464"/>
      <c r="Q95" s="464"/>
      <c r="R95" s="464"/>
      <c r="S95" s="464"/>
      <c r="T95" s="464"/>
      <c r="U95" s="464"/>
      <c r="V95" s="464"/>
      <c r="W95" s="464"/>
      <c r="X95" s="464"/>
      <c r="Y95" s="464"/>
      <c r="Z95" s="464"/>
      <c r="AA95" s="464"/>
      <c r="AB95" s="464"/>
      <c r="AC95" s="464"/>
      <c r="AD95" s="464"/>
      <c r="AE95" s="464"/>
      <c r="AF95" s="464"/>
      <c r="AG95" s="464"/>
      <c r="AH95" s="464"/>
      <c r="AI95" s="464"/>
      <c r="AJ95" s="464"/>
    </row>
    <row r="96" spans="1:36" ht="15.75" customHeight="1">
      <c r="A96" s="463"/>
      <c r="B96" s="464"/>
      <c r="C96" s="464"/>
      <c r="D96" s="464"/>
      <c r="E96" s="464"/>
      <c r="F96" s="464"/>
      <c r="G96" s="464"/>
      <c r="H96" s="464"/>
      <c r="I96" s="464"/>
      <c r="J96" s="464"/>
      <c r="K96" s="464"/>
      <c r="L96" s="464"/>
      <c r="M96" s="464"/>
      <c r="N96" s="464"/>
      <c r="O96" s="464"/>
      <c r="P96" s="464"/>
      <c r="Q96" s="464"/>
      <c r="R96" s="464"/>
      <c r="S96" s="464"/>
      <c r="T96" s="464"/>
      <c r="U96" s="464"/>
      <c r="V96" s="464"/>
      <c r="W96" s="464"/>
      <c r="X96" s="464"/>
      <c r="Y96" s="464"/>
      <c r="Z96" s="464"/>
      <c r="AA96" s="464"/>
      <c r="AB96" s="464"/>
      <c r="AC96" s="464"/>
      <c r="AD96" s="464"/>
      <c r="AE96" s="464"/>
      <c r="AF96" s="464"/>
      <c r="AG96" s="464"/>
      <c r="AH96" s="464"/>
      <c r="AI96" s="464"/>
      <c r="AJ96" s="464"/>
    </row>
    <row r="97" spans="1:36" ht="15.75" customHeight="1">
      <c r="A97" s="463"/>
      <c r="B97" s="464"/>
      <c r="C97" s="464"/>
      <c r="D97" s="464"/>
      <c r="E97" s="464"/>
      <c r="F97" s="464"/>
      <c r="G97" s="464"/>
      <c r="H97" s="464"/>
      <c r="I97" s="464"/>
      <c r="J97" s="464"/>
      <c r="K97" s="464"/>
      <c r="L97" s="464"/>
      <c r="M97" s="464"/>
      <c r="N97" s="464"/>
      <c r="O97" s="464"/>
      <c r="P97" s="464"/>
      <c r="Q97" s="464"/>
      <c r="R97" s="464"/>
      <c r="S97" s="464"/>
      <c r="T97" s="464"/>
      <c r="U97" s="464"/>
      <c r="V97" s="464"/>
      <c r="W97" s="464"/>
      <c r="X97" s="464"/>
      <c r="Y97" s="464"/>
      <c r="Z97" s="464"/>
      <c r="AA97" s="464"/>
      <c r="AB97" s="464"/>
      <c r="AC97" s="464"/>
      <c r="AD97" s="464"/>
      <c r="AE97" s="464"/>
      <c r="AF97" s="464"/>
      <c r="AG97" s="464"/>
      <c r="AH97" s="464"/>
      <c r="AI97" s="464"/>
      <c r="AJ97" s="464"/>
    </row>
    <row r="98" spans="1:36" ht="15.75" customHeight="1">
      <c r="A98" s="463"/>
      <c r="B98" s="464"/>
      <c r="C98" s="464"/>
      <c r="D98" s="464"/>
      <c r="E98" s="464"/>
      <c r="F98" s="464"/>
      <c r="G98" s="464"/>
      <c r="H98" s="464"/>
      <c r="I98" s="464"/>
      <c r="J98" s="464"/>
      <c r="K98" s="464"/>
      <c r="L98" s="464"/>
      <c r="M98" s="464"/>
      <c r="N98" s="464"/>
      <c r="O98" s="464"/>
      <c r="P98" s="464"/>
      <c r="Q98" s="464"/>
      <c r="R98" s="464"/>
      <c r="S98" s="464"/>
      <c r="T98" s="464"/>
      <c r="U98" s="464"/>
      <c r="V98" s="464"/>
      <c r="W98" s="464"/>
      <c r="X98" s="464"/>
      <c r="Y98" s="464"/>
      <c r="Z98" s="464"/>
      <c r="AA98" s="464"/>
      <c r="AB98" s="464"/>
      <c r="AC98" s="464"/>
      <c r="AD98" s="464"/>
      <c r="AE98" s="464"/>
      <c r="AF98" s="464"/>
      <c r="AG98" s="464"/>
      <c r="AH98" s="464"/>
      <c r="AI98" s="464"/>
      <c r="AJ98" s="464"/>
    </row>
    <row r="99" spans="1:36" ht="15.75" customHeight="1">
      <c r="A99" s="463"/>
      <c r="B99" s="464"/>
      <c r="C99" s="464"/>
      <c r="D99" s="464"/>
      <c r="E99" s="464"/>
      <c r="F99" s="464"/>
      <c r="G99" s="464"/>
      <c r="H99" s="464"/>
      <c r="I99" s="464"/>
      <c r="J99" s="464"/>
      <c r="K99" s="464"/>
      <c r="L99" s="464"/>
      <c r="M99" s="464"/>
      <c r="N99" s="464"/>
      <c r="O99" s="464"/>
      <c r="P99" s="464"/>
      <c r="Q99" s="464"/>
      <c r="R99" s="464"/>
      <c r="S99" s="464"/>
      <c r="T99" s="464"/>
      <c r="U99" s="464"/>
      <c r="V99" s="464"/>
      <c r="W99" s="464"/>
      <c r="X99" s="464"/>
      <c r="Y99" s="464"/>
      <c r="Z99" s="464"/>
      <c r="AA99" s="464"/>
      <c r="AB99" s="464"/>
      <c r="AC99" s="464"/>
      <c r="AD99" s="464"/>
      <c r="AE99" s="464"/>
      <c r="AF99" s="464"/>
      <c r="AG99" s="464"/>
      <c r="AH99" s="464"/>
      <c r="AI99" s="464"/>
      <c r="AJ99" s="464"/>
    </row>
    <row r="100" spans="1:36" ht="15.75" customHeight="1">
      <c r="A100" s="463"/>
      <c r="B100" s="464"/>
      <c r="C100" s="464"/>
      <c r="D100" s="464"/>
      <c r="E100" s="464"/>
      <c r="F100" s="464"/>
      <c r="G100" s="464"/>
      <c r="H100" s="464"/>
      <c r="I100" s="464"/>
      <c r="J100" s="464"/>
      <c r="K100" s="464"/>
      <c r="L100" s="464"/>
      <c r="M100" s="464"/>
      <c r="N100" s="464"/>
      <c r="O100" s="464"/>
      <c r="P100" s="464"/>
      <c r="Q100" s="464"/>
      <c r="R100" s="464"/>
      <c r="S100" s="464"/>
      <c r="T100" s="464"/>
      <c r="U100" s="464"/>
      <c r="V100" s="464"/>
      <c r="W100" s="464"/>
      <c r="X100" s="464"/>
      <c r="Y100" s="464"/>
      <c r="Z100" s="464"/>
      <c r="AA100" s="464"/>
      <c r="AB100" s="464"/>
      <c r="AC100" s="464"/>
      <c r="AD100" s="464"/>
      <c r="AE100" s="464"/>
      <c r="AF100" s="464"/>
      <c r="AG100" s="464"/>
      <c r="AH100" s="464"/>
      <c r="AI100" s="464"/>
      <c r="AJ100" s="464"/>
    </row>
    <row r="101" spans="1:36" ht="15.75" customHeight="1">
      <c r="A101" s="463"/>
      <c r="B101" s="464"/>
      <c r="C101" s="464"/>
      <c r="D101" s="464"/>
      <c r="E101" s="464"/>
      <c r="F101" s="464"/>
      <c r="G101" s="464"/>
      <c r="H101" s="464"/>
      <c r="I101" s="464"/>
      <c r="J101" s="464"/>
      <c r="K101" s="464"/>
      <c r="L101" s="464"/>
      <c r="M101" s="464"/>
      <c r="N101" s="464"/>
      <c r="O101" s="464"/>
      <c r="P101" s="464"/>
      <c r="Q101" s="464"/>
      <c r="R101" s="464"/>
      <c r="S101" s="464"/>
      <c r="T101" s="464"/>
      <c r="U101" s="464"/>
      <c r="V101" s="464"/>
      <c r="W101" s="464"/>
      <c r="X101" s="464"/>
      <c r="Y101" s="464"/>
      <c r="Z101" s="464"/>
      <c r="AA101" s="464"/>
      <c r="AB101" s="464"/>
      <c r="AC101" s="464"/>
      <c r="AD101" s="464"/>
      <c r="AE101" s="464"/>
      <c r="AF101" s="464"/>
      <c r="AG101" s="464"/>
      <c r="AH101" s="464"/>
      <c r="AI101" s="464"/>
      <c r="AJ101" s="464"/>
    </row>
    <row r="102" spans="1:36" ht="15.75" customHeight="1">
      <c r="A102" s="463"/>
      <c r="B102" s="464"/>
      <c r="C102" s="464"/>
      <c r="D102" s="464"/>
      <c r="E102" s="464"/>
      <c r="F102" s="464"/>
      <c r="G102" s="464"/>
      <c r="H102" s="464"/>
      <c r="I102" s="464"/>
      <c r="J102" s="464"/>
      <c r="K102" s="464"/>
      <c r="L102" s="464"/>
      <c r="M102" s="464"/>
      <c r="N102" s="464"/>
      <c r="O102" s="464"/>
      <c r="P102" s="464"/>
      <c r="Q102" s="464"/>
      <c r="R102" s="464"/>
      <c r="S102" s="464"/>
      <c r="T102" s="464"/>
      <c r="U102" s="464"/>
      <c r="V102" s="464"/>
      <c r="W102" s="464"/>
      <c r="X102" s="464"/>
      <c r="Y102" s="464"/>
      <c r="Z102" s="464"/>
      <c r="AA102" s="464"/>
      <c r="AB102" s="464"/>
      <c r="AC102" s="464"/>
      <c r="AD102" s="464"/>
      <c r="AE102" s="464"/>
      <c r="AF102" s="464"/>
      <c r="AG102" s="464"/>
      <c r="AH102" s="464"/>
      <c r="AI102" s="464"/>
      <c r="AJ102" s="464"/>
    </row>
    <row r="103" spans="1:36" ht="15.75" customHeight="1">
      <c r="A103" s="463"/>
      <c r="B103" s="464"/>
      <c r="C103" s="464"/>
      <c r="D103" s="464"/>
      <c r="E103" s="464"/>
      <c r="F103" s="464"/>
      <c r="G103" s="464"/>
      <c r="H103" s="464"/>
      <c r="I103" s="464"/>
      <c r="J103" s="464"/>
      <c r="K103" s="464"/>
      <c r="L103" s="464"/>
      <c r="M103" s="464"/>
      <c r="N103" s="464"/>
      <c r="O103" s="464"/>
      <c r="P103" s="464"/>
      <c r="Q103" s="464"/>
      <c r="R103" s="464"/>
      <c r="S103" s="464"/>
      <c r="T103" s="464"/>
      <c r="U103" s="464"/>
      <c r="V103" s="464"/>
      <c r="W103" s="464"/>
      <c r="X103" s="464"/>
      <c r="Y103" s="464"/>
      <c r="Z103" s="464"/>
      <c r="AA103" s="464"/>
      <c r="AB103" s="464"/>
      <c r="AC103" s="464"/>
      <c r="AD103" s="464"/>
      <c r="AE103" s="464"/>
      <c r="AF103" s="464"/>
      <c r="AG103" s="464"/>
      <c r="AH103" s="464"/>
      <c r="AI103" s="464"/>
      <c r="AJ103" s="464"/>
    </row>
    <row r="104" spans="1:36" ht="15.75" customHeight="1">
      <c r="A104" s="463"/>
      <c r="B104" s="464"/>
      <c r="C104" s="464"/>
      <c r="D104" s="464"/>
      <c r="E104" s="464"/>
      <c r="F104" s="464"/>
      <c r="G104" s="464"/>
      <c r="H104" s="464"/>
      <c r="I104" s="464"/>
      <c r="J104" s="464"/>
      <c r="K104" s="464"/>
      <c r="L104" s="464"/>
      <c r="M104" s="464"/>
      <c r="N104" s="464"/>
      <c r="O104" s="464"/>
      <c r="P104" s="464"/>
      <c r="Q104" s="464"/>
      <c r="R104" s="464"/>
      <c r="S104" s="464"/>
      <c r="T104" s="464"/>
      <c r="U104" s="464"/>
      <c r="V104" s="464"/>
      <c r="W104" s="464"/>
      <c r="X104" s="464"/>
      <c r="Y104" s="464"/>
      <c r="Z104" s="464"/>
      <c r="AA104" s="464"/>
      <c r="AB104" s="464"/>
      <c r="AC104" s="464"/>
      <c r="AD104" s="464"/>
      <c r="AE104" s="464"/>
      <c r="AF104" s="464"/>
      <c r="AG104" s="464"/>
      <c r="AH104" s="464"/>
      <c r="AI104" s="464"/>
      <c r="AJ104" s="464"/>
    </row>
    <row r="105" spans="1:36" ht="15.75" customHeight="1">
      <c r="A105" s="463"/>
      <c r="B105" s="464"/>
      <c r="C105" s="464"/>
      <c r="D105" s="464"/>
      <c r="E105" s="464"/>
      <c r="F105" s="464"/>
      <c r="G105" s="464"/>
      <c r="H105" s="464"/>
      <c r="I105" s="464"/>
      <c r="J105" s="464"/>
      <c r="K105" s="464"/>
      <c r="L105" s="464"/>
      <c r="M105" s="464"/>
      <c r="N105" s="464"/>
      <c r="O105" s="464"/>
      <c r="P105" s="464"/>
      <c r="Q105" s="464"/>
      <c r="R105" s="464"/>
      <c r="S105" s="464"/>
      <c r="T105" s="464"/>
      <c r="U105" s="464"/>
      <c r="V105" s="464"/>
      <c r="W105" s="464"/>
      <c r="X105" s="464"/>
      <c r="Y105" s="464"/>
      <c r="Z105" s="464"/>
      <c r="AA105" s="464"/>
      <c r="AB105" s="464"/>
      <c r="AC105" s="464"/>
      <c r="AD105" s="464"/>
      <c r="AE105" s="464"/>
      <c r="AF105" s="464"/>
      <c r="AG105" s="464"/>
      <c r="AH105" s="464"/>
      <c r="AI105" s="464"/>
      <c r="AJ105" s="464"/>
    </row>
    <row r="106" spans="1:36" ht="15.75" customHeight="1">
      <c r="A106" s="463"/>
      <c r="B106" s="464"/>
      <c r="C106" s="464"/>
      <c r="D106" s="464"/>
      <c r="E106" s="464"/>
      <c r="F106" s="464"/>
      <c r="G106" s="464"/>
      <c r="H106" s="464"/>
      <c r="I106" s="464"/>
      <c r="J106" s="464"/>
      <c r="K106" s="464"/>
      <c r="L106" s="464"/>
      <c r="M106" s="464"/>
      <c r="N106" s="464"/>
      <c r="O106" s="464"/>
      <c r="P106" s="464"/>
      <c r="Q106" s="464"/>
      <c r="R106" s="464"/>
      <c r="S106" s="464"/>
      <c r="T106" s="464"/>
      <c r="U106" s="464"/>
      <c r="V106" s="464"/>
      <c r="W106" s="464"/>
      <c r="X106" s="464"/>
      <c r="Y106" s="464"/>
      <c r="Z106" s="464"/>
      <c r="AA106" s="464"/>
      <c r="AB106" s="464"/>
      <c r="AC106" s="464"/>
      <c r="AD106" s="464"/>
      <c r="AE106" s="464"/>
      <c r="AF106" s="464"/>
      <c r="AG106" s="464"/>
      <c r="AH106" s="464"/>
      <c r="AI106" s="464"/>
      <c r="AJ106" s="464"/>
    </row>
    <row r="107" spans="1:36" ht="15.75" customHeight="1">
      <c r="A107" s="463"/>
      <c r="B107" s="464"/>
      <c r="C107" s="464"/>
      <c r="D107" s="464"/>
      <c r="E107" s="464"/>
      <c r="F107" s="464"/>
      <c r="G107" s="464"/>
      <c r="H107" s="464"/>
      <c r="I107" s="464"/>
      <c r="J107" s="464"/>
      <c r="K107" s="464"/>
      <c r="L107" s="464"/>
      <c r="M107" s="464"/>
      <c r="N107" s="464"/>
      <c r="O107" s="464"/>
      <c r="P107" s="464"/>
      <c r="Q107" s="464"/>
      <c r="R107" s="464"/>
      <c r="S107" s="464"/>
      <c r="T107" s="464"/>
      <c r="U107" s="464"/>
      <c r="V107" s="464"/>
      <c r="W107" s="464"/>
      <c r="X107" s="464"/>
      <c r="Y107" s="464"/>
      <c r="Z107" s="464"/>
      <c r="AA107" s="464"/>
      <c r="AB107" s="464"/>
      <c r="AC107" s="464"/>
      <c r="AD107" s="464"/>
      <c r="AE107" s="464"/>
      <c r="AF107" s="464"/>
      <c r="AG107" s="464"/>
      <c r="AH107" s="464"/>
      <c r="AI107" s="464"/>
      <c r="AJ107" s="464"/>
    </row>
    <row r="108" spans="1:36" ht="15.75" customHeight="1">
      <c r="A108" s="463"/>
      <c r="B108" s="464"/>
      <c r="C108" s="464"/>
      <c r="D108" s="464"/>
      <c r="E108" s="464"/>
      <c r="F108" s="464"/>
      <c r="G108" s="464"/>
      <c r="H108" s="464"/>
      <c r="I108" s="464"/>
      <c r="J108" s="464"/>
      <c r="K108" s="464"/>
      <c r="L108" s="464"/>
      <c r="M108" s="464"/>
      <c r="N108" s="464"/>
      <c r="O108" s="464"/>
      <c r="P108" s="464"/>
      <c r="Q108" s="464"/>
      <c r="R108" s="464"/>
      <c r="S108" s="464"/>
      <c r="T108" s="464"/>
      <c r="U108" s="464"/>
      <c r="V108" s="464"/>
      <c r="W108" s="464"/>
      <c r="X108" s="464"/>
      <c r="Y108" s="464"/>
      <c r="Z108" s="464"/>
      <c r="AA108" s="464"/>
      <c r="AB108" s="464"/>
      <c r="AC108" s="464"/>
      <c r="AD108" s="464"/>
      <c r="AE108" s="464"/>
      <c r="AF108" s="464"/>
      <c r="AG108" s="464"/>
      <c r="AH108" s="464"/>
      <c r="AI108" s="464"/>
      <c r="AJ108" s="464"/>
    </row>
    <row r="109" spans="1:36" ht="15.75" customHeight="1">
      <c r="A109" s="463"/>
      <c r="B109" s="464"/>
      <c r="C109" s="464"/>
      <c r="D109" s="464"/>
      <c r="E109" s="464"/>
      <c r="F109" s="464"/>
      <c r="G109" s="464"/>
      <c r="H109" s="464"/>
      <c r="I109" s="464"/>
      <c r="J109" s="464"/>
      <c r="K109" s="464"/>
      <c r="L109" s="464"/>
      <c r="M109" s="464"/>
      <c r="N109" s="464"/>
      <c r="O109" s="464"/>
      <c r="P109" s="464"/>
      <c r="Q109" s="464"/>
      <c r="R109" s="464"/>
      <c r="S109" s="464"/>
      <c r="T109" s="464"/>
      <c r="U109" s="464"/>
      <c r="V109" s="464"/>
      <c r="W109" s="464"/>
      <c r="X109" s="464"/>
      <c r="Y109" s="464"/>
      <c r="Z109" s="464"/>
      <c r="AA109" s="464"/>
      <c r="AB109" s="464"/>
      <c r="AC109" s="464"/>
      <c r="AD109" s="464"/>
      <c r="AE109" s="464"/>
      <c r="AF109" s="464"/>
      <c r="AG109" s="464"/>
      <c r="AH109" s="464"/>
      <c r="AI109" s="464"/>
      <c r="AJ109" s="464"/>
    </row>
    <row r="110" spans="1:36" ht="15.75" customHeight="1">
      <c r="A110" s="463"/>
      <c r="B110" s="464"/>
      <c r="C110" s="464"/>
      <c r="D110" s="464"/>
      <c r="E110" s="464"/>
      <c r="F110" s="464"/>
      <c r="G110" s="464"/>
      <c r="H110" s="464"/>
      <c r="I110" s="464"/>
      <c r="J110" s="464"/>
      <c r="K110" s="464"/>
      <c r="L110" s="464"/>
      <c r="M110" s="464"/>
      <c r="N110" s="464"/>
      <c r="O110" s="464"/>
      <c r="P110" s="464"/>
      <c r="Q110" s="464"/>
      <c r="R110" s="464"/>
      <c r="S110" s="464"/>
      <c r="T110" s="464"/>
      <c r="U110" s="464"/>
      <c r="V110" s="464"/>
      <c r="W110" s="464"/>
      <c r="X110" s="464"/>
      <c r="Y110" s="464"/>
      <c r="Z110" s="464"/>
      <c r="AA110" s="464"/>
      <c r="AB110" s="464"/>
      <c r="AC110" s="464"/>
      <c r="AD110" s="464"/>
      <c r="AE110" s="464"/>
      <c r="AF110" s="464"/>
      <c r="AG110" s="464"/>
      <c r="AH110" s="464"/>
      <c r="AI110" s="464"/>
      <c r="AJ110" s="464"/>
    </row>
    <row r="111" spans="1:36" ht="15.75" customHeight="1">
      <c r="A111" s="463"/>
      <c r="B111" s="464"/>
      <c r="C111" s="464"/>
      <c r="D111" s="464"/>
      <c r="E111" s="464"/>
      <c r="F111" s="464"/>
      <c r="G111" s="464"/>
      <c r="H111" s="464"/>
      <c r="I111" s="464"/>
      <c r="J111" s="464"/>
      <c r="K111" s="464"/>
      <c r="L111" s="464"/>
      <c r="M111" s="464"/>
      <c r="N111" s="464"/>
      <c r="O111" s="464"/>
      <c r="P111" s="464"/>
      <c r="Q111" s="464"/>
      <c r="R111" s="464"/>
      <c r="S111" s="464"/>
      <c r="T111" s="464"/>
      <c r="U111" s="464"/>
      <c r="V111" s="464"/>
      <c r="W111" s="464"/>
      <c r="X111" s="464"/>
      <c r="Y111" s="464"/>
      <c r="Z111" s="464"/>
      <c r="AA111" s="464"/>
      <c r="AB111" s="464"/>
      <c r="AC111" s="464"/>
      <c r="AD111" s="464"/>
      <c r="AE111" s="464"/>
      <c r="AF111" s="464"/>
      <c r="AG111" s="464"/>
      <c r="AH111" s="464"/>
      <c r="AI111" s="464"/>
      <c r="AJ111" s="464"/>
    </row>
    <row r="112" spans="1:36" ht="15.75" customHeight="1">
      <c r="A112" s="463"/>
      <c r="B112" s="464"/>
      <c r="C112" s="464"/>
      <c r="D112" s="464"/>
      <c r="E112" s="464"/>
      <c r="F112" s="464"/>
      <c r="G112" s="464"/>
      <c r="H112" s="464"/>
      <c r="I112" s="464"/>
      <c r="J112" s="464"/>
      <c r="K112" s="464"/>
      <c r="L112" s="464"/>
      <c r="M112" s="464"/>
      <c r="N112" s="464"/>
      <c r="O112" s="464"/>
      <c r="P112" s="464"/>
      <c r="Q112" s="464"/>
      <c r="R112" s="464"/>
      <c r="S112" s="464"/>
      <c r="T112" s="464"/>
      <c r="U112" s="464"/>
      <c r="V112" s="464"/>
      <c r="W112" s="464"/>
      <c r="X112" s="464"/>
      <c r="Y112" s="464"/>
      <c r="Z112" s="464"/>
      <c r="AA112" s="464"/>
      <c r="AB112" s="464"/>
      <c r="AC112" s="464"/>
      <c r="AD112" s="464"/>
      <c r="AE112" s="464"/>
      <c r="AF112" s="464"/>
      <c r="AG112" s="464"/>
      <c r="AH112" s="464"/>
      <c r="AI112" s="464"/>
      <c r="AJ112" s="464"/>
    </row>
    <row r="113" spans="1:36" ht="15.75" customHeight="1">
      <c r="A113" s="463"/>
      <c r="B113" s="464"/>
      <c r="C113" s="464"/>
      <c r="D113" s="464"/>
      <c r="E113" s="464"/>
      <c r="F113" s="464"/>
      <c r="G113" s="464"/>
      <c r="H113" s="464"/>
      <c r="I113" s="464"/>
      <c r="J113" s="464"/>
      <c r="K113" s="464"/>
      <c r="L113" s="464"/>
      <c r="M113" s="464"/>
      <c r="N113" s="464"/>
      <c r="O113" s="464"/>
      <c r="P113" s="464"/>
      <c r="Q113" s="464"/>
      <c r="R113" s="464"/>
      <c r="S113" s="464"/>
      <c r="T113" s="464"/>
      <c r="U113" s="464"/>
      <c r="V113" s="464"/>
      <c r="W113" s="464"/>
      <c r="X113" s="464"/>
      <c r="Y113" s="464"/>
      <c r="Z113" s="464"/>
      <c r="AA113" s="464"/>
      <c r="AB113" s="464"/>
      <c r="AC113" s="464"/>
      <c r="AD113" s="464"/>
      <c r="AE113" s="464"/>
      <c r="AF113" s="464"/>
      <c r="AG113" s="464"/>
      <c r="AH113" s="464"/>
      <c r="AI113" s="464"/>
      <c r="AJ113" s="464"/>
    </row>
    <row r="114" spans="1:36" ht="15.75" customHeight="1">
      <c r="A114" s="463"/>
      <c r="B114" s="464"/>
      <c r="C114" s="464"/>
      <c r="D114" s="464"/>
      <c r="E114" s="464"/>
      <c r="F114" s="464"/>
      <c r="G114" s="464"/>
      <c r="H114" s="464"/>
      <c r="I114" s="464"/>
      <c r="J114" s="464"/>
      <c r="K114" s="464"/>
      <c r="L114" s="464"/>
      <c r="M114" s="464"/>
      <c r="N114" s="464"/>
      <c r="O114" s="464"/>
      <c r="P114" s="464"/>
      <c r="Q114" s="464"/>
      <c r="R114" s="464"/>
      <c r="S114" s="464"/>
      <c r="T114" s="464"/>
      <c r="U114" s="464"/>
      <c r="V114" s="464"/>
      <c r="W114" s="464"/>
      <c r="X114" s="464"/>
      <c r="Y114" s="464"/>
      <c r="Z114" s="464"/>
      <c r="AA114" s="464"/>
      <c r="AB114" s="464"/>
      <c r="AC114" s="464"/>
      <c r="AD114" s="464"/>
      <c r="AE114" s="464"/>
      <c r="AF114" s="464"/>
      <c r="AG114" s="464"/>
      <c r="AH114" s="464"/>
      <c r="AI114" s="464"/>
      <c r="AJ114" s="464"/>
    </row>
    <row r="115" spans="1:36" ht="15.75" customHeight="1">
      <c r="A115" s="463"/>
      <c r="B115" s="464"/>
      <c r="C115" s="464"/>
      <c r="D115" s="464"/>
      <c r="E115" s="464"/>
      <c r="F115" s="464"/>
      <c r="G115" s="464"/>
      <c r="H115" s="464"/>
      <c r="I115" s="464"/>
      <c r="J115" s="464"/>
      <c r="K115" s="464"/>
      <c r="L115" s="464"/>
      <c r="M115" s="464"/>
      <c r="N115" s="464"/>
      <c r="O115" s="464"/>
      <c r="P115" s="464"/>
      <c r="Q115" s="464"/>
      <c r="R115" s="464"/>
      <c r="S115" s="464"/>
      <c r="T115" s="464"/>
      <c r="U115" s="464"/>
      <c r="V115" s="464"/>
      <c r="W115" s="464"/>
      <c r="X115" s="464"/>
      <c r="Y115" s="464"/>
      <c r="Z115" s="464"/>
      <c r="AA115" s="464"/>
      <c r="AB115" s="464"/>
      <c r="AC115" s="464"/>
      <c r="AD115" s="464"/>
      <c r="AE115" s="464"/>
      <c r="AF115" s="464"/>
      <c r="AG115" s="464"/>
      <c r="AH115" s="464"/>
      <c r="AI115" s="464"/>
      <c r="AJ115" s="464"/>
    </row>
    <row r="116" spans="1:36" ht="15.75" customHeight="1">
      <c r="A116" s="463"/>
      <c r="B116" s="464"/>
      <c r="C116" s="464"/>
      <c r="D116" s="464"/>
      <c r="E116" s="464"/>
      <c r="F116" s="464"/>
      <c r="G116" s="464"/>
      <c r="H116" s="464"/>
      <c r="I116" s="464"/>
      <c r="J116" s="464"/>
      <c r="K116" s="464"/>
      <c r="L116" s="464"/>
      <c r="M116" s="464"/>
      <c r="N116" s="464"/>
      <c r="O116" s="464"/>
      <c r="P116" s="464"/>
      <c r="Q116" s="464"/>
      <c r="R116" s="464"/>
      <c r="S116" s="464"/>
      <c r="T116" s="464"/>
      <c r="U116" s="464"/>
      <c r="V116" s="464"/>
      <c r="W116" s="464"/>
      <c r="X116" s="464"/>
      <c r="Y116" s="464"/>
      <c r="Z116" s="464"/>
      <c r="AA116" s="464"/>
      <c r="AB116" s="464"/>
      <c r="AC116" s="464"/>
      <c r="AD116" s="464"/>
      <c r="AE116" s="464"/>
      <c r="AF116" s="464"/>
      <c r="AG116" s="464"/>
      <c r="AH116" s="464"/>
      <c r="AI116" s="464"/>
      <c r="AJ116" s="464"/>
    </row>
    <row r="117" spans="1:36" ht="15.75" customHeight="1">
      <c r="A117" s="463"/>
      <c r="B117" s="464"/>
      <c r="C117" s="464"/>
      <c r="D117" s="464"/>
      <c r="E117" s="464"/>
      <c r="F117" s="464"/>
      <c r="G117" s="464"/>
      <c r="H117" s="464"/>
      <c r="I117" s="464"/>
      <c r="J117" s="464"/>
      <c r="K117" s="464"/>
      <c r="L117" s="464"/>
      <c r="M117" s="464"/>
      <c r="N117" s="464"/>
      <c r="O117" s="464"/>
      <c r="P117" s="464"/>
      <c r="Q117" s="464"/>
      <c r="R117" s="464"/>
      <c r="S117" s="464"/>
      <c r="T117" s="464"/>
      <c r="U117" s="464"/>
      <c r="V117" s="464"/>
      <c r="W117" s="464"/>
      <c r="X117" s="464"/>
      <c r="Y117" s="464"/>
      <c r="Z117" s="464"/>
      <c r="AA117" s="464"/>
      <c r="AB117" s="464"/>
      <c r="AC117" s="464"/>
      <c r="AD117" s="464"/>
      <c r="AE117" s="464"/>
      <c r="AF117" s="464"/>
      <c r="AG117" s="464"/>
      <c r="AH117" s="464"/>
      <c r="AI117" s="464"/>
      <c r="AJ117" s="464"/>
    </row>
    <row r="118" spans="1:36" ht="15.75" customHeight="1">
      <c r="A118" s="463"/>
      <c r="B118" s="464"/>
      <c r="C118" s="464"/>
      <c r="D118" s="464"/>
      <c r="E118" s="464"/>
      <c r="F118" s="464"/>
      <c r="G118" s="464"/>
      <c r="H118" s="464"/>
      <c r="I118" s="464"/>
      <c r="J118" s="464"/>
      <c r="K118" s="464"/>
      <c r="L118" s="464"/>
      <c r="M118" s="464"/>
      <c r="N118" s="464"/>
      <c r="O118" s="464"/>
      <c r="P118" s="464"/>
      <c r="Q118" s="464"/>
      <c r="R118" s="464"/>
      <c r="S118" s="464"/>
      <c r="T118" s="464"/>
      <c r="U118" s="464"/>
      <c r="V118" s="464"/>
      <c r="W118" s="464"/>
      <c r="X118" s="464"/>
      <c r="Y118" s="464"/>
      <c r="Z118" s="464"/>
      <c r="AA118" s="464"/>
      <c r="AB118" s="464"/>
      <c r="AC118" s="464"/>
      <c r="AD118" s="464"/>
      <c r="AE118" s="464"/>
      <c r="AF118" s="464"/>
      <c r="AG118" s="464"/>
      <c r="AH118" s="464"/>
      <c r="AI118" s="464"/>
      <c r="AJ118" s="464"/>
    </row>
    <row r="119" spans="1:36" ht="15.75" customHeight="1">
      <c r="A119" s="463"/>
      <c r="B119" s="464"/>
      <c r="C119" s="464"/>
      <c r="D119" s="464"/>
      <c r="E119" s="464"/>
      <c r="F119" s="464"/>
      <c r="G119" s="464"/>
      <c r="H119" s="464"/>
      <c r="I119" s="464"/>
      <c r="J119" s="464"/>
      <c r="K119" s="464"/>
      <c r="L119" s="464"/>
      <c r="M119" s="464"/>
      <c r="N119" s="464"/>
      <c r="O119" s="464"/>
      <c r="P119" s="464"/>
      <c r="Q119" s="464"/>
      <c r="R119" s="464"/>
      <c r="S119" s="464"/>
      <c r="T119" s="464"/>
      <c r="U119" s="464"/>
      <c r="V119" s="464"/>
      <c r="W119" s="464"/>
      <c r="X119" s="464"/>
      <c r="Y119" s="464"/>
      <c r="Z119" s="464"/>
      <c r="AA119" s="464"/>
      <c r="AB119" s="464"/>
      <c r="AC119" s="464"/>
      <c r="AD119" s="464"/>
      <c r="AE119" s="464"/>
      <c r="AF119" s="464"/>
      <c r="AG119" s="464"/>
      <c r="AH119" s="464"/>
      <c r="AI119" s="464"/>
      <c r="AJ119" s="464"/>
    </row>
    <row r="120" spans="1:36" ht="15.75" customHeight="1">
      <c r="A120" s="463"/>
      <c r="B120" s="464"/>
      <c r="C120" s="464"/>
      <c r="D120" s="464"/>
      <c r="E120" s="464"/>
      <c r="F120" s="464"/>
      <c r="G120" s="464"/>
      <c r="H120" s="464"/>
      <c r="I120" s="464"/>
      <c r="J120" s="464"/>
      <c r="K120" s="464"/>
      <c r="L120" s="464"/>
      <c r="M120" s="464"/>
      <c r="N120" s="464"/>
      <c r="O120" s="464"/>
      <c r="P120" s="464"/>
      <c r="Q120" s="464"/>
      <c r="R120" s="464"/>
      <c r="S120" s="464"/>
      <c r="T120" s="464"/>
      <c r="U120" s="464"/>
      <c r="V120" s="464"/>
      <c r="W120" s="464"/>
      <c r="X120" s="464"/>
      <c r="Y120" s="464"/>
      <c r="Z120" s="464"/>
      <c r="AA120" s="464"/>
      <c r="AB120" s="464"/>
      <c r="AC120" s="464"/>
      <c r="AD120" s="464"/>
      <c r="AE120" s="464"/>
      <c r="AF120" s="464"/>
      <c r="AG120" s="464"/>
      <c r="AH120" s="464"/>
      <c r="AI120" s="464"/>
      <c r="AJ120" s="464"/>
    </row>
    <row r="121" spans="1:36" ht="15.75" customHeight="1">
      <c r="A121" s="463"/>
      <c r="B121" s="464"/>
      <c r="C121" s="464"/>
      <c r="D121" s="464"/>
      <c r="E121" s="464"/>
      <c r="F121" s="464"/>
      <c r="G121" s="464"/>
      <c r="H121" s="464"/>
      <c r="I121" s="464"/>
      <c r="J121" s="464"/>
      <c r="K121" s="464"/>
      <c r="L121" s="464"/>
      <c r="M121" s="464"/>
      <c r="N121" s="464"/>
      <c r="O121" s="464"/>
      <c r="P121" s="464"/>
      <c r="Q121" s="464"/>
      <c r="R121" s="464"/>
      <c r="S121" s="464"/>
      <c r="T121" s="464"/>
      <c r="U121" s="464"/>
      <c r="V121" s="464"/>
      <c r="W121" s="464"/>
      <c r="X121" s="464"/>
      <c r="Y121" s="464"/>
      <c r="Z121" s="464"/>
      <c r="AA121" s="464"/>
      <c r="AB121" s="464"/>
      <c r="AC121" s="464"/>
      <c r="AD121" s="464"/>
      <c r="AE121" s="464"/>
      <c r="AF121" s="464"/>
      <c r="AG121" s="464"/>
      <c r="AH121" s="464"/>
      <c r="AI121" s="464"/>
      <c r="AJ121" s="464"/>
    </row>
    <row r="122" spans="1:36" ht="15.75" customHeight="1">
      <c r="A122" s="463"/>
      <c r="B122" s="464"/>
      <c r="C122" s="464"/>
      <c r="D122" s="464"/>
      <c r="E122" s="464"/>
      <c r="F122" s="464"/>
      <c r="G122" s="464"/>
      <c r="H122" s="464"/>
      <c r="I122" s="464"/>
      <c r="J122" s="464"/>
      <c r="K122" s="464"/>
      <c r="L122" s="464"/>
      <c r="M122" s="464"/>
      <c r="N122" s="464"/>
      <c r="O122" s="464"/>
      <c r="P122" s="464"/>
      <c r="Q122" s="464"/>
      <c r="R122" s="464"/>
      <c r="S122" s="464"/>
      <c r="T122" s="464"/>
      <c r="U122" s="464"/>
      <c r="V122" s="464"/>
      <c r="W122" s="464"/>
      <c r="X122" s="464"/>
      <c r="Y122" s="464"/>
      <c r="Z122" s="464"/>
      <c r="AA122" s="464"/>
      <c r="AB122" s="464"/>
      <c r="AC122" s="464"/>
      <c r="AD122" s="464"/>
      <c r="AE122" s="464"/>
      <c r="AF122" s="464"/>
      <c r="AG122" s="464"/>
      <c r="AH122" s="464"/>
      <c r="AI122" s="464"/>
      <c r="AJ122" s="464"/>
    </row>
    <row r="123" spans="1:36" ht="15.75" customHeight="1">
      <c r="A123" s="463"/>
      <c r="B123" s="464"/>
      <c r="C123" s="464"/>
      <c r="D123" s="464"/>
      <c r="E123" s="464"/>
      <c r="F123" s="464"/>
      <c r="G123" s="464"/>
      <c r="H123" s="464"/>
      <c r="I123" s="464"/>
      <c r="J123" s="464"/>
      <c r="K123" s="464"/>
      <c r="L123" s="464"/>
      <c r="M123" s="464"/>
      <c r="N123" s="464"/>
      <c r="O123" s="464"/>
      <c r="P123" s="464"/>
      <c r="Q123" s="464"/>
      <c r="R123" s="464"/>
      <c r="S123" s="464"/>
      <c r="T123" s="464"/>
      <c r="U123" s="464"/>
      <c r="V123" s="464"/>
      <c r="W123" s="464"/>
      <c r="X123" s="464"/>
      <c r="Y123" s="464"/>
      <c r="Z123" s="464"/>
      <c r="AA123" s="464"/>
      <c r="AB123" s="464"/>
      <c r="AC123" s="464"/>
      <c r="AD123" s="464"/>
      <c r="AE123" s="464"/>
      <c r="AF123" s="464"/>
      <c r="AG123" s="464"/>
      <c r="AH123" s="464"/>
      <c r="AI123" s="464"/>
      <c r="AJ123" s="464"/>
    </row>
    <row r="124" spans="1:36" ht="15.75" customHeight="1">
      <c r="A124" s="463"/>
      <c r="B124" s="464"/>
      <c r="C124" s="464"/>
      <c r="D124" s="464"/>
      <c r="E124" s="464"/>
      <c r="F124" s="464"/>
      <c r="G124" s="464"/>
      <c r="H124" s="464"/>
      <c r="I124" s="464"/>
      <c r="J124" s="464"/>
      <c r="K124" s="464"/>
      <c r="L124" s="464"/>
      <c r="M124" s="464"/>
      <c r="N124" s="464"/>
      <c r="O124" s="464"/>
      <c r="P124" s="464"/>
      <c r="Q124" s="464"/>
      <c r="R124" s="464"/>
      <c r="S124" s="464"/>
      <c r="T124" s="464"/>
      <c r="U124" s="464"/>
      <c r="V124" s="464"/>
      <c r="W124" s="464"/>
      <c r="X124" s="464"/>
      <c r="Y124" s="464"/>
      <c r="Z124" s="464"/>
      <c r="AA124" s="464"/>
      <c r="AB124" s="464"/>
      <c r="AC124" s="464"/>
      <c r="AD124" s="464"/>
      <c r="AE124" s="464"/>
      <c r="AF124" s="464"/>
      <c r="AG124" s="464"/>
      <c r="AH124" s="464"/>
      <c r="AI124" s="464"/>
      <c r="AJ124" s="464"/>
    </row>
    <row r="125" spans="1:36" ht="15.75" customHeight="1">
      <c r="A125" s="463"/>
      <c r="B125" s="464"/>
      <c r="C125" s="464"/>
      <c r="D125" s="464"/>
      <c r="E125" s="464"/>
      <c r="F125" s="464"/>
      <c r="G125" s="464"/>
      <c r="H125" s="464"/>
      <c r="I125" s="464"/>
      <c r="J125" s="464"/>
      <c r="K125" s="464"/>
      <c r="L125" s="464"/>
      <c r="M125" s="464"/>
      <c r="N125" s="464"/>
      <c r="O125" s="464"/>
      <c r="P125" s="464"/>
      <c r="Q125" s="464"/>
      <c r="R125" s="464"/>
      <c r="S125" s="464"/>
      <c r="T125" s="464"/>
      <c r="U125" s="464"/>
      <c r="V125" s="464"/>
      <c r="W125" s="464"/>
      <c r="X125" s="464"/>
      <c r="Y125" s="464"/>
      <c r="Z125" s="464"/>
      <c r="AA125" s="464"/>
      <c r="AB125" s="464"/>
      <c r="AC125" s="464"/>
      <c r="AD125" s="464"/>
      <c r="AE125" s="464"/>
      <c r="AF125" s="464"/>
      <c r="AG125" s="464"/>
      <c r="AH125" s="464"/>
      <c r="AI125" s="464"/>
      <c r="AJ125" s="464"/>
    </row>
    <row r="126" spans="1:36" ht="15.75" customHeight="1">
      <c r="A126" s="463"/>
      <c r="B126" s="464"/>
      <c r="C126" s="464"/>
      <c r="D126" s="464"/>
      <c r="E126" s="464"/>
      <c r="F126" s="464"/>
      <c r="G126" s="464"/>
      <c r="H126" s="464"/>
      <c r="I126" s="464"/>
      <c r="J126" s="464"/>
      <c r="K126" s="464"/>
      <c r="L126" s="464"/>
      <c r="M126" s="464"/>
      <c r="N126" s="464"/>
      <c r="O126" s="464"/>
      <c r="P126" s="464"/>
      <c r="Q126" s="464"/>
      <c r="R126" s="464"/>
      <c r="S126" s="464"/>
      <c r="T126" s="464"/>
      <c r="U126" s="464"/>
      <c r="V126" s="464"/>
      <c r="W126" s="464"/>
      <c r="X126" s="464"/>
      <c r="Y126" s="464"/>
      <c r="Z126" s="464"/>
      <c r="AA126" s="464"/>
      <c r="AB126" s="464"/>
      <c r="AC126" s="464"/>
      <c r="AD126" s="464"/>
      <c r="AE126" s="464"/>
      <c r="AF126" s="464"/>
      <c r="AG126" s="464"/>
      <c r="AH126" s="464"/>
      <c r="AI126" s="464"/>
      <c r="AJ126" s="464"/>
    </row>
    <row r="127" spans="1:36" ht="15.75" customHeight="1">
      <c r="A127" s="463"/>
      <c r="B127" s="464"/>
      <c r="C127" s="464"/>
      <c r="D127" s="464"/>
      <c r="E127" s="464"/>
      <c r="F127" s="464"/>
      <c r="G127" s="464"/>
      <c r="H127" s="464"/>
      <c r="I127" s="464"/>
      <c r="J127" s="464"/>
      <c r="K127" s="464"/>
      <c r="L127" s="464"/>
      <c r="M127" s="464"/>
      <c r="N127" s="464"/>
      <c r="O127" s="464"/>
      <c r="P127" s="464"/>
      <c r="Q127" s="464"/>
      <c r="R127" s="464"/>
      <c r="S127" s="464"/>
      <c r="T127" s="464"/>
      <c r="U127" s="464"/>
      <c r="V127" s="464"/>
      <c r="W127" s="464"/>
      <c r="X127" s="464"/>
      <c r="Y127" s="464"/>
      <c r="Z127" s="464"/>
      <c r="AA127" s="464"/>
      <c r="AB127" s="464"/>
      <c r="AC127" s="464"/>
      <c r="AD127" s="464"/>
      <c r="AE127" s="464"/>
      <c r="AF127" s="464"/>
      <c r="AG127" s="464"/>
      <c r="AH127" s="464"/>
      <c r="AI127" s="464"/>
      <c r="AJ127" s="464"/>
    </row>
    <row r="128" spans="1:36" ht="15.75" customHeight="1">
      <c r="A128" s="463"/>
      <c r="B128" s="464"/>
      <c r="C128" s="464"/>
      <c r="D128" s="464"/>
      <c r="E128" s="464"/>
      <c r="F128" s="464"/>
      <c r="G128" s="464"/>
      <c r="H128" s="464"/>
      <c r="I128" s="464"/>
      <c r="J128" s="464"/>
      <c r="K128" s="464"/>
      <c r="L128" s="464"/>
      <c r="M128" s="464"/>
      <c r="N128" s="464"/>
      <c r="O128" s="464"/>
      <c r="P128" s="464"/>
      <c r="Q128" s="464"/>
      <c r="R128" s="464"/>
      <c r="S128" s="464"/>
      <c r="T128" s="464"/>
      <c r="U128" s="464"/>
      <c r="V128" s="464"/>
      <c r="W128" s="464"/>
      <c r="X128" s="464"/>
      <c r="Y128" s="464"/>
      <c r="Z128" s="464"/>
      <c r="AA128" s="464"/>
      <c r="AB128" s="464"/>
      <c r="AC128" s="464"/>
      <c r="AD128" s="464"/>
      <c r="AE128" s="464"/>
      <c r="AF128" s="464"/>
      <c r="AG128" s="464"/>
      <c r="AH128" s="464"/>
      <c r="AI128" s="464"/>
      <c r="AJ128" s="464"/>
    </row>
    <row r="129" spans="1:36" ht="15.75" customHeight="1">
      <c r="A129" s="463"/>
      <c r="B129" s="464"/>
      <c r="C129" s="464"/>
      <c r="D129" s="464"/>
      <c r="E129" s="464"/>
      <c r="F129" s="464"/>
      <c r="G129" s="464"/>
      <c r="H129" s="464"/>
      <c r="I129" s="464"/>
      <c r="J129" s="464"/>
      <c r="K129" s="464"/>
      <c r="L129" s="464"/>
      <c r="M129" s="464"/>
      <c r="N129" s="464"/>
      <c r="O129" s="464"/>
      <c r="P129" s="464"/>
      <c r="Q129" s="464"/>
      <c r="R129" s="464"/>
      <c r="S129" s="464"/>
      <c r="T129" s="464"/>
      <c r="U129" s="464"/>
      <c r="V129" s="464"/>
      <c r="W129" s="464"/>
      <c r="X129" s="464"/>
      <c r="Y129" s="464"/>
      <c r="Z129" s="464"/>
      <c r="AA129" s="464"/>
      <c r="AB129" s="464"/>
      <c r="AC129" s="464"/>
      <c r="AD129" s="464"/>
      <c r="AE129" s="464"/>
      <c r="AF129" s="464"/>
      <c r="AG129" s="464"/>
      <c r="AH129" s="464"/>
      <c r="AI129" s="464"/>
      <c r="AJ129" s="464"/>
    </row>
    <row r="130" spans="1:36" ht="15.75" customHeight="1">
      <c r="A130" s="463"/>
      <c r="B130" s="464"/>
      <c r="C130" s="464"/>
      <c r="D130" s="464"/>
      <c r="E130" s="464"/>
      <c r="F130" s="464"/>
      <c r="G130" s="464"/>
      <c r="H130" s="464"/>
      <c r="I130" s="464"/>
      <c r="J130" s="464"/>
      <c r="K130" s="464"/>
      <c r="L130" s="464"/>
      <c r="M130" s="464"/>
      <c r="N130" s="464"/>
      <c r="O130" s="464"/>
      <c r="P130" s="464"/>
      <c r="Q130" s="464"/>
      <c r="R130" s="464"/>
      <c r="S130" s="464"/>
      <c r="T130" s="464"/>
      <c r="U130" s="464"/>
      <c r="V130" s="464"/>
      <c r="W130" s="464"/>
      <c r="X130" s="464"/>
      <c r="Y130" s="464"/>
      <c r="Z130" s="464"/>
      <c r="AA130" s="464"/>
      <c r="AB130" s="464"/>
      <c r="AC130" s="464"/>
      <c r="AD130" s="464"/>
      <c r="AE130" s="464"/>
      <c r="AF130" s="464"/>
      <c r="AG130" s="464"/>
      <c r="AH130" s="464"/>
      <c r="AI130" s="464"/>
      <c r="AJ130" s="464"/>
    </row>
    <row r="131" spans="1:36" ht="15.75" customHeight="1">
      <c r="A131" s="463"/>
      <c r="B131" s="464"/>
      <c r="C131" s="464"/>
      <c r="D131" s="464"/>
      <c r="E131" s="464"/>
      <c r="F131" s="464"/>
      <c r="G131" s="464"/>
      <c r="H131" s="464"/>
      <c r="I131" s="464"/>
      <c r="J131" s="464"/>
      <c r="K131" s="464"/>
      <c r="L131" s="464"/>
      <c r="M131" s="464"/>
      <c r="N131" s="464"/>
      <c r="O131" s="464"/>
      <c r="P131" s="464"/>
      <c r="Q131" s="464"/>
      <c r="R131" s="464"/>
      <c r="S131" s="464"/>
      <c r="T131" s="464"/>
      <c r="U131" s="464"/>
      <c r="V131" s="464"/>
      <c r="W131" s="464"/>
      <c r="X131" s="464"/>
      <c r="Y131" s="464"/>
      <c r="Z131" s="464"/>
      <c r="AA131" s="464"/>
      <c r="AB131" s="464"/>
      <c r="AC131" s="464"/>
      <c r="AD131" s="464"/>
      <c r="AE131" s="464"/>
      <c r="AF131" s="464"/>
      <c r="AG131" s="464"/>
      <c r="AH131" s="464"/>
      <c r="AI131" s="464"/>
      <c r="AJ131" s="464"/>
    </row>
    <row r="132" spans="1:36" ht="15.75" customHeight="1">
      <c r="A132" s="463"/>
      <c r="B132" s="464"/>
      <c r="C132" s="464"/>
      <c r="D132" s="464"/>
      <c r="E132" s="464"/>
      <c r="F132" s="464"/>
      <c r="G132" s="464"/>
      <c r="H132" s="464"/>
      <c r="I132" s="464"/>
      <c r="J132" s="464"/>
      <c r="K132" s="464"/>
      <c r="L132" s="464"/>
      <c r="M132" s="464"/>
      <c r="N132" s="464"/>
      <c r="O132" s="464"/>
      <c r="P132" s="464"/>
      <c r="Q132" s="464"/>
      <c r="R132" s="464"/>
      <c r="S132" s="464"/>
      <c r="T132" s="464"/>
      <c r="U132" s="464"/>
      <c r="V132" s="464"/>
      <c r="W132" s="464"/>
      <c r="X132" s="464"/>
      <c r="Y132" s="464"/>
      <c r="Z132" s="464"/>
      <c r="AA132" s="464"/>
      <c r="AB132" s="464"/>
      <c r="AC132" s="464"/>
      <c r="AD132" s="464"/>
      <c r="AE132" s="464"/>
      <c r="AF132" s="464"/>
      <c r="AG132" s="464"/>
      <c r="AH132" s="464"/>
      <c r="AI132" s="464"/>
      <c r="AJ132" s="464"/>
    </row>
    <row r="133" spans="1:36" ht="15.75" customHeight="1">
      <c r="A133" s="463"/>
      <c r="B133" s="464"/>
      <c r="C133" s="464"/>
      <c r="D133" s="464"/>
      <c r="E133" s="464"/>
      <c r="F133" s="464"/>
      <c r="G133" s="464"/>
      <c r="H133" s="464"/>
      <c r="I133" s="464"/>
      <c r="J133" s="464"/>
      <c r="K133" s="464"/>
      <c r="L133" s="464"/>
      <c r="M133" s="464"/>
      <c r="N133" s="464"/>
      <c r="O133" s="464"/>
      <c r="P133" s="464"/>
      <c r="Q133" s="464"/>
      <c r="R133" s="464"/>
      <c r="S133" s="464"/>
      <c r="T133" s="464"/>
      <c r="U133" s="464"/>
      <c r="V133" s="464"/>
      <c r="W133" s="464"/>
      <c r="X133" s="464"/>
      <c r="Y133" s="464"/>
      <c r="Z133" s="464"/>
      <c r="AA133" s="464"/>
      <c r="AB133" s="464"/>
      <c r="AC133" s="464"/>
      <c r="AD133" s="464"/>
      <c r="AE133" s="464"/>
      <c r="AF133" s="464"/>
      <c r="AG133" s="464"/>
      <c r="AH133" s="464"/>
      <c r="AI133" s="464"/>
      <c r="AJ133" s="464"/>
    </row>
    <row r="134" spans="1:36" ht="15.75" customHeight="1">
      <c r="A134" s="463"/>
      <c r="B134" s="464"/>
      <c r="C134" s="464"/>
      <c r="D134" s="464"/>
      <c r="E134" s="464"/>
      <c r="F134" s="464"/>
      <c r="G134" s="464"/>
      <c r="H134" s="464"/>
      <c r="I134" s="464"/>
      <c r="J134" s="464"/>
      <c r="K134" s="464"/>
      <c r="L134" s="464"/>
      <c r="M134" s="464"/>
      <c r="N134" s="464"/>
      <c r="O134" s="464"/>
      <c r="P134" s="464"/>
      <c r="Q134" s="464"/>
      <c r="R134" s="464"/>
      <c r="S134" s="464"/>
      <c r="T134" s="464"/>
      <c r="U134" s="464"/>
      <c r="V134" s="464"/>
      <c r="W134" s="464"/>
      <c r="X134" s="464"/>
      <c r="Y134" s="464"/>
      <c r="Z134" s="464"/>
      <c r="AA134" s="464"/>
      <c r="AB134" s="464"/>
      <c r="AC134" s="464"/>
      <c r="AD134" s="464"/>
      <c r="AE134" s="464"/>
      <c r="AF134" s="464"/>
      <c r="AG134" s="464"/>
      <c r="AH134" s="464"/>
      <c r="AI134" s="464"/>
      <c r="AJ134" s="464"/>
    </row>
    <row r="135" spans="1:36" ht="15.75" customHeight="1">
      <c r="A135" s="463"/>
      <c r="B135" s="464"/>
      <c r="C135" s="464"/>
      <c r="D135" s="464"/>
      <c r="E135" s="464"/>
      <c r="F135" s="464"/>
      <c r="G135" s="464"/>
      <c r="H135" s="464"/>
      <c r="I135" s="464"/>
      <c r="J135" s="464"/>
      <c r="K135" s="464"/>
      <c r="L135" s="464"/>
      <c r="M135" s="464"/>
      <c r="N135" s="464"/>
      <c r="O135" s="464"/>
      <c r="P135" s="464"/>
      <c r="Q135" s="464"/>
      <c r="R135" s="464"/>
      <c r="S135" s="464"/>
      <c r="T135" s="464"/>
      <c r="U135" s="464"/>
      <c r="V135" s="464"/>
      <c r="W135" s="464"/>
      <c r="X135" s="464"/>
      <c r="Y135" s="464"/>
      <c r="Z135" s="464"/>
      <c r="AA135" s="464"/>
      <c r="AB135" s="464"/>
      <c r="AC135" s="464"/>
      <c r="AD135" s="464"/>
      <c r="AE135" s="464"/>
      <c r="AF135" s="464"/>
      <c r="AG135" s="464"/>
      <c r="AH135" s="464"/>
      <c r="AI135" s="464"/>
      <c r="AJ135" s="464"/>
    </row>
    <row r="136" spans="1:36" ht="15.75" customHeight="1">
      <c r="A136" s="463"/>
      <c r="B136" s="464"/>
      <c r="C136" s="464"/>
      <c r="D136" s="464"/>
      <c r="E136" s="464"/>
      <c r="F136" s="464"/>
      <c r="G136" s="464"/>
      <c r="H136" s="464"/>
      <c r="I136" s="464"/>
      <c r="J136" s="464"/>
      <c r="K136" s="464"/>
      <c r="L136" s="464"/>
      <c r="M136" s="464"/>
      <c r="N136" s="464"/>
      <c r="O136" s="464"/>
      <c r="P136" s="464"/>
      <c r="Q136" s="464"/>
      <c r="R136" s="464"/>
      <c r="S136" s="464"/>
      <c r="T136" s="464"/>
      <c r="U136" s="464"/>
      <c r="V136" s="464"/>
      <c r="W136" s="464"/>
      <c r="X136" s="464"/>
      <c r="Y136" s="464"/>
      <c r="Z136" s="464"/>
      <c r="AA136" s="464"/>
      <c r="AB136" s="464"/>
      <c r="AC136" s="464"/>
      <c r="AD136" s="464"/>
      <c r="AE136" s="464"/>
      <c r="AF136" s="464"/>
      <c r="AG136" s="464"/>
      <c r="AH136" s="464"/>
      <c r="AI136" s="464"/>
      <c r="AJ136" s="464"/>
    </row>
    <row r="137" spans="1:36" ht="15.75" customHeight="1">
      <c r="A137" s="463"/>
      <c r="B137" s="464"/>
      <c r="C137" s="464"/>
      <c r="D137" s="464"/>
      <c r="E137" s="464"/>
      <c r="F137" s="464"/>
      <c r="G137" s="464"/>
      <c r="H137" s="464"/>
      <c r="I137" s="464"/>
      <c r="J137" s="464"/>
      <c r="K137" s="464"/>
      <c r="L137" s="464"/>
      <c r="M137" s="464"/>
      <c r="N137" s="464"/>
      <c r="O137" s="464"/>
      <c r="P137" s="464"/>
      <c r="Q137" s="464"/>
      <c r="R137" s="464"/>
      <c r="S137" s="464"/>
      <c r="T137" s="464"/>
      <c r="U137" s="464"/>
      <c r="V137" s="464"/>
      <c r="W137" s="464"/>
      <c r="X137" s="464"/>
      <c r="Y137" s="464"/>
      <c r="Z137" s="464"/>
      <c r="AA137" s="464"/>
      <c r="AB137" s="464"/>
      <c r="AC137" s="464"/>
      <c r="AD137" s="464"/>
      <c r="AE137" s="464"/>
      <c r="AF137" s="464"/>
      <c r="AG137" s="464"/>
      <c r="AH137" s="464"/>
      <c r="AI137" s="464"/>
      <c r="AJ137" s="464"/>
    </row>
    <row r="138" spans="1:36" ht="15.75" customHeight="1">
      <c r="A138" s="463"/>
      <c r="B138" s="464"/>
      <c r="C138" s="464"/>
      <c r="D138" s="464"/>
      <c r="E138" s="464"/>
      <c r="F138" s="464"/>
      <c r="G138" s="464"/>
      <c r="H138" s="464"/>
      <c r="I138" s="464"/>
      <c r="J138" s="464"/>
      <c r="K138" s="464"/>
      <c r="L138" s="464"/>
      <c r="M138" s="464"/>
      <c r="N138" s="464"/>
      <c r="O138" s="464"/>
      <c r="P138" s="464"/>
      <c r="Q138" s="464"/>
      <c r="R138" s="464"/>
      <c r="S138" s="464"/>
      <c r="T138" s="464"/>
      <c r="U138" s="464"/>
      <c r="V138" s="464"/>
      <c r="W138" s="464"/>
      <c r="X138" s="464"/>
      <c r="Y138" s="464"/>
      <c r="Z138" s="464"/>
      <c r="AA138" s="464"/>
      <c r="AB138" s="464"/>
      <c r="AC138" s="464"/>
      <c r="AD138" s="464"/>
      <c r="AE138" s="464"/>
      <c r="AF138" s="464"/>
      <c r="AG138" s="464"/>
      <c r="AH138" s="464"/>
      <c r="AI138" s="464"/>
      <c r="AJ138" s="464"/>
    </row>
    <row r="139" spans="1:36" ht="15.75" customHeight="1">
      <c r="A139" s="463"/>
      <c r="B139" s="464"/>
      <c r="C139" s="464"/>
      <c r="D139" s="464"/>
      <c r="E139" s="464"/>
      <c r="F139" s="464"/>
      <c r="G139" s="464"/>
      <c r="H139" s="464"/>
      <c r="I139" s="464"/>
      <c r="J139" s="464"/>
      <c r="K139" s="464"/>
      <c r="L139" s="464"/>
      <c r="M139" s="464"/>
      <c r="N139" s="464"/>
      <c r="O139" s="464"/>
      <c r="P139" s="464"/>
      <c r="Q139" s="464"/>
      <c r="R139" s="464"/>
      <c r="S139" s="464"/>
      <c r="T139" s="464"/>
      <c r="U139" s="464"/>
      <c r="V139" s="464"/>
      <c r="W139" s="464"/>
      <c r="X139" s="464"/>
      <c r="Y139" s="464"/>
      <c r="Z139" s="464"/>
      <c r="AA139" s="464"/>
      <c r="AB139" s="464"/>
      <c r="AC139" s="464"/>
      <c r="AD139" s="464"/>
      <c r="AE139" s="464"/>
      <c r="AF139" s="464"/>
      <c r="AG139" s="464"/>
      <c r="AH139" s="464"/>
      <c r="AI139" s="464"/>
      <c r="AJ139" s="464"/>
    </row>
    <row r="140" spans="1:36" ht="15.75" customHeight="1">
      <c r="A140" s="463"/>
      <c r="B140" s="464"/>
      <c r="C140" s="464"/>
      <c r="D140" s="464"/>
      <c r="E140" s="464"/>
      <c r="F140" s="464"/>
      <c r="G140" s="464"/>
      <c r="H140" s="464"/>
      <c r="I140" s="464"/>
      <c r="J140" s="464"/>
      <c r="K140" s="464"/>
      <c r="L140" s="464"/>
      <c r="M140" s="464"/>
      <c r="N140" s="464"/>
      <c r="O140" s="464"/>
      <c r="P140" s="464"/>
      <c r="Q140" s="464"/>
      <c r="R140" s="464"/>
      <c r="S140" s="464"/>
      <c r="T140" s="464"/>
      <c r="U140" s="464"/>
      <c r="V140" s="464"/>
      <c r="W140" s="464"/>
      <c r="X140" s="464"/>
      <c r="Y140" s="464"/>
      <c r="Z140" s="464"/>
      <c r="AA140" s="464"/>
      <c r="AB140" s="464"/>
      <c r="AC140" s="464"/>
      <c r="AD140" s="464"/>
      <c r="AE140" s="464"/>
      <c r="AF140" s="464"/>
      <c r="AG140" s="464"/>
      <c r="AH140" s="464"/>
      <c r="AI140" s="464"/>
      <c r="AJ140" s="464"/>
    </row>
    <row r="141" spans="1:36" ht="15.75" customHeight="1">
      <c r="A141" s="463"/>
      <c r="B141" s="464"/>
      <c r="C141" s="464"/>
      <c r="D141" s="464"/>
      <c r="E141" s="464"/>
      <c r="F141" s="464"/>
      <c r="G141" s="464"/>
      <c r="H141" s="464"/>
      <c r="I141" s="464"/>
      <c r="J141" s="464"/>
      <c r="K141" s="464"/>
      <c r="L141" s="464"/>
      <c r="M141" s="464"/>
      <c r="N141" s="464"/>
      <c r="O141" s="464"/>
      <c r="P141" s="464"/>
      <c r="Q141" s="464"/>
      <c r="R141" s="464"/>
      <c r="S141" s="464"/>
      <c r="T141" s="464"/>
      <c r="U141" s="464"/>
      <c r="V141" s="464"/>
      <c r="W141" s="464"/>
      <c r="X141" s="464"/>
      <c r="Y141" s="464"/>
      <c r="Z141" s="464"/>
      <c r="AA141" s="464"/>
      <c r="AB141" s="464"/>
      <c r="AC141" s="464"/>
      <c r="AD141" s="464"/>
      <c r="AE141" s="464"/>
      <c r="AF141" s="464"/>
      <c r="AG141" s="464"/>
      <c r="AH141" s="464"/>
      <c r="AI141" s="464"/>
      <c r="AJ141" s="464"/>
    </row>
    <row r="142" spans="1:36" ht="15.75" customHeight="1">
      <c r="A142" s="463"/>
      <c r="B142" s="464"/>
      <c r="C142" s="464"/>
      <c r="D142" s="464"/>
      <c r="E142" s="464"/>
      <c r="F142" s="464"/>
      <c r="G142" s="464"/>
      <c r="H142" s="464"/>
      <c r="I142" s="464"/>
      <c r="J142" s="464"/>
      <c r="K142" s="464"/>
      <c r="L142" s="464"/>
      <c r="M142" s="464"/>
      <c r="N142" s="464"/>
      <c r="O142" s="464"/>
      <c r="P142" s="464"/>
      <c r="Q142" s="464"/>
      <c r="R142" s="464"/>
      <c r="S142" s="464"/>
      <c r="T142" s="464"/>
      <c r="U142" s="464"/>
      <c r="V142" s="464"/>
      <c r="W142" s="464"/>
      <c r="X142" s="464"/>
      <c r="Y142" s="464"/>
      <c r="Z142" s="464"/>
      <c r="AA142" s="464"/>
      <c r="AB142" s="464"/>
      <c r="AC142" s="464"/>
      <c r="AD142" s="464"/>
      <c r="AE142" s="464"/>
      <c r="AF142" s="464"/>
      <c r="AG142" s="464"/>
      <c r="AH142" s="464"/>
      <c r="AI142" s="464"/>
      <c r="AJ142" s="464"/>
    </row>
    <row r="143" spans="1:36" ht="15.75" customHeight="1">
      <c r="A143" s="463"/>
      <c r="B143" s="464"/>
      <c r="C143" s="464"/>
      <c r="D143" s="464"/>
      <c r="E143" s="464"/>
      <c r="F143" s="464"/>
      <c r="G143" s="464"/>
      <c r="H143" s="464"/>
      <c r="I143" s="464"/>
      <c r="J143" s="464"/>
      <c r="K143" s="464"/>
      <c r="L143" s="464"/>
      <c r="M143" s="464"/>
      <c r="N143" s="464"/>
      <c r="O143" s="464"/>
      <c r="P143" s="464"/>
      <c r="Q143" s="464"/>
      <c r="R143" s="464"/>
      <c r="S143" s="464"/>
      <c r="T143" s="464"/>
      <c r="U143" s="464"/>
      <c r="V143" s="464"/>
      <c r="W143" s="464"/>
      <c r="X143" s="464"/>
      <c r="Y143" s="464"/>
      <c r="Z143" s="464"/>
      <c r="AA143" s="464"/>
      <c r="AB143" s="464"/>
      <c r="AC143" s="464"/>
      <c r="AD143" s="464"/>
      <c r="AE143" s="464"/>
      <c r="AF143" s="464"/>
      <c r="AG143" s="464"/>
      <c r="AH143" s="464"/>
      <c r="AI143" s="464"/>
      <c r="AJ143" s="464"/>
    </row>
    <row r="144" spans="1:36" ht="15.75" customHeight="1">
      <c r="A144" s="463"/>
      <c r="B144" s="464"/>
      <c r="C144" s="464"/>
      <c r="D144" s="464"/>
      <c r="E144" s="464"/>
      <c r="F144" s="464"/>
      <c r="G144" s="464"/>
      <c r="H144" s="464"/>
      <c r="I144" s="464"/>
      <c r="J144" s="464"/>
      <c r="K144" s="464"/>
      <c r="L144" s="464"/>
      <c r="M144" s="464"/>
      <c r="N144" s="464"/>
      <c r="O144" s="464"/>
      <c r="P144" s="464"/>
      <c r="Q144" s="464"/>
      <c r="R144" s="464"/>
      <c r="S144" s="464"/>
      <c r="T144" s="464"/>
      <c r="U144" s="464"/>
      <c r="V144" s="464"/>
      <c r="W144" s="464"/>
      <c r="X144" s="464"/>
      <c r="Y144" s="464"/>
      <c r="Z144" s="464"/>
      <c r="AA144" s="464"/>
      <c r="AB144" s="464"/>
      <c r="AC144" s="464"/>
      <c r="AD144" s="464"/>
      <c r="AE144" s="464"/>
      <c r="AF144" s="464"/>
      <c r="AG144" s="464"/>
      <c r="AH144" s="464"/>
      <c r="AI144" s="464"/>
      <c r="AJ144" s="464"/>
    </row>
    <row r="145" spans="1:36" ht="15.75" customHeight="1">
      <c r="A145" s="463"/>
      <c r="B145" s="464"/>
      <c r="C145" s="464"/>
      <c r="D145" s="464"/>
      <c r="E145" s="464"/>
      <c r="F145" s="464"/>
      <c r="G145" s="464"/>
      <c r="H145" s="464"/>
      <c r="I145" s="464"/>
      <c r="J145" s="464"/>
      <c r="K145" s="464"/>
      <c r="L145" s="464"/>
      <c r="M145" s="464"/>
      <c r="N145" s="464"/>
      <c r="O145" s="464"/>
      <c r="P145" s="464"/>
      <c r="Q145" s="464"/>
      <c r="R145" s="464"/>
      <c r="S145" s="464"/>
      <c r="T145" s="464"/>
      <c r="U145" s="464"/>
      <c r="V145" s="464"/>
      <c r="W145" s="464"/>
      <c r="X145" s="464"/>
      <c r="Y145" s="464"/>
      <c r="Z145" s="464"/>
      <c r="AA145" s="464"/>
      <c r="AB145" s="464"/>
      <c r="AC145" s="464"/>
      <c r="AD145" s="464"/>
      <c r="AE145" s="464"/>
      <c r="AF145" s="464"/>
      <c r="AG145" s="464"/>
      <c r="AH145" s="464"/>
      <c r="AI145" s="464"/>
      <c r="AJ145" s="464"/>
    </row>
    <row r="146" spans="1:36" ht="15.75" customHeight="1">
      <c r="A146" s="463"/>
      <c r="B146" s="464"/>
      <c r="C146" s="464"/>
      <c r="D146" s="464"/>
      <c r="E146" s="464"/>
      <c r="F146" s="464"/>
      <c r="G146" s="464"/>
      <c r="H146" s="464"/>
      <c r="I146" s="464"/>
      <c r="J146" s="464"/>
      <c r="K146" s="464"/>
      <c r="L146" s="464"/>
      <c r="M146" s="464"/>
      <c r="N146" s="464"/>
      <c r="O146" s="464"/>
      <c r="P146" s="464"/>
      <c r="Q146" s="464"/>
      <c r="R146" s="464"/>
      <c r="S146" s="464"/>
      <c r="T146" s="464"/>
      <c r="U146" s="464"/>
      <c r="V146" s="464"/>
      <c r="W146" s="464"/>
      <c r="X146" s="464"/>
      <c r="Y146" s="464"/>
      <c r="Z146" s="464"/>
      <c r="AA146" s="464"/>
      <c r="AB146" s="464"/>
      <c r="AC146" s="464"/>
      <c r="AD146" s="464"/>
      <c r="AE146" s="464"/>
      <c r="AF146" s="464"/>
      <c r="AG146" s="464"/>
      <c r="AH146" s="464"/>
      <c r="AI146" s="464"/>
      <c r="AJ146" s="464"/>
    </row>
    <row r="147" spans="1:36" ht="15.75" customHeight="1">
      <c r="A147" s="463"/>
      <c r="B147" s="464"/>
      <c r="C147" s="464"/>
      <c r="D147" s="464"/>
      <c r="E147" s="464"/>
      <c r="F147" s="464"/>
      <c r="G147" s="464"/>
      <c r="H147" s="464"/>
      <c r="I147" s="464"/>
      <c r="J147" s="464"/>
      <c r="K147" s="464"/>
      <c r="L147" s="464"/>
      <c r="M147" s="464"/>
      <c r="N147" s="464"/>
      <c r="O147" s="464"/>
      <c r="P147" s="464"/>
      <c r="Q147" s="464"/>
      <c r="R147" s="464"/>
      <c r="S147" s="464"/>
      <c r="T147" s="464"/>
      <c r="U147" s="464"/>
      <c r="V147" s="464"/>
      <c r="W147" s="464"/>
      <c r="X147" s="464"/>
      <c r="Y147" s="464"/>
      <c r="Z147" s="464"/>
      <c r="AA147" s="464"/>
      <c r="AB147" s="464"/>
      <c r="AC147" s="464"/>
      <c r="AD147" s="464"/>
      <c r="AE147" s="464"/>
      <c r="AF147" s="464"/>
      <c r="AG147" s="464"/>
      <c r="AH147" s="464"/>
      <c r="AI147" s="464"/>
      <c r="AJ147" s="464"/>
    </row>
    <row r="148" spans="1:36" ht="15.75" customHeight="1">
      <c r="A148" s="463"/>
      <c r="B148" s="464"/>
      <c r="C148" s="464"/>
      <c r="D148" s="464"/>
      <c r="E148" s="464"/>
      <c r="F148" s="464"/>
      <c r="G148" s="464"/>
      <c r="H148" s="464"/>
      <c r="I148" s="464"/>
      <c r="J148" s="464"/>
      <c r="K148" s="464"/>
      <c r="L148" s="464"/>
      <c r="M148" s="464"/>
      <c r="N148" s="464"/>
      <c r="O148" s="464"/>
      <c r="P148" s="464"/>
      <c r="Q148" s="464"/>
      <c r="R148" s="464"/>
      <c r="S148" s="464"/>
      <c r="T148" s="464"/>
      <c r="U148" s="464"/>
      <c r="V148" s="464"/>
      <c r="W148" s="464"/>
      <c r="X148" s="464"/>
      <c r="Y148" s="464"/>
      <c r="Z148" s="464"/>
      <c r="AA148" s="464"/>
      <c r="AB148" s="464"/>
      <c r="AC148" s="464"/>
      <c r="AD148" s="464"/>
      <c r="AE148" s="464"/>
      <c r="AF148" s="464"/>
      <c r="AG148" s="464"/>
      <c r="AH148" s="464"/>
      <c r="AI148" s="464"/>
      <c r="AJ148" s="464"/>
    </row>
    <row r="149" spans="1:36" ht="15.75" customHeight="1">
      <c r="A149" s="463"/>
      <c r="B149" s="464"/>
      <c r="C149" s="464"/>
      <c r="D149" s="464"/>
      <c r="E149" s="464"/>
      <c r="F149" s="464"/>
      <c r="G149" s="464"/>
      <c r="H149" s="464"/>
      <c r="I149" s="464"/>
      <c r="J149" s="464"/>
      <c r="K149" s="464"/>
      <c r="L149" s="464"/>
      <c r="M149" s="464"/>
      <c r="N149" s="464"/>
      <c r="O149" s="464"/>
      <c r="P149" s="464"/>
      <c r="Q149" s="464"/>
      <c r="R149" s="464"/>
      <c r="S149" s="464"/>
      <c r="T149" s="464"/>
      <c r="U149" s="464"/>
      <c r="V149" s="464"/>
      <c r="W149" s="464"/>
      <c r="X149" s="464"/>
      <c r="Y149" s="464"/>
      <c r="Z149" s="464"/>
      <c r="AA149" s="464"/>
      <c r="AB149" s="464"/>
      <c r="AC149" s="464"/>
      <c r="AD149" s="464"/>
      <c r="AE149" s="464"/>
      <c r="AF149" s="464"/>
      <c r="AG149" s="464"/>
      <c r="AH149" s="464"/>
      <c r="AI149" s="464"/>
      <c r="AJ149" s="464"/>
    </row>
    <row r="150" spans="1:36" ht="15.75" customHeight="1">
      <c r="A150" s="463"/>
      <c r="B150" s="464"/>
      <c r="C150" s="464"/>
      <c r="D150" s="464"/>
      <c r="E150" s="464"/>
      <c r="F150" s="464"/>
      <c r="G150" s="464"/>
      <c r="H150" s="464"/>
      <c r="I150" s="464"/>
      <c r="J150" s="464"/>
      <c r="K150" s="464"/>
      <c r="L150" s="464"/>
      <c r="M150" s="464"/>
      <c r="N150" s="464"/>
      <c r="O150" s="464"/>
      <c r="P150" s="464"/>
      <c r="Q150" s="464"/>
      <c r="R150" s="464"/>
      <c r="S150" s="464"/>
      <c r="T150" s="464"/>
      <c r="U150" s="464"/>
      <c r="V150" s="464"/>
      <c r="W150" s="464"/>
      <c r="X150" s="464"/>
      <c r="Y150" s="464"/>
      <c r="Z150" s="464"/>
      <c r="AA150" s="464"/>
      <c r="AB150" s="464"/>
      <c r="AC150" s="464"/>
      <c r="AD150" s="464"/>
      <c r="AE150" s="464"/>
      <c r="AF150" s="464"/>
      <c r="AG150" s="464"/>
      <c r="AH150" s="464"/>
      <c r="AI150" s="464"/>
      <c r="AJ150" s="464"/>
    </row>
    <row r="151" spans="1:36" ht="15.75" customHeight="1">
      <c r="A151" s="463"/>
      <c r="B151" s="464"/>
      <c r="C151" s="464"/>
      <c r="D151" s="464"/>
      <c r="E151" s="464"/>
      <c r="F151" s="464"/>
      <c r="G151" s="464"/>
      <c r="H151" s="464"/>
      <c r="I151" s="464"/>
      <c r="J151" s="464"/>
      <c r="K151" s="464"/>
      <c r="L151" s="464"/>
      <c r="M151" s="464"/>
      <c r="N151" s="464"/>
      <c r="O151" s="464"/>
      <c r="P151" s="464"/>
      <c r="Q151" s="464"/>
      <c r="R151" s="464"/>
      <c r="S151" s="464"/>
      <c r="T151" s="464"/>
      <c r="U151" s="464"/>
      <c r="V151" s="464"/>
      <c r="W151" s="464"/>
      <c r="X151" s="464"/>
      <c r="Y151" s="464"/>
      <c r="Z151" s="464"/>
      <c r="AA151" s="464"/>
      <c r="AB151" s="464"/>
      <c r="AC151" s="464"/>
      <c r="AD151" s="464"/>
      <c r="AE151" s="464"/>
      <c r="AF151" s="464"/>
      <c r="AG151" s="464"/>
      <c r="AH151" s="464"/>
      <c r="AI151" s="464"/>
      <c r="AJ151" s="464"/>
    </row>
    <row r="152" spans="1:36" ht="15.75" customHeight="1">
      <c r="A152" s="463"/>
      <c r="B152" s="464"/>
      <c r="C152" s="464"/>
      <c r="D152" s="464"/>
      <c r="E152" s="464"/>
      <c r="F152" s="464"/>
      <c r="G152" s="464"/>
      <c r="H152" s="464"/>
      <c r="I152" s="464"/>
      <c r="J152" s="464"/>
      <c r="K152" s="464"/>
      <c r="L152" s="464"/>
      <c r="M152" s="464"/>
      <c r="N152" s="464"/>
      <c r="O152" s="464"/>
      <c r="P152" s="464"/>
      <c r="Q152" s="464"/>
      <c r="R152" s="464"/>
      <c r="S152" s="464"/>
      <c r="T152" s="464"/>
      <c r="U152" s="464"/>
      <c r="V152" s="464"/>
      <c r="W152" s="464"/>
      <c r="X152" s="464"/>
      <c r="Y152" s="464"/>
      <c r="Z152" s="464"/>
      <c r="AA152" s="464"/>
      <c r="AB152" s="464"/>
      <c r="AC152" s="464"/>
      <c r="AD152" s="464"/>
      <c r="AE152" s="464"/>
      <c r="AF152" s="464"/>
      <c r="AG152" s="464"/>
      <c r="AH152" s="464"/>
      <c r="AI152" s="464"/>
      <c r="AJ152" s="464"/>
    </row>
    <row r="153" spans="1:36" ht="15.75" customHeight="1">
      <c r="A153" s="463"/>
      <c r="B153" s="464"/>
      <c r="C153" s="464"/>
      <c r="D153" s="464"/>
      <c r="E153" s="464"/>
      <c r="F153" s="464"/>
      <c r="G153" s="464"/>
      <c r="H153" s="464"/>
      <c r="I153" s="464"/>
      <c r="J153" s="464"/>
      <c r="K153" s="464"/>
      <c r="L153" s="464"/>
      <c r="M153" s="464"/>
      <c r="N153" s="464"/>
      <c r="O153" s="464"/>
      <c r="P153" s="464"/>
      <c r="Q153" s="464"/>
      <c r="R153" s="464"/>
      <c r="S153" s="464"/>
      <c r="T153" s="464"/>
      <c r="U153" s="464"/>
      <c r="V153" s="464"/>
      <c r="W153" s="464"/>
      <c r="X153" s="464"/>
      <c r="Y153" s="464"/>
      <c r="Z153" s="464"/>
      <c r="AA153" s="464"/>
      <c r="AB153" s="464"/>
      <c r="AC153" s="464"/>
      <c r="AD153" s="464"/>
      <c r="AE153" s="464"/>
      <c r="AF153" s="464"/>
      <c r="AG153" s="464"/>
      <c r="AH153" s="464"/>
      <c r="AI153" s="464"/>
      <c r="AJ153" s="464"/>
    </row>
    <row r="154" spans="1:36" ht="15.75" customHeight="1">
      <c r="A154" s="463"/>
      <c r="B154" s="464"/>
      <c r="C154" s="464"/>
      <c r="D154" s="464"/>
      <c r="E154" s="464"/>
      <c r="F154" s="464"/>
      <c r="G154" s="464"/>
      <c r="H154" s="464"/>
      <c r="I154" s="464"/>
      <c r="J154" s="464"/>
      <c r="K154" s="464"/>
      <c r="L154" s="464"/>
      <c r="M154" s="464"/>
      <c r="N154" s="464"/>
      <c r="O154" s="464"/>
      <c r="P154" s="464"/>
      <c r="Q154" s="464"/>
      <c r="R154" s="464"/>
      <c r="S154" s="464"/>
      <c r="T154" s="464"/>
      <c r="U154" s="464"/>
      <c r="V154" s="464"/>
      <c r="W154" s="464"/>
      <c r="X154" s="464"/>
      <c r="Y154" s="464"/>
      <c r="Z154" s="464"/>
      <c r="AA154" s="464"/>
      <c r="AB154" s="464"/>
      <c r="AC154" s="464"/>
      <c r="AD154" s="464"/>
      <c r="AE154" s="464"/>
      <c r="AF154" s="464"/>
      <c r="AG154" s="464"/>
      <c r="AH154" s="464"/>
      <c r="AI154" s="464"/>
      <c r="AJ154" s="464"/>
    </row>
    <row r="155" spans="1:36" ht="15.75" customHeight="1">
      <c r="A155" s="463"/>
      <c r="B155" s="464"/>
      <c r="C155" s="464"/>
      <c r="D155" s="464"/>
      <c r="E155" s="464"/>
      <c r="F155" s="464"/>
      <c r="G155" s="464"/>
      <c r="H155" s="464"/>
      <c r="I155" s="464"/>
      <c r="J155" s="464"/>
      <c r="K155" s="464"/>
      <c r="L155" s="464"/>
      <c r="M155" s="464"/>
      <c r="N155" s="464"/>
      <c r="O155" s="464"/>
      <c r="P155" s="464"/>
      <c r="Q155" s="464"/>
      <c r="R155" s="464"/>
      <c r="S155" s="464"/>
      <c r="T155" s="464"/>
      <c r="U155" s="464"/>
      <c r="V155" s="464"/>
      <c r="W155" s="464"/>
      <c r="X155" s="464"/>
      <c r="Y155" s="464"/>
      <c r="Z155" s="464"/>
      <c r="AA155" s="464"/>
      <c r="AB155" s="464"/>
      <c r="AC155" s="464"/>
      <c r="AD155" s="464"/>
      <c r="AE155" s="464"/>
      <c r="AF155" s="464"/>
      <c r="AG155" s="464"/>
      <c r="AH155" s="464"/>
      <c r="AI155" s="464"/>
      <c r="AJ155" s="464"/>
    </row>
    <row r="156" spans="1:36" ht="15.75" customHeight="1">
      <c r="A156" s="463"/>
      <c r="B156" s="464"/>
      <c r="C156" s="464"/>
      <c r="D156" s="464"/>
      <c r="E156" s="464"/>
      <c r="F156" s="464"/>
      <c r="G156" s="464"/>
      <c r="H156" s="464"/>
      <c r="I156" s="464"/>
      <c r="J156" s="464"/>
      <c r="K156" s="464"/>
      <c r="L156" s="464"/>
      <c r="M156" s="464"/>
      <c r="N156" s="464"/>
      <c r="O156" s="464"/>
      <c r="P156" s="464"/>
      <c r="Q156" s="464"/>
      <c r="R156" s="464"/>
      <c r="S156" s="464"/>
      <c r="T156" s="464"/>
      <c r="U156" s="464"/>
      <c r="V156" s="464"/>
      <c r="W156" s="464"/>
      <c r="X156" s="464"/>
      <c r="Y156" s="464"/>
      <c r="Z156" s="464"/>
      <c r="AA156" s="464"/>
      <c r="AB156" s="464"/>
      <c r="AC156" s="464"/>
      <c r="AD156" s="464"/>
      <c r="AE156" s="464"/>
      <c r="AF156" s="464"/>
      <c r="AG156" s="464"/>
      <c r="AH156" s="464"/>
      <c r="AI156" s="464"/>
      <c r="AJ156" s="464"/>
    </row>
    <row r="157" spans="1:36" ht="15.75" customHeight="1">
      <c r="A157" s="463"/>
      <c r="B157" s="464"/>
      <c r="C157" s="464"/>
      <c r="D157" s="464"/>
      <c r="E157" s="464"/>
      <c r="F157" s="464"/>
      <c r="G157" s="464"/>
      <c r="H157" s="464"/>
      <c r="I157" s="464"/>
      <c r="J157" s="464"/>
      <c r="K157" s="464"/>
      <c r="L157" s="464"/>
      <c r="M157" s="464"/>
      <c r="N157" s="464"/>
      <c r="O157" s="464"/>
      <c r="P157" s="464"/>
      <c r="Q157" s="464"/>
      <c r="R157" s="464"/>
      <c r="S157" s="464"/>
      <c r="T157" s="464"/>
      <c r="U157" s="464"/>
      <c r="V157" s="464"/>
      <c r="W157" s="464"/>
      <c r="X157" s="464"/>
      <c r="Y157" s="464"/>
      <c r="Z157" s="464"/>
      <c r="AA157" s="464"/>
      <c r="AB157" s="464"/>
      <c r="AC157" s="464"/>
      <c r="AD157" s="464"/>
      <c r="AE157" s="464"/>
      <c r="AF157" s="464"/>
      <c r="AG157" s="464"/>
      <c r="AH157" s="464"/>
      <c r="AI157" s="464"/>
      <c r="AJ157" s="464"/>
    </row>
    <row r="158" spans="1:36" ht="15.75" customHeight="1">
      <c r="A158" s="463"/>
      <c r="B158" s="464"/>
      <c r="C158" s="464"/>
      <c r="D158" s="464"/>
      <c r="E158" s="464"/>
      <c r="F158" s="464"/>
      <c r="G158" s="464"/>
      <c r="H158" s="464"/>
      <c r="I158" s="464"/>
      <c r="J158" s="464"/>
      <c r="K158" s="464"/>
      <c r="L158" s="464"/>
      <c r="M158" s="464"/>
      <c r="N158" s="464"/>
      <c r="O158" s="464"/>
      <c r="P158" s="464"/>
      <c r="Q158" s="464"/>
      <c r="R158" s="464"/>
      <c r="S158" s="464"/>
      <c r="T158" s="464"/>
      <c r="U158" s="464"/>
      <c r="V158" s="464"/>
      <c r="W158" s="464"/>
      <c r="X158" s="464"/>
      <c r="Y158" s="464"/>
      <c r="Z158" s="464"/>
      <c r="AA158" s="464"/>
      <c r="AB158" s="464"/>
      <c r="AC158" s="464"/>
      <c r="AD158" s="464"/>
      <c r="AE158" s="464"/>
      <c r="AF158" s="464"/>
      <c r="AG158" s="464"/>
      <c r="AH158" s="464"/>
      <c r="AI158" s="464"/>
      <c r="AJ158" s="464"/>
    </row>
    <row r="159" spans="1:36" ht="15.75" customHeight="1">
      <c r="A159" s="463"/>
      <c r="B159" s="464"/>
      <c r="C159" s="464"/>
      <c r="D159" s="464"/>
      <c r="E159" s="464"/>
      <c r="F159" s="464"/>
      <c r="G159" s="464"/>
      <c r="H159" s="464"/>
      <c r="I159" s="464"/>
      <c r="J159" s="464"/>
      <c r="K159" s="464"/>
      <c r="L159" s="464"/>
      <c r="M159" s="464"/>
      <c r="N159" s="464"/>
      <c r="O159" s="464"/>
      <c r="P159" s="464"/>
      <c r="Q159" s="464"/>
      <c r="R159" s="464"/>
      <c r="S159" s="464"/>
      <c r="T159" s="464"/>
      <c r="U159" s="464"/>
      <c r="V159" s="464"/>
      <c r="W159" s="464"/>
      <c r="X159" s="464"/>
      <c r="Y159" s="464"/>
      <c r="Z159" s="464"/>
      <c r="AA159" s="464"/>
      <c r="AB159" s="464"/>
      <c r="AC159" s="464"/>
      <c r="AD159" s="464"/>
      <c r="AE159" s="464"/>
      <c r="AF159" s="464"/>
      <c r="AG159" s="464"/>
      <c r="AH159" s="464"/>
      <c r="AI159" s="464"/>
      <c r="AJ159" s="464"/>
    </row>
    <row r="160" spans="1:36" ht="15.75" customHeight="1">
      <c r="A160" s="463"/>
      <c r="B160" s="464"/>
      <c r="C160" s="464"/>
      <c r="D160" s="464"/>
      <c r="E160" s="464"/>
      <c r="F160" s="464"/>
      <c r="G160" s="464"/>
      <c r="H160" s="464"/>
      <c r="I160" s="464"/>
      <c r="J160" s="464"/>
      <c r="K160" s="464"/>
      <c r="L160" s="464"/>
      <c r="M160" s="464"/>
      <c r="N160" s="464"/>
      <c r="O160" s="464"/>
      <c r="P160" s="464"/>
      <c r="Q160" s="464"/>
      <c r="R160" s="464"/>
      <c r="S160" s="464"/>
      <c r="T160" s="464"/>
      <c r="U160" s="464"/>
      <c r="V160" s="464"/>
      <c r="W160" s="464"/>
      <c r="X160" s="464"/>
      <c r="Y160" s="464"/>
      <c r="Z160" s="464"/>
      <c r="AA160" s="464"/>
      <c r="AB160" s="464"/>
      <c r="AC160" s="464"/>
      <c r="AD160" s="464"/>
      <c r="AE160" s="464"/>
      <c r="AF160" s="464"/>
      <c r="AG160" s="464"/>
      <c r="AH160" s="464"/>
      <c r="AI160" s="464"/>
      <c r="AJ160" s="464"/>
    </row>
    <row r="161" spans="1:36" ht="15.75" customHeight="1">
      <c r="A161" s="463"/>
      <c r="B161" s="464"/>
      <c r="C161" s="464"/>
      <c r="D161" s="464"/>
      <c r="E161" s="464"/>
      <c r="F161" s="464"/>
      <c r="G161" s="464"/>
      <c r="H161" s="464"/>
      <c r="I161" s="464"/>
      <c r="J161" s="464"/>
      <c r="K161" s="464"/>
      <c r="L161" s="464"/>
      <c r="M161" s="464"/>
      <c r="N161" s="464"/>
      <c r="O161" s="464"/>
      <c r="P161" s="464"/>
      <c r="Q161" s="464"/>
      <c r="R161" s="464"/>
      <c r="S161" s="464"/>
      <c r="T161" s="464"/>
      <c r="U161" s="464"/>
      <c r="V161" s="464"/>
      <c r="W161" s="464"/>
      <c r="X161" s="464"/>
      <c r="Y161" s="464"/>
      <c r="Z161" s="464"/>
      <c r="AA161" s="464"/>
      <c r="AB161" s="464"/>
      <c r="AC161" s="464"/>
      <c r="AD161" s="464"/>
      <c r="AE161" s="464"/>
      <c r="AF161" s="464"/>
      <c r="AG161" s="464"/>
      <c r="AH161" s="464"/>
      <c r="AI161" s="464"/>
      <c r="AJ161" s="464"/>
    </row>
    <row r="162" spans="1:36" ht="15.75" customHeight="1">
      <c r="A162" s="463"/>
      <c r="B162" s="464"/>
      <c r="C162" s="464"/>
      <c r="D162" s="464"/>
      <c r="E162" s="464"/>
      <c r="F162" s="464"/>
      <c r="G162" s="464"/>
      <c r="H162" s="464"/>
      <c r="I162" s="464"/>
      <c r="J162" s="464"/>
      <c r="K162" s="464"/>
      <c r="L162" s="464"/>
      <c r="M162" s="464"/>
      <c r="N162" s="464"/>
      <c r="O162" s="464"/>
      <c r="P162" s="464"/>
      <c r="Q162" s="464"/>
      <c r="R162" s="464"/>
      <c r="S162" s="464"/>
      <c r="T162" s="464"/>
      <c r="U162" s="464"/>
      <c r="V162" s="464"/>
      <c r="W162" s="464"/>
      <c r="X162" s="464"/>
      <c r="Y162" s="464"/>
      <c r="Z162" s="464"/>
      <c r="AA162" s="464"/>
      <c r="AB162" s="464"/>
      <c r="AC162" s="464"/>
      <c r="AD162" s="464"/>
      <c r="AE162" s="464"/>
      <c r="AF162" s="464"/>
      <c r="AG162" s="464"/>
      <c r="AH162" s="464"/>
      <c r="AI162" s="464"/>
      <c r="AJ162" s="464"/>
    </row>
    <row r="163" spans="1:36" ht="15.75" customHeight="1">
      <c r="A163" s="463"/>
      <c r="B163" s="464"/>
      <c r="C163" s="464"/>
      <c r="D163" s="464"/>
      <c r="E163" s="464"/>
      <c r="F163" s="464"/>
      <c r="G163" s="464"/>
      <c r="H163" s="464"/>
      <c r="I163" s="464"/>
      <c r="J163" s="464"/>
      <c r="K163" s="464"/>
      <c r="L163" s="464"/>
      <c r="M163" s="464"/>
      <c r="N163" s="464"/>
      <c r="O163" s="464"/>
      <c r="P163" s="464"/>
      <c r="Q163" s="464"/>
      <c r="R163" s="464"/>
      <c r="S163" s="464"/>
      <c r="T163" s="464"/>
      <c r="U163" s="464"/>
      <c r="V163" s="464"/>
      <c r="W163" s="464"/>
      <c r="X163" s="464"/>
      <c r="Y163" s="464"/>
      <c r="Z163" s="464"/>
      <c r="AA163" s="464"/>
      <c r="AB163" s="464"/>
      <c r="AC163" s="464"/>
      <c r="AD163" s="464"/>
      <c r="AE163" s="464"/>
      <c r="AF163" s="464"/>
      <c r="AG163" s="464"/>
      <c r="AH163" s="464"/>
      <c r="AI163" s="464"/>
      <c r="AJ163" s="464"/>
    </row>
    <row r="164" spans="1:36" ht="15.75" customHeight="1">
      <c r="A164" s="463"/>
      <c r="B164" s="464"/>
      <c r="C164" s="464"/>
      <c r="D164" s="464"/>
      <c r="E164" s="464"/>
      <c r="F164" s="464"/>
      <c r="G164" s="464"/>
      <c r="H164" s="464"/>
      <c r="I164" s="464"/>
      <c r="J164" s="464"/>
      <c r="K164" s="464"/>
      <c r="L164" s="464"/>
      <c r="M164" s="464"/>
      <c r="N164" s="464"/>
      <c r="O164" s="464"/>
      <c r="P164" s="464"/>
      <c r="Q164" s="464"/>
      <c r="R164" s="464"/>
      <c r="S164" s="464"/>
      <c r="T164" s="464"/>
      <c r="U164" s="464"/>
      <c r="V164" s="464"/>
      <c r="W164" s="464"/>
      <c r="X164" s="464"/>
      <c r="Y164" s="464"/>
      <c r="Z164" s="464"/>
      <c r="AA164" s="464"/>
      <c r="AB164" s="464"/>
      <c r="AC164" s="464"/>
      <c r="AD164" s="464"/>
      <c r="AE164" s="464"/>
      <c r="AF164" s="464"/>
      <c r="AG164" s="464"/>
      <c r="AH164" s="464"/>
      <c r="AI164" s="464"/>
      <c r="AJ164" s="464"/>
    </row>
    <row r="165" spans="1:36" ht="15.75" customHeight="1">
      <c r="A165" s="463"/>
      <c r="B165" s="464"/>
      <c r="C165" s="464"/>
      <c r="D165" s="464"/>
      <c r="E165" s="464"/>
      <c r="F165" s="464"/>
      <c r="G165" s="464"/>
      <c r="H165" s="464"/>
      <c r="I165" s="464"/>
      <c r="J165" s="464"/>
      <c r="K165" s="464"/>
      <c r="L165" s="464"/>
      <c r="M165" s="464"/>
      <c r="N165" s="464"/>
      <c r="O165" s="464"/>
      <c r="P165" s="464"/>
      <c r="Q165" s="464"/>
      <c r="R165" s="464"/>
      <c r="S165" s="464"/>
      <c r="T165" s="464"/>
      <c r="U165" s="464"/>
      <c r="V165" s="464"/>
      <c r="W165" s="464"/>
      <c r="X165" s="464"/>
      <c r="Y165" s="464"/>
      <c r="Z165" s="464"/>
      <c r="AA165" s="464"/>
      <c r="AB165" s="464"/>
      <c r="AC165" s="464"/>
      <c r="AD165" s="464"/>
      <c r="AE165" s="464"/>
      <c r="AF165" s="464"/>
      <c r="AG165" s="464"/>
      <c r="AH165" s="464"/>
      <c r="AI165" s="464"/>
      <c r="AJ165" s="464"/>
    </row>
    <row r="166" spans="1:36" ht="15.75" customHeight="1">
      <c r="A166" s="463"/>
      <c r="B166" s="464"/>
      <c r="C166" s="464"/>
      <c r="D166" s="464"/>
      <c r="E166" s="464"/>
      <c r="F166" s="464"/>
      <c r="G166" s="464"/>
      <c r="H166" s="464"/>
      <c r="I166" s="464"/>
      <c r="J166" s="464"/>
      <c r="K166" s="464"/>
      <c r="L166" s="464"/>
      <c r="M166" s="464"/>
      <c r="N166" s="464"/>
      <c r="O166" s="464"/>
      <c r="P166" s="464"/>
      <c r="Q166" s="464"/>
      <c r="R166" s="464"/>
      <c r="S166" s="464"/>
      <c r="T166" s="464"/>
      <c r="U166" s="464"/>
      <c r="V166" s="464"/>
      <c r="W166" s="464"/>
      <c r="X166" s="464"/>
      <c r="Y166" s="464"/>
      <c r="Z166" s="464"/>
      <c r="AA166" s="464"/>
      <c r="AB166" s="464"/>
      <c r="AC166" s="464"/>
      <c r="AD166" s="464"/>
      <c r="AE166" s="464"/>
      <c r="AF166" s="464"/>
      <c r="AG166" s="464"/>
      <c r="AH166" s="464"/>
      <c r="AI166" s="464"/>
      <c r="AJ166" s="464"/>
    </row>
    <row r="167" spans="1:36" ht="15.75" customHeight="1">
      <c r="A167" s="463"/>
      <c r="B167" s="464"/>
      <c r="C167" s="464"/>
      <c r="D167" s="464"/>
      <c r="E167" s="464"/>
      <c r="F167" s="464"/>
      <c r="G167" s="464"/>
      <c r="H167" s="464"/>
      <c r="I167" s="464"/>
      <c r="J167" s="464"/>
      <c r="K167" s="464"/>
      <c r="L167" s="464"/>
      <c r="M167" s="464"/>
      <c r="N167" s="464"/>
      <c r="O167" s="464"/>
      <c r="P167" s="464"/>
      <c r="Q167" s="464"/>
      <c r="R167" s="464"/>
      <c r="S167" s="464"/>
      <c r="T167" s="464"/>
      <c r="U167" s="464"/>
      <c r="V167" s="464"/>
      <c r="W167" s="464"/>
      <c r="X167" s="464"/>
      <c r="Y167" s="464"/>
      <c r="Z167" s="464"/>
      <c r="AA167" s="464"/>
      <c r="AB167" s="464"/>
      <c r="AC167" s="464"/>
      <c r="AD167" s="464"/>
      <c r="AE167" s="464"/>
      <c r="AF167" s="464"/>
      <c r="AG167" s="464"/>
      <c r="AH167" s="464"/>
      <c r="AI167" s="464"/>
      <c r="AJ167" s="464"/>
    </row>
    <row r="168" spans="1:36" ht="15.75" customHeight="1">
      <c r="A168" s="463"/>
      <c r="B168" s="464"/>
      <c r="C168" s="464"/>
      <c r="D168" s="464"/>
      <c r="E168" s="464"/>
      <c r="F168" s="464"/>
      <c r="G168" s="464"/>
      <c r="H168" s="464"/>
      <c r="I168" s="464"/>
      <c r="J168" s="464"/>
      <c r="K168" s="464"/>
      <c r="L168" s="464"/>
      <c r="M168" s="464"/>
      <c r="N168" s="464"/>
      <c r="O168" s="464"/>
      <c r="P168" s="464"/>
      <c r="Q168" s="464"/>
      <c r="R168" s="464"/>
      <c r="S168" s="464"/>
      <c r="T168" s="464"/>
      <c r="U168" s="464"/>
      <c r="V168" s="464"/>
      <c r="W168" s="464"/>
      <c r="X168" s="464"/>
      <c r="Y168" s="464"/>
      <c r="Z168" s="464"/>
      <c r="AA168" s="464"/>
      <c r="AB168" s="464"/>
      <c r="AC168" s="464"/>
      <c r="AD168" s="464"/>
      <c r="AE168" s="464"/>
      <c r="AF168" s="464"/>
      <c r="AG168" s="464"/>
      <c r="AH168" s="464"/>
      <c r="AI168" s="464"/>
      <c r="AJ168" s="464"/>
    </row>
    <row r="169" spans="1:36" ht="15.75" customHeight="1">
      <c r="A169" s="463"/>
      <c r="B169" s="464"/>
      <c r="C169" s="464"/>
      <c r="D169" s="464"/>
      <c r="E169" s="464"/>
      <c r="F169" s="464"/>
      <c r="G169" s="464"/>
      <c r="H169" s="464"/>
      <c r="I169" s="464"/>
      <c r="J169" s="464"/>
      <c r="K169" s="464"/>
      <c r="L169" s="464"/>
      <c r="M169" s="464"/>
      <c r="N169" s="464"/>
      <c r="O169" s="464"/>
      <c r="P169" s="464"/>
      <c r="Q169" s="464"/>
      <c r="R169" s="464"/>
      <c r="S169" s="464"/>
      <c r="T169" s="464"/>
      <c r="U169" s="464"/>
      <c r="V169" s="464"/>
      <c r="W169" s="464"/>
      <c r="X169" s="464"/>
      <c r="Y169" s="464"/>
      <c r="Z169" s="464"/>
      <c r="AA169" s="464"/>
      <c r="AB169" s="464"/>
      <c r="AC169" s="464"/>
      <c r="AD169" s="464"/>
      <c r="AE169" s="464"/>
      <c r="AF169" s="464"/>
      <c r="AG169" s="464"/>
      <c r="AH169" s="464"/>
      <c r="AI169" s="464"/>
      <c r="AJ169" s="464"/>
    </row>
    <row r="170" spans="1:36" ht="15.75" customHeight="1">
      <c r="A170" s="463"/>
      <c r="B170" s="464"/>
      <c r="C170" s="464"/>
      <c r="D170" s="464"/>
      <c r="E170" s="464"/>
      <c r="F170" s="464"/>
      <c r="G170" s="464"/>
      <c r="H170" s="464"/>
      <c r="I170" s="464"/>
      <c r="J170" s="464"/>
      <c r="K170" s="464"/>
      <c r="L170" s="464"/>
      <c r="M170" s="464"/>
      <c r="N170" s="464"/>
      <c r="O170" s="464"/>
      <c r="P170" s="464"/>
      <c r="Q170" s="464"/>
      <c r="R170" s="464"/>
      <c r="S170" s="464"/>
      <c r="T170" s="464"/>
      <c r="U170" s="464"/>
      <c r="V170" s="464"/>
      <c r="W170" s="464"/>
      <c r="X170" s="464"/>
      <c r="Y170" s="464"/>
      <c r="Z170" s="464"/>
      <c r="AA170" s="464"/>
      <c r="AB170" s="464"/>
      <c r="AC170" s="464"/>
      <c r="AD170" s="464"/>
      <c r="AE170" s="464"/>
      <c r="AF170" s="464"/>
      <c r="AG170" s="464"/>
      <c r="AH170" s="464"/>
      <c r="AI170" s="464"/>
      <c r="AJ170" s="464"/>
    </row>
    <row r="171" spans="1:36" ht="15.75" customHeight="1">
      <c r="A171" s="463"/>
      <c r="B171" s="464"/>
      <c r="C171" s="464"/>
      <c r="D171" s="464"/>
      <c r="E171" s="464"/>
      <c r="F171" s="464"/>
      <c r="G171" s="464"/>
      <c r="H171" s="464"/>
      <c r="I171" s="464"/>
      <c r="J171" s="464"/>
      <c r="K171" s="464"/>
      <c r="L171" s="464"/>
      <c r="M171" s="464"/>
      <c r="N171" s="464"/>
      <c r="O171" s="464"/>
      <c r="P171" s="464"/>
      <c r="Q171" s="464"/>
      <c r="R171" s="464"/>
      <c r="S171" s="464"/>
      <c r="T171" s="464"/>
      <c r="U171" s="464"/>
      <c r="V171" s="464"/>
      <c r="W171" s="464"/>
      <c r="X171" s="464"/>
      <c r="Y171" s="464"/>
      <c r="Z171" s="464"/>
      <c r="AA171" s="464"/>
      <c r="AB171" s="464"/>
      <c r="AC171" s="464"/>
      <c r="AD171" s="464"/>
      <c r="AE171" s="464"/>
      <c r="AF171" s="464"/>
      <c r="AG171" s="464"/>
      <c r="AH171" s="464"/>
      <c r="AI171" s="464"/>
      <c r="AJ171" s="464"/>
    </row>
    <row r="172" spans="1:36" ht="15.75" customHeight="1">
      <c r="A172" s="463"/>
      <c r="B172" s="464"/>
      <c r="C172" s="464"/>
      <c r="D172" s="464"/>
      <c r="E172" s="464"/>
      <c r="F172" s="464"/>
      <c r="G172" s="464"/>
      <c r="H172" s="464"/>
      <c r="I172" s="464"/>
      <c r="J172" s="464"/>
      <c r="K172" s="464"/>
      <c r="L172" s="464"/>
      <c r="M172" s="464"/>
      <c r="N172" s="464"/>
      <c r="O172" s="464"/>
      <c r="P172" s="464"/>
      <c r="Q172" s="464"/>
      <c r="R172" s="464"/>
      <c r="S172" s="464"/>
      <c r="T172" s="464"/>
      <c r="U172" s="464"/>
      <c r="V172" s="464"/>
      <c r="W172" s="464"/>
      <c r="X172" s="464"/>
      <c r="Y172" s="464"/>
      <c r="Z172" s="464"/>
      <c r="AA172" s="464"/>
      <c r="AB172" s="464"/>
      <c r="AC172" s="464"/>
      <c r="AD172" s="464"/>
      <c r="AE172" s="464"/>
      <c r="AF172" s="464"/>
      <c r="AG172" s="464"/>
      <c r="AH172" s="464"/>
      <c r="AI172" s="464"/>
      <c r="AJ172" s="464"/>
    </row>
    <row r="173" spans="1:36" ht="15.75" customHeight="1">
      <c r="A173" s="463"/>
      <c r="B173" s="464"/>
      <c r="C173" s="464"/>
      <c r="D173" s="464"/>
      <c r="E173" s="464"/>
      <c r="F173" s="464"/>
      <c r="G173" s="464"/>
      <c r="H173" s="464"/>
      <c r="I173" s="464"/>
      <c r="J173" s="464"/>
      <c r="K173" s="464"/>
      <c r="L173" s="464"/>
      <c r="M173" s="464"/>
      <c r="N173" s="464"/>
      <c r="O173" s="464"/>
      <c r="P173" s="464"/>
      <c r="Q173" s="464"/>
      <c r="R173" s="464"/>
      <c r="S173" s="464"/>
      <c r="T173" s="464"/>
      <c r="U173" s="464"/>
      <c r="V173" s="464"/>
      <c r="W173" s="464"/>
      <c r="X173" s="464"/>
      <c r="Y173" s="464"/>
      <c r="Z173" s="464"/>
      <c r="AA173" s="464"/>
      <c r="AB173" s="464"/>
      <c r="AC173" s="464"/>
      <c r="AD173" s="464"/>
      <c r="AE173" s="464"/>
      <c r="AF173" s="464"/>
      <c r="AG173" s="464"/>
      <c r="AH173" s="464"/>
      <c r="AI173" s="464"/>
      <c r="AJ173" s="464"/>
    </row>
    <row r="174" spans="1:36" ht="15.75" customHeight="1">
      <c r="A174" s="463"/>
      <c r="B174" s="464"/>
      <c r="C174" s="464"/>
      <c r="D174" s="464"/>
      <c r="E174" s="464"/>
      <c r="F174" s="464"/>
      <c r="G174" s="464"/>
      <c r="H174" s="464"/>
      <c r="I174" s="464"/>
      <c r="J174" s="464"/>
      <c r="K174" s="464"/>
      <c r="L174" s="464"/>
      <c r="M174" s="464"/>
      <c r="N174" s="464"/>
      <c r="O174" s="464"/>
      <c r="P174" s="464"/>
      <c r="Q174" s="464"/>
      <c r="R174" s="464"/>
      <c r="S174" s="464"/>
      <c r="T174" s="464"/>
      <c r="U174" s="464"/>
      <c r="V174" s="464"/>
      <c r="W174" s="464"/>
      <c r="X174" s="464"/>
      <c r="Y174" s="464"/>
      <c r="Z174" s="464"/>
      <c r="AA174" s="464"/>
      <c r="AB174" s="464"/>
      <c r="AC174" s="464"/>
      <c r="AD174" s="464"/>
      <c r="AE174" s="464"/>
      <c r="AF174" s="464"/>
      <c r="AG174" s="464"/>
      <c r="AH174" s="464"/>
      <c r="AI174" s="464"/>
      <c r="AJ174" s="464"/>
    </row>
    <row r="175" spans="1:36" ht="15.75" customHeight="1">
      <c r="A175" s="463"/>
      <c r="B175" s="464"/>
      <c r="C175" s="464"/>
      <c r="D175" s="464"/>
      <c r="E175" s="464"/>
      <c r="F175" s="464"/>
      <c r="G175" s="464"/>
      <c r="H175" s="464"/>
      <c r="I175" s="464"/>
      <c r="J175" s="464"/>
      <c r="K175" s="464"/>
      <c r="L175" s="464"/>
      <c r="M175" s="464"/>
      <c r="N175" s="464"/>
      <c r="O175" s="464"/>
      <c r="P175" s="464"/>
      <c r="Q175" s="464"/>
      <c r="R175" s="464"/>
      <c r="S175" s="464"/>
      <c r="T175" s="464"/>
      <c r="U175" s="464"/>
      <c r="V175" s="464"/>
      <c r="W175" s="464"/>
      <c r="X175" s="464"/>
      <c r="Y175" s="464"/>
      <c r="Z175" s="464"/>
      <c r="AA175" s="464"/>
      <c r="AB175" s="464"/>
      <c r="AC175" s="464"/>
      <c r="AD175" s="464"/>
      <c r="AE175" s="464"/>
      <c r="AF175" s="464"/>
      <c r="AG175" s="464"/>
      <c r="AH175" s="464"/>
      <c r="AI175" s="464"/>
      <c r="AJ175" s="464"/>
    </row>
    <row r="176" spans="1:36" ht="15.75" customHeight="1">
      <c r="A176" s="463"/>
      <c r="B176" s="464"/>
      <c r="C176" s="464"/>
      <c r="D176" s="464"/>
      <c r="E176" s="464"/>
      <c r="F176" s="464"/>
      <c r="G176" s="464"/>
      <c r="H176" s="464"/>
      <c r="I176" s="464"/>
      <c r="J176" s="464"/>
      <c r="K176" s="464"/>
      <c r="L176" s="464"/>
      <c r="M176" s="464"/>
      <c r="N176" s="464"/>
      <c r="O176" s="464"/>
      <c r="P176" s="464"/>
      <c r="Q176" s="464"/>
      <c r="R176" s="464"/>
      <c r="S176" s="464"/>
      <c r="T176" s="464"/>
      <c r="U176" s="464"/>
      <c r="V176" s="464"/>
      <c r="W176" s="464"/>
      <c r="X176" s="464"/>
      <c r="Y176" s="464"/>
      <c r="Z176" s="464"/>
      <c r="AA176" s="464"/>
      <c r="AB176" s="464"/>
      <c r="AC176" s="464"/>
      <c r="AD176" s="464"/>
      <c r="AE176" s="464"/>
      <c r="AF176" s="464"/>
      <c r="AG176" s="464"/>
      <c r="AH176" s="464"/>
      <c r="AI176" s="464"/>
      <c r="AJ176" s="464"/>
    </row>
    <row r="177" spans="1:36" ht="15.75" customHeight="1">
      <c r="A177" s="463"/>
      <c r="B177" s="464"/>
      <c r="C177" s="464"/>
      <c r="D177" s="464"/>
      <c r="E177" s="464"/>
      <c r="F177" s="464"/>
      <c r="G177" s="464"/>
      <c r="H177" s="464"/>
      <c r="I177" s="464"/>
      <c r="J177" s="464"/>
      <c r="K177" s="464"/>
      <c r="L177" s="464"/>
      <c r="M177" s="464"/>
      <c r="N177" s="464"/>
      <c r="O177" s="464"/>
      <c r="P177" s="464"/>
      <c r="Q177" s="464"/>
      <c r="R177" s="464"/>
      <c r="S177" s="464"/>
      <c r="T177" s="464"/>
      <c r="U177" s="464"/>
      <c r="V177" s="464"/>
      <c r="W177" s="464"/>
      <c r="X177" s="464"/>
      <c r="Y177" s="464"/>
      <c r="Z177" s="464"/>
      <c r="AA177" s="464"/>
      <c r="AB177" s="464"/>
      <c r="AC177" s="464"/>
      <c r="AD177" s="464"/>
      <c r="AE177" s="464"/>
      <c r="AF177" s="464"/>
      <c r="AG177" s="464"/>
      <c r="AH177" s="464"/>
      <c r="AI177" s="464"/>
      <c r="AJ177" s="464"/>
    </row>
    <row r="178" spans="1:36" ht="15.75" customHeight="1">
      <c r="A178" s="463"/>
      <c r="B178" s="464"/>
      <c r="C178" s="464"/>
      <c r="D178" s="464"/>
      <c r="E178" s="464"/>
      <c r="F178" s="464"/>
      <c r="G178" s="464"/>
      <c r="H178" s="464"/>
      <c r="I178" s="464"/>
      <c r="J178" s="464"/>
      <c r="K178" s="464"/>
      <c r="L178" s="464"/>
      <c r="M178" s="464"/>
      <c r="N178" s="464"/>
      <c r="O178" s="464"/>
      <c r="P178" s="464"/>
      <c r="Q178" s="464"/>
      <c r="R178" s="464"/>
      <c r="S178" s="464"/>
      <c r="T178" s="464"/>
      <c r="U178" s="464"/>
      <c r="V178" s="464"/>
      <c r="W178" s="464"/>
      <c r="X178" s="464"/>
      <c r="Y178" s="464"/>
      <c r="Z178" s="464"/>
      <c r="AA178" s="464"/>
      <c r="AB178" s="464"/>
      <c r="AC178" s="464"/>
      <c r="AD178" s="464"/>
      <c r="AE178" s="464"/>
      <c r="AF178" s="464"/>
      <c r="AG178" s="464"/>
      <c r="AH178" s="464"/>
      <c r="AI178" s="464"/>
      <c r="AJ178" s="464"/>
    </row>
    <row r="179" spans="1:36" ht="15.75" customHeight="1">
      <c r="A179" s="463"/>
      <c r="B179" s="464"/>
      <c r="C179" s="464"/>
      <c r="D179" s="464"/>
      <c r="E179" s="464"/>
      <c r="F179" s="464"/>
      <c r="G179" s="464"/>
      <c r="H179" s="464"/>
      <c r="I179" s="464"/>
      <c r="J179" s="464"/>
      <c r="K179" s="464"/>
      <c r="L179" s="464"/>
      <c r="M179" s="464"/>
      <c r="N179" s="464"/>
      <c r="O179" s="464"/>
      <c r="P179" s="464"/>
      <c r="Q179" s="464"/>
      <c r="R179" s="464"/>
      <c r="S179" s="464"/>
      <c r="T179" s="464"/>
      <c r="U179" s="464"/>
      <c r="V179" s="464"/>
      <c r="W179" s="464"/>
      <c r="X179" s="464"/>
      <c r="Y179" s="464"/>
      <c r="Z179" s="464"/>
      <c r="AA179" s="464"/>
      <c r="AB179" s="464"/>
      <c r="AC179" s="464"/>
      <c r="AD179" s="464"/>
      <c r="AE179" s="464"/>
      <c r="AF179" s="464"/>
      <c r="AG179" s="464"/>
      <c r="AH179" s="464"/>
      <c r="AI179" s="464"/>
      <c r="AJ179" s="464"/>
    </row>
    <row r="180" spans="1:36" ht="15.75" customHeight="1">
      <c r="A180" s="463"/>
      <c r="B180" s="464"/>
      <c r="C180" s="464"/>
      <c r="D180" s="464"/>
      <c r="E180" s="464"/>
      <c r="F180" s="464"/>
      <c r="G180" s="464"/>
      <c r="H180" s="464"/>
      <c r="I180" s="464"/>
      <c r="J180" s="464"/>
      <c r="K180" s="464"/>
      <c r="L180" s="464"/>
      <c r="M180" s="464"/>
      <c r="N180" s="464"/>
      <c r="O180" s="464"/>
      <c r="P180" s="464"/>
      <c r="Q180" s="464"/>
      <c r="R180" s="464"/>
      <c r="S180" s="464"/>
      <c r="T180" s="464"/>
      <c r="U180" s="464"/>
      <c r="V180" s="464"/>
      <c r="W180" s="464"/>
      <c r="X180" s="464"/>
      <c r="Y180" s="464"/>
      <c r="Z180" s="464"/>
      <c r="AA180" s="464"/>
      <c r="AB180" s="464"/>
      <c r="AC180" s="464"/>
      <c r="AD180" s="464"/>
      <c r="AE180" s="464"/>
      <c r="AF180" s="464"/>
      <c r="AG180" s="464"/>
      <c r="AH180" s="464"/>
      <c r="AI180" s="464"/>
      <c r="AJ180" s="464"/>
    </row>
    <row r="181" spans="1:36" ht="15.75" customHeight="1">
      <c r="A181" s="463"/>
      <c r="B181" s="464"/>
      <c r="C181" s="464"/>
      <c r="D181" s="464"/>
      <c r="E181" s="464"/>
      <c r="F181" s="464"/>
      <c r="G181" s="464"/>
      <c r="H181" s="464"/>
      <c r="I181" s="464"/>
      <c r="J181" s="464"/>
      <c r="K181" s="464"/>
      <c r="L181" s="464"/>
      <c r="M181" s="464"/>
      <c r="N181" s="464"/>
      <c r="O181" s="464"/>
      <c r="P181" s="464"/>
      <c r="Q181" s="464"/>
      <c r="R181" s="464"/>
      <c r="S181" s="464"/>
      <c r="T181" s="464"/>
      <c r="U181" s="464"/>
      <c r="V181" s="464"/>
      <c r="W181" s="464"/>
      <c r="X181" s="464"/>
      <c r="Y181" s="464"/>
      <c r="Z181" s="464"/>
      <c r="AA181" s="464"/>
      <c r="AB181" s="464"/>
      <c r="AC181" s="464"/>
      <c r="AD181" s="464"/>
      <c r="AE181" s="464"/>
      <c r="AF181" s="464"/>
      <c r="AG181" s="464"/>
      <c r="AH181" s="464"/>
      <c r="AI181" s="464"/>
      <c r="AJ181" s="464"/>
    </row>
    <row r="182" spans="1:36" ht="15.75" customHeight="1">
      <c r="A182" s="463"/>
      <c r="B182" s="464"/>
      <c r="C182" s="464"/>
      <c r="D182" s="464"/>
      <c r="E182" s="464"/>
      <c r="F182" s="464"/>
      <c r="G182" s="464"/>
      <c r="H182" s="464"/>
      <c r="I182" s="464"/>
      <c r="J182" s="464"/>
      <c r="K182" s="464"/>
      <c r="L182" s="464"/>
      <c r="M182" s="464"/>
      <c r="N182" s="464"/>
      <c r="O182" s="464"/>
      <c r="P182" s="464"/>
      <c r="Q182" s="464"/>
      <c r="R182" s="464"/>
      <c r="S182" s="464"/>
      <c r="T182" s="464"/>
      <c r="U182" s="464"/>
      <c r="V182" s="464"/>
      <c r="W182" s="464"/>
      <c r="X182" s="464"/>
      <c r="Y182" s="464"/>
      <c r="Z182" s="464"/>
      <c r="AA182" s="464"/>
      <c r="AB182" s="464"/>
      <c r="AC182" s="464"/>
      <c r="AD182" s="464"/>
      <c r="AE182" s="464"/>
      <c r="AF182" s="464"/>
      <c r="AG182" s="464"/>
      <c r="AH182" s="464"/>
      <c r="AI182" s="464"/>
      <c r="AJ182" s="464"/>
    </row>
    <row r="183" spans="1:36" ht="15.75" customHeight="1">
      <c r="A183" s="463"/>
      <c r="B183" s="464"/>
      <c r="C183" s="464"/>
      <c r="D183" s="464"/>
      <c r="E183" s="464"/>
      <c r="F183" s="464"/>
      <c r="G183" s="464"/>
      <c r="H183" s="464"/>
      <c r="I183" s="464"/>
      <c r="J183" s="464"/>
      <c r="K183" s="464"/>
      <c r="L183" s="464"/>
      <c r="M183" s="464"/>
      <c r="N183" s="464"/>
      <c r="O183" s="464"/>
      <c r="P183" s="464"/>
      <c r="Q183" s="464"/>
      <c r="R183" s="464"/>
      <c r="S183" s="464"/>
      <c r="T183" s="464"/>
      <c r="U183" s="464"/>
      <c r="V183" s="464"/>
      <c r="W183" s="464"/>
      <c r="X183" s="464"/>
      <c r="Y183" s="464"/>
      <c r="Z183" s="464"/>
      <c r="AA183" s="464"/>
      <c r="AB183" s="464"/>
      <c r="AC183" s="464"/>
      <c r="AD183" s="464"/>
      <c r="AE183" s="464"/>
      <c r="AF183" s="464"/>
      <c r="AG183" s="464"/>
      <c r="AH183" s="464"/>
      <c r="AI183" s="464"/>
      <c r="AJ183" s="464"/>
    </row>
    <row r="184" spans="1:36" ht="15.75" customHeight="1">
      <c r="A184" s="463"/>
      <c r="B184" s="464"/>
      <c r="C184" s="464"/>
      <c r="D184" s="464"/>
      <c r="E184" s="464"/>
      <c r="F184" s="464"/>
      <c r="G184" s="464"/>
      <c r="H184" s="464"/>
      <c r="I184" s="464"/>
      <c r="J184" s="464"/>
      <c r="K184" s="464"/>
      <c r="L184" s="464"/>
      <c r="M184" s="464"/>
      <c r="N184" s="464"/>
      <c r="O184" s="464"/>
      <c r="P184" s="464"/>
      <c r="Q184" s="464"/>
      <c r="R184" s="464"/>
      <c r="S184" s="464"/>
      <c r="T184" s="464"/>
      <c r="U184" s="464"/>
      <c r="V184" s="464"/>
      <c r="W184" s="464"/>
      <c r="X184" s="464"/>
      <c r="Y184" s="464"/>
      <c r="Z184" s="464"/>
      <c r="AA184" s="464"/>
      <c r="AB184" s="464"/>
      <c r="AC184" s="464"/>
      <c r="AD184" s="464"/>
      <c r="AE184" s="464"/>
      <c r="AF184" s="464"/>
      <c r="AG184" s="464"/>
      <c r="AH184" s="464"/>
      <c r="AI184" s="464"/>
      <c r="AJ184" s="464"/>
    </row>
    <row r="185" spans="1:36" ht="15.75" customHeight="1">
      <c r="A185" s="463"/>
      <c r="B185" s="464"/>
      <c r="C185" s="464"/>
      <c r="D185" s="464"/>
      <c r="E185" s="464"/>
      <c r="F185" s="464"/>
      <c r="G185" s="464"/>
      <c r="H185" s="464"/>
      <c r="I185" s="464"/>
      <c r="J185" s="464"/>
      <c r="K185" s="464"/>
      <c r="L185" s="464"/>
      <c r="M185" s="464"/>
      <c r="N185" s="464"/>
      <c r="O185" s="464"/>
      <c r="P185" s="464"/>
      <c r="Q185" s="464"/>
      <c r="R185" s="464"/>
      <c r="S185" s="464"/>
      <c r="T185" s="464"/>
      <c r="U185" s="464"/>
      <c r="V185" s="464"/>
      <c r="W185" s="464"/>
      <c r="X185" s="464"/>
      <c r="Y185" s="464"/>
      <c r="Z185" s="464"/>
      <c r="AA185" s="464"/>
      <c r="AB185" s="464"/>
      <c r="AC185" s="464"/>
      <c r="AD185" s="464"/>
      <c r="AE185" s="464"/>
      <c r="AF185" s="464"/>
      <c r="AG185" s="464"/>
      <c r="AH185" s="464"/>
      <c r="AI185" s="464"/>
      <c r="AJ185" s="464"/>
    </row>
    <row r="186" spans="1:36" ht="15.75" customHeight="1">
      <c r="A186" s="463"/>
      <c r="B186" s="464"/>
      <c r="C186" s="464"/>
      <c r="D186" s="464"/>
      <c r="E186" s="464"/>
      <c r="F186" s="464"/>
      <c r="G186" s="464"/>
      <c r="H186" s="464"/>
      <c r="I186" s="464"/>
      <c r="J186" s="464"/>
      <c r="K186" s="464"/>
      <c r="L186" s="464"/>
      <c r="M186" s="464"/>
      <c r="N186" s="464"/>
      <c r="O186" s="464"/>
      <c r="P186" s="464"/>
      <c r="Q186" s="464"/>
      <c r="R186" s="464"/>
      <c r="S186" s="464"/>
      <c r="T186" s="464"/>
      <c r="U186" s="464"/>
      <c r="V186" s="464"/>
      <c r="W186" s="464"/>
      <c r="X186" s="464"/>
      <c r="Y186" s="464"/>
      <c r="Z186" s="464"/>
      <c r="AA186" s="464"/>
      <c r="AB186" s="464"/>
      <c r="AC186" s="464"/>
      <c r="AD186" s="464"/>
      <c r="AE186" s="464"/>
      <c r="AF186" s="464"/>
      <c r="AG186" s="464"/>
      <c r="AH186" s="464"/>
      <c r="AI186" s="464"/>
      <c r="AJ186" s="464"/>
    </row>
    <row r="187" spans="1:36" ht="15.75" customHeight="1">
      <c r="A187" s="463"/>
      <c r="B187" s="464"/>
      <c r="C187" s="464"/>
      <c r="D187" s="464"/>
      <c r="E187" s="464"/>
      <c r="F187" s="464"/>
      <c r="G187" s="464"/>
      <c r="H187" s="464"/>
      <c r="I187" s="464"/>
      <c r="J187" s="464"/>
      <c r="K187" s="464"/>
      <c r="L187" s="464"/>
      <c r="M187" s="464"/>
      <c r="N187" s="464"/>
      <c r="O187" s="464"/>
      <c r="P187" s="464"/>
      <c r="Q187" s="464"/>
      <c r="R187" s="464"/>
      <c r="S187" s="464"/>
      <c r="T187" s="464"/>
      <c r="U187" s="464"/>
      <c r="V187" s="464"/>
      <c r="W187" s="464"/>
      <c r="X187" s="464"/>
      <c r="Y187" s="464"/>
      <c r="Z187" s="464"/>
      <c r="AA187" s="464"/>
      <c r="AB187" s="464"/>
      <c r="AC187" s="464"/>
      <c r="AD187" s="464"/>
      <c r="AE187" s="464"/>
      <c r="AF187" s="464"/>
      <c r="AG187" s="464"/>
      <c r="AH187" s="464"/>
      <c r="AI187" s="464"/>
      <c r="AJ187" s="464"/>
    </row>
    <row r="188" spans="1:36" ht="15.75" customHeight="1">
      <c r="A188" s="463"/>
      <c r="B188" s="464"/>
      <c r="C188" s="464"/>
      <c r="D188" s="464"/>
      <c r="E188" s="464"/>
      <c r="F188" s="464"/>
      <c r="G188" s="464"/>
      <c r="H188" s="464"/>
      <c r="I188" s="464"/>
      <c r="J188" s="464"/>
      <c r="K188" s="464"/>
      <c r="L188" s="464"/>
      <c r="M188" s="464"/>
      <c r="N188" s="464"/>
      <c r="O188" s="464"/>
      <c r="P188" s="464"/>
      <c r="Q188" s="464"/>
      <c r="R188" s="464"/>
      <c r="S188" s="464"/>
      <c r="T188" s="464"/>
      <c r="U188" s="464"/>
      <c r="V188" s="464"/>
      <c r="W188" s="464"/>
      <c r="X188" s="464"/>
      <c r="Y188" s="464"/>
      <c r="Z188" s="464"/>
      <c r="AA188" s="464"/>
      <c r="AB188" s="464"/>
      <c r="AC188" s="464"/>
      <c r="AD188" s="464"/>
      <c r="AE188" s="464"/>
      <c r="AF188" s="464"/>
      <c r="AG188" s="464"/>
      <c r="AH188" s="464"/>
      <c r="AI188" s="464"/>
      <c r="AJ188" s="464"/>
    </row>
    <row r="189" spans="1:36" ht="15.75" customHeight="1">
      <c r="A189" s="463"/>
      <c r="B189" s="464"/>
      <c r="C189" s="464"/>
      <c r="D189" s="464"/>
      <c r="E189" s="464"/>
      <c r="F189" s="464"/>
      <c r="G189" s="464"/>
      <c r="H189" s="464"/>
      <c r="I189" s="464"/>
      <c r="J189" s="464"/>
      <c r="K189" s="464"/>
      <c r="L189" s="464"/>
      <c r="M189" s="464"/>
      <c r="N189" s="464"/>
      <c r="O189" s="464"/>
      <c r="P189" s="464"/>
      <c r="Q189" s="464"/>
      <c r="R189" s="464"/>
      <c r="S189" s="464"/>
      <c r="T189" s="464"/>
      <c r="U189" s="464"/>
      <c r="V189" s="464"/>
      <c r="W189" s="464"/>
      <c r="X189" s="464"/>
      <c r="Y189" s="464"/>
      <c r="Z189" s="464"/>
      <c r="AA189" s="464"/>
      <c r="AB189" s="464"/>
      <c r="AC189" s="464"/>
      <c r="AD189" s="464"/>
      <c r="AE189" s="464"/>
      <c r="AF189" s="464"/>
      <c r="AG189" s="464"/>
      <c r="AH189" s="464"/>
      <c r="AI189" s="464"/>
      <c r="AJ189" s="464"/>
    </row>
    <row r="190" spans="1:36" ht="15.75" customHeight="1">
      <c r="A190" s="463"/>
      <c r="B190" s="464"/>
      <c r="C190" s="464"/>
      <c r="D190" s="464"/>
      <c r="E190" s="464"/>
      <c r="F190" s="464"/>
      <c r="G190" s="464"/>
      <c r="H190" s="464"/>
      <c r="I190" s="464"/>
      <c r="J190" s="464"/>
      <c r="K190" s="464"/>
      <c r="L190" s="464"/>
      <c r="M190" s="464"/>
      <c r="N190" s="464"/>
      <c r="O190" s="464"/>
      <c r="P190" s="464"/>
      <c r="Q190" s="464"/>
      <c r="R190" s="464"/>
      <c r="S190" s="464"/>
      <c r="T190" s="464"/>
      <c r="U190" s="464"/>
      <c r="V190" s="464"/>
      <c r="W190" s="464"/>
      <c r="X190" s="464"/>
      <c r="Y190" s="464"/>
      <c r="Z190" s="464"/>
      <c r="AA190" s="464"/>
      <c r="AB190" s="464"/>
      <c r="AC190" s="464"/>
      <c r="AD190" s="464"/>
      <c r="AE190" s="464"/>
      <c r="AF190" s="464"/>
      <c r="AG190" s="464"/>
      <c r="AH190" s="464"/>
      <c r="AI190" s="464"/>
      <c r="AJ190" s="464"/>
    </row>
    <row r="191" spans="1:36" ht="15.75" customHeight="1">
      <c r="A191" s="463"/>
      <c r="B191" s="464"/>
      <c r="C191" s="464"/>
      <c r="D191" s="464"/>
      <c r="E191" s="464"/>
      <c r="F191" s="464"/>
      <c r="G191" s="464"/>
      <c r="H191" s="464"/>
      <c r="I191" s="464"/>
      <c r="J191" s="464"/>
      <c r="K191" s="464"/>
      <c r="L191" s="464"/>
      <c r="M191" s="464"/>
      <c r="N191" s="464"/>
      <c r="O191" s="464"/>
      <c r="P191" s="464"/>
      <c r="Q191" s="464"/>
      <c r="R191" s="464"/>
      <c r="S191" s="464"/>
      <c r="T191" s="464"/>
      <c r="U191" s="464"/>
      <c r="V191" s="464"/>
      <c r="W191" s="464"/>
      <c r="X191" s="464"/>
      <c r="Y191" s="464"/>
      <c r="Z191" s="464"/>
      <c r="AA191" s="464"/>
      <c r="AB191" s="464"/>
      <c r="AC191" s="464"/>
      <c r="AD191" s="464"/>
      <c r="AE191" s="464"/>
      <c r="AF191" s="464"/>
      <c r="AG191" s="464"/>
      <c r="AH191" s="464"/>
      <c r="AI191" s="464"/>
      <c r="AJ191" s="464"/>
    </row>
    <row r="192" spans="1:36" ht="15.75" customHeight="1">
      <c r="A192" s="463"/>
      <c r="B192" s="464"/>
      <c r="C192" s="464"/>
      <c r="D192" s="464"/>
      <c r="E192" s="464"/>
      <c r="F192" s="464"/>
      <c r="G192" s="464"/>
      <c r="H192" s="464"/>
      <c r="I192" s="464"/>
      <c r="J192" s="464"/>
      <c r="K192" s="464"/>
      <c r="L192" s="464"/>
      <c r="M192" s="464"/>
      <c r="N192" s="464"/>
      <c r="O192" s="464"/>
      <c r="P192" s="464"/>
      <c r="Q192" s="464"/>
      <c r="R192" s="464"/>
      <c r="S192" s="464"/>
      <c r="T192" s="464"/>
      <c r="U192" s="464"/>
      <c r="V192" s="464"/>
      <c r="W192" s="464"/>
      <c r="X192" s="464"/>
      <c r="Y192" s="464"/>
      <c r="Z192" s="464"/>
      <c r="AA192" s="464"/>
      <c r="AB192" s="464"/>
      <c r="AC192" s="464"/>
      <c r="AD192" s="464"/>
      <c r="AE192" s="464"/>
      <c r="AF192" s="464"/>
      <c r="AG192" s="464"/>
      <c r="AH192" s="464"/>
      <c r="AI192" s="464"/>
      <c r="AJ192" s="464"/>
    </row>
    <row r="193" spans="1:36" ht="15.75" customHeight="1">
      <c r="A193" s="463"/>
      <c r="B193" s="464"/>
      <c r="C193" s="464"/>
      <c r="D193" s="464"/>
      <c r="E193" s="464"/>
      <c r="F193" s="464"/>
      <c r="G193" s="464"/>
      <c r="H193" s="464"/>
      <c r="I193" s="464"/>
      <c r="J193" s="464"/>
      <c r="K193" s="464"/>
      <c r="L193" s="464"/>
      <c r="M193" s="464"/>
      <c r="N193" s="464"/>
      <c r="O193" s="464"/>
      <c r="P193" s="464"/>
      <c r="Q193" s="464"/>
      <c r="R193" s="464"/>
      <c r="S193" s="464"/>
      <c r="T193" s="464"/>
      <c r="U193" s="464"/>
      <c r="V193" s="464"/>
      <c r="W193" s="464"/>
      <c r="X193" s="464"/>
      <c r="Y193" s="464"/>
      <c r="Z193" s="464"/>
      <c r="AA193" s="464"/>
      <c r="AB193" s="464"/>
      <c r="AC193" s="464"/>
      <c r="AD193" s="464"/>
      <c r="AE193" s="464"/>
      <c r="AF193" s="464"/>
      <c r="AG193" s="464"/>
      <c r="AH193" s="464"/>
      <c r="AI193" s="464"/>
      <c r="AJ193" s="464"/>
    </row>
    <row r="194" spans="1:36" ht="15.75" customHeight="1">
      <c r="A194" s="463"/>
      <c r="B194" s="464"/>
      <c r="C194" s="464"/>
      <c r="D194" s="464"/>
      <c r="E194" s="464"/>
      <c r="F194" s="464"/>
      <c r="G194" s="464"/>
      <c r="H194" s="464"/>
      <c r="I194" s="464"/>
      <c r="J194" s="464"/>
      <c r="K194" s="464"/>
      <c r="L194" s="464"/>
      <c r="M194" s="464"/>
      <c r="N194" s="464"/>
      <c r="O194" s="464"/>
      <c r="P194" s="464"/>
      <c r="Q194" s="464"/>
      <c r="R194" s="464"/>
      <c r="S194" s="464"/>
      <c r="T194" s="464"/>
      <c r="U194" s="464"/>
      <c r="V194" s="464"/>
      <c r="W194" s="464"/>
      <c r="X194" s="464"/>
      <c r="Y194" s="464"/>
      <c r="Z194" s="464"/>
      <c r="AA194" s="464"/>
      <c r="AB194" s="464"/>
      <c r="AC194" s="464"/>
      <c r="AD194" s="464"/>
      <c r="AE194" s="464"/>
      <c r="AF194" s="464"/>
      <c r="AG194" s="464"/>
      <c r="AH194" s="464"/>
      <c r="AI194" s="464"/>
      <c r="AJ194" s="464"/>
    </row>
    <row r="195" spans="1:36" ht="15.75" customHeight="1">
      <c r="A195" s="463"/>
      <c r="B195" s="464"/>
      <c r="C195" s="464"/>
      <c r="D195" s="464"/>
      <c r="E195" s="464"/>
      <c r="F195" s="464"/>
      <c r="G195" s="464"/>
      <c r="H195" s="464"/>
      <c r="I195" s="464"/>
      <c r="J195" s="464"/>
      <c r="K195" s="464"/>
      <c r="L195" s="464"/>
      <c r="M195" s="464"/>
      <c r="N195" s="464"/>
      <c r="O195" s="464"/>
      <c r="P195" s="464"/>
      <c r="Q195" s="464"/>
      <c r="R195" s="464"/>
      <c r="S195" s="464"/>
      <c r="T195" s="464"/>
      <c r="U195" s="464"/>
      <c r="V195" s="464"/>
      <c r="W195" s="464"/>
      <c r="X195" s="464"/>
      <c r="Y195" s="464"/>
      <c r="Z195" s="464"/>
      <c r="AA195" s="464"/>
      <c r="AB195" s="464"/>
      <c r="AC195" s="464"/>
      <c r="AD195" s="464"/>
      <c r="AE195" s="464"/>
      <c r="AF195" s="464"/>
      <c r="AG195" s="464"/>
      <c r="AH195" s="464"/>
      <c r="AI195" s="464"/>
      <c r="AJ195" s="464"/>
    </row>
    <row r="196" spans="1:36" ht="15.75" customHeight="1">
      <c r="A196" s="463"/>
      <c r="B196" s="464"/>
      <c r="C196" s="464"/>
      <c r="D196" s="464"/>
      <c r="E196" s="464"/>
      <c r="F196" s="464"/>
      <c r="G196" s="464"/>
      <c r="H196" s="464"/>
      <c r="I196" s="464"/>
      <c r="J196" s="464"/>
      <c r="K196" s="464"/>
      <c r="L196" s="464"/>
      <c r="M196" s="464"/>
      <c r="N196" s="464"/>
      <c r="O196" s="464"/>
      <c r="P196" s="464"/>
      <c r="Q196" s="464"/>
      <c r="R196" s="464"/>
      <c r="S196" s="464"/>
      <c r="T196" s="464"/>
      <c r="U196" s="464"/>
      <c r="V196" s="464"/>
      <c r="W196" s="464"/>
      <c r="X196" s="464"/>
      <c r="Y196" s="464"/>
      <c r="Z196" s="464"/>
      <c r="AA196" s="464"/>
      <c r="AB196" s="464"/>
      <c r="AC196" s="464"/>
      <c r="AD196" s="464"/>
      <c r="AE196" s="464"/>
      <c r="AF196" s="464"/>
      <c r="AG196" s="464"/>
      <c r="AH196" s="464"/>
      <c r="AI196" s="464"/>
      <c r="AJ196" s="464"/>
    </row>
    <row r="197" spans="1:36" ht="15.75" customHeight="1">
      <c r="A197" s="463"/>
      <c r="B197" s="464"/>
      <c r="C197" s="464"/>
      <c r="D197" s="464"/>
      <c r="E197" s="464"/>
      <c r="F197" s="464"/>
      <c r="G197" s="464"/>
      <c r="H197" s="464"/>
      <c r="I197" s="464"/>
      <c r="J197" s="464"/>
      <c r="K197" s="464"/>
      <c r="L197" s="464"/>
      <c r="M197" s="464"/>
      <c r="N197" s="464"/>
      <c r="O197" s="464"/>
      <c r="P197" s="464"/>
      <c r="Q197" s="464"/>
      <c r="R197" s="464"/>
      <c r="S197" s="464"/>
      <c r="T197" s="464"/>
      <c r="U197" s="464"/>
      <c r="V197" s="464"/>
      <c r="W197" s="464"/>
      <c r="X197" s="464"/>
      <c r="Y197" s="464"/>
      <c r="Z197" s="464"/>
      <c r="AA197" s="464"/>
      <c r="AB197" s="464"/>
      <c r="AC197" s="464"/>
      <c r="AD197" s="464"/>
      <c r="AE197" s="464"/>
      <c r="AF197" s="464"/>
      <c r="AG197" s="464"/>
      <c r="AH197" s="464"/>
      <c r="AI197" s="464"/>
      <c r="AJ197" s="464"/>
    </row>
    <row r="198" spans="1:36" ht="15.75" customHeight="1">
      <c r="A198" s="463"/>
      <c r="B198" s="464"/>
      <c r="C198" s="464"/>
      <c r="D198" s="464"/>
      <c r="E198" s="464"/>
      <c r="F198" s="464"/>
      <c r="G198" s="464"/>
      <c r="H198" s="464"/>
      <c r="I198" s="464"/>
      <c r="J198" s="464"/>
      <c r="K198" s="464"/>
      <c r="L198" s="464"/>
      <c r="M198" s="464"/>
      <c r="N198" s="464"/>
      <c r="O198" s="464"/>
      <c r="P198" s="464"/>
      <c r="Q198" s="464"/>
      <c r="R198" s="464"/>
      <c r="S198" s="464"/>
      <c r="T198" s="464"/>
      <c r="U198" s="464"/>
      <c r="V198" s="464"/>
      <c r="W198" s="464"/>
      <c r="X198" s="464"/>
      <c r="Y198" s="464"/>
      <c r="Z198" s="464"/>
      <c r="AA198" s="464"/>
      <c r="AB198" s="464"/>
      <c r="AC198" s="464"/>
      <c r="AD198" s="464"/>
      <c r="AE198" s="464"/>
      <c r="AF198" s="464"/>
      <c r="AG198" s="464"/>
      <c r="AH198" s="464"/>
      <c r="AI198" s="464"/>
      <c r="AJ198" s="464"/>
    </row>
    <row r="199" spans="1:36" ht="15.75" customHeight="1">
      <c r="A199" s="463"/>
      <c r="B199" s="464"/>
      <c r="C199" s="464"/>
      <c r="D199" s="464"/>
      <c r="E199" s="464"/>
      <c r="F199" s="464"/>
      <c r="G199" s="464"/>
      <c r="H199" s="464"/>
      <c r="I199" s="464"/>
      <c r="J199" s="464"/>
      <c r="K199" s="464"/>
      <c r="L199" s="464"/>
      <c r="M199" s="464"/>
      <c r="N199" s="464"/>
      <c r="O199" s="464"/>
      <c r="P199" s="464"/>
      <c r="Q199" s="464"/>
      <c r="R199" s="464"/>
      <c r="S199" s="464"/>
      <c r="T199" s="464"/>
      <c r="U199" s="464"/>
      <c r="V199" s="464"/>
      <c r="W199" s="464"/>
      <c r="X199" s="464"/>
      <c r="Y199" s="464"/>
      <c r="Z199" s="464"/>
      <c r="AA199" s="464"/>
      <c r="AB199" s="464"/>
      <c r="AC199" s="464"/>
      <c r="AD199" s="464"/>
      <c r="AE199" s="464"/>
      <c r="AF199" s="464"/>
      <c r="AG199" s="464"/>
      <c r="AH199" s="464"/>
      <c r="AI199" s="464"/>
      <c r="AJ199" s="464"/>
    </row>
    <row r="200" spans="1:36" ht="15.75" customHeight="1">
      <c r="A200" s="463"/>
      <c r="B200" s="464"/>
      <c r="C200" s="464"/>
      <c r="D200" s="464"/>
      <c r="E200" s="464"/>
      <c r="F200" s="464"/>
      <c r="G200" s="464"/>
      <c r="H200" s="464"/>
      <c r="I200" s="464"/>
      <c r="J200" s="464"/>
      <c r="K200" s="464"/>
      <c r="L200" s="464"/>
      <c r="M200" s="464"/>
      <c r="N200" s="464"/>
      <c r="O200" s="464"/>
      <c r="P200" s="464"/>
      <c r="Q200" s="464"/>
      <c r="R200" s="464"/>
      <c r="S200" s="464"/>
      <c r="T200" s="464"/>
      <c r="U200" s="464"/>
      <c r="V200" s="464"/>
      <c r="W200" s="464"/>
      <c r="X200" s="464"/>
      <c r="Y200" s="464"/>
      <c r="Z200" s="464"/>
      <c r="AA200" s="464"/>
      <c r="AB200" s="464"/>
      <c r="AC200" s="464"/>
      <c r="AD200" s="464"/>
      <c r="AE200" s="464"/>
      <c r="AF200" s="464"/>
      <c r="AG200" s="464"/>
      <c r="AH200" s="464"/>
      <c r="AI200" s="464"/>
      <c r="AJ200" s="464"/>
    </row>
    <row r="201" spans="1:36" ht="15.75" customHeight="1">
      <c r="A201" s="463"/>
      <c r="B201" s="464"/>
      <c r="C201" s="464"/>
      <c r="D201" s="464"/>
      <c r="E201" s="464"/>
      <c r="F201" s="464"/>
      <c r="G201" s="464"/>
      <c r="H201" s="464"/>
      <c r="I201" s="464"/>
      <c r="J201" s="464"/>
      <c r="K201" s="464"/>
      <c r="L201" s="464"/>
      <c r="M201" s="464"/>
      <c r="N201" s="464"/>
      <c r="O201" s="464"/>
      <c r="P201" s="464"/>
      <c r="Q201" s="464"/>
      <c r="R201" s="464"/>
      <c r="S201" s="464"/>
      <c r="T201" s="464"/>
      <c r="U201" s="464"/>
      <c r="V201" s="464"/>
      <c r="W201" s="464"/>
      <c r="X201" s="464"/>
      <c r="Y201" s="464"/>
      <c r="Z201" s="464"/>
      <c r="AA201" s="464"/>
      <c r="AB201" s="464"/>
      <c r="AC201" s="464"/>
      <c r="AD201" s="464"/>
      <c r="AE201" s="464"/>
      <c r="AF201" s="464"/>
      <c r="AG201" s="464"/>
      <c r="AH201" s="464"/>
      <c r="AI201" s="464"/>
      <c r="AJ201" s="464"/>
    </row>
    <row r="202" spans="1:36" ht="15.75" customHeight="1">
      <c r="A202" s="463"/>
      <c r="B202" s="464"/>
      <c r="C202" s="464"/>
      <c r="D202" s="464"/>
      <c r="E202" s="464"/>
      <c r="F202" s="464"/>
      <c r="G202" s="464"/>
      <c r="H202" s="464"/>
      <c r="I202" s="464"/>
      <c r="J202" s="464"/>
      <c r="K202" s="464"/>
      <c r="L202" s="464"/>
      <c r="M202" s="464"/>
      <c r="N202" s="464"/>
      <c r="O202" s="464"/>
      <c r="P202" s="464"/>
      <c r="Q202" s="464"/>
      <c r="R202" s="464"/>
      <c r="S202" s="464"/>
      <c r="T202" s="464"/>
      <c r="U202" s="464"/>
      <c r="V202" s="464"/>
      <c r="W202" s="464"/>
      <c r="X202" s="464"/>
      <c r="Y202" s="464"/>
      <c r="Z202" s="464"/>
      <c r="AA202" s="464"/>
      <c r="AB202" s="464"/>
      <c r="AC202" s="464"/>
      <c r="AD202" s="464"/>
      <c r="AE202" s="464"/>
      <c r="AF202" s="464"/>
      <c r="AG202" s="464"/>
      <c r="AH202" s="464"/>
      <c r="AI202" s="464"/>
      <c r="AJ202" s="464"/>
    </row>
    <row r="203" spans="1:36" ht="15.75" customHeight="1">
      <c r="A203" s="463"/>
      <c r="B203" s="464"/>
      <c r="C203" s="464"/>
      <c r="D203" s="464"/>
      <c r="E203" s="464"/>
      <c r="F203" s="464"/>
      <c r="G203" s="464"/>
      <c r="H203" s="464"/>
      <c r="I203" s="464"/>
      <c r="J203" s="464"/>
      <c r="K203" s="464"/>
      <c r="L203" s="464"/>
      <c r="M203" s="464"/>
      <c r="N203" s="464"/>
      <c r="O203" s="464"/>
      <c r="P203" s="464"/>
      <c r="Q203" s="464"/>
      <c r="R203" s="464"/>
      <c r="S203" s="464"/>
      <c r="T203" s="464"/>
      <c r="U203" s="464"/>
      <c r="V203" s="464"/>
      <c r="W203" s="464"/>
      <c r="X203" s="464"/>
      <c r="Y203" s="464"/>
      <c r="Z203" s="464"/>
      <c r="AA203" s="464"/>
      <c r="AB203" s="464"/>
      <c r="AC203" s="464"/>
      <c r="AD203" s="464"/>
      <c r="AE203" s="464"/>
      <c r="AF203" s="464"/>
      <c r="AG203" s="464"/>
      <c r="AH203" s="464"/>
      <c r="AI203" s="464"/>
      <c r="AJ203" s="464"/>
    </row>
    <row r="204" spans="1:36" ht="15.75" customHeight="1">
      <c r="A204" s="463"/>
      <c r="B204" s="464"/>
      <c r="C204" s="464"/>
      <c r="D204" s="464"/>
      <c r="E204" s="464"/>
      <c r="F204" s="464"/>
      <c r="G204" s="464"/>
      <c r="H204" s="464"/>
      <c r="I204" s="464"/>
      <c r="J204" s="464"/>
      <c r="K204" s="464"/>
      <c r="L204" s="464"/>
      <c r="M204" s="464"/>
      <c r="N204" s="464"/>
      <c r="O204" s="464"/>
      <c r="P204" s="464"/>
      <c r="Q204" s="464"/>
      <c r="R204" s="464"/>
      <c r="S204" s="464"/>
      <c r="T204" s="464"/>
      <c r="U204" s="464"/>
      <c r="V204" s="464"/>
      <c r="W204" s="464"/>
      <c r="X204" s="464"/>
      <c r="Y204" s="464"/>
      <c r="Z204" s="464"/>
      <c r="AA204" s="464"/>
      <c r="AB204" s="464"/>
      <c r="AC204" s="464"/>
      <c r="AD204" s="464"/>
      <c r="AE204" s="464"/>
      <c r="AF204" s="464"/>
      <c r="AG204" s="464"/>
      <c r="AH204" s="464"/>
      <c r="AI204" s="464"/>
      <c r="AJ204" s="464"/>
    </row>
    <row r="205" spans="1:36" ht="15.75" customHeight="1">
      <c r="A205" s="463"/>
      <c r="B205" s="464"/>
      <c r="C205" s="464"/>
      <c r="D205" s="464"/>
      <c r="E205" s="464"/>
      <c r="F205" s="464"/>
      <c r="G205" s="464"/>
      <c r="H205" s="464"/>
      <c r="I205" s="464"/>
      <c r="J205" s="464"/>
      <c r="K205" s="464"/>
      <c r="L205" s="464"/>
      <c r="M205" s="464"/>
      <c r="N205" s="464"/>
      <c r="O205" s="464"/>
      <c r="P205" s="464"/>
      <c r="Q205" s="464"/>
      <c r="R205" s="464"/>
      <c r="S205" s="464"/>
      <c r="T205" s="464"/>
      <c r="U205" s="464"/>
      <c r="V205" s="464"/>
      <c r="W205" s="464"/>
      <c r="X205" s="464"/>
      <c r="Y205" s="464"/>
      <c r="Z205" s="464"/>
      <c r="AA205" s="464"/>
      <c r="AB205" s="464"/>
      <c r="AC205" s="464"/>
      <c r="AD205" s="464"/>
      <c r="AE205" s="464"/>
      <c r="AF205" s="464"/>
      <c r="AG205" s="464"/>
      <c r="AH205" s="464"/>
      <c r="AI205" s="464"/>
      <c r="AJ205" s="464"/>
    </row>
    <row r="206" spans="1:36" ht="15.75" customHeight="1">
      <c r="A206" s="463"/>
      <c r="B206" s="464"/>
      <c r="C206" s="464"/>
      <c r="D206" s="464"/>
      <c r="E206" s="464"/>
      <c r="F206" s="464"/>
      <c r="G206" s="464"/>
      <c r="H206" s="464"/>
      <c r="I206" s="464"/>
      <c r="J206" s="464"/>
      <c r="K206" s="464"/>
      <c r="L206" s="464"/>
      <c r="M206" s="464"/>
      <c r="N206" s="464"/>
      <c r="O206" s="464"/>
      <c r="P206" s="464"/>
      <c r="Q206" s="464"/>
      <c r="R206" s="464"/>
      <c r="S206" s="464"/>
      <c r="T206" s="464"/>
      <c r="U206" s="464"/>
      <c r="V206" s="464"/>
      <c r="W206" s="464"/>
      <c r="X206" s="464"/>
      <c r="Y206" s="464"/>
      <c r="Z206" s="464"/>
      <c r="AA206" s="464"/>
      <c r="AB206" s="464"/>
      <c r="AC206" s="464"/>
      <c r="AD206" s="464"/>
      <c r="AE206" s="464"/>
      <c r="AF206" s="464"/>
      <c r="AG206" s="464"/>
      <c r="AH206" s="464"/>
      <c r="AI206" s="464"/>
      <c r="AJ206" s="464"/>
    </row>
    <row r="207" spans="1:36" ht="15.75" customHeight="1">
      <c r="A207" s="463"/>
      <c r="B207" s="464"/>
      <c r="C207" s="464"/>
      <c r="D207" s="464"/>
      <c r="E207" s="464"/>
      <c r="F207" s="464"/>
      <c r="G207" s="464"/>
      <c r="H207" s="464"/>
      <c r="I207" s="464"/>
      <c r="J207" s="464"/>
      <c r="K207" s="464"/>
      <c r="L207" s="464"/>
      <c r="M207" s="464"/>
      <c r="N207" s="464"/>
      <c r="O207" s="464"/>
      <c r="P207" s="464"/>
      <c r="Q207" s="464"/>
      <c r="R207" s="464"/>
      <c r="S207" s="464"/>
      <c r="T207" s="464"/>
      <c r="U207" s="464"/>
      <c r="V207" s="464"/>
      <c r="W207" s="464"/>
      <c r="X207" s="464"/>
      <c r="Y207" s="464"/>
      <c r="Z207" s="464"/>
      <c r="AA207" s="464"/>
      <c r="AB207" s="464"/>
      <c r="AC207" s="464"/>
      <c r="AD207" s="464"/>
      <c r="AE207" s="464"/>
      <c r="AF207" s="464"/>
      <c r="AG207" s="464"/>
      <c r="AH207" s="464"/>
      <c r="AI207" s="464"/>
      <c r="AJ207" s="464"/>
    </row>
    <row r="208" spans="1:36" ht="15.75" customHeight="1">
      <c r="A208" s="463"/>
      <c r="B208" s="464"/>
      <c r="C208" s="464"/>
      <c r="D208" s="464"/>
      <c r="E208" s="464"/>
      <c r="F208" s="464"/>
      <c r="G208" s="464"/>
      <c r="H208" s="464"/>
      <c r="I208" s="464"/>
      <c r="J208" s="464"/>
      <c r="K208" s="464"/>
      <c r="L208" s="464"/>
      <c r="M208" s="464"/>
      <c r="N208" s="464"/>
      <c r="O208" s="464"/>
      <c r="P208" s="464"/>
      <c r="Q208" s="464"/>
      <c r="R208" s="464"/>
      <c r="S208" s="464"/>
      <c r="T208" s="464"/>
      <c r="U208" s="464"/>
      <c r="V208" s="464"/>
      <c r="W208" s="464"/>
      <c r="X208" s="464"/>
      <c r="Y208" s="464"/>
      <c r="Z208" s="464"/>
      <c r="AA208" s="464"/>
      <c r="AB208" s="464"/>
      <c r="AC208" s="464"/>
      <c r="AD208" s="464"/>
      <c r="AE208" s="464"/>
      <c r="AF208" s="464"/>
      <c r="AG208" s="464"/>
      <c r="AH208" s="464"/>
      <c r="AI208" s="464"/>
      <c r="AJ208" s="464"/>
    </row>
    <row r="209" spans="1:36" ht="15.75" customHeight="1">
      <c r="A209" s="463"/>
      <c r="B209" s="464"/>
      <c r="C209" s="464"/>
      <c r="D209" s="464"/>
      <c r="E209" s="464"/>
      <c r="F209" s="464"/>
      <c r="G209" s="464"/>
      <c r="H209" s="464"/>
      <c r="I209" s="464"/>
      <c r="J209" s="464"/>
      <c r="K209" s="464"/>
      <c r="L209" s="464"/>
      <c r="M209" s="464"/>
      <c r="N209" s="464"/>
      <c r="O209" s="464"/>
      <c r="P209" s="464"/>
      <c r="Q209" s="464"/>
      <c r="R209" s="464"/>
      <c r="S209" s="464"/>
      <c r="T209" s="464"/>
      <c r="U209" s="464"/>
      <c r="V209" s="464"/>
      <c r="W209" s="464"/>
      <c r="X209" s="464"/>
      <c r="Y209" s="464"/>
      <c r="Z209" s="464"/>
      <c r="AA209" s="464"/>
      <c r="AB209" s="464"/>
      <c r="AC209" s="464"/>
      <c r="AD209" s="464"/>
      <c r="AE209" s="464"/>
      <c r="AF209" s="464"/>
      <c r="AG209" s="464"/>
      <c r="AH209" s="464"/>
      <c r="AI209" s="464"/>
      <c r="AJ209" s="464"/>
    </row>
    <row r="210" spans="1:36" ht="15.75" customHeight="1">
      <c r="A210" s="463"/>
      <c r="B210" s="464"/>
      <c r="C210" s="464"/>
      <c r="D210" s="464"/>
      <c r="E210" s="464"/>
      <c r="F210" s="464"/>
      <c r="G210" s="464"/>
      <c r="H210" s="464"/>
      <c r="I210" s="464"/>
      <c r="J210" s="464"/>
      <c r="K210" s="464"/>
      <c r="L210" s="464"/>
      <c r="M210" s="464"/>
      <c r="N210" s="464"/>
      <c r="O210" s="464"/>
      <c r="P210" s="464"/>
      <c r="Q210" s="464"/>
      <c r="R210" s="464"/>
      <c r="S210" s="464"/>
      <c r="T210" s="464"/>
      <c r="U210" s="464"/>
      <c r="V210" s="464"/>
      <c r="W210" s="464"/>
      <c r="X210" s="464"/>
      <c r="Y210" s="464"/>
      <c r="Z210" s="464"/>
      <c r="AA210" s="464"/>
      <c r="AB210" s="464"/>
      <c r="AC210" s="464"/>
      <c r="AD210" s="464"/>
      <c r="AE210" s="464"/>
      <c r="AF210" s="464"/>
      <c r="AG210" s="464"/>
      <c r="AH210" s="464"/>
      <c r="AI210" s="464"/>
      <c r="AJ210" s="464"/>
    </row>
    <row r="211" spans="1:36" ht="15.75" customHeight="1">
      <c r="A211" s="463"/>
      <c r="B211" s="464"/>
      <c r="C211" s="464"/>
      <c r="D211" s="464"/>
      <c r="E211" s="464"/>
      <c r="F211" s="464"/>
      <c r="G211" s="464"/>
      <c r="H211" s="464"/>
      <c r="I211" s="464"/>
      <c r="J211" s="464"/>
      <c r="K211" s="464"/>
      <c r="L211" s="464"/>
      <c r="M211" s="464"/>
      <c r="N211" s="464"/>
      <c r="O211" s="464"/>
      <c r="P211" s="464"/>
      <c r="Q211" s="464"/>
      <c r="R211" s="464"/>
      <c r="S211" s="464"/>
      <c r="T211" s="464"/>
      <c r="U211" s="464"/>
      <c r="V211" s="464"/>
      <c r="W211" s="464"/>
      <c r="X211" s="464"/>
      <c r="Y211" s="464"/>
      <c r="Z211" s="464"/>
      <c r="AA211" s="464"/>
      <c r="AB211" s="464"/>
      <c r="AC211" s="464"/>
      <c r="AD211" s="464"/>
      <c r="AE211" s="464"/>
      <c r="AF211" s="464"/>
      <c r="AG211" s="464"/>
      <c r="AH211" s="464"/>
      <c r="AI211" s="464"/>
      <c r="AJ211" s="464"/>
    </row>
    <row r="212" spans="1:36" ht="15.75" customHeight="1">
      <c r="A212" s="463"/>
      <c r="B212" s="464"/>
      <c r="C212" s="464"/>
      <c r="D212" s="464"/>
      <c r="E212" s="464"/>
      <c r="F212" s="464"/>
      <c r="G212" s="464"/>
      <c r="H212" s="464"/>
      <c r="I212" s="464"/>
      <c r="J212" s="464"/>
      <c r="K212" s="464"/>
      <c r="L212" s="464"/>
      <c r="M212" s="464"/>
      <c r="N212" s="464"/>
      <c r="O212" s="464"/>
      <c r="P212" s="464"/>
      <c r="Q212" s="464"/>
      <c r="R212" s="464"/>
      <c r="S212" s="464"/>
      <c r="T212" s="464"/>
      <c r="U212" s="464"/>
      <c r="V212" s="464"/>
      <c r="W212" s="464"/>
      <c r="X212" s="464"/>
      <c r="Y212" s="464"/>
      <c r="Z212" s="464"/>
      <c r="AA212" s="464"/>
      <c r="AB212" s="464"/>
      <c r="AC212" s="464"/>
      <c r="AD212" s="464"/>
      <c r="AE212" s="464"/>
      <c r="AF212" s="464"/>
      <c r="AG212" s="464"/>
      <c r="AH212" s="464"/>
      <c r="AI212" s="464"/>
      <c r="AJ212" s="464"/>
    </row>
    <row r="213" spans="1:36" ht="15.75" customHeight="1">
      <c r="A213" s="463"/>
      <c r="B213" s="464"/>
      <c r="C213" s="464"/>
      <c r="D213" s="464"/>
      <c r="E213" s="464"/>
      <c r="F213" s="464"/>
      <c r="G213" s="464"/>
      <c r="H213" s="464"/>
      <c r="I213" s="464"/>
      <c r="J213" s="464"/>
      <c r="K213" s="464"/>
      <c r="L213" s="464"/>
      <c r="M213" s="464"/>
      <c r="N213" s="464"/>
      <c r="O213" s="464"/>
      <c r="P213" s="464"/>
      <c r="Q213" s="464"/>
      <c r="R213" s="464"/>
      <c r="S213" s="464"/>
      <c r="T213" s="464"/>
      <c r="U213" s="464"/>
      <c r="V213" s="464"/>
      <c r="W213" s="464"/>
      <c r="X213" s="464"/>
      <c r="Y213" s="464"/>
      <c r="Z213" s="464"/>
      <c r="AA213" s="464"/>
      <c r="AB213" s="464"/>
      <c r="AC213" s="464"/>
      <c r="AD213" s="464"/>
      <c r="AE213" s="464"/>
      <c r="AF213" s="464"/>
      <c r="AG213" s="464"/>
      <c r="AH213" s="464"/>
      <c r="AI213" s="464"/>
      <c r="AJ213" s="464"/>
    </row>
    <row r="214" spans="1:36" ht="15.75" customHeight="1">
      <c r="A214" s="463"/>
      <c r="B214" s="464"/>
      <c r="C214" s="464"/>
      <c r="D214" s="464"/>
      <c r="E214" s="464"/>
      <c r="F214" s="464"/>
      <c r="G214" s="464"/>
      <c r="H214" s="464"/>
      <c r="I214" s="464"/>
      <c r="J214" s="464"/>
      <c r="K214" s="464"/>
      <c r="L214" s="464"/>
      <c r="M214" s="464"/>
      <c r="N214" s="464"/>
      <c r="O214" s="464"/>
      <c r="P214" s="464"/>
      <c r="Q214" s="464"/>
      <c r="R214" s="464"/>
      <c r="S214" s="464"/>
      <c r="T214" s="464"/>
      <c r="U214" s="464"/>
      <c r="V214" s="464"/>
      <c r="W214" s="464"/>
      <c r="X214" s="464"/>
      <c r="Y214" s="464"/>
      <c r="Z214" s="464"/>
      <c r="AA214" s="464"/>
      <c r="AB214" s="464"/>
      <c r="AC214" s="464"/>
      <c r="AD214" s="464"/>
      <c r="AE214" s="464"/>
      <c r="AF214" s="464"/>
      <c r="AG214" s="464"/>
      <c r="AH214" s="464"/>
      <c r="AI214" s="464"/>
      <c r="AJ214" s="464"/>
    </row>
    <row r="215" spans="1:36" ht="15.75" customHeight="1">
      <c r="A215" s="463"/>
      <c r="B215" s="464"/>
      <c r="C215" s="464"/>
      <c r="D215" s="464"/>
      <c r="E215" s="464"/>
      <c r="F215" s="464"/>
      <c r="G215" s="464"/>
      <c r="H215" s="464"/>
      <c r="I215" s="464"/>
      <c r="J215" s="464"/>
      <c r="K215" s="464"/>
      <c r="L215" s="464"/>
      <c r="M215" s="464"/>
      <c r="N215" s="464"/>
      <c r="O215" s="464"/>
      <c r="P215" s="464"/>
      <c r="Q215" s="464"/>
      <c r="R215" s="464"/>
      <c r="S215" s="464"/>
      <c r="T215" s="464"/>
      <c r="U215" s="464"/>
      <c r="V215" s="464"/>
      <c r="W215" s="464"/>
      <c r="X215" s="464"/>
      <c r="Y215" s="464"/>
      <c r="Z215" s="464"/>
      <c r="AA215" s="464"/>
      <c r="AB215" s="464"/>
      <c r="AC215" s="464"/>
      <c r="AD215" s="464"/>
      <c r="AE215" s="464"/>
      <c r="AF215" s="464"/>
      <c r="AG215" s="464"/>
      <c r="AH215" s="464"/>
      <c r="AI215" s="464"/>
      <c r="AJ215" s="464"/>
    </row>
    <row r="216" spans="1:36" ht="15.75" customHeight="1">
      <c r="A216" s="463"/>
      <c r="B216" s="464"/>
      <c r="C216" s="464"/>
      <c r="D216" s="464"/>
      <c r="E216" s="464"/>
      <c r="F216" s="464"/>
      <c r="G216" s="464"/>
      <c r="H216" s="464"/>
      <c r="I216" s="464"/>
      <c r="J216" s="464"/>
      <c r="K216" s="464"/>
      <c r="L216" s="464"/>
      <c r="M216" s="464"/>
      <c r="N216" s="464"/>
      <c r="O216" s="464"/>
      <c r="P216" s="464"/>
      <c r="Q216" s="464"/>
      <c r="R216" s="464"/>
      <c r="S216" s="464"/>
      <c r="T216" s="464"/>
      <c r="U216" s="464"/>
      <c r="V216" s="464"/>
      <c r="W216" s="464"/>
      <c r="X216" s="464"/>
      <c r="Y216" s="464"/>
      <c r="Z216" s="464"/>
      <c r="AA216" s="464"/>
      <c r="AB216" s="464"/>
      <c r="AC216" s="464"/>
      <c r="AD216" s="464"/>
      <c r="AE216" s="464"/>
      <c r="AF216" s="464"/>
      <c r="AG216" s="464"/>
      <c r="AH216" s="464"/>
      <c r="AI216" s="464"/>
      <c r="AJ216" s="464"/>
    </row>
    <row r="217" spans="1:36" ht="15.75" customHeight="1">
      <c r="A217" s="463"/>
      <c r="B217" s="464"/>
      <c r="C217" s="464"/>
      <c r="D217" s="464"/>
      <c r="E217" s="464"/>
      <c r="F217" s="464"/>
      <c r="G217" s="464"/>
      <c r="H217" s="464"/>
      <c r="I217" s="464"/>
      <c r="J217" s="464"/>
      <c r="K217" s="464"/>
      <c r="L217" s="464"/>
      <c r="M217" s="464"/>
      <c r="N217" s="464"/>
      <c r="O217" s="464"/>
      <c r="P217" s="464"/>
      <c r="Q217" s="464"/>
      <c r="R217" s="464"/>
      <c r="S217" s="464"/>
      <c r="T217" s="464"/>
      <c r="U217" s="464"/>
      <c r="V217" s="464"/>
      <c r="W217" s="464"/>
      <c r="X217" s="464"/>
      <c r="Y217" s="464"/>
      <c r="Z217" s="464"/>
      <c r="AA217" s="464"/>
      <c r="AB217" s="464"/>
      <c r="AC217" s="464"/>
      <c r="AD217" s="464"/>
      <c r="AE217" s="464"/>
      <c r="AF217" s="464"/>
      <c r="AG217" s="464"/>
      <c r="AH217" s="464"/>
      <c r="AI217" s="464"/>
      <c r="AJ217" s="464"/>
    </row>
    <row r="218" spans="1:36" ht="15.75" customHeight="1">
      <c r="A218" s="463"/>
      <c r="B218" s="464"/>
      <c r="C218" s="464"/>
      <c r="D218" s="464"/>
      <c r="E218" s="464"/>
      <c r="F218" s="464"/>
      <c r="G218" s="464"/>
      <c r="H218" s="464"/>
      <c r="I218" s="464"/>
      <c r="J218" s="464"/>
      <c r="K218" s="464"/>
      <c r="L218" s="464"/>
      <c r="M218" s="464"/>
      <c r="N218" s="464"/>
      <c r="O218" s="464"/>
      <c r="P218" s="464"/>
      <c r="Q218" s="464"/>
      <c r="R218" s="464"/>
      <c r="S218" s="464"/>
      <c r="T218" s="464"/>
      <c r="U218" s="464"/>
      <c r="V218" s="464"/>
      <c r="W218" s="464"/>
      <c r="X218" s="464"/>
      <c r="Y218" s="464"/>
      <c r="Z218" s="464"/>
      <c r="AA218" s="464"/>
      <c r="AB218" s="464"/>
      <c r="AC218" s="464"/>
      <c r="AD218" s="464"/>
      <c r="AE218" s="464"/>
      <c r="AF218" s="464"/>
      <c r="AG218" s="464"/>
      <c r="AH218" s="464"/>
      <c r="AI218" s="464"/>
      <c r="AJ218" s="464"/>
    </row>
    <row r="219" spans="1:36" ht="15.75" customHeight="1">
      <c r="A219" s="463"/>
      <c r="B219" s="464"/>
      <c r="C219" s="464"/>
      <c r="D219" s="464"/>
      <c r="E219" s="464"/>
      <c r="F219" s="464"/>
      <c r="G219" s="464"/>
      <c r="H219" s="464"/>
      <c r="I219" s="464"/>
      <c r="J219" s="464"/>
      <c r="K219" s="464"/>
      <c r="L219" s="464"/>
      <c r="M219" s="464"/>
      <c r="N219" s="464"/>
      <c r="O219" s="464"/>
      <c r="P219" s="464"/>
      <c r="Q219" s="464"/>
      <c r="R219" s="464"/>
      <c r="S219" s="464"/>
      <c r="T219" s="464"/>
      <c r="U219" s="464"/>
      <c r="V219" s="464"/>
      <c r="W219" s="464"/>
      <c r="X219" s="464"/>
      <c r="Y219" s="464"/>
      <c r="Z219" s="464"/>
      <c r="AA219" s="464"/>
      <c r="AB219" s="464"/>
      <c r="AC219" s="464"/>
      <c r="AD219" s="464"/>
      <c r="AE219" s="464"/>
      <c r="AF219" s="464"/>
      <c r="AG219" s="464"/>
      <c r="AH219" s="464"/>
      <c r="AI219" s="464"/>
      <c r="AJ219" s="464"/>
    </row>
    <row r="220" spans="1:36" ht="15.75" customHeight="1">
      <c r="A220" s="463"/>
      <c r="B220" s="464"/>
      <c r="C220" s="464"/>
      <c r="D220" s="464"/>
      <c r="E220" s="464"/>
      <c r="F220" s="464"/>
      <c r="G220" s="464"/>
      <c r="H220" s="464"/>
      <c r="I220" s="464"/>
      <c r="J220" s="464"/>
      <c r="K220" s="464"/>
      <c r="L220" s="464"/>
      <c r="M220" s="464"/>
      <c r="N220" s="464"/>
      <c r="O220" s="464"/>
      <c r="P220" s="464"/>
      <c r="Q220" s="464"/>
      <c r="R220" s="464"/>
      <c r="S220" s="464"/>
      <c r="T220" s="464"/>
      <c r="U220" s="464"/>
      <c r="V220" s="464"/>
      <c r="W220" s="464"/>
      <c r="X220" s="464"/>
      <c r="Y220" s="464"/>
      <c r="Z220" s="464"/>
      <c r="AA220" s="464"/>
      <c r="AB220" s="464"/>
      <c r="AC220" s="464"/>
      <c r="AD220" s="464"/>
      <c r="AE220" s="464"/>
      <c r="AF220" s="464"/>
      <c r="AG220" s="464"/>
      <c r="AH220" s="464"/>
      <c r="AI220" s="464"/>
      <c r="AJ220" s="464"/>
    </row>
    <row r="221" spans="1:36" ht="15.75" customHeight="1">
      <c r="A221" s="463"/>
      <c r="B221" s="464"/>
      <c r="C221" s="464"/>
      <c r="D221" s="464"/>
      <c r="E221" s="464"/>
      <c r="F221" s="464"/>
      <c r="G221" s="464"/>
      <c r="H221" s="464"/>
      <c r="I221" s="464"/>
      <c r="J221" s="464"/>
      <c r="K221" s="464"/>
      <c r="L221" s="464"/>
      <c r="M221" s="464"/>
      <c r="N221" s="464"/>
      <c r="O221" s="464"/>
      <c r="P221" s="464"/>
      <c r="Q221" s="464"/>
      <c r="R221" s="464"/>
      <c r="S221" s="464"/>
      <c r="T221" s="464"/>
      <c r="U221" s="464"/>
      <c r="V221" s="464"/>
      <c r="W221" s="464"/>
      <c r="X221" s="464"/>
      <c r="Y221" s="464"/>
      <c r="Z221" s="464"/>
      <c r="AA221" s="464"/>
      <c r="AB221" s="464"/>
      <c r="AC221" s="464"/>
      <c r="AD221" s="464"/>
      <c r="AE221" s="464"/>
      <c r="AF221" s="464"/>
      <c r="AG221" s="464"/>
      <c r="AH221" s="464"/>
      <c r="AI221" s="464"/>
      <c r="AJ221" s="464"/>
    </row>
    <row r="222" spans="1:36" ht="15.75" customHeight="1">
      <c r="A222" s="463"/>
      <c r="B222" s="464"/>
      <c r="C222" s="464"/>
      <c r="D222" s="464"/>
      <c r="E222" s="464"/>
      <c r="F222" s="464"/>
      <c r="G222" s="464"/>
      <c r="H222" s="464"/>
      <c r="I222" s="464"/>
      <c r="J222" s="464"/>
      <c r="K222" s="464"/>
      <c r="L222" s="464"/>
      <c r="M222" s="464"/>
      <c r="N222" s="464"/>
      <c r="O222" s="464"/>
      <c r="P222" s="464"/>
      <c r="Q222" s="464"/>
      <c r="R222" s="464"/>
      <c r="S222" s="464"/>
      <c r="T222" s="464"/>
      <c r="U222" s="464"/>
      <c r="V222" s="464"/>
      <c r="W222" s="464"/>
      <c r="X222" s="464"/>
      <c r="Y222" s="464"/>
      <c r="Z222" s="464"/>
      <c r="AA222" s="464"/>
      <c r="AB222" s="464"/>
      <c r="AC222" s="464"/>
      <c r="AD222" s="464"/>
      <c r="AE222" s="464"/>
      <c r="AF222" s="464"/>
      <c r="AG222" s="464"/>
      <c r="AH222" s="464"/>
      <c r="AI222" s="464"/>
      <c r="AJ222" s="464"/>
    </row>
    <row r="223" spans="1:36" ht="15.75" customHeight="1">
      <c r="A223" s="463"/>
      <c r="B223" s="464"/>
      <c r="C223" s="464"/>
      <c r="D223" s="464"/>
      <c r="E223" s="464"/>
      <c r="F223" s="464"/>
      <c r="G223" s="464"/>
      <c r="H223" s="464"/>
      <c r="I223" s="464"/>
      <c r="J223" s="464"/>
      <c r="K223" s="464"/>
      <c r="L223" s="464"/>
      <c r="M223" s="464"/>
      <c r="N223" s="464"/>
      <c r="O223" s="464"/>
      <c r="P223" s="464"/>
      <c r="Q223" s="464"/>
      <c r="R223" s="464"/>
      <c r="S223" s="464"/>
      <c r="T223" s="464"/>
      <c r="U223" s="464"/>
      <c r="V223" s="464"/>
      <c r="W223" s="464"/>
      <c r="X223" s="464"/>
      <c r="Y223" s="464"/>
      <c r="Z223" s="464"/>
      <c r="AA223" s="464"/>
      <c r="AB223" s="464"/>
      <c r="AC223" s="464"/>
      <c r="AD223" s="464"/>
      <c r="AE223" s="464"/>
      <c r="AF223" s="464"/>
      <c r="AG223" s="464"/>
      <c r="AH223" s="464"/>
      <c r="AI223" s="464"/>
      <c r="AJ223" s="464"/>
    </row>
    <row r="224" spans="1:36" ht="15.75" customHeight="1">
      <c r="A224" s="463"/>
      <c r="B224" s="464"/>
      <c r="C224" s="464"/>
      <c r="D224" s="464"/>
      <c r="E224" s="464"/>
      <c r="F224" s="464"/>
      <c r="G224" s="464"/>
      <c r="H224" s="464"/>
      <c r="I224" s="464"/>
      <c r="J224" s="464"/>
      <c r="K224" s="464"/>
      <c r="L224" s="464"/>
      <c r="M224" s="464"/>
      <c r="N224" s="464"/>
      <c r="O224" s="464"/>
      <c r="P224" s="464"/>
      <c r="Q224" s="464"/>
      <c r="R224" s="464"/>
      <c r="S224" s="464"/>
      <c r="T224" s="464"/>
      <c r="U224" s="464"/>
      <c r="V224" s="464"/>
      <c r="W224" s="464"/>
      <c r="X224" s="464"/>
      <c r="Y224" s="464"/>
      <c r="Z224" s="464"/>
      <c r="AA224" s="464"/>
      <c r="AB224" s="464"/>
      <c r="AC224" s="464"/>
      <c r="AD224" s="464"/>
      <c r="AE224" s="464"/>
      <c r="AF224" s="464"/>
      <c r="AG224" s="464"/>
      <c r="AH224" s="464"/>
      <c r="AI224" s="464"/>
      <c r="AJ224" s="464"/>
    </row>
    <row r="225" spans="1:36" ht="15.75" customHeight="1">
      <c r="A225" s="463"/>
      <c r="B225" s="464"/>
      <c r="C225" s="464"/>
      <c r="D225" s="464"/>
      <c r="E225" s="464"/>
      <c r="F225" s="464"/>
      <c r="G225" s="464"/>
      <c r="H225" s="464"/>
      <c r="I225" s="464"/>
      <c r="J225" s="464"/>
      <c r="K225" s="464"/>
      <c r="L225" s="464"/>
      <c r="M225" s="464"/>
      <c r="N225" s="464"/>
      <c r="O225" s="464"/>
      <c r="P225" s="464"/>
      <c r="Q225" s="464"/>
      <c r="R225" s="464"/>
      <c r="S225" s="464"/>
      <c r="T225" s="464"/>
      <c r="U225" s="464"/>
      <c r="V225" s="464"/>
      <c r="W225" s="464"/>
      <c r="X225" s="464"/>
      <c r="Y225" s="464"/>
      <c r="Z225" s="464"/>
      <c r="AA225" s="464"/>
      <c r="AB225" s="464"/>
      <c r="AC225" s="464"/>
      <c r="AD225" s="464"/>
      <c r="AE225" s="464"/>
      <c r="AF225" s="464"/>
      <c r="AG225" s="464"/>
      <c r="AH225" s="464"/>
      <c r="AI225" s="464"/>
      <c r="AJ225" s="464"/>
    </row>
    <row r="226" spans="1:36" ht="15.75" customHeight="1">
      <c r="A226" s="463"/>
      <c r="B226" s="464"/>
      <c r="C226" s="464"/>
      <c r="D226" s="464"/>
      <c r="E226" s="464"/>
      <c r="F226" s="464"/>
      <c r="G226" s="464"/>
      <c r="H226" s="464"/>
      <c r="I226" s="464"/>
      <c r="J226" s="464"/>
      <c r="K226" s="464"/>
      <c r="L226" s="464"/>
      <c r="M226" s="464"/>
      <c r="N226" s="464"/>
      <c r="O226" s="464"/>
      <c r="P226" s="464"/>
      <c r="Q226" s="464"/>
      <c r="R226" s="464"/>
      <c r="S226" s="464"/>
      <c r="T226" s="464"/>
      <c r="U226" s="464"/>
      <c r="V226" s="464"/>
      <c r="W226" s="464"/>
      <c r="X226" s="464"/>
      <c r="Y226" s="464"/>
      <c r="Z226" s="464"/>
      <c r="AA226" s="464"/>
      <c r="AB226" s="464"/>
      <c r="AC226" s="464"/>
      <c r="AD226" s="464"/>
      <c r="AE226" s="464"/>
      <c r="AF226" s="464"/>
      <c r="AG226" s="464"/>
      <c r="AH226" s="464"/>
      <c r="AI226" s="464"/>
      <c r="AJ226" s="464"/>
    </row>
    <row r="227" spans="1:36" ht="15.75" customHeight="1">
      <c r="A227" s="463"/>
      <c r="B227" s="464"/>
      <c r="C227" s="464"/>
      <c r="D227" s="464"/>
      <c r="E227" s="464"/>
      <c r="F227" s="464"/>
      <c r="G227" s="464"/>
      <c r="H227" s="464"/>
      <c r="I227" s="464"/>
      <c r="J227" s="464"/>
      <c r="K227" s="464"/>
      <c r="L227" s="464"/>
      <c r="M227" s="464"/>
      <c r="N227" s="464"/>
      <c r="O227" s="464"/>
      <c r="P227" s="464"/>
      <c r="Q227" s="464"/>
      <c r="R227" s="464"/>
      <c r="S227" s="464"/>
      <c r="T227" s="464"/>
      <c r="U227" s="464"/>
      <c r="V227" s="464"/>
      <c r="W227" s="464"/>
      <c r="X227" s="464"/>
      <c r="Y227" s="464"/>
      <c r="Z227" s="464"/>
      <c r="AA227" s="464"/>
      <c r="AB227" s="464"/>
      <c r="AC227" s="464"/>
      <c r="AD227" s="464"/>
      <c r="AE227" s="464"/>
      <c r="AF227" s="464"/>
      <c r="AG227" s="464"/>
      <c r="AH227" s="464"/>
      <c r="AI227" s="464"/>
      <c r="AJ227" s="464"/>
    </row>
    <row r="228" spans="1:36" ht="15.75" customHeight="1">
      <c r="A228" s="463"/>
      <c r="B228" s="464"/>
      <c r="C228" s="464"/>
      <c r="D228" s="464"/>
      <c r="E228" s="464"/>
      <c r="F228" s="464"/>
      <c r="G228" s="464"/>
      <c r="H228" s="464"/>
      <c r="I228" s="464"/>
      <c r="J228" s="464"/>
      <c r="K228" s="464"/>
      <c r="L228" s="464"/>
      <c r="M228" s="464"/>
      <c r="N228" s="464"/>
      <c r="O228" s="464"/>
      <c r="P228" s="464"/>
      <c r="Q228" s="464"/>
      <c r="R228" s="464"/>
      <c r="S228" s="464"/>
      <c r="T228" s="464"/>
      <c r="U228" s="464"/>
      <c r="V228" s="464"/>
      <c r="W228" s="464"/>
      <c r="X228" s="464"/>
      <c r="Y228" s="464"/>
      <c r="Z228" s="464"/>
      <c r="AA228" s="464"/>
      <c r="AB228" s="464"/>
      <c r="AC228" s="464"/>
      <c r="AD228" s="464"/>
      <c r="AE228" s="464"/>
      <c r="AF228" s="464"/>
      <c r="AG228" s="464"/>
      <c r="AH228" s="464"/>
      <c r="AI228" s="464"/>
      <c r="AJ228" s="464"/>
    </row>
    <row r="229" spans="1:36" ht="15.75" customHeight="1">
      <c r="A229" s="463"/>
      <c r="B229" s="464"/>
      <c r="C229" s="464"/>
      <c r="D229" s="464"/>
      <c r="E229" s="464"/>
      <c r="F229" s="464"/>
      <c r="G229" s="464"/>
      <c r="H229" s="464"/>
      <c r="I229" s="464"/>
      <c r="J229" s="464"/>
      <c r="K229" s="464"/>
      <c r="L229" s="464"/>
      <c r="M229" s="464"/>
      <c r="N229" s="464"/>
      <c r="O229" s="464"/>
      <c r="P229" s="464"/>
      <c r="Q229" s="464"/>
      <c r="R229" s="464"/>
      <c r="S229" s="464"/>
      <c r="T229" s="464"/>
      <c r="U229" s="464"/>
      <c r="V229" s="464"/>
      <c r="W229" s="464"/>
      <c r="X229" s="464"/>
      <c r="Y229" s="464"/>
      <c r="Z229" s="464"/>
      <c r="AA229" s="464"/>
      <c r="AB229" s="464"/>
      <c r="AC229" s="464"/>
      <c r="AD229" s="464"/>
      <c r="AE229" s="464"/>
      <c r="AF229" s="464"/>
      <c r="AG229" s="464"/>
      <c r="AH229" s="464"/>
      <c r="AI229" s="464"/>
      <c r="AJ229" s="464"/>
    </row>
    <row r="230" spans="1:36" ht="15.75" customHeight="1">
      <c r="A230" s="463"/>
      <c r="B230" s="464"/>
      <c r="C230" s="464"/>
      <c r="D230" s="464"/>
      <c r="E230" s="464"/>
      <c r="F230" s="464"/>
      <c r="G230" s="464"/>
      <c r="H230" s="464"/>
      <c r="I230" s="464"/>
      <c r="J230" s="464"/>
      <c r="K230" s="464"/>
      <c r="L230" s="464"/>
      <c r="M230" s="464"/>
      <c r="N230" s="464"/>
      <c r="O230" s="464"/>
      <c r="P230" s="464"/>
      <c r="Q230" s="464"/>
      <c r="R230" s="464"/>
      <c r="S230" s="464"/>
      <c r="T230" s="464"/>
      <c r="U230" s="464"/>
      <c r="V230" s="464"/>
      <c r="W230" s="464"/>
      <c r="X230" s="464"/>
      <c r="Y230" s="464"/>
      <c r="Z230" s="464"/>
      <c r="AA230" s="464"/>
      <c r="AB230" s="464"/>
      <c r="AC230" s="464"/>
      <c r="AD230" s="464"/>
      <c r="AE230" s="464"/>
      <c r="AF230" s="464"/>
      <c r="AG230" s="464"/>
      <c r="AH230" s="464"/>
      <c r="AI230" s="464"/>
      <c r="AJ230" s="464"/>
    </row>
    <row r="231" spans="1:36" ht="15.75" customHeight="1">
      <c r="A231" s="463"/>
      <c r="B231" s="464"/>
      <c r="C231" s="464"/>
      <c r="D231" s="464"/>
      <c r="E231" s="464"/>
      <c r="F231" s="464"/>
      <c r="G231" s="464"/>
      <c r="H231" s="464"/>
      <c r="I231" s="464"/>
      <c r="J231" s="464"/>
      <c r="K231" s="464"/>
      <c r="L231" s="464"/>
      <c r="M231" s="464"/>
      <c r="N231" s="464"/>
      <c r="O231" s="464"/>
      <c r="P231" s="464"/>
      <c r="Q231" s="464"/>
      <c r="R231" s="464"/>
      <c r="S231" s="464"/>
      <c r="T231" s="464"/>
      <c r="U231" s="464"/>
      <c r="V231" s="464"/>
      <c r="W231" s="464"/>
      <c r="X231" s="464"/>
      <c r="Y231" s="464"/>
      <c r="Z231" s="464"/>
      <c r="AA231" s="464"/>
      <c r="AB231" s="464"/>
      <c r="AC231" s="464"/>
      <c r="AD231" s="464"/>
      <c r="AE231" s="464"/>
      <c r="AF231" s="464"/>
      <c r="AG231" s="464"/>
      <c r="AH231" s="464"/>
      <c r="AI231" s="464"/>
      <c r="AJ231" s="464"/>
    </row>
    <row r="232" spans="1:36" ht="15.75" customHeight="1">
      <c r="A232" s="463"/>
      <c r="B232" s="464"/>
      <c r="C232" s="464"/>
      <c r="D232" s="464"/>
      <c r="E232" s="464"/>
      <c r="F232" s="464"/>
      <c r="G232" s="464"/>
      <c r="H232" s="464"/>
      <c r="I232" s="464"/>
      <c r="J232" s="464"/>
      <c r="K232" s="464"/>
      <c r="L232" s="464"/>
      <c r="M232" s="464"/>
      <c r="N232" s="464"/>
      <c r="O232" s="464"/>
      <c r="P232" s="464"/>
      <c r="Q232" s="464"/>
      <c r="R232" s="464"/>
      <c r="S232" s="464"/>
      <c r="T232" s="464"/>
      <c r="U232" s="464"/>
      <c r="V232" s="464"/>
      <c r="W232" s="464"/>
      <c r="X232" s="464"/>
      <c r="Y232" s="464"/>
      <c r="Z232" s="464"/>
      <c r="AA232" s="464"/>
      <c r="AB232" s="464"/>
      <c r="AC232" s="464"/>
      <c r="AD232" s="464"/>
      <c r="AE232" s="464"/>
      <c r="AF232" s="464"/>
      <c r="AG232" s="464"/>
      <c r="AH232" s="464"/>
      <c r="AI232" s="464"/>
      <c r="AJ232" s="464"/>
    </row>
    <row r="233" spans="1:36" ht="15.75" customHeight="1">
      <c r="A233" s="463"/>
      <c r="B233" s="464"/>
      <c r="C233" s="464"/>
      <c r="D233" s="464"/>
      <c r="E233" s="464"/>
      <c r="F233" s="464"/>
      <c r="G233" s="464"/>
      <c r="H233" s="464"/>
      <c r="I233" s="464"/>
      <c r="J233" s="464"/>
      <c r="K233" s="464"/>
      <c r="L233" s="464"/>
      <c r="M233" s="464"/>
      <c r="N233" s="464"/>
      <c r="O233" s="464"/>
      <c r="P233" s="464"/>
      <c r="Q233" s="464"/>
      <c r="R233" s="464"/>
      <c r="S233" s="464"/>
      <c r="T233" s="464"/>
      <c r="U233" s="464"/>
      <c r="V233" s="464"/>
      <c r="W233" s="464"/>
      <c r="X233" s="464"/>
      <c r="Y233" s="464"/>
      <c r="Z233" s="464"/>
      <c r="AA233" s="464"/>
      <c r="AB233" s="464"/>
      <c r="AC233" s="464"/>
      <c r="AD233" s="464"/>
      <c r="AE233" s="464"/>
      <c r="AF233" s="464"/>
      <c r="AG233" s="464"/>
      <c r="AH233" s="464"/>
      <c r="AI233" s="464"/>
      <c r="AJ233" s="464"/>
    </row>
    <row r="234" spans="1:36" ht="15.75" customHeight="1">
      <c r="A234" s="463"/>
      <c r="B234" s="464"/>
      <c r="C234" s="464"/>
      <c r="D234" s="464"/>
      <c r="E234" s="464"/>
      <c r="F234" s="464"/>
      <c r="G234" s="464"/>
      <c r="H234" s="464"/>
      <c r="I234" s="464"/>
      <c r="J234" s="464"/>
      <c r="K234" s="464"/>
      <c r="L234" s="464"/>
      <c r="M234" s="464"/>
      <c r="N234" s="464"/>
      <c r="O234" s="464"/>
      <c r="P234" s="464"/>
      <c r="Q234" s="464"/>
      <c r="R234" s="464"/>
      <c r="S234" s="464"/>
      <c r="T234" s="464"/>
      <c r="U234" s="464"/>
      <c r="V234" s="464"/>
      <c r="W234" s="464"/>
      <c r="X234" s="464"/>
      <c r="Y234" s="464"/>
      <c r="Z234" s="464"/>
      <c r="AA234" s="464"/>
      <c r="AB234" s="464"/>
      <c r="AC234" s="464"/>
      <c r="AD234" s="464"/>
      <c r="AE234" s="464"/>
      <c r="AF234" s="464"/>
      <c r="AG234" s="464"/>
      <c r="AH234" s="464"/>
      <c r="AI234" s="464"/>
      <c r="AJ234" s="464"/>
    </row>
    <row r="235" spans="1:36" ht="15.75" customHeight="1">
      <c r="A235" s="463"/>
      <c r="B235" s="464"/>
      <c r="C235" s="464"/>
      <c r="D235" s="464"/>
      <c r="E235" s="464"/>
      <c r="F235" s="464"/>
      <c r="G235" s="464"/>
      <c r="H235" s="464"/>
      <c r="I235" s="464"/>
      <c r="J235" s="464"/>
      <c r="K235" s="464"/>
      <c r="L235" s="464"/>
      <c r="M235" s="464"/>
      <c r="N235" s="464"/>
      <c r="O235" s="464"/>
      <c r="P235" s="464"/>
      <c r="Q235" s="464"/>
      <c r="R235" s="464"/>
      <c r="S235" s="464"/>
      <c r="T235" s="464"/>
      <c r="U235" s="464"/>
      <c r="V235" s="464"/>
      <c r="W235" s="464"/>
      <c r="X235" s="464"/>
      <c r="Y235" s="464"/>
      <c r="Z235" s="464"/>
      <c r="AA235" s="464"/>
      <c r="AB235" s="464"/>
      <c r="AC235" s="464"/>
      <c r="AD235" s="464"/>
      <c r="AE235" s="464"/>
      <c r="AF235" s="464"/>
      <c r="AG235" s="464"/>
      <c r="AH235" s="464"/>
      <c r="AI235" s="464"/>
      <c r="AJ235" s="464"/>
    </row>
    <row r="236" spans="1:36" ht="15.75" customHeight="1">
      <c r="A236" s="463"/>
      <c r="B236" s="464"/>
      <c r="C236" s="464"/>
      <c r="D236" s="464"/>
      <c r="E236" s="464"/>
      <c r="F236" s="464"/>
      <c r="G236" s="464"/>
      <c r="H236" s="464"/>
      <c r="I236" s="464"/>
      <c r="J236" s="464"/>
      <c r="K236" s="464"/>
      <c r="L236" s="464"/>
      <c r="M236" s="464"/>
      <c r="N236" s="464"/>
      <c r="O236" s="464"/>
      <c r="P236" s="464"/>
      <c r="Q236" s="464"/>
      <c r="R236" s="464"/>
      <c r="S236" s="464"/>
      <c r="T236" s="464"/>
      <c r="U236" s="464"/>
      <c r="V236" s="464"/>
      <c r="W236" s="464"/>
      <c r="X236" s="464"/>
      <c r="Y236" s="464"/>
      <c r="Z236" s="464"/>
      <c r="AA236" s="464"/>
      <c r="AB236" s="464"/>
      <c r="AC236" s="464"/>
      <c r="AD236" s="464"/>
      <c r="AE236" s="464"/>
      <c r="AF236" s="464"/>
      <c r="AG236" s="464"/>
      <c r="AH236" s="464"/>
      <c r="AI236" s="464"/>
      <c r="AJ236" s="464"/>
    </row>
    <row r="237" spans="1:36" ht="15.75" customHeight="1">
      <c r="A237" s="463"/>
      <c r="B237" s="464"/>
      <c r="C237" s="464"/>
      <c r="D237" s="464"/>
      <c r="E237" s="464"/>
      <c r="F237" s="464"/>
      <c r="G237" s="464"/>
      <c r="H237" s="464"/>
      <c r="I237" s="464"/>
      <c r="J237" s="464"/>
      <c r="K237" s="464"/>
      <c r="L237" s="464"/>
      <c r="M237" s="464"/>
      <c r="N237" s="464"/>
      <c r="O237" s="464"/>
      <c r="P237" s="464"/>
      <c r="Q237" s="464"/>
      <c r="R237" s="464"/>
      <c r="S237" s="464"/>
      <c r="T237" s="464"/>
      <c r="U237" s="464"/>
      <c r="V237" s="464"/>
      <c r="W237" s="464"/>
      <c r="X237" s="464"/>
      <c r="Y237" s="464"/>
      <c r="Z237" s="464"/>
      <c r="AA237" s="464"/>
      <c r="AB237" s="464"/>
      <c r="AC237" s="464"/>
      <c r="AD237" s="464"/>
      <c r="AE237" s="464"/>
      <c r="AF237" s="464"/>
      <c r="AG237" s="464"/>
      <c r="AH237" s="464"/>
      <c r="AI237" s="464"/>
      <c r="AJ237" s="464"/>
    </row>
    <row r="238" spans="1:36" ht="15.75" customHeight="1">
      <c r="A238" s="463"/>
      <c r="B238" s="464"/>
      <c r="C238" s="464"/>
      <c r="D238" s="464"/>
      <c r="E238" s="464"/>
      <c r="F238" s="464"/>
      <c r="G238" s="464"/>
      <c r="H238" s="464"/>
      <c r="I238" s="464"/>
      <c r="J238" s="464"/>
      <c r="K238" s="464"/>
      <c r="L238" s="464"/>
      <c r="M238" s="464"/>
      <c r="N238" s="464"/>
      <c r="O238" s="464"/>
      <c r="P238" s="464"/>
      <c r="Q238" s="464"/>
      <c r="R238" s="464"/>
      <c r="S238" s="464"/>
      <c r="T238" s="464"/>
      <c r="U238" s="464"/>
      <c r="V238" s="464"/>
      <c r="W238" s="464"/>
      <c r="X238" s="464"/>
      <c r="Y238" s="464"/>
      <c r="Z238" s="464"/>
      <c r="AA238" s="464"/>
      <c r="AB238" s="464"/>
      <c r="AC238" s="464"/>
      <c r="AD238" s="464"/>
      <c r="AE238" s="464"/>
      <c r="AF238" s="464"/>
      <c r="AG238" s="464"/>
      <c r="AH238" s="464"/>
      <c r="AI238" s="464"/>
      <c r="AJ238" s="464"/>
    </row>
    <row r="239" spans="1:36" ht="15.75" customHeight="1">
      <c r="A239" s="463"/>
      <c r="B239" s="464"/>
      <c r="C239" s="464"/>
      <c r="D239" s="464"/>
      <c r="E239" s="464"/>
      <c r="F239" s="464"/>
      <c r="G239" s="464"/>
      <c r="H239" s="464"/>
      <c r="I239" s="464"/>
      <c r="J239" s="464"/>
      <c r="K239" s="464"/>
      <c r="L239" s="464"/>
      <c r="M239" s="464"/>
      <c r="N239" s="464"/>
      <c r="O239" s="464"/>
      <c r="P239" s="464"/>
      <c r="Q239" s="464"/>
      <c r="R239" s="464"/>
      <c r="S239" s="464"/>
      <c r="T239" s="464"/>
      <c r="U239" s="464"/>
      <c r="V239" s="464"/>
      <c r="W239" s="464"/>
      <c r="X239" s="464"/>
      <c r="Y239" s="464"/>
      <c r="Z239" s="464"/>
      <c r="AA239" s="464"/>
      <c r="AB239" s="464"/>
      <c r="AC239" s="464"/>
      <c r="AD239" s="464"/>
      <c r="AE239" s="464"/>
      <c r="AF239" s="464"/>
      <c r="AG239" s="464"/>
      <c r="AH239" s="464"/>
      <c r="AI239" s="464"/>
      <c r="AJ239" s="464"/>
    </row>
    <row r="240" spans="1:36" ht="15.75" customHeight="1">
      <c r="A240" s="463"/>
      <c r="B240" s="464"/>
      <c r="C240" s="464"/>
      <c r="D240" s="464"/>
      <c r="E240" s="464"/>
      <c r="F240" s="464"/>
      <c r="G240" s="464"/>
      <c r="H240" s="464"/>
      <c r="I240" s="464"/>
      <c r="J240" s="464"/>
      <c r="K240" s="464"/>
      <c r="L240" s="464"/>
      <c r="M240" s="464"/>
      <c r="N240" s="464"/>
      <c r="O240" s="464"/>
      <c r="P240" s="464"/>
      <c r="Q240" s="464"/>
      <c r="R240" s="464"/>
      <c r="S240" s="464"/>
      <c r="T240" s="464"/>
      <c r="U240" s="464"/>
      <c r="V240" s="464"/>
      <c r="W240" s="464"/>
      <c r="X240" s="464"/>
      <c r="Y240" s="464"/>
      <c r="Z240" s="464"/>
      <c r="AA240" s="464"/>
      <c r="AB240" s="464"/>
      <c r="AC240" s="464"/>
      <c r="AD240" s="464"/>
      <c r="AE240" s="464"/>
      <c r="AF240" s="464"/>
      <c r="AG240" s="464"/>
      <c r="AH240" s="464"/>
      <c r="AI240" s="464"/>
      <c r="AJ240" s="464"/>
    </row>
    <row r="241" spans="1:36" ht="15.75" customHeight="1">
      <c r="A241" s="463"/>
      <c r="B241" s="464"/>
      <c r="C241" s="464"/>
      <c r="D241" s="464"/>
      <c r="E241" s="464"/>
      <c r="F241" s="464"/>
      <c r="G241" s="464"/>
      <c r="H241" s="464"/>
      <c r="I241" s="464"/>
      <c r="J241" s="464"/>
      <c r="K241" s="464"/>
      <c r="L241" s="464"/>
      <c r="M241" s="464"/>
      <c r="N241" s="464"/>
      <c r="O241" s="464"/>
      <c r="P241" s="464"/>
      <c r="Q241" s="464"/>
      <c r="R241" s="464"/>
      <c r="S241" s="464"/>
      <c r="T241" s="464"/>
      <c r="U241" s="464"/>
      <c r="V241" s="464"/>
      <c r="W241" s="464"/>
      <c r="X241" s="464"/>
      <c r="Y241" s="464"/>
      <c r="Z241" s="464"/>
      <c r="AA241" s="464"/>
      <c r="AB241" s="464"/>
      <c r="AC241" s="464"/>
      <c r="AD241" s="464"/>
      <c r="AE241" s="464"/>
      <c r="AF241" s="464"/>
      <c r="AG241" s="464"/>
      <c r="AH241" s="464"/>
      <c r="AI241" s="464"/>
      <c r="AJ241" s="464"/>
    </row>
    <row r="242" spans="1:36" ht="15.75" customHeight="1">
      <c r="A242" s="463"/>
      <c r="B242" s="464"/>
      <c r="C242" s="464"/>
      <c r="D242" s="464"/>
      <c r="E242" s="464"/>
      <c r="F242" s="464"/>
      <c r="G242" s="464"/>
      <c r="H242" s="464"/>
      <c r="I242" s="464"/>
      <c r="J242" s="464"/>
      <c r="K242" s="464"/>
      <c r="L242" s="464"/>
      <c r="M242" s="464"/>
      <c r="N242" s="464"/>
      <c r="O242" s="464"/>
      <c r="P242" s="464"/>
      <c r="Q242" s="464"/>
      <c r="R242" s="464"/>
      <c r="S242" s="464"/>
      <c r="T242" s="464"/>
      <c r="U242" s="464"/>
      <c r="V242" s="464"/>
      <c r="W242" s="464"/>
      <c r="X242" s="464"/>
      <c r="Y242" s="464"/>
      <c r="Z242" s="464"/>
      <c r="AA242" s="464"/>
      <c r="AB242" s="464"/>
      <c r="AC242" s="464"/>
      <c r="AD242" s="464"/>
      <c r="AE242" s="464"/>
      <c r="AF242" s="464"/>
      <c r="AG242" s="464"/>
      <c r="AH242" s="464"/>
      <c r="AI242" s="464"/>
      <c r="AJ242" s="464"/>
    </row>
    <row r="243" spans="1:36" ht="15.75" customHeight="1">
      <c r="A243" s="463"/>
      <c r="B243" s="464"/>
      <c r="C243" s="464"/>
      <c r="D243" s="464"/>
      <c r="E243" s="464"/>
      <c r="F243" s="464"/>
      <c r="G243" s="464"/>
      <c r="H243" s="464"/>
      <c r="I243" s="464"/>
      <c r="J243" s="464"/>
      <c r="K243" s="464"/>
      <c r="L243" s="464"/>
      <c r="M243" s="464"/>
      <c r="N243" s="464"/>
      <c r="O243" s="464"/>
      <c r="P243" s="464"/>
      <c r="Q243" s="464"/>
      <c r="R243" s="464"/>
      <c r="S243" s="464"/>
      <c r="T243" s="464"/>
      <c r="U243" s="464"/>
      <c r="V243" s="464"/>
      <c r="W243" s="464"/>
      <c r="X243" s="464"/>
      <c r="Y243" s="464"/>
      <c r="Z243" s="464"/>
      <c r="AA243" s="464"/>
      <c r="AB243" s="464"/>
      <c r="AC243" s="464"/>
      <c r="AD243" s="464"/>
      <c r="AE243" s="464"/>
      <c r="AF243" s="464"/>
      <c r="AG243" s="464"/>
      <c r="AH243" s="464"/>
      <c r="AI243" s="464"/>
      <c r="AJ243" s="464"/>
    </row>
    <row r="244" spans="1:36" ht="15.75" customHeight="1">
      <c r="A244" s="463"/>
      <c r="B244" s="464"/>
      <c r="C244" s="464"/>
      <c r="D244" s="464"/>
      <c r="E244" s="464"/>
      <c r="F244" s="464"/>
      <c r="G244" s="464"/>
      <c r="H244" s="464"/>
      <c r="I244" s="464"/>
      <c r="J244" s="464"/>
      <c r="K244" s="464"/>
      <c r="L244" s="464"/>
      <c r="M244" s="464"/>
      <c r="N244" s="464"/>
      <c r="O244" s="464"/>
      <c r="P244" s="464"/>
      <c r="Q244" s="464"/>
      <c r="R244" s="464"/>
      <c r="S244" s="464"/>
      <c r="T244" s="464"/>
      <c r="U244" s="464"/>
      <c r="V244" s="464"/>
      <c r="W244" s="464"/>
      <c r="X244" s="464"/>
      <c r="Y244" s="464"/>
      <c r="Z244" s="464"/>
      <c r="AA244" s="464"/>
      <c r="AB244" s="464"/>
      <c r="AC244" s="464"/>
      <c r="AD244" s="464"/>
      <c r="AE244" s="464"/>
      <c r="AF244" s="464"/>
      <c r="AG244" s="464"/>
      <c r="AH244" s="464"/>
      <c r="AI244" s="464"/>
      <c r="AJ244" s="464"/>
    </row>
    <row r="245" spans="1:36" ht="15.75" customHeight="1">
      <c r="A245" s="463"/>
      <c r="B245" s="464"/>
      <c r="C245" s="464"/>
      <c r="D245" s="464"/>
      <c r="E245" s="464"/>
      <c r="F245" s="464"/>
      <c r="G245" s="464"/>
      <c r="H245" s="464"/>
      <c r="I245" s="464"/>
      <c r="J245" s="464"/>
      <c r="K245" s="464"/>
      <c r="L245" s="464"/>
      <c r="M245" s="464"/>
      <c r="N245" s="464"/>
      <c r="O245" s="464"/>
      <c r="P245" s="464"/>
      <c r="Q245" s="464"/>
      <c r="R245" s="464"/>
      <c r="S245" s="464"/>
      <c r="T245" s="464"/>
      <c r="U245" s="464"/>
      <c r="V245" s="464"/>
      <c r="W245" s="464"/>
      <c r="X245" s="464"/>
      <c r="Y245" s="464"/>
      <c r="Z245" s="464"/>
      <c r="AA245" s="464"/>
      <c r="AB245" s="464"/>
      <c r="AC245" s="464"/>
      <c r="AD245" s="464"/>
      <c r="AE245" s="464"/>
      <c r="AF245" s="464"/>
      <c r="AG245" s="464"/>
      <c r="AH245" s="464"/>
      <c r="AI245" s="464"/>
      <c r="AJ245" s="464"/>
    </row>
    <row r="246" spans="1:36" ht="15.75" customHeight="1">
      <c r="A246" s="463"/>
      <c r="B246" s="464"/>
      <c r="C246" s="464"/>
      <c r="D246" s="464"/>
      <c r="E246" s="464"/>
      <c r="F246" s="464"/>
      <c r="G246" s="464"/>
      <c r="H246" s="464"/>
      <c r="I246" s="464"/>
      <c r="J246" s="464"/>
      <c r="K246" s="464"/>
      <c r="L246" s="464"/>
      <c r="M246" s="464"/>
      <c r="N246" s="464"/>
      <c r="O246" s="464"/>
      <c r="P246" s="464"/>
      <c r="Q246" s="464"/>
      <c r="R246" s="464"/>
      <c r="S246" s="464"/>
      <c r="T246" s="464"/>
      <c r="U246" s="464"/>
      <c r="V246" s="464"/>
      <c r="W246" s="464"/>
      <c r="X246" s="464"/>
      <c r="Y246" s="464"/>
      <c r="Z246" s="464"/>
      <c r="AA246" s="464"/>
      <c r="AB246" s="464"/>
      <c r="AC246" s="464"/>
      <c r="AD246" s="464"/>
      <c r="AE246" s="464"/>
      <c r="AF246" s="464"/>
      <c r="AG246" s="464"/>
      <c r="AH246" s="464"/>
      <c r="AI246" s="464"/>
      <c r="AJ246" s="464"/>
    </row>
    <row r="247" spans="1:36" ht="15.75" customHeight="1">
      <c r="A247" s="463"/>
      <c r="B247" s="464"/>
      <c r="C247" s="464"/>
      <c r="D247" s="464"/>
      <c r="E247" s="464"/>
      <c r="F247" s="464"/>
      <c r="G247" s="464"/>
      <c r="H247" s="464"/>
      <c r="I247" s="464"/>
      <c r="J247" s="464"/>
      <c r="K247" s="464"/>
      <c r="L247" s="464"/>
      <c r="M247" s="464"/>
      <c r="N247" s="464"/>
      <c r="O247" s="464"/>
      <c r="P247" s="464"/>
      <c r="Q247" s="464"/>
      <c r="R247" s="464"/>
      <c r="S247" s="464"/>
      <c r="T247" s="464"/>
      <c r="U247" s="464"/>
      <c r="V247" s="464"/>
      <c r="W247" s="464"/>
      <c r="X247" s="464"/>
      <c r="Y247" s="464"/>
      <c r="Z247" s="464"/>
      <c r="AA247" s="464"/>
      <c r="AB247" s="464"/>
      <c r="AC247" s="464"/>
      <c r="AD247" s="464"/>
      <c r="AE247" s="464"/>
      <c r="AF247" s="464"/>
      <c r="AG247" s="464"/>
      <c r="AH247" s="464"/>
      <c r="AI247" s="464"/>
      <c r="AJ247" s="464"/>
    </row>
    <row r="248" spans="1:36" ht="15.75" customHeight="1">
      <c r="A248" s="463"/>
      <c r="B248" s="464"/>
      <c r="C248" s="464"/>
      <c r="D248" s="464"/>
      <c r="E248" s="464"/>
      <c r="F248" s="464"/>
      <c r="G248" s="464"/>
      <c r="H248" s="464"/>
      <c r="I248" s="464"/>
      <c r="J248" s="464"/>
      <c r="K248" s="464"/>
      <c r="L248" s="464"/>
      <c r="M248" s="464"/>
      <c r="N248" s="464"/>
      <c r="O248" s="464"/>
      <c r="P248" s="464"/>
      <c r="Q248" s="464"/>
      <c r="R248" s="464"/>
      <c r="S248" s="464"/>
      <c r="T248" s="464"/>
      <c r="U248" s="464"/>
      <c r="V248" s="464"/>
      <c r="W248" s="464"/>
      <c r="X248" s="464"/>
      <c r="Y248" s="464"/>
      <c r="Z248" s="464"/>
      <c r="AA248" s="464"/>
      <c r="AB248" s="464"/>
      <c r="AC248" s="464"/>
      <c r="AD248" s="464"/>
      <c r="AE248" s="464"/>
      <c r="AF248" s="464"/>
      <c r="AG248" s="464"/>
      <c r="AH248" s="464"/>
      <c r="AI248" s="464"/>
      <c r="AJ248" s="464"/>
    </row>
    <row r="249" spans="1:36" ht="15.75" customHeight="1"/>
    <row r="250" spans="1:36" ht="15.75" customHeight="1"/>
    <row r="251" spans="1:36" ht="15.75" customHeight="1"/>
    <row r="252" spans="1:36" ht="15.75" customHeight="1"/>
    <row r="253" spans="1:36" ht="15.75" customHeight="1"/>
    <row r="254" spans="1:36" ht="15.75" customHeight="1"/>
    <row r="255" spans="1:36" ht="15.75" customHeight="1"/>
    <row r="256" spans="1:3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I31:J31"/>
    <mergeCell ref="K31:L31"/>
    <mergeCell ref="M31:N31"/>
    <mergeCell ref="C21:E21"/>
    <mergeCell ref="F21:H21"/>
    <mergeCell ref="C31:D31"/>
    <mergeCell ref="E31:F31"/>
    <mergeCell ref="G31:H31"/>
  </mergeCells>
  <pageMargins left="0.70866141732283472" right="0.70866141732283472" top="0.78740157480314965" bottom="0.78740157480314965"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J1000"/>
  <sheetViews>
    <sheetView topLeftCell="A16" workbookViewId="0">
      <selection activeCell="F28" sqref="F28"/>
    </sheetView>
  </sheetViews>
  <sheetFormatPr baseColWidth="10" defaultColWidth="14.33203125" defaultRowHeight="15" customHeight="1"/>
  <cols>
    <col min="1" max="1" width="15.5546875" customWidth="1"/>
    <col min="2" max="2" width="27.6640625" customWidth="1"/>
    <col min="3" max="3" width="20.33203125" customWidth="1"/>
    <col min="4" max="17" width="15.33203125" customWidth="1"/>
    <col min="18" max="36" width="11.33203125" customWidth="1"/>
  </cols>
  <sheetData>
    <row r="1" spans="1:36" ht="15.75" customHeight="1">
      <c r="A1" s="461"/>
      <c r="B1" s="462"/>
      <c r="C1" s="462"/>
      <c r="D1" s="462"/>
      <c r="E1" s="462"/>
      <c r="F1" s="462"/>
      <c r="G1" s="462"/>
      <c r="H1" s="462"/>
      <c r="I1" s="462"/>
      <c r="J1" s="462"/>
      <c r="K1" s="462"/>
      <c r="L1" s="462"/>
      <c r="M1" s="462"/>
      <c r="N1" s="462"/>
      <c r="O1" s="462"/>
      <c r="P1" s="462"/>
      <c r="Q1" s="462"/>
      <c r="R1" s="462"/>
      <c r="S1" s="462"/>
      <c r="T1" s="462"/>
      <c r="U1" s="462"/>
      <c r="V1" s="462"/>
      <c r="W1" s="462"/>
      <c r="X1" s="462"/>
      <c r="Y1" s="462"/>
      <c r="Z1" s="462"/>
      <c r="AA1" s="462"/>
      <c r="AB1" s="462"/>
      <c r="AC1" s="462"/>
      <c r="AD1" s="462"/>
      <c r="AE1" s="462"/>
      <c r="AF1" s="462"/>
      <c r="AG1" s="462"/>
      <c r="AH1" s="462"/>
      <c r="AI1" s="462"/>
      <c r="AJ1" s="462"/>
    </row>
    <row r="2" spans="1:36" ht="15.75" customHeight="1">
      <c r="A2" s="463"/>
      <c r="B2" s="464"/>
      <c r="C2" s="464"/>
      <c r="D2" s="464"/>
      <c r="E2" s="464"/>
      <c r="F2" s="464"/>
      <c r="G2" s="464"/>
      <c r="H2" s="464"/>
      <c r="I2" s="464"/>
      <c r="J2" s="464"/>
      <c r="K2" s="464"/>
      <c r="L2" s="464"/>
      <c r="M2" s="464"/>
      <c r="N2" s="464"/>
      <c r="O2" s="464"/>
      <c r="P2" s="464"/>
      <c r="Q2" s="464"/>
      <c r="R2" s="464"/>
      <c r="S2" s="464"/>
      <c r="T2" s="464"/>
      <c r="U2" s="464"/>
      <c r="V2" s="464"/>
      <c r="W2" s="464"/>
      <c r="X2" s="464"/>
      <c r="Y2" s="464"/>
      <c r="Z2" s="464"/>
      <c r="AA2" s="464"/>
      <c r="AB2" s="464"/>
      <c r="AC2" s="464"/>
      <c r="AD2" s="464"/>
      <c r="AE2" s="464"/>
      <c r="AF2" s="464"/>
      <c r="AG2" s="464"/>
      <c r="AH2" s="464"/>
      <c r="AI2" s="464"/>
      <c r="AJ2" s="464"/>
    </row>
    <row r="3" spans="1:36" ht="15.75" customHeight="1">
      <c r="A3" s="465"/>
      <c r="B3" s="462" t="s">
        <v>3633</v>
      </c>
      <c r="C3" s="462" t="s">
        <v>3634</v>
      </c>
      <c r="D3" s="466">
        <v>250000</v>
      </c>
      <c r="E3" s="466">
        <v>500000</v>
      </c>
      <c r="F3" s="466">
        <v>1000000</v>
      </c>
      <c r="G3" s="466">
        <v>1500000</v>
      </c>
      <c r="H3" s="466">
        <v>2000000</v>
      </c>
      <c r="I3" s="466">
        <v>2500000</v>
      </c>
      <c r="J3" s="466">
        <v>3000000</v>
      </c>
      <c r="K3" s="466">
        <v>4000000</v>
      </c>
      <c r="L3" s="466">
        <v>5000000</v>
      </c>
      <c r="M3" s="466">
        <v>7500000</v>
      </c>
      <c r="N3" s="466">
        <v>10000000</v>
      </c>
      <c r="O3" s="466">
        <v>12500000</v>
      </c>
      <c r="P3" s="466">
        <v>15000000</v>
      </c>
      <c r="Q3" s="466">
        <v>20000000</v>
      </c>
      <c r="R3" s="466">
        <v>25000000</v>
      </c>
      <c r="S3" s="464"/>
      <c r="T3" s="464"/>
      <c r="U3" s="464"/>
      <c r="V3" s="464"/>
      <c r="W3" s="464"/>
      <c r="X3" s="464"/>
      <c r="Y3" s="464"/>
      <c r="Z3" s="464"/>
      <c r="AA3" s="464"/>
      <c r="AB3" s="464"/>
      <c r="AC3" s="464"/>
      <c r="AD3" s="464"/>
      <c r="AE3" s="464"/>
      <c r="AF3" s="464"/>
      <c r="AG3" s="464"/>
      <c r="AH3" s="464"/>
      <c r="AI3" s="464"/>
      <c r="AJ3" s="464"/>
    </row>
    <row r="4" spans="1:36" ht="15.75" customHeight="1">
      <c r="A4" s="465"/>
      <c r="B4" s="467" t="s">
        <v>3635</v>
      </c>
      <c r="C4" s="468">
        <v>0</v>
      </c>
      <c r="D4" s="583">
        <v>992.25</v>
      </c>
      <c r="E4" s="583">
        <v>1180.78</v>
      </c>
      <c r="F4" s="583">
        <v>1548.91</v>
      </c>
      <c r="G4" s="583">
        <v>2326.83</v>
      </c>
      <c r="H4" s="583">
        <v>3000.56</v>
      </c>
      <c r="I4" s="583">
        <v>3861.84</v>
      </c>
      <c r="J4" s="583">
        <v>4410.5600000000004</v>
      </c>
      <c r="K4" s="583">
        <v>5578.65</v>
      </c>
      <c r="L4" s="583">
        <v>6694.38</v>
      </c>
      <c r="M4" s="583">
        <v>9037.41</v>
      </c>
      <c r="N4" s="583">
        <v>12259.44</v>
      </c>
      <c r="O4" s="470"/>
      <c r="P4" s="470"/>
      <c r="Q4" s="470"/>
      <c r="R4" s="470"/>
      <c r="S4" s="464"/>
      <c r="T4" s="464"/>
      <c r="U4" s="464"/>
      <c r="V4" s="464"/>
      <c r="W4" s="464"/>
      <c r="X4" s="464"/>
      <c r="Y4" s="464"/>
      <c r="Z4" s="464"/>
      <c r="AA4" s="464"/>
      <c r="AB4" s="464"/>
      <c r="AC4" s="464"/>
      <c r="AD4" s="464"/>
      <c r="AE4" s="464"/>
      <c r="AF4" s="464"/>
      <c r="AG4" s="464"/>
      <c r="AH4" s="464"/>
      <c r="AI4" s="464"/>
      <c r="AJ4" s="464"/>
    </row>
    <row r="5" spans="1:36" ht="15.75" customHeight="1">
      <c r="A5" s="465"/>
      <c r="B5" s="467" t="s">
        <v>3636</v>
      </c>
      <c r="C5" s="468">
        <v>5000000</v>
      </c>
      <c r="D5" s="584"/>
      <c r="E5" s="583">
        <v>1180.78</v>
      </c>
      <c r="F5" s="583">
        <v>1548.91</v>
      </c>
      <c r="G5" s="583">
        <v>2326.83</v>
      </c>
      <c r="H5" s="583">
        <v>3000.56</v>
      </c>
      <c r="I5" s="583">
        <v>3861.84</v>
      </c>
      <c r="J5" s="583">
        <v>4410.5600000000004</v>
      </c>
      <c r="K5" s="583">
        <v>5578.65</v>
      </c>
      <c r="L5" s="583">
        <v>6694.38</v>
      </c>
      <c r="M5" s="583">
        <v>9037.41</v>
      </c>
      <c r="N5" s="583">
        <v>12259.44</v>
      </c>
      <c r="O5" s="470"/>
      <c r="P5" s="470"/>
      <c r="Q5" s="470"/>
      <c r="R5" s="470"/>
      <c r="S5" s="464"/>
      <c r="T5" s="464"/>
      <c r="U5" s="464"/>
      <c r="V5" s="464"/>
      <c r="W5" s="464"/>
      <c r="X5" s="464"/>
      <c r="Y5" s="464"/>
      <c r="Z5" s="464"/>
      <c r="AA5" s="464"/>
      <c r="AB5" s="464"/>
      <c r="AC5" s="464"/>
      <c r="AD5" s="464"/>
      <c r="AE5" s="464"/>
      <c r="AF5" s="464"/>
      <c r="AG5" s="464"/>
      <c r="AH5" s="464"/>
      <c r="AI5" s="464"/>
      <c r="AJ5" s="464"/>
    </row>
    <row r="6" spans="1:36" ht="15.75" customHeight="1">
      <c r="A6" s="465"/>
      <c r="B6" s="467" t="s">
        <v>3637</v>
      </c>
      <c r="C6" s="468">
        <v>50000000</v>
      </c>
      <c r="D6" s="584"/>
      <c r="E6" s="583">
        <v>1319.7</v>
      </c>
      <c r="F6" s="583">
        <v>1826.74</v>
      </c>
      <c r="G6" s="583">
        <v>2743.58</v>
      </c>
      <c r="H6" s="583">
        <v>3291.62</v>
      </c>
      <c r="I6" s="583">
        <v>4570.3100000000004</v>
      </c>
      <c r="J6" s="583">
        <v>5209.32</v>
      </c>
      <c r="K6" s="583">
        <v>6542.24</v>
      </c>
      <c r="L6" s="583">
        <v>7911.54</v>
      </c>
      <c r="M6" s="583">
        <v>10236.31</v>
      </c>
      <c r="N6" s="583">
        <v>14085.98</v>
      </c>
      <c r="O6" s="470"/>
      <c r="P6" s="470"/>
      <c r="Q6" s="470"/>
      <c r="R6" s="470"/>
      <c r="S6" s="464"/>
      <c r="T6" s="464"/>
      <c r="U6" s="464"/>
      <c r="V6" s="464"/>
      <c r="W6" s="464"/>
      <c r="X6" s="464"/>
      <c r="Y6" s="464"/>
      <c r="Z6" s="464"/>
      <c r="AA6" s="464"/>
      <c r="AB6" s="464"/>
      <c r="AC6" s="464"/>
      <c r="AD6" s="464"/>
      <c r="AE6" s="464"/>
      <c r="AF6" s="464"/>
      <c r="AG6" s="464"/>
      <c r="AH6" s="464"/>
      <c r="AI6" s="464"/>
      <c r="AJ6" s="464"/>
    </row>
    <row r="7" spans="1:36" ht="15.75" customHeight="1">
      <c r="A7" s="465"/>
      <c r="B7" s="467" t="s">
        <v>3638</v>
      </c>
      <c r="C7" s="468">
        <v>100000000</v>
      </c>
      <c r="D7" s="584"/>
      <c r="E7" s="585">
        <v>1646.14</v>
      </c>
      <c r="F7" s="583">
        <v>2569.94</v>
      </c>
      <c r="G7" s="583">
        <v>3834.05</v>
      </c>
      <c r="H7" s="583">
        <v>4389.71</v>
      </c>
      <c r="I7" s="583">
        <v>5257.93</v>
      </c>
      <c r="J7" s="583">
        <v>5487.15</v>
      </c>
      <c r="K7" s="583">
        <v>6973.31</v>
      </c>
      <c r="L7" s="583">
        <v>8801.59</v>
      </c>
      <c r="M7" s="583">
        <v>11719.73</v>
      </c>
      <c r="N7" s="583">
        <v>15092.13</v>
      </c>
      <c r="O7" s="470"/>
      <c r="P7" s="470"/>
      <c r="Q7" s="470"/>
      <c r="R7" s="470"/>
      <c r="S7" s="464"/>
      <c r="T7" s="464"/>
      <c r="U7" s="464"/>
      <c r="V7" s="464"/>
      <c r="W7" s="464"/>
      <c r="X7" s="464"/>
      <c r="Y7" s="464"/>
      <c r="Z7" s="464"/>
      <c r="AA7" s="464"/>
      <c r="AB7" s="464"/>
      <c r="AC7" s="464"/>
      <c r="AD7" s="464"/>
      <c r="AE7" s="464"/>
      <c r="AF7" s="464"/>
      <c r="AG7" s="464"/>
      <c r="AH7" s="464"/>
      <c r="AI7" s="464"/>
      <c r="AJ7" s="464"/>
    </row>
    <row r="8" spans="1:36" ht="15.75" customHeight="1">
      <c r="A8" s="465"/>
      <c r="B8" s="467" t="s">
        <v>3639</v>
      </c>
      <c r="C8" s="468">
        <v>150000000</v>
      </c>
      <c r="D8" s="470"/>
      <c r="E8" s="470"/>
      <c r="F8" s="470"/>
      <c r="G8" s="470"/>
      <c r="H8" s="470"/>
      <c r="I8" s="470"/>
      <c r="J8" s="470"/>
      <c r="K8" s="470"/>
      <c r="L8" s="470"/>
      <c r="M8" s="470"/>
      <c r="N8" s="471">
        <v>11400</v>
      </c>
      <c r="O8" s="471">
        <v>13750</v>
      </c>
      <c r="P8" s="471">
        <v>15750</v>
      </c>
      <c r="Q8" s="471">
        <v>20000</v>
      </c>
      <c r="R8" s="471">
        <v>24000</v>
      </c>
      <c r="S8" s="464"/>
      <c r="T8" s="464"/>
      <c r="U8" s="464"/>
      <c r="V8" s="464"/>
      <c r="W8" s="464"/>
      <c r="X8" s="464"/>
      <c r="Y8" s="464"/>
      <c r="Z8" s="464"/>
      <c r="AA8" s="464"/>
      <c r="AB8" s="464"/>
      <c r="AC8" s="464"/>
      <c r="AD8" s="464"/>
      <c r="AE8" s="464"/>
      <c r="AF8" s="464"/>
      <c r="AG8" s="464"/>
      <c r="AH8" s="464"/>
      <c r="AI8" s="464"/>
      <c r="AJ8" s="464"/>
    </row>
    <row r="9" spans="1:36" ht="15.75" customHeight="1">
      <c r="A9" s="465"/>
      <c r="B9" s="467" t="s">
        <v>3640</v>
      </c>
      <c r="C9" s="468">
        <v>300000000</v>
      </c>
      <c r="D9" s="470"/>
      <c r="E9" s="470"/>
      <c r="F9" s="470"/>
      <c r="G9" s="470"/>
      <c r="H9" s="470"/>
      <c r="I9" s="470"/>
      <c r="J9" s="470"/>
      <c r="K9" s="470"/>
      <c r="L9" s="470"/>
      <c r="M9" s="470"/>
      <c r="N9" s="471">
        <v>12540.000000000002</v>
      </c>
      <c r="O9" s="471">
        <v>15125.000000000002</v>
      </c>
      <c r="P9" s="471">
        <v>17325</v>
      </c>
      <c r="Q9" s="471">
        <v>22000</v>
      </c>
      <c r="R9" s="471">
        <v>25200</v>
      </c>
      <c r="S9" s="464"/>
      <c r="T9" s="464"/>
      <c r="U9" s="464"/>
      <c r="V9" s="464"/>
      <c r="W9" s="464"/>
      <c r="X9" s="464"/>
      <c r="Y9" s="464"/>
      <c r="Z9" s="464"/>
      <c r="AA9" s="464"/>
      <c r="AB9" s="464"/>
      <c r="AC9" s="464"/>
      <c r="AD9" s="464"/>
      <c r="AE9" s="464"/>
      <c r="AF9" s="464"/>
      <c r="AG9" s="464"/>
      <c r="AH9" s="464"/>
      <c r="AI9" s="464"/>
      <c r="AJ9" s="464"/>
    </row>
    <row r="10" spans="1:36" ht="15.75" customHeight="1">
      <c r="A10" s="465"/>
      <c r="B10" s="467" t="s">
        <v>3641</v>
      </c>
      <c r="C10" s="468">
        <v>450000000</v>
      </c>
      <c r="D10" s="470"/>
      <c r="E10" s="470"/>
      <c r="F10" s="470"/>
      <c r="G10" s="470"/>
      <c r="H10" s="470"/>
      <c r="I10" s="470"/>
      <c r="J10" s="470"/>
      <c r="K10" s="470"/>
      <c r="L10" s="470"/>
      <c r="M10" s="470"/>
      <c r="N10" s="471">
        <v>13790</v>
      </c>
      <c r="O10" s="471">
        <v>16150</v>
      </c>
      <c r="P10" s="471">
        <v>18900</v>
      </c>
      <c r="Q10" s="471">
        <v>24000</v>
      </c>
      <c r="R10" s="471">
        <v>26460</v>
      </c>
      <c r="S10" s="464"/>
      <c r="T10" s="464"/>
      <c r="U10" s="464"/>
      <c r="V10" s="464"/>
      <c r="W10" s="464"/>
      <c r="X10" s="464"/>
      <c r="Y10" s="464"/>
      <c r="Z10" s="464"/>
      <c r="AA10" s="464"/>
      <c r="AB10" s="464"/>
      <c r="AC10" s="464"/>
      <c r="AD10" s="464"/>
      <c r="AE10" s="464"/>
      <c r="AF10" s="464"/>
      <c r="AG10" s="464"/>
      <c r="AH10" s="464"/>
      <c r="AI10" s="464"/>
      <c r="AJ10" s="464"/>
    </row>
    <row r="11" spans="1:36" ht="15.75" customHeight="1">
      <c r="A11" s="465"/>
      <c r="B11" s="467" t="s">
        <v>3642</v>
      </c>
      <c r="C11" s="468">
        <v>600000000</v>
      </c>
      <c r="D11" s="470"/>
      <c r="E11" s="470"/>
      <c r="F11" s="470"/>
      <c r="G11" s="470"/>
      <c r="H11" s="470"/>
      <c r="I11" s="470"/>
      <c r="J11" s="470"/>
      <c r="K11" s="470"/>
      <c r="L11" s="470"/>
      <c r="M11" s="470"/>
      <c r="N11" s="471">
        <v>14900</v>
      </c>
      <c r="O11" s="471">
        <v>17300</v>
      </c>
      <c r="P11" s="471">
        <v>19900</v>
      </c>
      <c r="Q11" s="471">
        <v>25500</v>
      </c>
      <c r="R11" s="471">
        <v>27800</v>
      </c>
      <c r="S11" s="464"/>
      <c r="T11" s="464"/>
      <c r="U11" s="464"/>
      <c r="V11" s="464"/>
      <c r="W11" s="464"/>
      <c r="X11" s="464"/>
      <c r="Y11" s="464"/>
      <c r="Z11" s="464"/>
      <c r="AA11" s="464"/>
      <c r="AB11" s="464"/>
      <c r="AC11" s="464"/>
      <c r="AD11" s="464"/>
      <c r="AE11" s="464"/>
      <c r="AF11" s="464"/>
      <c r="AG11" s="464"/>
      <c r="AH11" s="464"/>
      <c r="AI11" s="464"/>
      <c r="AJ11" s="464"/>
    </row>
    <row r="12" spans="1:36" ht="15.75" customHeight="1">
      <c r="A12" s="465"/>
      <c r="B12" s="467" t="s">
        <v>3643</v>
      </c>
      <c r="C12" s="468">
        <v>750000000</v>
      </c>
      <c r="D12" s="470"/>
      <c r="E12" s="470"/>
      <c r="F12" s="470"/>
      <c r="G12" s="470"/>
      <c r="H12" s="470"/>
      <c r="I12" s="470"/>
      <c r="J12" s="470"/>
      <c r="K12" s="470"/>
      <c r="L12" s="470"/>
      <c r="M12" s="470"/>
      <c r="N12" s="471">
        <v>16200</v>
      </c>
      <c r="O12" s="471">
        <v>18900</v>
      </c>
      <c r="P12" s="471">
        <v>21000</v>
      </c>
      <c r="Q12" s="471">
        <v>27000</v>
      </c>
      <c r="R12" s="471">
        <v>29500</v>
      </c>
      <c r="S12" s="464"/>
      <c r="T12" s="464"/>
      <c r="U12" s="464"/>
      <c r="V12" s="464"/>
      <c r="W12" s="464"/>
      <c r="X12" s="464"/>
      <c r="Y12" s="464"/>
      <c r="Z12" s="464"/>
      <c r="AA12" s="464"/>
      <c r="AB12" s="464"/>
      <c r="AC12" s="464"/>
      <c r="AD12" s="464"/>
      <c r="AE12" s="464"/>
      <c r="AF12" s="464"/>
      <c r="AG12" s="464"/>
      <c r="AH12" s="464"/>
      <c r="AI12" s="464"/>
      <c r="AJ12" s="464"/>
    </row>
    <row r="13" spans="1:36" ht="15.75" customHeight="1">
      <c r="A13" s="465"/>
      <c r="B13" s="467" t="s">
        <v>3644</v>
      </c>
      <c r="C13" s="468">
        <v>1000000000</v>
      </c>
      <c r="D13" s="470"/>
      <c r="E13" s="470"/>
      <c r="F13" s="470"/>
      <c r="G13" s="470"/>
      <c r="H13" s="470"/>
      <c r="I13" s="470"/>
      <c r="J13" s="470"/>
      <c r="K13" s="470"/>
      <c r="L13" s="470"/>
      <c r="M13" s="470"/>
      <c r="N13" s="471">
        <v>17000</v>
      </c>
      <c r="O13" s="471">
        <v>20500</v>
      </c>
      <c r="P13" s="471">
        <v>22400</v>
      </c>
      <c r="Q13" s="471">
        <v>28500</v>
      </c>
      <c r="R13" s="471">
        <v>32000</v>
      </c>
      <c r="S13" s="464"/>
      <c r="T13" s="464"/>
      <c r="U13" s="464"/>
      <c r="V13" s="464"/>
      <c r="W13" s="464"/>
      <c r="X13" s="464"/>
      <c r="Y13" s="464"/>
      <c r="Z13" s="464"/>
      <c r="AA13" s="464"/>
      <c r="AB13" s="464"/>
      <c r="AC13" s="464"/>
      <c r="AD13" s="464"/>
      <c r="AE13" s="464"/>
      <c r="AF13" s="464"/>
      <c r="AG13" s="464"/>
      <c r="AH13" s="464"/>
      <c r="AI13" s="464"/>
      <c r="AJ13" s="464"/>
    </row>
    <row r="14" spans="1:36" ht="15.75" customHeight="1">
      <c r="A14" s="465"/>
      <c r="B14" s="467" t="s">
        <v>3645</v>
      </c>
      <c r="C14" s="468">
        <v>1250000000</v>
      </c>
      <c r="D14" s="470"/>
      <c r="E14" s="470"/>
      <c r="F14" s="470"/>
      <c r="G14" s="470"/>
      <c r="H14" s="470"/>
      <c r="I14" s="470"/>
      <c r="J14" s="470"/>
      <c r="K14" s="470"/>
      <c r="L14" s="470"/>
      <c r="M14" s="470"/>
      <c r="N14" s="471">
        <v>18000</v>
      </c>
      <c r="O14" s="471">
        <v>21500</v>
      </c>
      <c r="P14" s="471">
        <v>23400</v>
      </c>
      <c r="Q14" s="471">
        <v>30000</v>
      </c>
      <c r="R14" s="471">
        <v>34000</v>
      </c>
      <c r="S14" s="464"/>
      <c r="T14" s="464"/>
      <c r="U14" s="464"/>
      <c r="V14" s="464"/>
      <c r="W14" s="464"/>
      <c r="X14" s="464"/>
      <c r="Y14" s="464"/>
      <c r="Z14" s="464"/>
      <c r="AA14" s="464"/>
      <c r="AB14" s="464"/>
      <c r="AC14" s="464"/>
      <c r="AD14" s="464"/>
      <c r="AE14" s="464"/>
      <c r="AF14" s="464"/>
      <c r="AG14" s="464"/>
      <c r="AH14" s="464"/>
      <c r="AI14" s="464"/>
      <c r="AJ14" s="464"/>
    </row>
    <row r="15" spans="1:36" ht="15.75" customHeight="1">
      <c r="A15" s="465"/>
      <c r="B15" s="464"/>
      <c r="C15" s="464"/>
      <c r="D15" s="464"/>
      <c r="E15" s="464"/>
      <c r="F15" s="464"/>
      <c r="G15" s="464"/>
      <c r="H15" s="464"/>
      <c r="I15" s="464"/>
      <c r="J15" s="464"/>
      <c r="K15" s="464"/>
      <c r="L15" s="464"/>
      <c r="M15" s="464"/>
      <c r="N15" s="464"/>
      <c r="O15" s="464"/>
      <c r="P15" s="464"/>
      <c r="Q15" s="464"/>
      <c r="R15" s="464"/>
      <c r="S15" s="464"/>
      <c r="T15" s="464"/>
      <c r="U15" s="464"/>
      <c r="V15" s="464"/>
      <c r="W15" s="464"/>
      <c r="X15" s="464"/>
      <c r="Y15" s="464"/>
      <c r="Z15" s="464"/>
      <c r="AA15" s="464"/>
      <c r="AB15" s="464"/>
      <c r="AC15" s="464"/>
      <c r="AD15" s="464"/>
      <c r="AE15" s="464"/>
      <c r="AF15" s="464"/>
      <c r="AG15" s="464"/>
      <c r="AH15" s="464"/>
      <c r="AI15" s="464"/>
      <c r="AJ15" s="464"/>
    </row>
    <row r="16" spans="1:36" ht="15.75" customHeight="1">
      <c r="A16" s="465"/>
      <c r="B16" s="464"/>
      <c r="C16" s="464"/>
      <c r="D16" s="464"/>
      <c r="E16" s="464"/>
      <c r="F16" s="464"/>
      <c r="G16" s="464"/>
      <c r="H16" s="464"/>
      <c r="I16" s="464"/>
      <c r="J16" s="464"/>
      <c r="K16" s="464"/>
      <c r="L16" s="464"/>
      <c r="M16" s="464"/>
      <c r="N16" s="464"/>
      <c r="O16" s="464"/>
      <c r="P16" s="464"/>
      <c r="Q16" s="464"/>
      <c r="R16" s="464"/>
      <c r="S16" s="464"/>
      <c r="T16" s="464"/>
      <c r="U16" s="464"/>
      <c r="V16" s="464"/>
      <c r="W16" s="464"/>
      <c r="X16" s="464"/>
      <c r="Y16" s="464"/>
      <c r="Z16" s="464"/>
      <c r="AA16" s="464"/>
      <c r="AB16" s="464"/>
      <c r="AC16" s="464"/>
      <c r="AD16" s="464"/>
      <c r="AE16" s="464"/>
      <c r="AF16" s="464"/>
      <c r="AG16" s="464"/>
      <c r="AH16" s="464"/>
      <c r="AI16" s="464"/>
      <c r="AJ16" s="464"/>
    </row>
    <row r="17" spans="1:36" ht="15.75" customHeight="1">
      <c r="A17" s="465"/>
      <c r="B17" s="464"/>
      <c r="C17" s="464"/>
      <c r="D17" s="464"/>
      <c r="E17" s="464"/>
      <c r="F17" s="464"/>
      <c r="G17" s="464"/>
      <c r="H17" s="464"/>
      <c r="I17" s="464"/>
      <c r="J17" s="464"/>
      <c r="K17" s="464"/>
      <c r="L17" s="464"/>
      <c r="M17" s="464"/>
      <c r="N17" s="464"/>
      <c r="O17" s="464"/>
      <c r="P17" s="464"/>
      <c r="Q17" s="464"/>
      <c r="R17" s="464"/>
      <c r="S17" s="464"/>
      <c r="T17" s="464"/>
      <c r="U17" s="464"/>
      <c r="V17" s="464"/>
      <c r="W17" s="464"/>
      <c r="X17" s="464"/>
      <c r="Y17" s="464"/>
      <c r="Z17" s="464"/>
      <c r="AA17" s="464"/>
      <c r="AB17" s="464"/>
      <c r="AC17" s="464"/>
      <c r="AD17" s="464"/>
      <c r="AE17" s="464"/>
      <c r="AF17" s="464"/>
      <c r="AG17" s="464"/>
      <c r="AH17" s="464"/>
      <c r="AI17" s="464"/>
      <c r="AJ17" s="464"/>
    </row>
    <row r="18" spans="1:36" ht="15.75" customHeight="1">
      <c r="A18" s="465"/>
      <c r="B18" s="464"/>
      <c r="C18" s="464"/>
      <c r="D18" s="464"/>
      <c r="E18" s="464"/>
      <c r="F18" s="464"/>
      <c r="G18" s="464"/>
      <c r="H18" s="464"/>
      <c r="I18" s="464"/>
      <c r="J18" s="464"/>
      <c r="K18" s="464"/>
      <c r="L18" s="464"/>
      <c r="M18" s="464"/>
      <c r="N18" s="464"/>
      <c r="O18" s="464"/>
      <c r="P18" s="464"/>
      <c r="Q18" s="464"/>
      <c r="R18" s="464"/>
      <c r="S18" s="464"/>
      <c r="T18" s="464"/>
      <c r="U18" s="464"/>
      <c r="V18" s="464"/>
      <c r="W18" s="464"/>
      <c r="X18" s="464"/>
      <c r="Y18" s="464"/>
      <c r="Z18" s="464"/>
      <c r="AA18" s="464"/>
      <c r="AB18" s="464"/>
      <c r="AC18" s="464"/>
      <c r="AD18" s="464"/>
      <c r="AE18" s="464"/>
      <c r="AF18" s="464"/>
      <c r="AG18" s="464"/>
      <c r="AH18" s="464"/>
      <c r="AI18" s="464"/>
      <c r="AJ18" s="464"/>
    </row>
    <row r="19" spans="1:36" ht="15.75" customHeight="1">
      <c r="A19" s="465"/>
      <c r="B19" s="464"/>
      <c r="C19" s="464"/>
      <c r="D19" s="464"/>
      <c r="E19" s="464"/>
      <c r="F19" s="464"/>
      <c r="G19" s="464"/>
      <c r="H19" s="464"/>
      <c r="I19" s="464"/>
      <c r="J19" s="464"/>
      <c r="K19" s="464"/>
      <c r="L19" s="464"/>
      <c r="M19" s="464"/>
      <c r="N19" s="464"/>
      <c r="O19" s="464"/>
      <c r="P19" s="464"/>
      <c r="Q19" s="464"/>
      <c r="R19" s="464"/>
      <c r="S19" s="464"/>
      <c r="T19" s="464"/>
      <c r="U19" s="464"/>
      <c r="V19" s="464"/>
      <c r="W19" s="464"/>
      <c r="X19" s="464"/>
      <c r="Y19" s="464"/>
      <c r="Z19" s="464"/>
      <c r="AA19" s="464"/>
      <c r="AB19" s="464"/>
      <c r="AC19" s="464"/>
      <c r="AD19" s="464"/>
      <c r="AE19" s="464"/>
      <c r="AF19" s="464"/>
      <c r="AG19" s="464"/>
      <c r="AH19" s="464"/>
      <c r="AI19" s="464"/>
      <c r="AJ19" s="464"/>
    </row>
    <row r="20" spans="1:36" ht="15.75" customHeight="1" thickBot="1">
      <c r="A20" s="465"/>
      <c r="B20" s="464"/>
      <c r="C20" s="464"/>
      <c r="D20" s="464"/>
      <c r="E20" s="464"/>
      <c r="F20" s="464"/>
      <c r="G20" s="464"/>
      <c r="H20" s="464"/>
      <c r="I20" s="464"/>
      <c r="J20" s="464"/>
      <c r="K20" s="464"/>
      <c r="L20" s="464"/>
      <c r="M20" s="464"/>
      <c r="N20" s="464"/>
      <c r="O20" s="464"/>
      <c r="P20" s="464"/>
      <c r="Q20" s="464"/>
      <c r="R20" s="464"/>
      <c r="S20" s="464"/>
      <c r="T20" s="464"/>
      <c r="U20" s="464"/>
      <c r="V20" s="464"/>
      <c r="W20" s="464"/>
      <c r="X20" s="464"/>
      <c r="Y20" s="464"/>
      <c r="Z20" s="464"/>
      <c r="AA20" s="464"/>
      <c r="AB20" s="464"/>
      <c r="AC20" s="464"/>
      <c r="AD20" s="464"/>
      <c r="AE20" s="464"/>
      <c r="AF20" s="464"/>
      <c r="AG20" s="464"/>
      <c r="AH20" s="464"/>
      <c r="AI20" s="464"/>
      <c r="AJ20" s="464"/>
    </row>
    <row r="21" spans="1:36" ht="15.75" customHeight="1" thickBot="1">
      <c r="A21" s="465"/>
      <c r="C21" s="1083" t="s">
        <v>2398</v>
      </c>
      <c r="D21" s="1085"/>
      <c r="E21" s="1084"/>
      <c r="F21" s="1086" t="s">
        <v>3111</v>
      </c>
      <c r="G21" s="1085"/>
      <c r="H21" s="1084"/>
      <c r="J21" s="168" t="s">
        <v>3646</v>
      </c>
      <c r="K21" s="472">
        <v>250000</v>
      </c>
      <c r="L21" s="464"/>
      <c r="M21" s="464"/>
      <c r="O21" s="464"/>
      <c r="P21" s="464"/>
      <c r="Q21" s="464"/>
      <c r="R21" s="464"/>
      <c r="S21" s="464"/>
      <c r="T21" s="464"/>
      <c r="U21" s="464"/>
      <c r="V21" s="464"/>
      <c r="W21" s="464"/>
      <c r="X21" s="464"/>
      <c r="Y21" s="464"/>
      <c r="Z21" s="464"/>
      <c r="AA21" s="464"/>
      <c r="AB21" s="464"/>
      <c r="AC21" s="464"/>
      <c r="AD21" s="464"/>
      <c r="AE21" s="464"/>
      <c r="AF21" s="464"/>
      <c r="AG21" s="464"/>
      <c r="AH21" s="464"/>
      <c r="AI21" s="464"/>
      <c r="AJ21" s="464"/>
    </row>
    <row r="22" spans="1:36" ht="15.75" customHeight="1" thickBot="1">
      <c r="A22" s="465"/>
      <c r="C22" s="473" t="s">
        <v>3113</v>
      </c>
      <c r="D22" s="22" t="s">
        <v>3114</v>
      </c>
      <c r="E22" s="22" t="s">
        <v>3115</v>
      </c>
      <c r="F22" s="473" t="s">
        <v>3113</v>
      </c>
      <c r="G22" s="22" t="s">
        <v>3114</v>
      </c>
      <c r="H22" s="474" t="s">
        <v>3115</v>
      </c>
      <c r="I22" s="475"/>
      <c r="J22" s="168" t="s">
        <v>3647</v>
      </c>
      <c r="K22" s="472">
        <v>25000000</v>
      </c>
      <c r="L22" s="464"/>
      <c r="M22" s="464"/>
      <c r="O22" s="464"/>
      <c r="P22" s="464"/>
      <c r="Q22" s="464"/>
      <c r="R22" s="464"/>
      <c r="S22" s="464"/>
      <c r="T22" s="464"/>
      <c r="U22" s="464"/>
      <c r="V22" s="464"/>
      <c r="W22" s="464"/>
      <c r="X22" s="464"/>
      <c r="Y22" s="464"/>
      <c r="Z22" s="464"/>
      <c r="AA22" s="464"/>
      <c r="AB22" s="464"/>
      <c r="AC22" s="464"/>
      <c r="AD22" s="464"/>
      <c r="AE22" s="464"/>
      <c r="AF22" s="464"/>
      <c r="AG22" s="464"/>
      <c r="AH22" s="464"/>
      <c r="AI22" s="464"/>
      <c r="AJ22" s="464"/>
    </row>
    <row r="23" spans="1:36" ht="15.75" customHeight="1">
      <c r="A23" s="465"/>
      <c r="B23" s="476" t="s">
        <v>3117</v>
      </c>
      <c r="C23" s="477">
        <f>IF(Deckungssumme1GI&gt;K22,K22,Deckungssumme1GI)</f>
        <v>0</v>
      </c>
      <c r="D23" s="478">
        <f>IF(Deckungssumme2GI&gt;K22,K22,Deckungssumme2GI)</f>
        <v>0</v>
      </c>
      <c r="E23" s="478">
        <f>IF(Deckungssumme3GI&gt;K22,K22,Deckungssumme3GI)</f>
        <v>0</v>
      </c>
      <c r="F23" s="477">
        <f>IF(Deckungssumme1&gt;K22,K22,Deckungssumme1)</f>
        <v>0</v>
      </c>
      <c r="G23" s="478">
        <f>IF(Deckungssumme2&gt;K22,K22,Deckungssumme2)</f>
        <v>0</v>
      </c>
      <c r="H23" s="479">
        <f>IF(Deckungssumme3&gt;K22,K22,Deckungssumme3)</f>
        <v>0</v>
      </c>
      <c r="J23" s="168" t="s">
        <v>3648</v>
      </c>
      <c r="K23" s="472">
        <v>1500000000</v>
      </c>
      <c r="L23" s="464"/>
      <c r="M23" s="464"/>
      <c r="O23" s="464"/>
      <c r="P23" s="464"/>
      <c r="Q23" s="464"/>
      <c r="R23" s="464"/>
      <c r="S23" s="464"/>
      <c r="T23" s="464"/>
      <c r="U23" s="464"/>
      <c r="V23" s="464"/>
      <c r="W23" s="464"/>
      <c r="X23" s="464"/>
      <c r="Y23" s="464"/>
      <c r="Z23" s="464"/>
      <c r="AA23" s="464"/>
      <c r="AB23" s="464"/>
      <c r="AC23" s="464"/>
      <c r="AD23" s="464"/>
      <c r="AE23" s="464"/>
      <c r="AF23" s="464"/>
      <c r="AG23" s="464"/>
      <c r="AH23" s="464"/>
      <c r="AI23" s="464"/>
      <c r="AJ23" s="464"/>
    </row>
    <row r="24" spans="1:36" ht="15.75" customHeight="1">
      <c r="A24" s="465"/>
      <c r="B24" s="480" t="s">
        <v>3119</v>
      </c>
      <c r="C24" s="477" t="str">
        <f>IF(Deckungssumme1GI=0,"",D48)</f>
        <v/>
      </c>
      <c r="D24" s="478" t="str">
        <f>IF(Deckungssumme2GI=0,"",F48)</f>
        <v/>
      </c>
      <c r="E24" s="478" t="str">
        <f>IF(Deckungssumme3GI=0,"",H48)</f>
        <v/>
      </c>
      <c r="F24" s="477" t="str">
        <f>IF(Deckungssumme1=0,"",J48)</f>
        <v/>
      </c>
      <c r="G24" s="478" t="str">
        <f>IF(Deckungssumme2=0,"",L48)</f>
        <v/>
      </c>
      <c r="H24" s="479" t="str">
        <f>IF(Deckungssumme3=0,"",N48)</f>
        <v/>
      </c>
      <c r="J24" s="464"/>
      <c r="K24" s="464"/>
      <c r="L24" s="464"/>
      <c r="M24" s="464"/>
      <c r="O24" s="464"/>
      <c r="P24" s="464"/>
      <c r="Q24" s="464"/>
      <c r="R24" s="464"/>
      <c r="S24" s="464"/>
      <c r="T24" s="464"/>
      <c r="U24" s="464"/>
      <c r="V24" s="464"/>
      <c r="W24" s="464"/>
      <c r="X24" s="464"/>
      <c r="Y24" s="464"/>
      <c r="Z24" s="464"/>
      <c r="AA24" s="464"/>
      <c r="AB24" s="464"/>
      <c r="AC24" s="464"/>
      <c r="AD24" s="464"/>
      <c r="AE24" s="464"/>
      <c r="AF24" s="464"/>
      <c r="AG24" s="464"/>
      <c r="AH24" s="464"/>
      <c r="AI24" s="464"/>
      <c r="AJ24" s="464"/>
    </row>
    <row r="25" spans="1:36" ht="15.75" customHeight="1">
      <c r="A25" s="465"/>
      <c r="B25" s="480" t="s">
        <v>3649</v>
      </c>
      <c r="C25" s="477">
        <f>IF(MAX(AußenumsatzGI,VereinsvermögenGI)&gt;K23,"Umsatz zu groß!",MAX(AußenumsatzGI,VereinsvermögenGI))</f>
        <v>0</v>
      </c>
      <c r="D25" s="478">
        <f>IF(MAX(AußenumsatzGI,VereinsvermögenGI)&gt;K23,"Umsatz zu groß!",MAX(AußenumsatzGI,VereinsvermögenGI))</f>
        <v>0</v>
      </c>
      <c r="E25" s="478">
        <f>IF(MAX(AußenumsatzGI,VereinsvermögenGI)&gt;K23,"Umsatz zu groß!",MAX(AußenumsatzGI,VereinsvermögenGI))</f>
        <v>0</v>
      </c>
      <c r="F25" s="477">
        <f>IF(MAX(Außenumsatz,Vereinsvermögen)&gt;K23,"Umsatz zu groß!",MAX(Außenumsatz,Vereinsvermögen))</f>
        <v>0</v>
      </c>
      <c r="G25" s="478">
        <f>IF(MAX(Außenumsatz,Vereinsvermögen)&gt;K23,"Umsatz zu groß!",MAX(Außenumsatz,Vereinsvermögen))</f>
        <v>0</v>
      </c>
      <c r="H25" s="479">
        <f>IF(MAX(Außenumsatz,Vereinsvermögen)&gt;K23,"Umsatz zu groß!",MAX(Außenumsatz,Vereinsvermögen))</f>
        <v>0</v>
      </c>
      <c r="J25" s="464"/>
      <c r="K25" s="464"/>
      <c r="L25" s="464"/>
      <c r="M25" s="464"/>
      <c r="O25" s="464"/>
      <c r="P25" s="464"/>
      <c r="Q25" s="464"/>
      <c r="R25" s="464"/>
      <c r="S25" s="464"/>
      <c r="T25" s="464"/>
      <c r="U25" s="464"/>
      <c r="V25" s="464"/>
      <c r="W25" s="464"/>
      <c r="X25" s="464"/>
      <c r="Y25" s="464"/>
      <c r="Z25" s="464"/>
      <c r="AA25" s="464"/>
      <c r="AB25" s="464"/>
      <c r="AC25" s="464"/>
      <c r="AD25" s="464"/>
      <c r="AE25" s="464"/>
      <c r="AF25" s="464"/>
      <c r="AG25" s="464"/>
      <c r="AH25" s="464"/>
      <c r="AI25" s="464"/>
      <c r="AJ25" s="464"/>
    </row>
    <row r="26" spans="1:36" ht="15.75" customHeight="1">
      <c r="A26" s="465"/>
      <c r="B26" s="480" t="s">
        <v>3650</v>
      </c>
      <c r="C26" s="477" t="e">
        <f t="shared" ref="C26:H26" si="0">MATCH(C24,$D$3:$R$3,1)</f>
        <v>#N/A</v>
      </c>
      <c r="D26" s="478" t="e">
        <f t="shared" si="0"/>
        <v>#N/A</v>
      </c>
      <c r="E26" s="478" t="e">
        <f t="shared" si="0"/>
        <v>#N/A</v>
      </c>
      <c r="F26" s="477" t="e">
        <f t="shared" si="0"/>
        <v>#N/A</v>
      </c>
      <c r="G26" s="478" t="e">
        <f t="shared" si="0"/>
        <v>#N/A</v>
      </c>
      <c r="H26" s="479" t="e">
        <f t="shared" si="0"/>
        <v>#N/A</v>
      </c>
      <c r="J26" s="464"/>
      <c r="K26" s="464"/>
      <c r="L26" s="464"/>
      <c r="M26" s="464"/>
      <c r="O26" s="464"/>
      <c r="P26" s="464"/>
      <c r="Q26" s="464"/>
      <c r="R26" s="464"/>
      <c r="S26" s="464"/>
      <c r="T26" s="464"/>
      <c r="U26" s="464"/>
      <c r="V26" s="464"/>
      <c r="W26" s="464"/>
      <c r="X26" s="464"/>
      <c r="Y26" s="464"/>
      <c r="Z26" s="464"/>
      <c r="AA26" s="464"/>
      <c r="AB26" s="464"/>
      <c r="AC26" s="464"/>
      <c r="AD26" s="464"/>
      <c r="AE26" s="464"/>
      <c r="AF26" s="464"/>
      <c r="AG26" s="464"/>
      <c r="AH26" s="464"/>
      <c r="AI26" s="464"/>
      <c r="AJ26" s="464"/>
    </row>
    <row r="27" spans="1:36" ht="15.75" customHeight="1">
      <c r="A27" s="465"/>
      <c r="B27" s="480" t="s">
        <v>3651</v>
      </c>
      <c r="C27" s="477">
        <f t="shared" ref="C27:H27" si="1">MATCH(C25,$C$4:$C$14,1)</f>
        <v>1</v>
      </c>
      <c r="D27" s="478">
        <f t="shared" si="1"/>
        <v>1</v>
      </c>
      <c r="E27" s="478">
        <f t="shared" si="1"/>
        <v>1</v>
      </c>
      <c r="F27" s="477">
        <f t="shared" si="1"/>
        <v>1</v>
      </c>
      <c r="G27" s="478">
        <f t="shared" si="1"/>
        <v>1</v>
      </c>
      <c r="H27" s="479">
        <f t="shared" si="1"/>
        <v>1</v>
      </c>
      <c r="J27" s="464"/>
      <c r="K27" s="464"/>
      <c r="L27" s="464"/>
      <c r="M27" s="464"/>
      <c r="O27" s="464"/>
      <c r="P27" s="464"/>
      <c r="Q27" s="464"/>
      <c r="R27" s="464"/>
      <c r="S27" s="464"/>
      <c r="T27" s="464"/>
      <c r="U27" s="464"/>
      <c r="V27" s="464"/>
      <c r="W27" s="464"/>
      <c r="X27" s="464"/>
      <c r="Y27" s="464"/>
      <c r="Z27" s="464"/>
      <c r="AA27" s="464"/>
      <c r="AB27" s="464"/>
      <c r="AC27" s="464"/>
      <c r="AD27" s="464"/>
      <c r="AE27" s="464"/>
      <c r="AF27" s="464"/>
      <c r="AG27" s="464"/>
      <c r="AH27" s="464"/>
      <c r="AI27" s="464"/>
      <c r="AJ27" s="464"/>
    </row>
    <row r="28" spans="1:36" ht="15.75" customHeight="1" thickBot="1">
      <c r="A28" s="465"/>
      <c r="B28" s="481" t="s">
        <v>3118</v>
      </c>
      <c r="C28" s="482" t="str">
        <f t="shared" ref="C28:H28" si="2">IFERROR(INDEX($D$4:$R$14,C27,C26),"")</f>
        <v/>
      </c>
      <c r="D28" s="483" t="str">
        <f t="shared" si="2"/>
        <v/>
      </c>
      <c r="E28" s="483" t="str">
        <f t="shared" si="2"/>
        <v/>
      </c>
      <c r="F28" s="483" t="str">
        <f t="shared" si="2"/>
        <v/>
      </c>
      <c r="G28" s="483" t="str">
        <f t="shared" si="2"/>
        <v/>
      </c>
      <c r="H28" s="484" t="str">
        <f t="shared" si="2"/>
        <v/>
      </c>
      <c r="J28" s="464"/>
      <c r="K28" s="464"/>
      <c r="L28" s="464"/>
      <c r="M28" s="464"/>
      <c r="O28" s="464"/>
      <c r="P28" s="464"/>
      <c r="Q28" s="464"/>
      <c r="R28" s="464"/>
      <c r="S28" s="464"/>
      <c r="T28" s="464"/>
      <c r="U28" s="464"/>
      <c r="V28" s="464"/>
      <c r="W28" s="464"/>
      <c r="X28" s="464"/>
      <c r="Y28" s="464"/>
      <c r="Z28" s="464"/>
      <c r="AA28" s="464"/>
      <c r="AB28" s="464"/>
      <c r="AC28" s="464"/>
      <c r="AD28" s="464"/>
      <c r="AE28" s="464"/>
      <c r="AF28" s="464"/>
      <c r="AG28" s="464"/>
      <c r="AH28" s="464"/>
      <c r="AI28" s="464"/>
      <c r="AJ28" s="464"/>
    </row>
    <row r="29" spans="1:36" ht="15.75" customHeight="1">
      <c r="A29" s="465"/>
      <c r="O29" s="464"/>
      <c r="P29" s="464"/>
      <c r="Q29" s="464"/>
      <c r="R29" s="464"/>
      <c r="S29" s="464"/>
      <c r="T29" s="464"/>
      <c r="U29" s="464"/>
      <c r="V29" s="464"/>
      <c r="W29" s="464"/>
      <c r="X29" s="464"/>
      <c r="Y29" s="464"/>
      <c r="Z29" s="464"/>
      <c r="AA29" s="464"/>
      <c r="AB29" s="464"/>
      <c r="AC29" s="464"/>
      <c r="AD29" s="464"/>
      <c r="AE29" s="464"/>
      <c r="AF29" s="464"/>
      <c r="AG29" s="464"/>
      <c r="AH29" s="464"/>
      <c r="AI29" s="464"/>
      <c r="AJ29" s="464"/>
    </row>
    <row r="30" spans="1:36" ht="15.75" customHeight="1" thickBot="1">
      <c r="A30" s="465"/>
      <c r="O30" s="464"/>
      <c r="P30" s="464"/>
      <c r="Q30" s="464"/>
      <c r="R30" s="464"/>
      <c r="S30" s="464"/>
      <c r="T30" s="464"/>
      <c r="U30" s="464"/>
      <c r="V30" s="464"/>
      <c r="W30" s="464"/>
      <c r="X30" s="464"/>
      <c r="Y30" s="464"/>
      <c r="Z30" s="464"/>
      <c r="AA30" s="464"/>
      <c r="AB30" s="464"/>
      <c r="AC30" s="464"/>
      <c r="AD30" s="464"/>
      <c r="AE30" s="464"/>
      <c r="AF30" s="464"/>
      <c r="AG30" s="464"/>
      <c r="AH30" s="464"/>
      <c r="AI30" s="464"/>
      <c r="AJ30" s="464"/>
    </row>
    <row r="31" spans="1:36" ht="15.75" customHeight="1" thickBot="1">
      <c r="A31" s="465"/>
      <c r="B31" s="485" t="s">
        <v>3652</v>
      </c>
      <c r="C31" s="1083" t="s">
        <v>3113</v>
      </c>
      <c r="D31" s="1084"/>
      <c r="E31" s="1083" t="s">
        <v>3114</v>
      </c>
      <c r="F31" s="1087"/>
      <c r="G31" s="1088" t="s">
        <v>3115</v>
      </c>
      <c r="H31" s="1084"/>
      <c r="I31" s="1083" t="s">
        <v>3113</v>
      </c>
      <c r="J31" s="1084"/>
      <c r="K31" s="1083" t="s">
        <v>3114</v>
      </c>
      <c r="L31" s="1084"/>
      <c r="M31" s="1083" t="s">
        <v>3115</v>
      </c>
      <c r="N31" s="1084"/>
      <c r="O31" s="464"/>
      <c r="P31" s="464"/>
      <c r="Q31" s="464"/>
      <c r="R31" s="464"/>
      <c r="S31" s="464"/>
      <c r="T31" s="464"/>
      <c r="U31" s="464"/>
      <c r="V31" s="464"/>
      <c r="W31" s="464"/>
      <c r="X31" s="464"/>
      <c r="Y31" s="464"/>
      <c r="Z31" s="464"/>
      <c r="AA31" s="464"/>
      <c r="AB31" s="464"/>
      <c r="AC31" s="464"/>
      <c r="AD31" s="464"/>
      <c r="AE31" s="464"/>
      <c r="AF31" s="464"/>
      <c r="AG31" s="464"/>
      <c r="AH31" s="464"/>
      <c r="AI31" s="464"/>
      <c r="AJ31" s="464"/>
    </row>
    <row r="32" spans="1:36" ht="15.75" customHeight="1">
      <c r="A32" s="465"/>
      <c r="B32" s="486">
        <v>250000</v>
      </c>
      <c r="C32" s="487">
        <f t="shared" ref="C32:C46" si="3">$C$23</f>
        <v>0</v>
      </c>
      <c r="D32" s="488">
        <f t="shared" ref="D32:D46" si="4">IF(C32&lt;=B32,B32,"")</f>
        <v>250000</v>
      </c>
      <c r="E32" s="487">
        <f t="shared" ref="E32:E46" si="5">$D$23</f>
        <v>0</v>
      </c>
      <c r="F32" s="488">
        <f t="shared" ref="F32:F46" si="6">IF(E32&lt;=B32,B32,"")</f>
        <v>250000</v>
      </c>
      <c r="G32" s="487">
        <f t="shared" ref="G32:G46" si="7">$E$23</f>
        <v>0</v>
      </c>
      <c r="H32" s="488">
        <f t="shared" ref="H32:H46" si="8">IF(G32&lt;=B32,B32,"")</f>
        <v>250000</v>
      </c>
      <c r="I32" s="487">
        <f t="shared" ref="I32:I46" si="9">$F$23</f>
        <v>0</v>
      </c>
      <c r="J32" s="488">
        <f t="shared" ref="J32:J46" si="10">IF(I32&lt;=B32,B32,"")</f>
        <v>250000</v>
      </c>
      <c r="K32" s="487">
        <f t="shared" ref="K32:K46" si="11">$G$23</f>
        <v>0</v>
      </c>
      <c r="L32" s="488">
        <f t="shared" ref="L32:L46" si="12">IF(K32&lt;=B32,B32,"")</f>
        <v>250000</v>
      </c>
      <c r="M32" s="487">
        <f t="shared" ref="M32:M46" si="13">$H$23</f>
        <v>0</v>
      </c>
      <c r="N32" s="488">
        <f t="shared" ref="N32:N46" si="14">IF(M32&lt;=B32,B32,"")</f>
        <v>250000</v>
      </c>
      <c r="O32" s="464"/>
      <c r="P32" s="464"/>
      <c r="Q32" s="464"/>
      <c r="R32" s="464"/>
      <c r="S32" s="464"/>
      <c r="T32" s="464"/>
      <c r="U32" s="464"/>
      <c r="V32" s="464"/>
      <c r="W32" s="464"/>
      <c r="X32" s="464"/>
      <c r="Y32" s="464"/>
      <c r="Z32" s="464"/>
      <c r="AA32" s="464"/>
      <c r="AB32" s="464"/>
      <c r="AC32" s="464"/>
      <c r="AD32" s="464"/>
      <c r="AE32" s="464"/>
      <c r="AF32" s="464"/>
      <c r="AG32" s="464"/>
      <c r="AH32" s="464"/>
      <c r="AI32" s="464"/>
      <c r="AJ32" s="464"/>
    </row>
    <row r="33" spans="1:36" ht="15.75" customHeight="1">
      <c r="A33" s="465"/>
      <c r="B33" s="486">
        <v>500000</v>
      </c>
      <c r="C33" s="487">
        <f t="shared" si="3"/>
        <v>0</v>
      </c>
      <c r="D33" s="488">
        <f t="shared" si="4"/>
        <v>500000</v>
      </c>
      <c r="E33" s="487">
        <f t="shared" si="5"/>
        <v>0</v>
      </c>
      <c r="F33" s="488">
        <f t="shared" si="6"/>
        <v>500000</v>
      </c>
      <c r="G33" s="487">
        <f t="shared" si="7"/>
        <v>0</v>
      </c>
      <c r="H33" s="488">
        <f t="shared" si="8"/>
        <v>500000</v>
      </c>
      <c r="I33" s="487">
        <f t="shared" si="9"/>
        <v>0</v>
      </c>
      <c r="J33" s="488">
        <f t="shared" si="10"/>
        <v>500000</v>
      </c>
      <c r="K33" s="487">
        <f t="shared" si="11"/>
        <v>0</v>
      </c>
      <c r="L33" s="488">
        <f t="shared" si="12"/>
        <v>500000</v>
      </c>
      <c r="M33" s="487">
        <f t="shared" si="13"/>
        <v>0</v>
      </c>
      <c r="N33" s="488">
        <f t="shared" si="14"/>
        <v>500000</v>
      </c>
      <c r="O33" s="464"/>
      <c r="P33" s="464"/>
      <c r="Q33" s="464"/>
      <c r="R33" s="464"/>
      <c r="S33" s="464"/>
      <c r="T33" s="464"/>
      <c r="U33" s="464"/>
      <c r="V33" s="464"/>
      <c r="W33" s="464"/>
      <c r="X33" s="464"/>
      <c r="Y33" s="464"/>
      <c r="Z33" s="464"/>
      <c r="AA33" s="464"/>
      <c r="AB33" s="464"/>
      <c r="AC33" s="464"/>
      <c r="AD33" s="464"/>
      <c r="AE33" s="464"/>
      <c r="AF33" s="464"/>
      <c r="AG33" s="464"/>
      <c r="AH33" s="464"/>
      <c r="AI33" s="464"/>
      <c r="AJ33" s="464"/>
    </row>
    <row r="34" spans="1:36" ht="15.75" customHeight="1">
      <c r="A34" s="465"/>
      <c r="B34" s="486">
        <v>1000000</v>
      </c>
      <c r="C34" s="487">
        <f t="shared" si="3"/>
        <v>0</v>
      </c>
      <c r="D34" s="488">
        <f t="shared" si="4"/>
        <v>1000000</v>
      </c>
      <c r="E34" s="487">
        <f t="shared" si="5"/>
        <v>0</v>
      </c>
      <c r="F34" s="488">
        <f t="shared" si="6"/>
        <v>1000000</v>
      </c>
      <c r="G34" s="487">
        <f t="shared" si="7"/>
        <v>0</v>
      </c>
      <c r="H34" s="488">
        <f t="shared" si="8"/>
        <v>1000000</v>
      </c>
      <c r="I34" s="487">
        <f t="shared" si="9"/>
        <v>0</v>
      </c>
      <c r="J34" s="488">
        <f t="shared" si="10"/>
        <v>1000000</v>
      </c>
      <c r="K34" s="487">
        <f t="shared" si="11"/>
        <v>0</v>
      </c>
      <c r="L34" s="488">
        <f t="shared" si="12"/>
        <v>1000000</v>
      </c>
      <c r="M34" s="487">
        <f t="shared" si="13"/>
        <v>0</v>
      </c>
      <c r="N34" s="488">
        <f t="shared" si="14"/>
        <v>1000000</v>
      </c>
      <c r="O34" s="464"/>
      <c r="P34" s="464"/>
      <c r="Q34" s="464"/>
      <c r="R34" s="464"/>
      <c r="S34" s="464"/>
      <c r="T34" s="464"/>
      <c r="U34" s="464"/>
      <c r="V34" s="464"/>
      <c r="W34" s="464"/>
      <c r="X34" s="464"/>
      <c r="Y34" s="464"/>
      <c r="Z34" s="464"/>
      <c r="AA34" s="464"/>
      <c r="AB34" s="464"/>
      <c r="AC34" s="464"/>
      <c r="AD34" s="464"/>
      <c r="AE34" s="464"/>
      <c r="AF34" s="464"/>
      <c r="AG34" s="464"/>
      <c r="AH34" s="464"/>
      <c r="AI34" s="464"/>
      <c r="AJ34" s="464"/>
    </row>
    <row r="35" spans="1:36" ht="15.75" customHeight="1">
      <c r="A35" s="465"/>
      <c r="B35" s="486">
        <v>1500000</v>
      </c>
      <c r="C35" s="487">
        <f t="shared" si="3"/>
        <v>0</v>
      </c>
      <c r="D35" s="488">
        <f t="shared" si="4"/>
        <v>1500000</v>
      </c>
      <c r="E35" s="487">
        <f t="shared" si="5"/>
        <v>0</v>
      </c>
      <c r="F35" s="488">
        <f t="shared" si="6"/>
        <v>1500000</v>
      </c>
      <c r="G35" s="487">
        <f t="shared" si="7"/>
        <v>0</v>
      </c>
      <c r="H35" s="488">
        <f t="shared" si="8"/>
        <v>1500000</v>
      </c>
      <c r="I35" s="487">
        <f t="shared" si="9"/>
        <v>0</v>
      </c>
      <c r="J35" s="488">
        <f t="shared" si="10"/>
        <v>1500000</v>
      </c>
      <c r="K35" s="487">
        <f t="shared" si="11"/>
        <v>0</v>
      </c>
      <c r="L35" s="488">
        <f t="shared" si="12"/>
        <v>1500000</v>
      </c>
      <c r="M35" s="487">
        <f t="shared" si="13"/>
        <v>0</v>
      </c>
      <c r="N35" s="488">
        <f t="shared" si="14"/>
        <v>1500000</v>
      </c>
      <c r="O35" s="464"/>
      <c r="P35" s="464"/>
      <c r="Q35" s="464"/>
      <c r="R35" s="464"/>
      <c r="S35" s="464"/>
      <c r="T35" s="464"/>
      <c r="U35" s="464"/>
      <c r="V35" s="464"/>
      <c r="W35" s="464"/>
      <c r="X35" s="464"/>
      <c r="Y35" s="464"/>
      <c r="Z35" s="464"/>
      <c r="AA35" s="464"/>
      <c r="AB35" s="464"/>
      <c r="AC35" s="464"/>
      <c r="AD35" s="464"/>
      <c r="AE35" s="464"/>
      <c r="AF35" s="464"/>
      <c r="AG35" s="464"/>
      <c r="AH35" s="464"/>
      <c r="AI35" s="464"/>
      <c r="AJ35" s="464"/>
    </row>
    <row r="36" spans="1:36" ht="15.75" customHeight="1">
      <c r="A36" s="465"/>
      <c r="B36" s="486">
        <v>2000000</v>
      </c>
      <c r="C36" s="487">
        <f t="shared" si="3"/>
        <v>0</v>
      </c>
      <c r="D36" s="488">
        <f t="shared" si="4"/>
        <v>2000000</v>
      </c>
      <c r="E36" s="487">
        <f t="shared" si="5"/>
        <v>0</v>
      </c>
      <c r="F36" s="488">
        <f t="shared" si="6"/>
        <v>2000000</v>
      </c>
      <c r="G36" s="487">
        <f t="shared" si="7"/>
        <v>0</v>
      </c>
      <c r="H36" s="488">
        <f t="shared" si="8"/>
        <v>2000000</v>
      </c>
      <c r="I36" s="487">
        <f t="shared" si="9"/>
        <v>0</v>
      </c>
      <c r="J36" s="488">
        <f t="shared" si="10"/>
        <v>2000000</v>
      </c>
      <c r="K36" s="487">
        <f t="shared" si="11"/>
        <v>0</v>
      </c>
      <c r="L36" s="488">
        <f t="shared" si="12"/>
        <v>2000000</v>
      </c>
      <c r="M36" s="487">
        <f t="shared" si="13"/>
        <v>0</v>
      </c>
      <c r="N36" s="488">
        <f t="shared" si="14"/>
        <v>2000000</v>
      </c>
      <c r="O36" s="464"/>
      <c r="P36" s="464"/>
      <c r="Q36" s="464"/>
      <c r="R36" s="464"/>
      <c r="S36" s="464"/>
      <c r="T36" s="464"/>
      <c r="U36" s="464"/>
      <c r="V36" s="464"/>
      <c r="W36" s="464"/>
      <c r="X36" s="464"/>
      <c r="Y36" s="464"/>
      <c r="Z36" s="464"/>
      <c r="AA36" s="464"/>
      <c r="AB36" s="464"/>
      <c r="AC36" s="464"/>
      <c r="AD36" s="464"/>
      <c r="AE36" s="464"/>
      <c r="AF36" s="464"/>
      <c r="AG36" s="464"/>
      <c r="AH36" s="464"/>
      <c r="AI36" s="464"/>
      <c r="AJ36" s="464"/>
    </row>
    <row r="37" spans="1:36" ht="15.75" customHeight="1">
      <c r="A37" s="465"/>
      <c r="B37" s="486">
        <v>2500000</v>
      </c>
      <c r="C37" s="487">
        <f t="shared" si="3"/>
        <v>0</v>
      </c>
      <c r="D37" s="488">
        <f t="shared" si="4"/>
        <v>2500000</v>
      </c>
      <c r="E37" s="487">
        <f t="shared" si="5"/>
        <v>0</v>
      </c>
      <c r="F37" s="488">
        <f t="shared" si="6"/>
        <v>2500000</v>
      </c>
      <c r="G37" s="487">
        <f t="shared" si="7"/>
        <v>0</v>
      </c>
      <c r="H37" s="488">
        <f t="shared" si="8"/>
        <v>2500000</v>
      </c>
      <c r="I37" s="487">
        <f t="shared" si="9"/>
        <v>0</v>
      </c>
      <c r="J37" s="488">
        <f t="shared" si="10"/>
        <v>2500000</v>
      </c>
      <c r="K37" s="487">
        <f t="shared" si="11"/>
        <v>0</v>
      </c>
      <c r="L37" s="488">
        <f t="shared" si="12"/>
        <v>2500000</v>
      </c>
      <c r="M37" s="487">
        <f t="shared" si="13"/>
        <v>0</v>
      </c>
      <c r="N37" s="488">
        <f t="shared" si="14"/>
        <v>2500000</v>
      </c>
      <c r="O37" s="464"/>
      <c r="P37" s="464"/>
      <c r="Q37" s="464"/>
      <c r="R37" s="464"/>
      <c r="S37" s="464"/>
      <c r="T37" s="464"/>
      <c r="U37" s="464"/>
      <c r="V37" s="464"/>
      <c r="W37" s="464"/>
      <c r="X37" s="464"/>
      <c r="Y37" s="464"/>
      <c r="Z37" s="464"/>
      <c r="AA37" s="464"/>
      <c r="AB37" s="464"/>
      <c r="AC37" s="464"/>
      <c r="AD37" s="464"/>
      <c r="AE37" s="464"/>
      <c r="AF37" s="464"/>
      <c r="AG37" s="464"/>
      <c r="AH37" s="464"/>
      <c r="AI37" s="464"/>
      <c r="AJ37" s="464"/>
    </row>
    <row r="38" spans="1:36" ht="15.75" customHeight="1">
      <c r="A38" s="465"/>
      <c r="B38" s="486">
        <v>3000000</v>
      </c>
      <c r="C38" s="487">
        <f t="shared" si="3"/>
        <v>0</v>
      </c>
      <c r="D38" s="488">
        <f t="shared" si="4"/>
        <v>3000000</v>
      </c>
      <c r="E38" s="487">
        <f t="shared" si="5"/>
        <v>0</v>
      </c>
      <c r="F38" s="488">
        <f t="shared" si="6"/>
        <v>3000000</v>
      </c>
      <c r="G38" s="487">
        <f t="shared" si="7"/>
        <v>0</v>
      </c>
      <c r="H38" s="488">
        <f t="shared" si="8"/>
        <v>3000000</v>
      </c>
      <c r="I38" s="487">
        <f t="shared" si="9"/>
        <v>0</v>
      </c>
      <c r="J38" s="488">
        <f t="shared" si="10"/>
        <v>3000000</v>
      </c>
      <c r="K38" s="487">
        <f t="shared" si="11"/>
        <v>0</v>
      </c>
      <c r="L38" s="488">
        <f t="shared" si="12"/>
        <v>3000000</v>
      </c>
      <c r="M38" s="487">
        <f t="shared" si="13"/>
        <v>0</v>
      </c>
      <c r="N38" s="488">
        <f t="shared" si="14"/>
        <v>3000000</v>
      </c>
      <c r="O38" s="464"/>
      <c r="P38" s="464"/>
      <c r="Q38" s="464"/>
      <c r="R38" s="464"/>
      <c r="S38" s="464"/>
      <c r="T38" s="464"/>
      <c r="U38" s="464"/>
      <c r="V38" s="464"/>
      <c r="W38" s="464"/>
      <c r="X38" s="464"/>
      <c r="Y38" s="464"/>
      <c r="Z38" s="464"/>
      <c r="AA38" s="464"/>
      <c r="AB38" s="464"/>
      <c r="AC38" s="464"/>
      <c r="AD38" s="464"/>
      <c r="AE38" s="464"/>
      <c r="AF38" s="464"/>
      <c r="AG38" s="464"/>
      <c r="AH38" s="464"/>
      <c r="AI38" s="464"/>
      <c r="AJ38" s="464"/>
    </row>
    <row r="39" spans="1:36" ht="15.75" customHeight="1">
      <c r="A39" s="465"/>
      <c r="B39" s="486">
        <v>4000000</v>
      </c>
      <c r="C39" s="487">
        <f t="shared" si="3"/>
        <v>0</v>
      </c>
      <c r="D39" s="488">
        <f t="shared" si="4"/>
        <v>4000000</v>
      </c>
      <c r="E39" s="487">
        <f t="shared" si="5"/>
        <v>0</v>
      </c>
      <c r="F39" s="488">
        <f t="shared" si="6"/>
        <v>4000000</v>
      </c>
      <c r="G39" s="487">
        <f t="shared" si="7"/>
        <v>0</v>
      </c>
      <c r="H39" s="488">
        <f t="shared" si="8"/>
        <v>4000000</v>
      </c>
      <c r="I39" s="487">
        <f t="shared" si="9"/>
        <v>0</v>
      </c>
      <c r="J39" s="488">
        <f t="shared" si="10"/>
        <v>4000000</v>
      </c>
      <c r="K39" s="487">
        <f t="shared" si="11"/>
        <v>0</v>
      </c>
      <c r="L39" s="488">
        <f t="shared" si="12"/>
        <v>4000000</v>
      </c>
      <c r="M39" s="487">
        <f t="shared" si="13"/>
        <v>0</v>
      </c>
      <c r="N39" s="488">
        <f t="shared" si="14"/>
        <v>4000000</v>
      </c>
      <c r="O39" s="464"/>
      <c r="P39" s="464"/>
      <c r="Q39" s="464"/>
      <c r="R39" s="464"/>
      <c r="S39" s="464"/>
      <c r="T39" s="464"/>
      <c r="U39" s="464"/>
      <c r="V39" s="464"/>
      <c r="W39" s="464"/>
      <c r="X39" s="464"/>
      <c r="Y39" s="464"/>
      <c r="Z39" s="464"/>
      <c r="AA39" s="464"/>
      <c r="AB39" s="464"/>
      <c r="AC39" s="464"/>
      <c r="AD39" s="464"/>
      <c r="AE39" s="464"/>
      <c r="AF39" s="464"/>
      <c r="AG39" s="464"/>
      <c r="AH39" s="464"/>
      <c r="AI39" s="464"/>
      <c r="AJ39" s="464"/>
    </row>
    <row r="40" spans="1:36" ht="15.75" customHeight="1">
      <c r="A40" s="465"/>
      <c r="B40" s="486">
        <v>5000000</v>
      </c>
      <c r="C40" s="487">
        <f t="shared" si="3"/>
        <v>0</v>
      </c>
      <c r="D40" s="488">
        <f t="shared" si="4"/>
        <v>5000000</v>
      </c>
      <c r="E40" s="487">
        <f t="shared" si="5"/>
        <v>0</v>
      </c>
      <c r="F40" s="488">
        <f t="shared" si="6"/>
        <v>5000000</v>
      </c>
      <c r="G40" s="487">
        <f t="shared" si="7"/>
        <v>0</v>
      </c>
      <c r="H40" s="488">
        <f t="shared" si="8"/>
        <v>5000000</v>
      </c>
      <c r="I40" s="487">
        <f t="shared" si="9"/>
        <v>0</v>
      </c>
      <c r="J40" s="488">
        <f t="shared" si="10"/>
        <v>5000000</v>
      </c>
      <c r="K40" s="487">
        <f t="shared" si="11"/>
        <v>0</v>
      </c>
      <c r="L40" s="488">
        <f t="shared" si="12"/>
        <v>5000000</v>
      </c>
      <c r="M40" s="487">
        <f t="shared" si="13"/>
        <v>0</v>
      </c>
      <c r="N40" s="488">
        <f t="shared" si="14"/>
        <v>5000000</v>
      </c>
      <c r="O40" s="464"/>
      <c r="P40" s="464"/>
      <c r="Q40" s="464"/>
      <c r="R40" s="464"/>
      <c r="S40" s="464"/>
      <c r="T40" s="464"/>
      <c r="U40" s="464"/>
      <c r="V40" s="464"/>
      <c r="W40" s="464"/>
      <c r="X40" s="464"/>
      <c r="Y40" s="464"/>
      <c r="Z40" s="464"/>
      <c r="AA40" s="464"/>
      <c r="AB40" s="464"/>
      <c r="AC40" s="464"/>
      <c r="AD40" s="464"/>
      <c r="AE40" s="464"/>
      <c r="AF40" s="464"/>
      <c r="AG40" s="464"/>
      <c r="AH40" s="464"/>
      <c r="AI40" s="464"/>
      <c r="AJ40" s="464"/>
    </row>
    <row r="41" spans="1:36" ht="15.75" customHeight="1">
      <c r="A41" s="465"/>
      <c r="B41" s="486">
        <v>7500000</v>
      </c>
      <c r="C41" s="487">
        <f t="shared" si="3"/>
        <v>0</v>
      </c>
      <c r="D41" s="488">
        <f t="shared" si="4"/>
        <v>7500000</v>
      </c>
      <c r="E41" s="487">
        <f t="shared" si="5"/>
        <v>0</v>
      </c>
      <c r="F41" s="488">
        <f t="shared" si="6"/>
        <v>7500000</v>
      </c>
      <c r="G41" s="487">
        <f t="shared" si="7"/>
        <v>0</v>
      </c>
      <c r="H41" s="488">
        <f t="shared" si="8"/>
        <v>7500000</v>
      </c>
      <c r="I41" s="487">
        <f t="shared" si="9"/>
        <v>0</v>
      </c>
      <c r="J41" s="488">
        <f t="shared" si="10"/>
        <v>7500000</v>
      </c>
      <c r="K41" s="487">
        <f t="shared" si="11"/>
        <v>0</v>
      </c>
      <c r="L41" s="488">
        <f t="shared" si="12"/>
        <v>7500000</v>
      </c>
      <c r="M41" s="487">
        <f t="shared" si="13"/>
        <v>0</v>
      </c>
      <c r="N41" s="488">
        <f t="shared" si="14"/>
        <v>7500000</v>
      </c>
      <c r="O41" s="464"/>
      <c r="P41" s="464"/>
      <c r="Q41" s="464"/>
      <c r="R41" s="464"/>
      <c r="S41" s="464"/>
      <c r="T41" s="464"/>
      <c r="U41" s="464"/>
      <c r="V41" s="464"/>
      <c r="W41" s="464"/>
      <c r="X41" s="464"/>
      <c r="Y41" s="464"/>
      <c r="Z41" s="464"/>
      <c r="AA41" s="464"/>
      <c r="AB41" s="464"/>
      <c r="AC41" s="464"/>
      <c r="AD41" s="464"/>
      <c r="AE41" s="464"/>
      <c r="AF41" s="464"/>
      <c r="AG41" s="464"/>
      <c r="AH41" s="464"/>
      <c r="AI41" s="464"/>
      <c r="AJ41" s="464"/>
    </row>
    <row r="42" spans="1:36" ht="15.75" customHeight="1">
      <c r="A42" s="465"/>
      <c r="B42" s="486">
        <v>10000000</v>
      </c>
      <c r="C42" s="487">
        <f t="shared" si="3"/>
        <v>0</v>
      </c>
      <c r="D42" s="488">
        <f t="shared" si="4"/>
        <v>10000000</v>
      </c>
      <c r="E42" s="487">
        <f t="shared" si="5"/>
        <v>0</v>
      </c>
      <c r="F42" s="488">
        <f t="shared" si="6"/>
        <v>10000000</v>
      </c>
      <c r="G42" s="487">
        <f t="shared" si="7"/>
        <v>0</v>
      </c>
      <c r="H42" s="488">
        <f t="shared" si="8"/>
        <v>10000000</v>
      </c>
      <c r="I42" s="487">
        <f t="shared" si="9"/>
        <v>0</v>
      </c>
      <c r="J42" s="488">
        <f t="shared" si="10"/>
        <v>10000000</v>
      </c>
      <c r="K42" s="487">
        <f t="shared" si="11"/>
        <v>0</v>
      </c>
      <c r="L42" s="488">
        <f t="shared" si="12"/>
        <v>10000000</v>
      </c>
      <c r="M42" s="487">
        <f t="shared" si="13"/>
        <v>0</v>
      </c>
      <c r="N42" s="488">
        <f t="shared" si="14"/>
        <v>10000000</v>
      </c>
      <c r="O42" s="464"/>
      <c r="P42" s="464"/>
      <c r="Q42" s="464"/>
      <c r="R42" s="464"/>
      <c r="S42" s="464"/>
      <c r="T42" s="464"/>
      <c r="U42" s="464"/>
      <c r="V42" s="464"/>
      <c r="W42" s="464"/>
      <c r="X42" s="464"/>
      <c r="Y42" s="464"/>
      <c r="Z42" s="464"/>
      <c r="AA42" s="464"/>
      <c r="AB42" s="464"/>
      <c r="AC42" s="464"/>
      <c r="AD42" s="464"/>
      <c r="AE42" s="464"/>
      <c r="AF42" s="464"/>
      <c r="AG42" s="464"/>
      <c r="AH42" s="464"/>
      <c r="AI42" s="464"/>
      <c r="AJ42" s="464"/>
    </row>
    <row r="43" spans="1:36" ht="15.75" customHeight="1">
      <c r="A43" s="465"/>
      <c r="B43" s="486">
        <v>12500000</v>
      </c>
      <c r="C43" s="487">
        <f t="shared" si="3"/>
        <v>0</v>
      </c>
      <c r="D43" s="488">
        <f t="shared" si="4"/>
        <v>12500000</v>
      </c>
      <c r="E43" s="487">
        <f t="shared" si="5"/>
        <v>0</v>
      </c>
      <c r="F43" s="488">
        <f t="shared" si="6"/>
        <v>12500000</v>
      </c>
      <c r="G43" s="487">
        <f t="shared" si="7"/>
        <v>0</v>
      </c>
      <c r="H43" s="488">
        <f t="shared" si="8"/>
        <v>12500000</v>
      </c>
      <c r="I43" s="487">
        <f t="shared" si="9"/>
        <v>0</v>
      </c>
      <c r="J43" s="488">
        <f t="shared" si="10"/>
        <v>12500000</v>
      </c>
      <c r="K43" s="487">
        <f t="shared" si="11"/>
        <v>0</v>
      </c>
      <c r="L43" s="488">
        <f t="shared" si="12"/>
        <v>12500000</v>
      </c>
      <c r="M43" s="487">
        <f t="shared" si="13"/>
        <v>0</v>
      </c>
      <c r="N43" s="488">
        <f t="shared" si="14"/>
        <v>12500000</v>
      </c>
      <c r="O43" s="464"/>
      <c r="P43" s="464"/>
      <c r="Q43" s="464"/>
      <c r="R43" s="464"/>
      <c r="S43" s="464"/>
      <c r="T43" s="464"/>
      <c r="U43" s="464"/>
      <c r="V43" s="464"/>
      <c r="W43" s="464"/>
      <c r="X43" s="464"/>
      <c r="Y43" s="464"/>
      <c r="Z43" s="464"/>
      <c r="AA43" s="464"/>
      <c r="AB43" s="464"/>
      <c r="AC43" s="464"/>
      <c r="AD43" s="464"/>
      <c r="AE43" s="464"/>
      <c r="AF43" s="464"/>
      <c r="AG43" s="464"/>
      <c r="AH43" s="464"/>
      <c r="AI43" s="464"/>
      <c r="AJ43" s="464"/>
    </row>
    <row r="44" spans="1:36" ht="15.75" customHeight="1">
      <c r="A44" s="465"/>
      <c r="B44" s="486">
        <v>15000000</v>
      </c>
      <c r="C44" s="487">
        <f t="shared" si="3"/>
        <v>0</v>
      </c>
      <c r="D44" s="488">
        <f t="shared" si="4"/>
        <v>15000000</v>
      </c>
      <c r="E44" s="487">
        <f t="shared" si="5"/>
        <v>0</v>
      </c>
      <c r="F44" s="488">
        <f t="shared" si="6"/>
        <v>15000000</v>
      </c>
      <c r="G44" s="487">
        <f t="shared" si="7"/>
        <v>0</v>
      </c>
      <c r="H44" s="488">
        <f t="shared" si="8"/>
        <v>15000000</v>
      </c>
      <c r="I44" s="487">
        <f t="shared" si="9"/>
        <v>0</v>
      </c>
      <c r="J44" s="488">
        <f t="shared" si="10"/>
        <v>15000000</v>
      </c>
      <c r="K44" s="487">
        <f t="shared" si="11"/>
        <v>0</v>
      </c>
      <c r="L44" s="488">
        <f t="shared" si="12"/>
        <v>15000000</v>
      </c>
      <c r="M44" s="487">
        <f t="shared" si="13"/>
        <v>0</v>
      </c>
      <c r="N44" s="488">
        <f t="shared" si="14"/>
        <v>15000000</v>
      </c>
      <c r="O44" s="464"/>
      <c r="P44" s="464"/>
      <c r="Q44" s="464"/>
      <c r="R44" s="464"/>
      <c r="S44" s="464"/>
      <c r="T44" s="464"/>
      <c r="U44" s="464"/>
      <c r="V44" s="464"/>
      <c r="W44" s="464"/>
      <c r="X44" s="464"/>
      <c r="Y44" s="464"/>
      <c r="Z44" s="464"/>
      <c r="AA44" s="464"/>
      <c r="AB44" s="464"/>
      <c r="AC44" s="464"/>
      <c r="AD44" s="464"/>
      <c r="AE44" s="464"/>
      <c r="AF44" s="464"/>
      <c r="AG44" s="464"/>
      <c r="AH44" s="464"/>
      <c r="AI44" s="464"/>
      <c r="AJ44" s="464"/>
    </row>
    <row r="45" spans="1:36" ht="15.75" customHeight="1">
      <c r="A45" s="465"/>
      <c r="B45" s="486">
        <v>20000000</v>
      </c>
      <c r="C45" s="487">
        <f t="shared" si="3"/>
        <v>0</v>
      </c>
      <c r="D45" s="488">
        <f t="shared" si="4"/>
        <v>20000000</v>
      </c>
      <c r="E45" s="487">
        <f t="shared" si="5"/>
        <v>0</v>
      </c>
      <c r="F45" s="488">
        <f t="shared" si="6"/>
        <v>20000000</v>
      </c>
      <c r="G45" s="487">
        <f t="shared" si="7"/>
        <v>0</v>
      </c>
      <c r="H45" s="488">
        <f t="shared" si="8"/>
        <v>20000000</v>
      </c>
      <c r="I45" s="487">
        <f t="shared" si="9"/>
        <v>0</v>
      </c>
      <c r="J45" s="488">
        <f t="shared" si="10"/>
        <v>20000000</v>
      </c>
      <c r="K45" s="487">
        <f t="shared" si="11"/>
        <v>0</v>
      </c>
      <c r="L45" s="488">
        <f t="shared" si="12"/>
        <v>20000000</v>
      </c>
      <c r="M45" s="487">
        <f t="shared" si="13"/>
        <v>0</v>
      </c>
      <c r="N45" s="488">
        <f t="shared" si="14"/>
        <v>20000000</v>
      </c>
      <c r="O45" s="464"/>
      <c r="P45" s="464"/>
      <c r="Q45" s="464"/>
      <c r="R45" s="464"/>
      <c r="S45" s="464"/>
      <c r="T45" s="464"/>
      <c r="U45" s="464"/>
      <c r="V45" s="464"/>
      <c r="W45" s="464"/>
      <c r="X45" s="464"/>
      <c r="Y45" s="464"/>
      <c r="Z45" s="464"/>
      <c r="AA45" s="464"/>
      <c r="AB45" s="464"/>
      <c r="AC45" s="464"/>
      <c r="AD45" s="464"/>
      <c r="AE45" s="464"/>
      <c r="AF45" s="464"/>
      <c r="AG45" s="464"/>
      <c r="AH45" s="464"/>
      <c r="AI45" s="464"/>
      <c r="AJ45" s="464"/>
    </row>
    <row r="46" spans="1:36" ht="15.75" customHeight="1" thickBot="1">
      <c r="A46" s="465"/>
      <c r="B46" s="489">
        <v>25000000</v>
      </c>
      <c r="C46" s="487">
        <f t="shared" si="3"/>
        <v>0</v>
      </c>
      <c r="D46" s="488">
        <f t="shared" si="4"/>
        <v>25000000</v>
      </c>
      <c r="E46" s="487">
        <f t="shared" si="5"/>
        <v>0</v>
      </c>
      <c r="F46" s="488">
        <f t="shared" si="6"/>
        <v>25000000</v>
      </c>
      <c r="G46" s="487">
        <f t="shared" si="7"/>
        <v>0</v>
      </c>
      <c r="H46" s="488">
        <f t="shared" si="8"/>
        <v>25000000</v>
      </c>
      <c r="I46" s="487">
        <f t="shared" si="9"/>
        <v>0</v>
      </c>
      <c r="J46" s="488">
        <f t="shared" si="10"/>
        <v>25000000</v>
      </c>
      <c r="K46" s="487">
        <f t="shared" si="11"/>
        <v>0</v>
      </c>
      <c r="L46" s="488">
        <f t="shared" si="12"/>
        <v>25000000</v>
      </c>
      <c r="M46" s="487">
        <f t="shared" si="13"/>
        <v>0</v>
      </c>
      <c r="N46" s="488">
        <f t="shared" si="14"/>
        <v>25000000</v>
      </c>
      <c r="O46" s="464"/>
      <c r="P46" s="464"/>
      <c r="Q46" s="464"/>
      <c r="R46" s="464"/>
      <c r="S46" s="464"/>
      <c r="T46" s="464"/>
      <c r="U46" s="464"/>
      <c r="V46" s="464"/>
      <c r="W46" s="464"/>
      <c r="X46" s="464"/>
      <c r="Y46" s="464"/>
      <c r="Z46" s="464"/>
      <c r="AA46" s="464"/>
      <c r="AB46" s="464"/>
      <c r="AC46" s="464"/>
      <c r="AD46" s="464"/>
      <c r="AE46" s="464"/>
      <c r="AF46" s="464"/>
      <c r="AG46" s="464"/>
      <c r="AH46" s="464"/>
      <c r="AI46" s="464"/>
      <c r="AJ46" s="464"/>
    </row>
    <row r="47" spans="1:36" ht="15.75" customHeight="1" thickTop="1">
      <c r="A47" s="465"/>
      <c r="C47" s="487"/>
      <c r="D47" s="488"/>
      <c r="E47" s="487"/>
      <c r="F47" s="488"/>
      <c r="G47" s="487"/>
      <c r="H47" s="488"/>
      <c r="I47" s="487"/>
      <c r="J47" s="488"/>
      <c r="K47" s="487"/>
      <c r="L47" s="488"/>
      <c r="M47" s="487"/>
      <c r="N47" s="488"/>
      <c r="O47" s="464"/>
      <c r="P47" s="464"/>
      <c r="Q47" s="464"/>
      <c r="R47" s="464"/>
      <c r="S47" s="464"/>
      <c r="T47" s="464"/>
      <c r="U47" s="464"/>
      <c r="V47" s="464"/>
      <c r="W47" s="464"/>
      <c r="X47" s="464"/>
      <c r="Y47" s="464"/>
      <c r="Z47" s="464"/>
      <c r="AA47" s="464"/>
      <c r="AB47" s="464"/>
      <c r="AC47" s="464"/>
      <c r="AD47" s="464"/>
      <c r="AE47" s="464"/>
      <c r="AF47" s="464"/>
      <c r="AG47" s="464"/>
      <c r="AH47" s="464"/>
      <c r="AI47" s="464"/>
      <c r="AJ47" s="464"/>
    </row>
    <row r="48" spans="1:36" ht="15.75" customHeight="1" thickBot="1">
      <c r="A48" s="465"/>
      <c r="C48" s="490"/>
      <c r="D48" s="491">
        <f>MIN(D32:D46)</f>
        <v>250000</v>
      </c>
      <c r="E48" s="490"/>
      <c r="F48" s="491">
        <f>MIN(F32:F46)</f>
        <v>250000</v>
      </c>
      <c r="G48" s="490"/>
      <c r="H48" s="491">
        <f>MIN(H32:H46)</f>
        <v>250000</v>
      </c>
      <c r="I48" s="490"/>
      <c r="J48" s="491">
        <f>MIN(J32:J46)</f>
        <v>250000</v>
      </c>
      <c r="K48" s="490"/>
      <c r="L48" s="491">
        <f>MIN(L32:L46)</f>
        <v>250000</v>
      </c>
      <c r="M48" s="490"/>
      <c r="N48" s="491">
        <f>MIN(N32:N46)</f>
        <v>250000</v>
      </c>
      <c r="O48" s="464"/>
      <c r="P48" s="464"/>
      <c r="Q48" s="464"/>
      <c r="R48" s="464"/>
      <c r="S48" s="464"/>
      <c r="T48" s="464"/>
      <c r="U48" s="464"/>
      <c r="V48" s="464"/>
      <c r="W48" s="464"/>
      <c r="X48" s="464"/>
      <c r="Y48" s="464"/>
      <c r="Z48" s="464"/>
      <c r="AA48" s="464"/>
      <c r="AB48" s="464"/>
      <c r="AC48" s="464"/>
      <c r="AD48" s="464"/>
      <c r="AE48" s="464"/>
      <c r="AF48" s="464"/>
      <c r="AG48" s="464"/>
      <c r="AH48" s="464"/>
      <c r="AI48" s="464"/>
      <c r="AJ48" s="464"/>
    </row>
    <row r="49" spans="1:36" ht="15.75" customHeight="1">
      <c r="A49" s="465"/>
      <c r="B49" s="464"/>
      <c r="C49" s="464"/>
      <c r="D49" s="464"/>
      <c r="E49" s="464"/>
      <c r="F49" s="464"/>
      <c r="G49" s="464"/>
      <c r="H49" s="464"/>
      <c r="I49" s="464"/>
      <c r="J49" s="464"/>
      <c r="K49" s="464"/>
      <c r="L49" s="464"/>
      <c r="M49" s="464"/>
      <c r="N49" s="464"/>
      <c r="O49" s="464"/>
      <c r="P49" s="464"/>
      <c r="Q49" s="464"/>
      <c r="R49" s="464"/>
      <c r="S49" s="464"/>
      <c r="T49" s="464"/>
      <c r="U49" s="464"/>
      <c r="V49" s="464"/>
      <c r="W49" s="464"/>
      <c r="X49" s="464"/>
      <c r="Y49" s="464"/>
      <c r="Z49" s="464"/>
      <c r="AA49" s="464"/>
      <c r="AB49" s="464"/>
      <c r="AC49" s="464"/>
      <c r="AD49" s="464"/>
      <c r="AE49" s="464"/>
      <c r="AF49" s="464"/>
      <c r="AG49" s="464"/>
      <c r="AH49" s="464"/>
      <c r="AI49" s="464"/>
      <c r="AJ49" s="464"/>
    </row>
    <row r="50" spans="1:36" ht="15.75" customHeight="1">
      <c r="A50" s="465"/>
      <c r="B50" s="464"/>
      <c r="C50" s="464"/>
      <c r="D50" s="464"/>
      <c r="E50" s="464"/>
      <c r="F50" s="464"/>
      <c r="G50" s="464"/>
      <c r="H50" s="464"/>
      <c r="I50" s="464"/>
      <c r="J50" s="464"/>
      <c r="K50" s="464"/>
      <c r="L50" s="464"/>
      <c r="M50" s="464"/>
      <c r="N50" s="464"/>
      <c r="O50" s="464"/>
      <c r="P50" s="464"/>
      <c r="Q50" s="464"/>
      <c r="R50" s="464"/>
      <c r="S50" s="464"/>
      <c r="T50" s="464"/>
      <c r="U50" s="464"/>
      <c r="V50" s="464"/>
      <c r="W50" s="464"/>
      <c r="X50" s="464"/>
      <c r="Y50" s="464"/>
      <c r="Z50" s="464"/>
      <c r="AA50" s="464"/>
      <c r="AB50" s="464"/>
      <c r="AC50" s="464"/>
      <c r="AD50" s="464"/>
      <c r="AE50" s="464"/>
      <c r="AF50" s="464"/>
      <c r="AG50" s="464"/>
      <c r="AH50" s="464"/>
      <c r="AI50" s="464"/>
      <c r="AJ50" s="464"/>
    </row>
    <row r="51" spans="1:36" ht="15.75" customHeight="1">
      <c r="A51" s="465"/>
      <c r="B51" s="464"/>
      <c r="C51" s="464"/>
      <c r="D51" s="464"/>
      <c r="E51" s="464"/>
      <c r="F51" s="464"/>
      <c r="G51" s="464"/>
      <c r="H51" s="464"/>
      <c r="I51" s="464"/>
      <c r="J51" s="464"/>
      <c r="K51" s="464"/>
      <c r="L51" s="464"/>
      <c r="M51" s="464"/>
      <c r="N51" s="464"/>
      <c r="O51" s="464"/>
      <c r="P51" s="464"/>
      <c r="Q51" s="464"/>
      <c r="R51" s="464"/>
      <c r="S51" s="464"/>
      <c r="T51" s="464"/>
      <c r="U51" s="464"/>
      <c r="V51" s="464"/>
      <c r="W51" s="464"/>
      <c r="X51" s="464"/>
      <c r="Y51" s="464"/>
      <c r="Z51" s="464"/>
      <c r="AA51" s="464"/>
      <c r="AB51" s="464"/>
      <c r="AC51" s="464"/>
      <c r="AD51" s="464"/>
      <c r="AE51" s="464"/>
      <c r="AF51" s="464"/>
      <c r="AG51" s="464"/>
      <c r="AH51" s="464"/>
      <c r="AI51" s="464"/>
      <c r="AJ51" s="464"/>
    </row>
    <row r="52" spans="1:36" ht="15.75" customHeight="1">
      <c r="A52" s="465"/>
      <c r="B52" s="464"/>
      <c r="C52" s="464"/>
      <c r="D52" s="464"/>
      <c r="E52" s="464"/>
      <c r="F52" s="464"/>
      <c r="G52" s="464"/>
      <c r="H52" s="464"/>
      <c r="I52" s="464"/>
      <c r="J52" s="464"/>
      <c r="K52" s="464"/>
      <c r="L52" s="464"/>
      <c r="M52" s="464"/>
      <c r="N52" s="464"/>
      <c r="O52" s="464"/>
      <c r="P52" s="464"/>
      <c r="Q52" s="464"/>
      <c r="R52" s="464"/>
      <c r="S52" s="464"/>
      <c r="T52" s="464"/>
      <c r="U52" s="464"/>
      <c r="V52" s="464"/>
      <c r="W52" s="464"/>
      <c r="X52" s="464"/>
      <c r="Y52" s="464"/>
      <c r="Z52" s="464"/>
      <c r="AA52" s="464"/>
      <c r="AB52" s="464"/>
      <c r="AC52" s="464"/>
      <c r="AD52" s="464"/>
      <c r="AE52" s="464"/>
      <c r="AF52" s="464"/>
      <c r="AG52" s="464"/>
      <c r="AH52" s="464"/>
      <c r="AI52" s="464"/>
      <c r="AJ52" s="464"/>
    </row>
    <row r="53" spans="1:36" ht="15.75" customHeight="1">
      <c r="A53" s="463"/>
      <c r="B53" s="464"/>
      <c r="C53" s="464"/>
      <c r="D53" s="464"/>
      <c r="E53" s="464"/>
      <c r="F53" s="464"/>
      <c r="G53" s="464"/>
      <c r="H53" s="464"/>
      <c r="I53" s="464"/>
      <c r="J53" s="464"/>
      <c r="K53" s="464"/>
      <c r="L53" s="464"/>
      <c r="M53" s="464"/>
      <c r="N53" s="464"/>
      <c r="O53" s="464"/>
      <c r="P53" s="464"/>
      <c r="Q53" s="464"/>
      <c r="R53" s="464"/>
      <c r="S53" s="464"/>
      <c r="T53" s="464"/>
      <c r="U53" s="464"/>
      <c r="V53" s="464"/>
      <c r="W53" s="464"/>
      <c r="X53" s="464"/>
      <c r="Y53" s="464"/>
      <c r="Z53" s="464"/>
      <c r="AA53" s="464"/>
      <c r="AB53" s="464"/>
      <c r="AC53" s="464"/>
      <c r="AD53" s="464"/>
      <c r="AE53" s="464"/>
      <c r="AF53" s="464"/>
      <c r="AG53" s="464"/>
      <c r="AH53" s="464"/>
      <c r="AI53" s="464"/>
      <c r="AJ53" s="464"/>
    </row>
    <row r="54" spans="1:36" ht="15.75" customHeight="1">
      <c r="A54" s="463"/>
      <c r="B54" s="464"/>
      <c r="C54" s="464"/>
      <c r="D54" s="464"/>
      <c r="E54" s="464"/>
      <c r="F54" s="464"/>
      <c r="G54" s="464"/>
      <c r="H54" s="464"/>
      <c r="I54" s="464"/>
      <c r="J54" s="464"/>
      <c r="K54" s="464"/>
      <c r="L54" s="464"/>
      <c r="M54" s="464"/>
      <c r="N54" s="464"/>
      <c r="O54" s="464"/>
      <c r="P54" s="464"/>
      <c r="Q54" s="464"/>
      <c r="R54" s="464"/>
      <c r="S54" s="464"/>
      <c r="T54" s="464"/>
      <c r="U54" s="464"/>
      <c r="V54" s="464"/>
      <c r="W54" s="464"/>
      <c r="X54" s="464"/>
      <c r="Y54" s="464"/>
      <c r="Z54" s="464"/>
      <c r="AA54" s="464"/>
      <c r="AB54" s="464"/>
      <c r="AC54" s="464"/>
      <c r="AD54" s="464"/>
      <c r="AE54" s="464"/>
      <c r="AF54" s="464"/>
      <c r="AG54" s="464"/>
      <c r="AH54" s="464"/>
      <c r="AI54" s="464"/>
      <c r="AJ54" s="464"/>
    </row>
    <row r="55" spans="1:36" ht="15.75" customHeight="1">
      <c r="A55" s="463"/>
      <c r="B55" s="464"/>
      <c r="C55" s="464"/>
      <c r="D55" s="464"/>
      <c r="E55" s="464"/>
      <c r="F55" s="464"/>
      <c r="G55" s="464"/>
      <c r="H55" s="464"/>
      <c r="I55" s="464"/>
      <c r="J55" s="464"/>
      <c r="K55" s="464"/>
      <c r="L55" s="464"/>
      <c r="M55" s="464"/>
      <c r="N55" s="464"/>
      <c r="O55" s="464"/>
      <c r="P55" s="464"/>
      <c r="Q55" s="464"/>
      <c r="R55" s="464"/>
      <c r="S55" s="464"/>
      <c r="T55" s="464"/>
      <c r="U55" s="464"/>
      <c r="V55" s="464"/>
      <c r="W55" s="464"/>
      <c r="X55" s="464"/>
      <c r="Y55" s="464"/>
      <c r="Z55" s="464"/>
      <c r="AA55" s="464"/>
      <c r="AB55" s="464"/>
      <c r="AC55" s="464"/>
      <c r="AD55" s="464"/>
      <c r="AE55" s="464"/>
      <c r="AF55" s="464"/>
      <c r="AG55" s="464"/>
      <c r="AH55" s="464"/>
      <c r="AI55" s="464"/>
      <c r="AJ55" s="464"/>
    </row>
    <row r="56" spans="1:36" ht="15.75" customHeight="1">
      <c r="A56" s="463"/>
      <c r="B56" s="464"/>
      <c r="C56" s="464"/>
      <c r="D56" s="464"/>
      <c r="E56" s="464"/>
      <c r="F56" s="464"/>
      <c r="G56" s="464"/>
      <c r="H56" s="464"/>
      <c r="I56" s="464"/>
      <c r="J56" s="464"/>
      <c r="K56" s="464"/>
      <c r="L56" s="464"/>
      <c r="M56" s="464"/>
      <c r="N56" s="464"/>
      <c r="O56" s="464"/>
      <c r="P56" s="464"/>
      <c r="Q56" s="464"/>
      <c r="R56" s="464"/>
      <c r="S56" s="464"/>
      <c r="T56" s="464"/>
      <c r="U56" s="464"/>
      <c r="V56" s="464"/>
      <c r="W56" s="464"/>
      <c r="X56" s="464"/>
      <c r="Y56" s="464"/>
      <c r="Z56" s="464"/>
      <c r="AA56" s="464"/>
      <c r="AB56" s="464"/>
      <c r="AC56" s="464"/>
      <c r="AD56" s="464"/>
      <c r="AE56" s="464"/>
      <c r="AF56" s="464"/>
      <c r="AG56" s="464"/>
      <c r="AH56" s="464"/>
      <c r="AI56" s="464"/>
      <c r="AJ56" s="464"/>
    </row>
    <row r="57" spans="1:36" ht="15.75" customHeight="1">
      <c r="A57" s="463"/>
      <c r="B57" s="464"/>
      <c r="C57" s="464"/>
      <c r="D57" s="464"/>
      <c r="E57" s="464"/>
      <c r="F57" s="464"/>
      <c r="G57" s="464"/>
      <c r="H57" s="464"/>
      <c r="I57" s="464"/>
      <c r="J57" s="464"/>
      <c r="K57" s="464"/>
      <c r="L57" s="464"/>
      <c r="M57" s="464"/>
      <c r="N57" s="464"/>
      <c r="O57" s="464"/>
      <c r="P57" s="464"/>
      <c r="Q57" s="464"/>
      <c r="R57" s="464"/>
      <c r="S57" s="464"/>
      <c r="T57" s="464"/>
      <c r="U57" s="464"/>
      <c r="V57" s="464"/>
      <c r="W57" s="464"/>
      <c r="X57" s="464"/>
      <c r="Y57" s="464"/>
      <c r="Z57" s="464"/>
      <c r="AA57" s="464"/>
      <c r="AB57" s="464"/>
      <c r="AC57" s="464"/>
      <c r="AD57" s="464"/>
      <c r="AE57" s="464"/>
      <c r="AF57" s="464"/>
      <c r="AG57" s="464"/>
      <c r="AH57" s="464"/>
      <c r="AI57" s="464"/>
      <c r="AJ57" s="464"/>
    </row>
    <row r="58" spans="1:36" ht="15.75" customHeight="1">
      <c r="A58" s="463"/>
      <c r="B58" s="464"/>
      <c r="C58" s="464"/>
      <c r="D58" s="464"/>
      <c r="E58" s="464"/>
      <c r="F58" s="464"/>
      <c r="G58" s="464"/>
      <c r="H58" s="464"/>
      <c r="I58" s="464"/>
      <c r="J58" s="464"/>
      <c r="K58" s="464"/>
      <c r="L58" s="464"/>
      <c r="M58" s="464"/>
      <c r="N58" s="464"/>
      <c r="O58" s="464"/>
      <c r="P58" s="464"/>
      <c r="Q58" s="464"/>
      <c r="R58" s="464"/>
      <c r="S58" s="464"/>
      <c r="T58" s="464"/>
      <c r="U58" s="464"/>
      <c r="V58" s="464"/>
      <c r="W58" s="464"/>
      <c r="X58" s="464"/>
      <c r="Y58" s="464"/>
      <c r="Z58" s="464"/>
      <c r="AA58" s="464"/>
      <c r="AB58" s="464"/>
      <c r="AC58" s="464"/>
      <c r="AD58" s="464"/>
      <c r="AE58" s="464"/>
      <c r="AF58" s="464"/>
      <c r="AG58" s="464"/>
      <c r="AH58" s="464"/>
      <c r="AI58" s="464"/>
      <c r="AJ58" s="464"/>
    </row>
    <row r="59" spans="1:36" ht="15.75" customHeight="1">
      <c r="A59" s="463"/>
      <c r="B59" s="464"/>
      <c r="C59" s="464"/>
      <c r="D59" s="464"/>
      <c r="E59" s="464"/>
      <c r="F59" s="464"/>
      <c r="G59" s="464"/>
      <c r="H59" s="464"/>
      <c r="I59" s="464"/>
      <c r="J59" s="464"/>
      <c r="K59" s="464"/>
      <c r="L59" s="464"/>
      <c r="M59" s="464"/>
      <c r="N59" s="464"/>
      <c r="O59" s="464"/>
      <c r="P59" s="464"/>
      <c r="Q59" s="464"/>
      <c r="R59" s="464"/>
      <c r="S59" s="464"/>
      <c r="T59" s="464"/>
      <c r="U59" s="464"/>
      <c r="V59" s="464"/>
      <c r="W59" s="464"/>
      <c r="X59" s="464"/>
      <c r="Y59" s="464"/>
      <c r="Z59" s="464"/>
      <c r="AA59" s="464"/>
      <c r="AB59" s="464"/>
      <c r="AC59" s="464"/>
      <c r="AD59" s="464"/>
      <c r="AE59" s="464"/>
      <c r="AF59" s="464"/>
      <c r="AG59" s="464"/>
      <c r="AH59" s="464"/>
      <c r="AI59" s="464"/>
      <c r="AJ59" s="464"/>
    </row>
    <row r="60" spans="1:36" ht="15.75" customHeight="1">
      <c r="A60" s="463"/>
      <c r="B60" s="464"/>
      <c r="C60" s="464"/>
      <c r="D60" s="464"/>
      <c r="E60" s="464"/>
      <c r="F60" s="464"/>
      <c r="G60" s="464"/>
      <c r="H60" s="464"/>
      <c r="I60" s="464"/>
      <c r="J60" s="464"/>
      <c r="K60" s="464"/>
      <c r="L60" s="464"/>
      <c r="M60" s="464"/>
      <c r="N60" s="464"/>
      <c r="O60" s="464"/>
      <c r="P60" s="464"/>
      <c r="Q60" s="464"/>
      <c r="R60" s="464"/>
      <c r="S60" s="464"/>
      <c r="T60" s="464"/>
      <c r="U60" s="464"/>
      <c r="V60" s="464"/>
      <c r="W60" s="464"/>
      <c r="X60" s="464"/>
      <c r="Y60" s="464"/>
      <c r="Z60" s="464"/>
      <c r="AA60" s="464"/>
      <c r="AB60" s="464"/>
      <c r="AC60" s="464"/>
      <c r="AD60" s="464"/>
      <c r="AE60" s="464"/>
      <c r="AF60" s="464"/>
      <c r="AG60" s="464"/>
      <c r="AH60" s="464"/>
      <c r="AI60" s="464"/>
      <c r="AJ60" s="464"/>
    </row>
    <row r="61" spans="1:36" ht="15.75" customHeight="1">
      <c r="A61" s="463"/>
      <c r="B61" s="464"/>
      <c r="C61" s="464"/>
      <c r="D61" s="464"/>
      <c r="E61" s="464"/>
      <c r="F61" s="464"/>
      <c r="G61" s="464"/>
      <c r="H61" s="464"/>
      <c r="I61" s="464"/>
      <c r="J61" s="464"/>
      <c r="K61" s="464"/>
      <c r="L61" s="464"/>
      <c r="M61" s="464"/>
      <c r="N61" s="464"/>
      <c r="O61" s="464"/>
      <c r="P61" s="464"/>
      <c r="Q61" s="464"/>
      <c r="R61" s="464"/>
      <c r="S61" s="464"/>
      <c r="T61" s="464"/>
      <c r="U61" s="464"/>
      <c r="V61" s="464"/>
      <c r="W61" s="464"/>
      <c r="X61" s="464"/>
      <c r="Y61" s="464"/>
      <c r="Z61" s="464"/>
      <c r="AA61" s="464"/>
      <c r="AB61" s="464"/>
      <c r="AC61" s="464"/>
      <c r="AD61" s="464"/>
      <c r="AE61" s="464"/>
      <c r="AF61" s="464"/>
      <c r="AG61" s="464"/>
      <c r="AH61" s="464"/>
      <c r="AI61" s="464"/>
      <c r="AJ61" s="464"/>
    </row>
    <row r="62" spans="1:36" ht="15.75" customHeight="1">
      <c r="A62" s="463"/>
      <c r="B62" s="464"/>
      <c r="C62" s="464"/>
      <c r="D62" s="464"/>
      <c r="E62" s="464"/>
      <c r="F62" s="464"/>
      <c r="G62" s="464"/>
      <c r="H62" s="464"/>
      <c r="I62" s="464"/>
      <c r="J62" s="464"/>
      <c r="K62" s="464"/>
      <c r="L62" s="464"/>
      <c r="M62" s="464"/>
      <c r="N62" s="464"/>
      <c r="O62" s="464"/>
      <c r="P62" s="464"/>
      <c r="Q62" s="464"/>
      <c r="R62" s="464"/>
      <c r="S62" s="464"/>
      <c r="T62" s="464"/>
      <c r="U62" s="464"/>
      <c r="V62" s="464"/>
      <c r="W62" s="464"/>
      <c r="X62" s="464"/>
      <c r="Y62" s="464"/>
      <c r="Z62" s="464"/>
      <c r="AA62" s="464"/>
      <c r="AB62" s="464"/>
      <c r="AC62" s="464"/>
      <c r="AD62" s="464"/>
      <c r="AE62" s="464"/>
      <c r="AF62" s="464"/>
      <c r="AG62" s="464"/>
      <c r="AH62" s="464"/>
      <c r="AI62" s="464"/>
      <c r="AJ62" s="464"/>
    </row>
    <row r="63" spans="1:36" ht="15.75" customHeight="1">
      <c r="A63" s="463"/>
      <c r="B63" s="464"/>
      <c r="C63" s="464"/>
      <c r="D63" s="464"/>
      <c r="E63" s="464"/>
      <c r="F63" s="464"/>
      <c r="G63" s="464"/>
      <c r="H63" s="464"/>
      <c r="I63" s="464"/>
      <c r="J63" s="464"/>
      <c r="K63" s="464"/>
      <c r="L63" s="464"/>
      <c r="M63" s="464"/>
      <c r="N63" s="464"/>
      <c r="O63" s="464"/>
      <c r="P63" s="464"/>
      <c r="Q63" s="464"/>
      <c r="R63" s="464"/>
      <c r="S63" s="464"/>
      <c r="T63" s="464"/>
      <c r="U63" s="464"/>
      <c r="V63" s="464"/>
      <c r="W63" s="464"/>
      <c r="X63" s="464"/>
      <c r="Y63" s="464"/>
      <c r="Z63" s="464"/>
      <c r="AA63" s="464"/>
      <c r="AB63" s="464"/>
      <c r="AC63" s="464"/>
      <c r="AD63" s="464"/>
      <c r="AE63" s="464"/>
      <c r="AF63" s="464"/>
      <c r="AG63" s="464"/>
      <c r="AH63" s="464"/>
      <c r="AI63" s="464"/>
      <c r="AJ63" s="464"/>
    </row>
    <row r="64" spans="1:36" ht="15.75" customHeight="1">
      <c r="A64" s="463"/>
      <c r="B64" s="464"/>
      <c r="C64" s="464"/>
      <c r="D64" s="464"/>
      <c r="E64" s="464"/>
      <c r="F64" s="464"/>
      <c r="G64" s="464"/>
      <c r="H64" s="464"/>
      <c r="I64" s="464"/>
      <c r="J64" s="464"/>
      <c r="K64" s="464"/>
      <c r="L64" s="464"/>
      <c r="M64" s="464"/>
      <c r="N64" s="464"/>
      <c r="O64" s="464"/>
      <c r="P64" s="464"/>
      <c r="Q64" s="464"/>
      <c r="R64" s="464"/>
      <c r="S64" s="464"/>
      <c r="T64" s="464"/>
      <c r="U64" s="464"/>
      <c r="V64" s="464"/>
      <c r="W64" s="464"/>
      <c r="X64" s="464"/>
      <c r="Y64" s="464"/>
      <c r="Z64" s="464"/>
      <c r="AA64" s="464"/>
      <c r="AB64" s="464"/>
      <c r="AC64" s="464"/>
      <c r="AD64" s="464"/>
      <c r="AE64" s="464"/>
      <c r="AF64" s="464"/>
      <c r="AG64" s="464"/>
      <c r="AH64" s="464"/>
      <c r="AI64" s="464"/>
      <c r="AJ64" s="464"/>
    </row>
    <row r="65" spans="1:36" ht="15.75" customHeight="1">
      <c r="A65" s="463"/>
      <c r="B65" s="464"/>
      <c r="C65" s="464"/>
      <c r="D65" s="464"/>
      <c r="E65" s="464"/>
      <c r="F65" s="464"/>
      <c r="G65" s="464"/>
      <c r="H65" s="464"/>
      <c r="I65" s="464"/>
      <c r="J65" s="464"/>
      <c r="K65" s="464"/>
      <c r="L65" s="464"/>
      <c r="M65" s="464"/>
      <c r="N65" s="464"/>
      <c r="O65" s="464"/>
      <c r="P65" s="464"/>
      <c r="Q65" s="464"/>
      <c r="R65" s="464"/>
      <c r="S65" s="464"/>
      <c r="T65" s="464"/>
      <c r="U65" s="464"/>
      <c r="V65" s="464"/>
      <c r="W65" s="464"/>
      <c r="X65" s="464"/>
      <c r="Y65" s="464"/>
      <c r="Z65" s="464"/>
      <c r="AA65" s="464"/>
      <c r="AB65" s="464"/>
      <c r="AC65" s="464"/>
      <c r="AD65" s="464"/>
      <c r="AE65" s="464"/>
      <c r="AF65" s="464"/>
      <c r="AG65" s="464"/>
      <c r="AH65" s="464"/>
      <c r="AI65" s="464"/>
      <c r="AJ65" s="464"/>
    </row>
    <row r="66" spans="1:36" ht="15.75" customHeight="1">
      <c r="A66" s="463"/>
      <c r="B66" s="464"/>
      <c r="C66" s="464"/>
      <c r="D66" s="464"/>
      <c r="E66" s="464"/>
      <c r="F66" s="464"/>
      <c r="G66" s="464"/>
      <c r="H66" s="464"/>
      <c r="I66" s="464"/>
      <c r="J66" s="464"/>
      <c r="K66" s="464"/>
      <c r="L66" s="464"/>
      <c r="M66" s="464"/>
      <c r="N66" s="464"/>
      <c r="O66" s="464"/>
      <c r="P66" s="464"/>
      <c r="Q66" s="464"/>
      <c r="R66" s="464"/>
      <c r="S66" s="464"/>
      <c r="T66" s="464"/>
      <c r="U66" s="464"/>
      <c r="V66" s="464"/>
      <c r="W66" s="464"/>
      <c r="X66" s="464"/>
      <c r="Y66" s="464"/>
      <c r="Z66" s="464"/>
      <c r="AA66" s="464"/>
      <c r="AB66" s="464"/>
      <c r="AC66" s="464"/>
      <c r="AD66" s="464"/>
      <c r="AE66" s="464"/>
      <c r="AF66" s="464"/>
      <c r="AG66" s="464"/>
      <c r="AH66" s="464"/>
      <c r="AI66" s="464"/>
      <c r="AJ66" s="464"/>
    </row>
    <row r="67" spans="1:36" ht="15.75" customHeight="1">
      <c r="A67" s="463"/>
      <c r="B67" s="464"/>
      <c r="C67" s="464"/>
      <c r="D67" s="464"/>
      <c r="E67" s="464"/>
      <c r="F67" s="464"/>
      <c r="G67" s="464"/>
      <c r="H67" s="464"/>
      <c r="I67" s="464"/>
      <c r="J67" s="464"/>
      <c r="K67" s="464"/>
      <c r="L67" s="464"/>
      <c r="M67" s="464"/>
      <c r="N67" s="464"/>
      <c r="O67" s="464"/>
      <c r="P67" s="464"/>
      <c r="Q67" s="464"/>
      <c r="R67" s="464"/>
      <c r="S67" s="464"/>
      <c r="T67" s="464"/>
      <c r="U67" s="464"/>
      <c r="V67" s="464"/>
      <c r="W67" s="464"/>
      <c r="X67" s="464"/>
      <c r="Y67" s="464"/>
      <c r="Z67" s="464"/>
      <c r="AA67" s="464"/>
      <c r="AB67" s="464"/>
      <c r="AC67" s="464"/>
      <c r="AD67" s="464"/>
      <c r="AE67" s="464"/>
      <c r="AF67" s="464"/>
      <c r="AG67" s="464"/>
      <c r="AH67" s="464"/>
      <c r="AI67" s="464"/>
      <c r="AJ67" s="464"/>
    </row>
    <row r="68" spans="1:36" ht="15.75" customHeight="1">
      <c r="A68" s="463"/>
      <c r="B68" s="464"/>
      <c r="C68" s="464"/>
      <c r="D68" s="464"/>
      <c r="E68" s="464"/>
      <c r="F68" s="464"/>
      <c r="G68" s="464"/>
      <c r="H68" s="464"/>
      <c r="I68" s="464"/>
      <c r="J68" s="464"/>
      <c r="K68" s="464"/>
      <c r="L68" s="464"/>
      <c r="M68" s="464"/>
      <c r="N68" s="464"/>
      <c r="O68" s="464"/>
      <c r="P68" s="464"/>
      <c r="Q68" s="464"/>
      <c r="R68" s="464"/>
      <c r="S68" s="464"/>
      <c r="T68" s="464"/>
      <c r="U68" s="464"/>
      <c r="V68" s="464"/>
      <c r="W68" s="464"/>
      <c r="X68" s="464"/>
      <c r="Y68" s="464"/>
      <c r="Z68" s="464"/>
      <c r="AA68" s="464"/>
      <c r="AB68" s="464"/>
      <c r="AC68" s="464"/>
      <c r="AD68" s="464"/>
      <c r="AE68" s="464"/>
      <c r="AF68" s="464"/>
      <c r="AG68" s="464"/>
      <c r="AH68" s="464"/>
      <c r="AI68" s="464"/>
      <c r="AJ68" s="464"/>
    </row>
    <row r="69" spans="1:36" ht="15.75" customHeight="1">
      <c r="A69" s="463"/>
      <c r="B69" s="464"/>
      <c r="C69" s="464"/>
      <c r="D69" s="464"/>
      <c r="E69" s="464"/>
      <c r="F69" s="464"/>
      <c r="G69" s="464"/>
      <c r="H69" s="464"/>
      <c r="I69" s="464"/>
      <c r="J69" s="464"/>
      <c r="K69" s="464"/>
      <c r="L69" s="464"/>
      <c r="M69" s="464"/>
      <c r="N69" s="464"/>
      <c r="O69" s="464"/>
      <c r="P69" s="464"/>
      <c r="Q69" s="464"/>
      <c r="R69" s="464"/>
      <c r="S69" s="464"/>
      <c r="T69" s="464"/>
      <c r="U69" s="464"/>
      <c r="V69" s="464"/>
      <c r="W69" s="464"/>
      <c r="X69" s="464"/>
      <c r="Y69" s="464"/>
      <c r="Z69" s="464"/>
      <c r="AA69" s="464"/>
      <c r="AB69" s="464"/>
      <c r="AC69" s="464"/>
      <c r="AD69" s="464"/>
      <c r="AE69" s="464"/>
      <c r="AF69" s="464"/>
      <c r="AG69" s="464"/>
      <c r="AH69" s="464"/>
      <c r="AI69" s="464"/>
      <c r="AJ69" s="464"/>
    </row>
    <row r="70" spans="1:36" ht="15.75" customHeight="1">
      <c r="A70" s="463"/>
      <c r="B70" s="464"/>
      <c r="C70" s="464"/>
      <c r="D70" s="464"/>
      <c r="E70" s="464"/>
      <c r="F70" s="464"/>
      <c r="G70" s="464"/>
      <c r="H70" s="464"/>
      <c r="I70" s="464"/>
      <c r="J70" s="464"/>
      <c r="K70" s="464"/>
      <c r="L70" s="464"/>
      <c r="M70" s="464"/>
      <c r="N70" s="464"/>
      <c r="O70" s="464"/>
      <c r="P70" s="464"/>
      <c r="Q70" s="464"/>
      <c r="R70" s="464"/>
      <c r="S70" s="464"/>
      <c r="T70" s="464"/>
      <c r="U70" s="464"/>
      <c r="V70" s="464"/>
      <c r="W70" s="464"/>
      <c r="X70" s="464"/>
      <c r="Y70" s="464"/>
      <c r="Z70" s="464"/>
      <c r="AA70" s="464"/>
      <c r="AB70" s="464"/>
      <c r="AC70" s="464"/>
      <c r="AD70" s="464"/>
      <c r="AE70" s="464"/>
      <c r="AF70" s="464"/>
      <c r="AG70" s="464"/>
      <c r="AH70" s="464"/>
      <c r="AI70" s="464"/>
      <c r="AJ70" s="464"/>
    </row>
    <row r="71" spans="1:36" ht="15.75" customHeight="1">
      <c r="A71" s="463"/>
      <c r="B71" s="464"/>
      <c r="C71" s="464"/>
      <c r="D71" s="464"/>
      <c r="E71" s="464"/>
      <c r="F71" s="464"/>
      <c r="G71" s="464"/>
      <c r="H71" s="464"/>
      <c r="I71" s="464"/>
      <c r="J71" s="464"/>
      <c r="K71" s="464"/>
      <c r="L71" s="464"/>
      <c r="M71" s="464"/>
      <c r="N71" s="464"/>
      <c r="O71" s="464"/>
      <c r="P71" s="464"/>
      <c r="Q71" s="464"/>
      <c r="R71" s="464"/>
      <c r="S71" s="464"/>
      <c r="T71" s="464"/>
      <c r="U71" s="464"/>
      <c r="V71" s="464"/>
      <c r="W71" s="464"/>
      <c r="X71" s="464"/>
      <c r="Y71" s="464"/>
      <c r="Z71" s="464"/>
      <c r="AA71" s="464"/>
      <c r="AB71" s="464"/>
      <c r="AC71" s="464"/>
      <c r="AD71" s="464"/>
      <c r="AE71" s="464"/>
      <c r="AF71" s="464"/>
      <c r="AG71" s="464"/>
      <c r="AH71" s="464"/>
      <c r="AI71" s="464"/>
      <c r="AJ71" s="464"/>
    </row>
    <row r="72" spans="1:36" ht="15.75" customHeight="1">
      <c r="A72" s="463"/>
      <c r="B72" s="464"/>
      <c r="C72" s="464"/>
      <c r="D72" s="464"/>
      <c r="E72" s="464"/>
      <c r="F72" s="464"/>
      <c r="G72" s="464"/>
      <c r="H72" s="464"/>
      <c r="I72" s="464"/>
      <c r="J72" s="464"/>
      <c r="K72" s="464"/>
      <c r="L72" s="464"/>
      <c r="M72" s="464"/>
      <c r="N72" s="464"/>
      <c r="O72" s="464"/>
      <c r="P72" s="464"/>
      <c r="Q72" s="464"/>
      <c r="R72" s="464"/>
      <c r="S72" s="464"/>
      <c r="T72" s="464"/>
      <c r="U72" s="464"/>
      <c r="V72" s="464"/>
      <c r="W72" s="464"/>
      <c r="X72" s="464"/>
      <c r="Y72" s="464"/>
      <c r="Z72" s="464"/>
      <c r="AA72" s="464"/>
      <c r="AB72" s="464"/>
      <c r="AC72" s="464"/>
      <c r="AD72" s="464"/>
      <c r="AE72" s="464"/>
      <c r="AF72" s="464"/>
      <c r="AG72" s="464"/>
      <c r="AH72" s="464"/>
      <c r="AI72" s="464"/>
      <c r="AJ72" s="464"/>
    </row>
    <row r="73" spans="1:36" ht="15.75" customHeight="1">
      <c r="A73" s="463"/>
      <c r="B73" s="464"/>
      <c r="C73" s="464"/>
      <c r="D73" s="464"/>
      <c r="E73" s="464"/>
      <c r="F73" s="464"/>
      <c r="G73" s="464"/>
      <c r="H73" s="464"/>
      <c r="I73" s="464"/>
      <c r="J73" s="464"/>
      <c r="K73" s="464"/>
      <c r="L73" s="464"/>
      <c r="M73" s="464"/>
      <c r="N73" s="464"/>
      <c r="O73" s="464"/>
      <c r="P73" s="464"/>
      <c r="Q73" s="464"/>
      <c r="R73" s="464"/>
      <c r="S73" s="464"/>
      <c r="T73" s="464"/>
      <c r="U73" s="464"/>
      <c r="V73" s="464"/>
      <c r="W73" s="464"/>
      <c r="X73" s="464"/>
      <c r="Y73" s="464"/>
      <c r="Z73" s="464"/>
      <c r="AA73" s="464"/>
      <c r="AB73" s="464"/>
      <c r="AC73" s="464"/>
      <c r="AD73" s="464"/>
      <c r="AE73" s="464"/>
      <c r="AF73" s="464"/>
      <c r="AG73" s="464"/>
      <c r="AH73" s="464"/>
      <c r="AI73" s="464"/>
      <c r="AJ73" s="464"/>
    </row>
    <row r="74" spans="1:36" ht="15.75" customHeight="1">
      <c r="A74" s="463"/>
      <c r="B74" s="464"/>
      <c r="C74" s="464"/>
      <c r="D74" s="464"/>
      <c r="E74" s="464"/>
      <c r="F74" s="464"/>
      <c r="G74" s="464"/>
      <c r="H74" s="464"/>
      <c r="I74" s="464"/>
      <c r="J74" s="464"/>
      <c r="K74" s="464"/>
      <c r="L74" s="464"/>
      <c r="M74" s="464"/>
      <c r="N74" s="464"/>
      <c r="O74" s="464"/>
      <c r="P74" s="464"/>
      <c r="Q74" s="464"/>
      <c r="R74" s="464"/>
      <c r="S74" s="464"/>
      <c r="T74" s="464"/>
      <c r="U74" s="464"/>
      <c r="V74" s="464"/>
      <c r="W74" s="464"/>
      <c r="X74" s="464"/>
      <c r="Y74" s="464"/>
      <c r="Z74" s="464"/>
      <c r="AA74" s="464"/>
      <c r="AB74" s="464"/>
      <c r="AC74" s="464"/>
      <c r="AD74" s="464"/>
      <c r="AE74" s="464"/>
      <c r="AF74" s="464"/>
      <c r="AG74" s="464"/>
      <c r="AH74" s="464"/>
      <c r="AI74" s="464"/>
      <c r="AJ74" s="464"/>
    </row>
    <row r="75" spans="1:36" ht="15.75" customHeight="1">
      <c r="A75" s="463"/>
      <c r="B75" s="464"/>
      <c r="C75" s="464"/>
      <c r="D75" s="464"/>
      <c r="E75" s="464"/>
      <c r="F75" s="464"/>
      <c r="G75" s="464"/>
      <c r="H75" s="464"/>
      <c r="I75" s="464"/>
      <c r="J75" s="464"/>
      <c r="K75" s="464"/>
      <c r="L75" s="464"/>
      <c r="M75" s="464"/>
      <c r="N75" s="464"/>
      <c r="O75" s="464"/>
      <c r="P75" s="464"/>
      <c r="Q75" s="464"/>
      <c r="R75" s="464"/>
      <c r="S75" s="464"/>
      <c r="T75" s="464"/>
      <c r="U75" s="464"/>
      <c r="V75" s="464"/>
      <c r="W75" s="464"/>
      <c r="X75" s="464"/>
      <c r="Y75" s="464"/>
      <c r="Z75" s="464"/>
      <c r="AA75" s="464"/>
      <c r="AB75" s="464"/>
      <c r="AC75" s="464"/>
      <c r="AD75" s="464"/>
      <c r="AE75" s="464"/>
      <c r="AF75" s="464"/>
      <c r="AG75" s="464"/>
      <c r="AH75" s="464"/>
      <c r="AI75" s="464"/>
      <c r="AJ75" s="464"/>
    </row>
    <row r="76" spans="1:36" ht="15.75" customHeight="1">
      <c r="A76" s="463"/>
      <c r="B76" s="464"/>
      <c r="C76" s="464"/>
      <c r="D76" s="464"/>
      <c r="E76" s="464"/>
      <c r="F76" s="464"/>
      <c r="G76" s="464"/>
      <c r="H76" s="464"/>
      <c r="I76" s="464"/>
      <c r="J76" s="464"/>
      <c r="K76" s="464"/>
      <c r="L76" s="464"/>
      <c r="M76" s="464"/>
      <c r="N76" s="464"/>
      <c r="O76" s="464"/>
      <c r="P76" s="464"/>
      <c r="Q76" s="464"/>
      <c r="R76" s="464"/>
      <c r="S76" s="464"/>
      <c r="T76" s="464"/>
      <c r="U76" s="464"/>
      <c r="V76" s="464"/>
      <c r="W76" s="464"/>
      <c r="X76" s="464"/>
      <c r="Y76" s="464"/>
      <c r="Z76" s="464"/>
      <c r="AA76" s="464"/>
      <c r="AB76" s="464"/>
      <c r="AC76" s="464"/>
      <c r="AD76" s="464"/>
      <c r="AE76" s="464"/>
      <c r="AF76" s="464"/>
      <c r="AG76" s="464"/>
      <c r="AH76" s="464"/>
      <c r="AI76" s="464"/>
      <c r="AJ76" s="464"/>
    </row>
    <row r="77" spans="1:36" ht="15.75" customHeight="1">
      <c r="A77" s="463"/>
      <c r="B77" s="464"/>
      <c r="C77" s="464"/>
      <c r="D77" s="464"/>
      <c r="E77" s="464"/>
      <c r="F77" s="464"/>
      <c r="G77" s="464"/>
      <c r="H77" s="464"/>
      <c r="I77" s="464"/>
      <c r="J77" s="464"/>
      <c r="K77" s="464"/>
      <c r="L77" s="464"/>
      <c r="M77" s="464"/>
      <c r="N77" s="464"/>
      <c r="O77" s="464"/>
      <c r="P77" s="464"/>
      <c r="Q77" s="464"/>
      <c r="R77" s="464"/>
      <c r="S77" s="464"/>
      <c r="T77" s="464"/>
      <c r="U77" s="464"/>
      <c r="V77" s="464"/>
      <c r="W77" s="464"/>
      <c r="X77" s="464"/>
      <c r="Y77" s="464"/>
      <c r="Z77" s="464"/>
      <c r="AA77" s="464"/>
      <c r="AB77" s="464"/>
      <c r="AC77" s="464"/>
      <c r="AD77" s="464"/>
      <c r="AE77" s="464"/>
      <c r="AF77" s="464"/>
      <c r="AG77" s="464"/>
      <c r="AH77" s="464"/>
      <c r="AI77" s="464"/>
      <c r="AJ77" s="464"/>
    </row>
    <row r="78" spans="1:36" ht="15.75" customHeight="1">
      <c r="A78" s="463"/>
      <c r="B78" s="464"/>
      <c r="C78" s="464"/>
      <c r="D78" s="464"/>
      <c r="E78" s="464"/>
      <c r="F78" s="464"/>
      <c r="G78" s="464"/>
      <c r="H78" s="464"/>
      <c r="I78" s="464"/>
      <c r="J78" s="464"/>
      <c r="K78" s="464"/>
      <c r="L78" s="464"/>
      <c r="M78" s="464"/>
      <c r="N78" s="464"/>
      <c r="O78" s="464"/>
      <c r="P78" s="464"/>
      <c r="Q78" s="464"/>
      <c r="R78" s="464"/>
      <c r="S78" s="464"/>
      <c r="T78" s="464"/>
      <c r="U78" s="464"/>
      <c r="V78" s="464"/>
      <c r="W78" s="464"/>
      <c r="X78" s="464"/>
      <c r="Y78" s="464"/>
      <c r="Z78" s="464"/>
      <c r="AA78" s="464"/>
      <c r="AB78" s="464"/>
      <c r="AC78" s="464"/>
      <c r="AD78" s="464"/>
      <c r="AE78" s="464"/>
      <c r="AF78" s="464"/>
      <c r="AG78" s="464"/>
      <c r="AH78" s="464"/>
      <c r="AI78" s="464"/>
      <c r="AJ78" s="464"/>
    </row>
    <row r="79" spans="1:36" ht="15.75" customHeight="1">
      <c r="A79" s="463"/>
      <c r="B79" s="464"/>
      <c r="C79" s="464"/>
      <c r="D79" s="464"/>
      <c r="E79" s="464"/>
      <c r="F79" s="464"/>
      <c r="G79" s="464"/>
      <c r="H79" s="464"/>
      <c r="I79" s="464"/>
      <c r="J79" s="464"/>
      <c r="K79" s="464"/>
      <c r="L79" s="464"/>
      <c r="M79" s="464"/>
      <c r="N79" s="464"/>
      <c r="O79" s="464"/>
      <c r="P79" s="464"/>
      <c r="Q79" s="464"/>
      <c r="R79" s="464"/>
      <c r="S79" s="464"/>
      <c r="T79" s="464"/>
      <c r="U79" s="464"/>
      <c r="V79" s="464"/>
      <c r="W79" s="464"/>
      <c r="X79" s="464"/>
      <c r="Y79" s="464"/>
      <c r="Z79" s="464"/>
      <c r="AA79" s="464"/>
      <c r="AB79" s="464"/>
      <c r="AC79" s="464"/>
      <c r="AD79" s="464"/>
      <c r="AE79" s="464"/>
      <c r="AF79" s="464"/>
      <c r="AG79" s="464"/>
      <c r="AH79" s="464"/>
      <c r="AI79" s="464"/>
      <c r="AJ79" s="464"/>
    </row>
    <row r="80" spans="1:36" ht="15.75" customHeight="1">
      <c r="A80" s="463"/>
      <c r="B80" s="464"/>
      <c r="C80" s="464"/>
      <c r="D80" s="464"/>
      <c r="E80" s="464"/>
      <c r="F80" s="464"/>
      <c r="G80" s="464"/>
      <c r="H80" s="464"/>
      <c r="I80" s="464"/>
      <c r="J80" s="464"/>
      <c r="K80" s="464"/>
      <c r="L80" s="464"/>
      <c r="M80" s="464"/>
      <c r="N80" s="464"/>
      <c r="O80" s="464"/>
      <c r="P80" s="464"/>
      <c r="Q80" s="464"/>
      <c r="R80" s="464"/>
      <c r="S80" s="464"/>
      <c r="T80" s="464"/>
      <c r="U80" s="464"/>
      <c r="V80" s="464"/>
      <c r="W80" s="464"/>
      <c r="X80" s="464"/>
      <c r="Y80" s="464"/>
      <c r="Z80" s="464"/>
      <c r="AA80" s="464"/>
      <c r="AB80" s="464"/>
      <c r="AC80" s="464"/>
      <c r="AD80" s="464"/>
      <c r="AE80" s="464"/>
      <c r="AF80" s="464"/>
      <c r="AG80" s="464"/>
      <c r="AH80" s="464"/>
      <c r="AI80" s="464"/>
      <c r="AJ80" s="464"/>
    </row>
    <row r="81" spans="1:36" ht="15.75" customHeight="1">
      <c r="A81" s="463"/>
      <c r="B81" s="464"/>
      <c r="C81" s="464"/>
      <c r="D81" s="464"/>
      <c r="E81" s="464"/>
      <c r="F81" s="464"/>
      <c r="G81" s="464"/>
      <c r="H81" s="464"/>
      <c r="I81" s="464"/>
      <c r="J81" s="464"/>
      <c r="K81" s="464"/>
      <c r="L81" s="464"/>
      <c r="M81" s="464"/>
      <c r="N81" s="464"/>
      <c r="O81" s="464"/>
      <c r="P81" s="464"/>
      <c r="Q81" s="464"/>
      <c r="R81" s="464"/>
      <c r="S81" s="464"/>
      <c r="T81" s="464"/>
      <c r="U81" s="464"/>
      <c r="V81" s="464"/>
      <c r="W81" s="464"/>
      <c r="X81" s="464"/>
      <c r="Y81" s="464"/>
      <c r="Z81" s="464"/>
      <c r="AA81" s="464"/>
      <c r="AB81" s="464"/>
      <c r="AC81" s="464"/>
      <c r="AD81" s="464"/>
      <c r="AE81" s="464"/>
      <c r="AF81" s="464"/>
      <c r="AG81" s="464"/>
      <c r="AH81" s="464"/>
      <c r="AI81" s="464"/>
      <c r="AJ81" s="464"/>
    </row>
    <row r="82" spans="1:36" ht="15.75" customHeight="1">
      <c r="A82" s="463"/>
      <c r="B82" s="464"/>
      <c r="C82" s="464"/>
      <c r="D82" s="464"/>
      <c r="E82" s="464"/>
      <c r="F82" s="464"/>
      <c r="G82" s="464"/>
      <c r="H82" s="464"/>
      <c r="I82" s="464"/>
      <c r="J82" s="464"/>
      <c r="K82" s="464"/>
      <c r="L82" s="464"/>
      <c r="M82" s="464"/>
      <c r="N82" s="464"/>
      <c r="O82" s="464"/>
      <c r="P82" s="464"/>
      <c r="Q82" s="464"/>
      <c r="R82" s="464"/>
      <c r="S82" s="464"/>
      <c r="T82" s="464"/>
      <c r="U82" s="464"/>
      <c r="V82" s="464"/>
      <c r="W82" s="464"/>
      <c r="X82" s="464"/>
      <c r="Y82" s="464"/>
      <c r="Z82" s="464"/>
      <c r="AA82" s="464"/>
      <c r="AB82" s="464"/>
      <c r="AC82" s="464"/>
      <c r="AD82" s="464"/>
      <c r="AE82" s="464"/>
      <c r="AF82" s="464"/>
      <c r="AG82" s="464"/>
      <c r="AH82" s="464"/>
      <c r="AI82" s="464"/>
      <c r="AJ82" s="464"/>
    </row>
    <row r="83" spans="1:36" ht="15.75" customHeight="1">
      <c r="A83" s="463"/>
      <c r="B83" s="464"/>
      <c r="C83" s="464"/>
      <c r="D83" s="464"/>
      <c r="E83" s="464"/>
      <c r="F83" s="464"/>
      <c r="G83" s="464"/>
      <c r="H83" s="464"/>
      <c r="I83" s="464"/>
      <c r="J83" s="464"/>
      <c r="K83" s="464"/>
      <c r="L83" s="464"/>
      <c r="M83" s="464"/>
      <c r="N83" s="464"/>
      <c r="O83" s="464"/>
      <c r="P83" s="464"/>
      <c r="Q83" s="464"/>
      <c r="R83" s="464"/>
      <c r="S83" s="464"/>
      <c r="T83" s="464"/>
      <c r="U83" s="464"/>
      <c r="V83" s="464"/>
      <c r="W83" s="464"/>
      <c r="X83" s="464"/>
      <c r="Y83" s="464"/>
      <c r="Z83" s="464"/>
      <c r="AA83" s="464"/>
      <c r="AB83" s="464"/>
      <c r="AC83" s="464"/>
      <c r="AD83" s="464"/>
      <c r="AE83" s="464"/>
      <c r="AF83" s="464"/>
      <c r="AG83" s="464"/>
      <c r="AH83" s="464"/>
      <c r="AI83" s="464"/>
      <c r="AJ83" s="464"/>
    </row>
    <row r="84" spans="1:36" ht="15.75" customHeight="1">
      <c r="A84" s="463"/>
      <c r="B84" s="464"/>
      <c r="C84" s="464"/>
      <c r="D84" s="464"/>
      <c r="E84" s="464"/>
      <c r="F84" s="464"/>
      <c r="G84" s="464"/>
      <c r="H84" s="464"/>
      <c r="I84" s="464"/>
      <c r="J84" s="464"/>
      <c r="K84" s="464"/>
      <c r="L84" s="464"/>
      <c r="M84" s="464"/>
      <c r="N84" s="464"/>
      <c r="O84" s="464"/>
      <c r="P84" s="464"/>
      <c r="Q84" s="464"/>
      <c r="R84" s="464"/>
      <c r="S84" s="464"/>
      <c r="T84" s="464"/>
      <c r="U84" s="464"/>
      <c r="V84" s="464"/>
      <c r="W84" s="464"/>
      <c r="X84" s="464"/>
      <c r="Y84" s="464"/>
      <c r="Z84" s="464"/>
      <c r="AA84" s="464"/>
      <c r="AB84" s="464"/>
      <c r="AC84" s="464"/>
      <c r="AD84" s="464"/>
      <c r="AE84" s="464"/>
      <c r="AF84" s="464"/>
      <c r="AG84" s="464"/>
      <c r="AH84" s="464"/>
      <c r="AI84" s="464"/>
      <c r="AJ84" s="464"/>
    </row>
    <row r="85" spans="1:36" ht="15.75" customHeight="1">
      <c r="A85" s="463"/>
      <c r="B85" s="464"/>
      <c r="C85" s="464"/>
      <c r="D85" s="464"/>
      <c r="E85" s="464"/>
      <c r="F85" s="464"/>
      <c r="G85" s="464"/>
      <c r="H85" s="464"/>
      <c r="I85" s="464"/>
      <c r="J85" s="464"/>
      <c r="K85" s="464"/>
      <c r="L85" s="464"/>
      <c r="M85" s="464"/>
      <c r="N85" s="464"/>
      <c r="O85" s="464"/>
      <c r="P85" s="464"/>
      <c r="Q85" s="464"/>
      <c r="R85" s="464"/>
      <c r="S85" s="464"/>
      <c r="T85" s="464"/>
      <c r="U85" s="464"/>
      <c r="V85" s="464"/>
      <c r="W85" s="464"/>
      <c r="X85" s="464"/>
      <c r="Y85" s="464"/>
      <c r="Z85" s="464"/>
      <c r="AA85" s="464"/>
      <c r="AB85" s="464"/>
      <c r="AC85" s="464"/>
      <c r="AD85" s="464"/>
      <c r="AE85" s="464"/>
      <c r="AF85" s="464"/>
      <c r="AG85" s="464"/>
      <c r="AH85" s="464"/>
      <c r="AI85" s="464"/>
      <c r="AJ85" s="464"/>
    </row>
    <row r="86" spans="1:36" ht="15.75" customHeight="1">
      <c r="A86" s="463"/>
      <c r="B86" s="464"/>
      <c r="C86" s="464"/>
      <c r="D86" s="464"/>
      <c r="E86" s="464"/>
      <c r="F86" s="464"/>
      <c r="G86" s="464"/>
      <c r="H86" s="464"/>
      <c r="I86" s="464"/>
      <c r="J86" s="464"/>
      <c r="K86" s="464"/>
      <c r="L86" s="464"/>
      <c r="M86" s="464"/>
      <c r="N86" s="464"/>
      <c r="O86" s="464"/>
      <c r="P86" s="464"/>
      <c r="Q86" s="464"/>
      <c r="R86" s="464"/>
      <c r="S86" s="464"/>
      <c r="T86" s="464"/>
      <c r="U86" s="464"/>
      <c r="V86" s="464"/>
      <c r="W86" s="464"/>
      <c r="X86" s="464"/>
      <c r="Y86" s="464"/>
      <c r="Z86" s="464"/>
      <c r="AA86" s="464"/>
      <c r="AB86" s="464"/>
      <c r="AC86" s="464"/>
      <c r="AD86" s="464"/>
      <c r="AE86" s="464"/>
      <c r="AF86" s="464"/>
      <c r="AG86" s="464"/>
      <c r="AH86" s="464"/>
      <c r="AI86" s="464"/>
      <c r="AJ86" s="464"/>
    </row>
    <row r="87" spans="1:36" ht="15.75" customHeight="1">
      <c r="A87" s="463"/>
      <c r="B87" s="464"/>
      <c r="C87" s="464"/>
      <c r="D87" s="464"/>
      <c r="E87" s="464"/>
      <c r="F87" s="464"/>
      <c r="G87" s="464"/>
      <c r="H87" s="464"/>
      <c r="I87" s="464"/>
      <c r="J87" s="464"/>
      <c r="K87" s="464"/>
      <c r="L87" s="464"/>
      <c r="M87" s="464"/>
      <c r="N87" s="464"/>
      <c r="O87" s="464"/>
      <c r="P87" s="464"/>
      <c r="Q87" s="464"/>
      <c r="R87" s="464"/>
      <c r="S87" s="464"/>
      <c r="T87" s="464"/>
      <c r="U87" s="464"/>
      <c r="V87" s="464"/>
      <c r="W87" s="464"/>
      <c r="X87" s="464"/>
      <c r="Y87" s="464"/>
      <c r="Z87" s="464"/>
      <c r="AA87" s="464"/>
      <c r="AB87" s="464"/>
      <c r="AC87" s="464"/>
      <c r="AD87" s="464"/>
      <c r="AE87" s="464"/>
      <c r="AF87" s="464"/>
      <c r="AG87" s="464"/>
      <c r="AH87" s="464"/>
      <c r="AI87" s="464"/>
      <c r="AJ87" s="464"/>
    </row>
    <row r="88" spans="1:36" ht="15.75" customHeight="1">
      <c r="A88" s="463"/>
      <c r="B88" s="464"/>
      <c r="C88" s="464"/>
      <c r="D88" s="464"/>
      <c r="E88" s="464"/>
      <c r="F88" s="464"/>
      <c r="G88" s="464"/>
      <c r="H88" s="464"/>
      <c r="I88" s="464"/>
      <c r="J88" s="464"/>
      <c r="K88" s="464"/>
      <c r="L88" s="464"/>
      <c r="M88" s="464"/>
      <c r="N88" s="464"/>
      <c r="O88" s="464"/>
      <c r="P88" s="464"/>
      <c r="Q88" s="464"/>
      <c r="R88" s="464"/>
      <c r="S88" s="464"/>
      <c r="T88" s="464"/>
      <c r="U88" s="464"/>
      <c r="V88" s="464"/>
      <c r="W88" s="464"/>
      <c r="X88" s="464"/>
      <c r="Y88" s="464"/>
      <c r="Z88" s="464"/>
      <c r="AA88" s="464"/>
      <c r="AB88" s="464"/>
      <c r="AC88" s="464"/>
      <c r="AD88" s="464"/>
      <c r="AE88" s="464"/>
      <c r="AF88" s="464"/>
      <c r="AG88" s="464"/>
      <c r="AH88" s="464"/>
      <c r="AI88" s="464"/>
      <c r="AJ88" s="464"/>
    </row>
    <row r="89" spans="1:36" ht="15.75" customHeight="1">
      <c r="A89" s="463"/>
      <c r="B89" s="464"/>
      <c r="C89" s="464"/>
      <c r="D89" s="464"/>
      <c r="E89" s="464"/>
      <c r="F89" s="464"/>
      <c r="G89" s="464"/>
      <c r="H89" s="464"/>
      <c r="I89" s="464"/>
      <c r="J89" s="464"/>
      <c r="K89" s="464"/>
      <c r="L89" s="464"/>
      <c r="M89" s="464"/>
      <c r="N89" s="464"/>
      <c r="O89" s="464"/>
      <c r="P89" s="464"/>
      <c r="Q89" s="464"/>
      <c r="R89" s="464"/>
      <c r="S89" s="464"/>
      <c r="T89" s="464"/>
      <c r="U89" s="464"/>
      <c r="V89" s="464"/>
      <c r="W89" s="464"/>
      <c r="X89" s="464"/>
      <c r="Y89" s="464"/>
      <c r="Z89" s="464"/>
      <c r="AA89" s="464"/>
      <c r="AB89" s="464"/>
      <c r="AC89" s="464"/>
      <c r="AD89" s="464"/>
      <c r="AE89" s="464"/>
      <c r="AF89" s="464"/>
      <c r="AG89" s="464"/>
      <c r="AH89" s="464"/>
      <c r="AI89" s="464"/>
      <c r="AJ89" s="464"/>
    </row>
    <row r="90" spans="1:36" ht="15.75" customHeight="1">
      <c r="A90" s="463"/>
      <c r="B90" s="464"/>
      <c r="C90" s="464"/>
      <c r="D90" s="464"/>
      <c r="E90" s="464"/>
      <c r="F90" s="464"/>
      <c r="G90" s="464"/>
      <c r="H90" s="464"/>
      <c r="I90" s="464"/>
      <c r="J90" s="464"/>
      <c r="K90" s="464"/>
      <c r="L90" s="464"/>
      <c r="M90" s="464"/>
      <c r="N90" s="464"/>
      <c r="O90" s="464"/>
      <c r="P90" s="464"/>
      <c r="Q90" s="464"/>
      <c r="R90" s="464"/>
      <c r="S90" s="464"/>
      <c r="T90" s="464"/>
      <c r="U90" s="464"/>
      <c r="V90" s="464"/>
      <c r="W90" s="464"/>
      <c r="X90" s="464"/>
      <c r="Y90" s="464"/>
      <c r="Z90" s="464"/>
      <c r="AA90" s="464"/>
      <c r="AB90" s="464"/>
      <c r="AC90" s="464"/>
      <c r="AD90" s="464"/>
      <c r="AE90" s="464"/>
      <c r="AF90" s="464"/>
      <c r="AG90" s="464"/>
      <c r="AH90" s="464"/>
      <c r="AI90" s="464"/>
      <c r="AJ90" s="464"/>
    </row>
    <row r="91" spans="1:36" ht="15.75" customHeight="1">
      <c r="A91" s="463"/>
      <c r="B91" s="464"/>
      <c r="C91" s="464"/>
      <c r="D91" s="464"/>
      <c r="E91" s="464"/>
      <c r="F91" s="464"/>
      <c r="G91" s="464"/>
      <c r="H91" s="464"/>
      <c r="I91" s="464"/>
      <c r="J91" s="464"/>
      <c r="K91" s="464"/>
      <c r="L91" s="464"/>
      <c r="M91" s="464"/>
      <c r="N91" s="464"/>
      <c r="O91" s="464"/>
      <c r="P91" s="464"/>
      <c r="Q91" s="464"/>
      <c r="R91" s="464"/>
      <c r="S91" s="464"/>
      <c r="T91" s="464"/>
      <c r="U91" s="464"/>
      <c r="V91" s="464"/>
      <c r="W91" s="464"/>
      <c r="X91" s="464"/>
      <c r="Y91" s="464"/>
      <c r="Z91" s="464"/>
      <c r="AA91" s="464"/>
      <c r="AB91" s="464"/>
      <c r="AC91" s="464"/>
      <c r="AD91" s="464"/>
      <c r="AE91" s="464"/>
      <c r="AF91" s="464"/>
      <c r="AG91" s="464"/>
      <c r="AH91" s="464"/>
      <c r="AI91" s="464"/>
      <c r="AJ91" s="464"/>
    </row>
    <row r="92" spans="1:36" ht="15.75" customHeight="1">
      <c r="A92" s="463"/>
      <c r="B92" s="464"/>
      <c r="C92" s="464"/>
      <c r="D92" s="464"/>
      <c r="E92" s="464"/>
      <c r="F92" s="464"/>
      <c r="G92" s="464"/>
      <c r="H92" s="464"/>
      <c r="I92" s="464"/>
      <c r="J92" s="464"/>
      <c r="K92" s="464"/>
      <c r="L92" s="464"/>
      <c r="M92" s="464"/>
      <c r="N92" s="464"/>
      <c r="O92" s="464"/>
      <c r="P92" s="464"/>
      <c r="Q92" s="464"/>
      <c r="R92" s="464"/>
      <c r="S92" s="464"/>
      <c r="T92" s="464"/>
      <c r="U92" s="464"/>
      <c r="V92" s="464"/>
      <c r="W92" s="464"/>
      <c r="X92" s="464"/>
      <c r="Y92" s="464"/>
      <c r="Z92" s="464"/>
      <c r="AA92" s="464"/>
      <c r="AB92" s="464"/>
      <c r="AC92" s="464"/>
      <c r="AD92" s="464"/>
      <c r="AE92" s="464"/>
      <c r="AF92" s="464"/>
      <c r="AG92" s="464"/>
      <c r="AH92" s="464"/>
      <c r="AI92" s="464"/>
      <c r="AJ92" s="464"/>
    </row>
    <row r="93" spans="1:36" ht="15.75" customHeight="1">
      <c r="A93" s="463"/>
      <c r="B93" s="464"/>
      <c r="C93" s="464"/>
      <c r="D93" s="464"/>
      <c r="E93" s="464"/>
      <c r="F93" s="464"/>
      <c r="G93" s="464"/>
      <c r="H93" s="464"/>
      <c r="I93" s="464"/>
      <c r="J93" s="464"/>
      <c r="K93" s="464"/>
      <c r="L93" s="464"/>
      <c r="M93" s="464"/>
      <c r="N93" s="464"/>
      <c r="O93" s="464"/>
      <c r="P93" s="464"/>
      <c r="Q93" s="464"/>
      <c r="R93" s="464"/>
      <c r="S93" s="464"/>
      <c r="T93" s="464"/>
      <c r="U93" s="464"/>
      <c r="V93" s="464"/>
      <c r="W93" s="464"/>
      <c r="X93" s="464"/>
      <c r="Y93" s="464"/>
      <c r="Z93" s="464"/>
      <c r="AA93" s="464"/>
      <c r="AB93" s="464"/>
      <c r="AC93" s="464"/>
      <c r="AD93" s="464"/>
      <c r="AE93" s="464"/>
      <c r="AF93" s="464"/>
      <c r="AG93" s="464"/>
      <c r="AH93" s="464"/>
      <c r="AI93" s="464"/>
      <c r="AJ93" s="464"/>
    </row>
    <row r="94" spans="1:36" ht="15.75" customHeight="1">
      <c r="A94" s="463"/>
      <c r="B94" s="464"/>
      <c r="C94" s="464"/>
      <c r="D94" s="464"/>
      <c r="E94" s="464"/>
      <c r="F94" s="464"/>
      <c r="G94" s="464"/>
      <c r="H94" s="464"/>
      <c r="I94" s="464"/>
      <c r="J94" s="464"/>
      <c r="K94" s="464"/>
      <c r="L94" s="464"/>
      <c r="M94" s="464"/>
      <c r="N94" s="464"/>
      <c r="O94" s="464"/>
      <c r="P94" s="464"/>
      <c r="Q94" s="464"/>
      <c r="R94" s="464"/>
      <c r="S94" s="464"/>
      <c r="T94" s="464"/>
      <c r="U94" s="464"/>
      <c r="V94" s="464"/>
      <c r="W94" s="464"/>
      <c r="X94" s="464"/>
      <c r="Y94" s="464"/>
      <c r="Z94" s="464"/>
      <c r="AA94" s="464"/>
      <c r="AB94" s="464"/>
      <c r="AC94" s="464"/>
      <c r="AD94" s="464"/>
      <c r="AE94" s="464"/>
      <c r="AF94" s="464"/>
      <c r="AG94" s="464"/>
      <c r="AH94" s="464"/>
      <c r="AI94" s="464"/>
      <c r="AJ94" s="464"/>
    </row>
    <row r="95" spans="1:36" ht="15.75" customHeight="1">
      <c r="A95" s="463"/>
      <c r="B95" s="464"/>
      <c r="C95" s="464"/>
      <c r="D95" s="464"/>
      <c r="E95" s="464"/>
      <c r="F95" s="464"/>
      <c r="G95" s="464"/>
      <c r="H95" s="464"/>
      <c r="I95" s="464"/>
      <c r="J95" s="464"/>
      <c r="K95" s="464"/>
      <c r="L95" s="464"/>
      <c r="M95" s="464"/>
      <c r="N95" s="464"/>
      <c r="O95" s="464"/>
      <c r="P95" s="464"/>
      <c r="Q95" s="464"/>
      <c r="R95" s="464"/>
      <c r="S95" s="464"/>
      <c r="T95" s="464"/>
      <c r="U95" s="464"/>
      <c r="V95" s="464"/>
      <c r="W95" s="464"/>
      <c r="X95" s="464"/>
      <c r="Y95" s="464"/>
      <c r="Z95" s="464"/>
      <c r="AA95" s="464"/>
      <c r="AB95" s="464"/>
      <c r="AC95" s="464"/>
      <c r="AD95" s="464"/>
      <c r="AE95" s="464"/>
      <c r="AF95" s="464"/>
      <c r="AG95" s="464"/>
      <c r="AH95" s="464"/>
      <c r="AI95" s="464"/>
      <c r="AJ95" s="464"/>
    </row>
    <row r="96" spans="1:36" ht="15.75" customHeight="1">
      <c r="A96" s="463"/>
      <c r="B96" s="464"/>
      <c r="C96" s="464"/>
      <c r="D96" s="464"/>
      <c r="E96" s="464"/>
      <c r="F96" s="464"/>
      <c r="G96" s="464"/>
      <c r="H96" s="464"/>
      <c r="I96" s="464"/>
      <c r="J96" s="464"/>
      <c r="K96" s="464"/>
      <c r="L96" s="464"/>
      <c r="M96" s="464"/>
      <c r="N96" s="464"/>
      <c r="O96" s="464"/>
      <c r="P96" s="464"/>
      <c r="Q96" s="464"/>
      <c r="R96" s="464"/>
      <c r="S96" s="464"/>
      <c r="T96" s="464"/>
      <c r="U96" s="464"/>
      <c r="V96" s="464"/>
      <c r="W96" s="464"/>
      <c r="X96" s="464"/>
      <c r="Y96" s="464"/>
      <c r="Z96" s="464"/>
      <c r="AA96" s="464"/>
      <c r="AB96" s="464"/>
      <c r="AC96" s="464"/>
      <c r="AD96" s="464"/>
      <c r="AE96" s="464"/>
      <c r="AF96" s="464"/>
      <c r="AG96" s="464"/>
      <c r="AH96" s="464"/>
      <c r="AI96" s="464"/>
      <c r="AJ96" s="464"/>
    </row>
    <row r="97" spans="1:36" ht="15.75" customHeight="1">
      <c r="A97" s="463"/>
      <c r="B97" s="464"/>
      <c r="C97" s="464"/>
      <c r="D97" s="464"/>
      <c r="E97" s="464"/>
      <c r="F97" s="464"/>
      <c r="G97" s="464"/>
      <c r="H97" s="464"/>
      <c r="I97" s="464"/>
      <c r="J97" s="464"/>
      <c r="K97" s="464"/>
      <c r="L97" s="464"/>
      <c r="M97" s="464"/>
      <c r="N97" s="464"/>
      <c r="O97" s="464"/>
      <c r="P97" s="464"/>
      <c r="Q97" s="464"/>
      <c r="R97" s="464"/>
      <c r="S97" s="464"/>
      <c r="T97" s="464"/>
      <c r="U97" s="464"/>
      <c r="V97" s="464"/>
      <c r="W97" s="464"/>
      <c r="X97" s="464"/>
      <c r="Y97" s="464"/>
      <c r="Z97" s="464"/>
      <c r="AA97" s="464"/>
      <c r="AB97" s="464"/>
      <c r="AC97" s="464"/>
      <c r="AD97" s="464"/>
      <c r="AE97" s="464"/>
      <c r="AF97" s="464"/>
      <c r="AG97" s="464"/>
      <c r="AH97" s="464"/>
      <c r="AI97" s="464"/>
      <c r="AJ97" s="464"/>
    </row>
    <row r="98" spans="1:36" ht="15.75" customHeight="1">
      <c r="A98" s="463"/>
      <c r="B98" s="464"/>
      <c r="C98" s="464"/>
      <c r="D98" s="464"/>
      <c r="E98" s="464"/>
      <c r="F98" s="464"/>
      <c r="G98" s="464"/>
      <c r="H98" s="464"/>
      <c r="I98" s="464"/>
      <c r="J98" s="464"/>
      <c r="K98" s="464"/>
      <c r="L98" s="464"/>
      <c r="M98" s="464"/>
      <c r="N98" s="464"/>
      <c r="O98" s="464"/>
      <c r="P98" s="464"/>
      <c r="Q98" s="464"/>
      <c r="R98" s="464"/>
      <c r="S98" s="464"/>
      <c r="T98" s="464"/>
      <c r="U98" s="464"/>
      <c r="V98" s="464"/>
      <c r="W98" s="464"/>
      <c r="X98" s="464"/>
      <c r="Y98" s="464"/>
      <c r="Z98" s="464"/>
      <c r="AA98" s="464"/>
      <c r="AB98" s="464"/>
      <c r="AC98" s="464"/>
      <c r="AD98" s="464"/>
      <c r="AE98" s="464"/>
      <c r="AF98" s="464"/>
      <c r="AG98" s="464"/>
      <c r="AH98" s="464"/>
      <c r="AI98" s="464"/>
      <c r="AJ98" s="464"/>
    </row>
    <row r="99" spans="1:36" ht="15.75" customHeight="1">
      <c r="A99" s="463"/>
      <c r="B99" s="464"/>
      <c r="C99" s="464"/>
      <c r="D99" s="464"/>
      <c r="E99" s="464"/>
      <c r="F99" s="464"/>
      <c r="G99" s="464"/>
      <c r="H99" s="464"/>
      <c r="I99" s="464"/>
      <c r="J99" s="464"/>
      <c r="K99" s="464"/>
      <c r="L99" s="464"/>
      <c r="M99" s="464"/>
      <c r="N99" s="464"/>
      <c r="O99" s="464"/>
      <c r="P99" s="464"/>
      <c r="Q99" s="464"/>
      <c r="R99" s="464"/>
      <c r="S99" s="464"/>
      <c r="T99" s="464"/>
      <c r="U99" s="464"/>
      <c r="V99" s="464"/>
      <c r="W99" s="464"/>
      <c r="X99" s="464"/>
      <c r="Y99" s="464"/>
      <c r="Z99" s="464"/>
      <c r="AA99" s="464"/>
      <c r="AB99" s="464"/>
      <c r="AC99" s="464"/>
      <c r="AD99" s="464"/>
      <c r="AE99" s="464"/>
      <c r="AF99" s="464"/>
      <c r="AG99" s="464"/>
      <c r="AH99" s="464"/>
      <c r="AI99" s="464"/>
      <c r="AJ99" s="464"/>
    </row>
    <row r="100" spans="1:36" ht="15.75" customHeight="1">
      <c r="A100" s="463"/>
      <c r="B100" s="464"/>
      <c r="C100" s="464"/>
      <c r="D100" s="464"/>
      <c r="E100" s="464"/>
      <c r="F100" s="464"/>
      <c r="G100" s="464"/>
      <c r="H100" s="464"/>
      <c r="I100" s="464"/>
      <c r="J100" s="464"/>
      <c r="K100" s="464"/>
      <c r="L100" s="464"/>
      <c r="M100" s="464"/>
      <c r="N100" s="464"/>
      <c r="O100" s="464"/>
      <c r="P100" s="464"/>
      <c r="Q100" s="464"/>
      <c r="R100" s="464"/>
      <c r="S100" s="464"/>
      <c r="T100" s="464"/>
      <c r="U100" s="464"/>
      <c r="V100" s="464"/>
      <c r="W100" s="464"/>
      <c r="X100" s="464"/>
      <c r="Y100" s="464"/>
      <c r="Z100" s="464"/>
      <c r="AA100" s="464"/>
      <c r="AB100" s="464"/>
      <c r="AC100" s="464"/>
      <c r="AD100" s="464"/>
      <c r="AE100" s="464"/>
      <c r="AF100" s="464"/>
      <c r="AG100" s="464"/>
      <c r="AH100" s="464"/>
      <c r="AI100" s="464"/>
      <c r="AJ100" s="464"/>
    </row>
    <row r="101" spans="1:36" ht="15.75" customHeight="1">
      <c r="A101" s="463"/>
      <c r="B101" s="464"/>
      <c r="C101" s="464"/>
      <c r="D101" s="464"/>
      <c r="E101" s="464"/>
      <c r="F101" s="464"/>
      <c r="G101" s="464"/>
      <c r="H101" s="464"/>
      <c r="I101" s="464"/>
      <c r="J101" s="464"/>
      <c r="K101" s="464"/>
      <c r="L101" s="464"/>
      <c r="M101" s="464"/>
      <c r="N101" s="464"/>
      <c r="O101" s="464"/>
      <c r="P101" s="464"/>
      <c r="Q101" s="464"/>
      <c r="R101" s="464"/>
      <c r="S101" s="464"/>
      <c r="T101" s="464"/>
      <c r="U101" s="464"/>
      <c r="V101" s="464"/>
      <c r="W101" s="464"/>
      <c r="X101" s="464"/>
      <c r="Y101" s="464"/>
      <c r="Z101" s="464"/>
      <c r="AA101" s="464"/>
      <c r="AB101" s="464"/>
      <c r="AC101" s="464"/>
      <c r="AD101" s="464"/>
      <c r="AE101" s="464"/>
      <c r="AF101" s="464"/>
      <c r="AG101" s="464"/>
      <c r="AH101" s="464"/>
      <c r="AI101" s="464"/>
      <c r="AJ101" s="464"/>
    </row>
    <row r="102" spans="1:36" ht="15.75" customHeight="1">
      <c r="A102" s="463"/>
      <c r="B102" s="464"/>
      <c r="C102" s="464"/>
      <c r="D102" s="464"/>
      <c r="E102" s="464"/>
      <c r="F102" s="464"/>
      <c r="G102" s="464"/>
      <c r="H102" s="464"/>
      <c r="I102" s="464"/>
      <c r="J102" s="464"/>
      <c r="K102" s="464"/>
      <c r="L102" s="464"/>
      <c r="M102" s="464"/>
      <c r="N102" s="464"/>
      <c r="O102" s="464"/>
      <c r="P102" s="464"/>
      <c r="Q102" s="464"/>
      <c r="R102" s="464"/>
      <c r="S102" s="464"/>
      <c r="T102" s="464"/>
      <c r="U102" s="464"/>
      <c r="V102" s="464"/>
      <c r="W102" s="464"/>
      <c r="X102" s="464"/>
      <c r="Y102" s="464"/>
      <c r="Z102" s="464"/>
      <c r="AA102" s="464"/>
      <c r="AB102" s="464"/>
      <c r="AC102" s="464"/>
      <c r="AD102" s="464"/>
      <c r="AE102" s="464"/>
      <c r="AF102" s="464"/>
      <c r="AG102" s="464"/>
      <c r="AH102" s="464"/>
      <c r="AI102" s="464"/>
      <c r="AJ102" s="464"/>
    </row>
    <row r="103" spans="1:36" ht="15.75" customHeight="1">
      <c r="A103" s="463"/>
      <c r="B103" s="464"/>
      <c r="C103" s="464"/>
      <c r="D103" s="464"/>
      <c r="E103" s="464"/>
      <c r="F103" s="464"/>
      <c r="G103" s="464"/>
      <c r="H103" s="464"/>
      <c r="I103" s="464"/>
      <c r="J103" s="464"/>
      <c r="K103" s="464"/>
      <c r="L103" s="464"/>
      <c r="M103" s="464"/>
      <c r="N103" s="464"/>
      <c r="O103" s="464"/>
      <c r="P103" s="464"/>
      <c r="Q103" s="464"/>
      <c r="R103" s="464"/>
      <c r="S103" s="464"/>
      <c r="T103" s="464"/>
      <c r="U103" s="464"/>
      <c r="V103" s="464"/>
      <c r="W103" s="464"/>
      <c r="X103" s="464"/>
      <c r="Y103" s="464"/>
      <c r="Z103" s="464"/>
      <c r="AA103" s="464"/>
      <c r="AB103" s="464"/>
      <c r="AC103" s="464"/>
      <c r="AD103" s="464"/>
      <c r="AE103" s="464"/>
      <c r="AF103" s="464"/>
      <c r="AG103" s="464"/>
      <c r="AH103" s="464"/>
      <c r="AI103" s="464"/>
      <c r="AJ103" s="464"/>
    </row>
    <row r="104" spans="1:36" ht="15.75" customHeight="1">
      <c r="A104" s="463"/>
      <c r="B104" s="464"/>
      <c r="C104" s="464"/>
      <c r="D104" s="464"/>
      <c r="E104" s="464"/>
      <c r="F104" s="464"/>
      <c r="G104" s="464"/>
      <c r="H104" s="464"/>
      <c r="I104" s="464"/>
      <c r="J104" s="464"/>
      <c r="K104" s="464"/>
      <c r="L104" s="464"/>
      <c r="M104" s="464"/>
      <c r="N104" s="464"/>
      <c r="O104" s="464"/>
      <c r="P104" s="464"/>
      <c r="Q104" s="464"/>
      <c r="R104" s="464"/>
      <c r="S104" s="464"/>
      <c r="T104" s="464"/>
      <c r="U104" s="464"/>
      <c r="V104" s="464"/>
      <c r="W104" s="464"/>
      <c r="X104" s="464"/>
      <c r="Y104" s="464"/>
      <c r="Z104" s="464"/>
      <c r="AA104" s="464"/>
      <c r="AB104" s="464"/>
      <c r="AC104" s="464"/>
      <c r="AD104" s="464"/>
      <c r="AE104" s="464"/>
      <c r="AF104" s="464"/>
      <c r="AG104" s="464"/>
      <c r="AH104" s="464"/>
      <c r="AI104" s="464"/>
      <c r="AJ104" s="464"/>
    </row>
    <row r="105" spans="1:36" ht="15.75" customHeight="1">
      <c r="A105" s="463"/>
      <c r="B105" s="464"/>
      <c r="C105" s="464"/>
      <c r="D105" s="464"/>
      <c r="E105" s="464"/>
      <c r="F105" s="464"/>
      <c r="G105" s="464"/>
      <c r="H105" s="464"/>
      <c r="I105" s="464"/>
      <c r="J105" s="464"/>
      <c r="K105" s="464"/>
      <c r="L105" s="464"/>
      <c r="M105" s="464"/>
      <c r="N105" s="464"/>
      <c r="O105" s="464"/>
      <c r="P105" s="464"/>
      <c r="Q105" s="464"/>
      <c r="R105" s="464"/>
      <c r="S105" s="464"/>
      <c r="T105" s="464"/>
      <c r="U105" s="464"/>
      <c r="V105" s="464"/>
      <c r="W105" s="464"/>
      <c r="X105" s="464"/>
      <c r="Y105" s="464"/>
      <c r="Z105" s="464"/>
      <c r="AA105" s="464"/>
      <c r="AB105" s="464"/>
      <c r="AC105" s="464"/>
      <c r="AD105" s="464"/>
      <c r="AE105" s="464"/>
      <c r="AF105" s="464"/>
      <c r="AG105" s="464"/>
      <c r="AH105" s="464"/>
      <c r="AI105" s="464"/>
      <c r="AJ105" s="464"/>
    </row>
    <row r="106" spans="1:36" ht="15.75" customHeight="1">
      <c r="A106" s="463"/>
      <c r="B106" s="464"/>
      <c r="C106" s="464"/>
      <c r="D106" s="464"/>
      <c r="E106" s="464"/>
      <c r="F106" s="464"/>
      <c r="G106" s="464"/>
      <c r="H106" s="464"/>
      <c r="I106" s="464"/>
      <c r="J106" s="464"/>
      <c r="K106" s="464"/>
      <c r="L106" s="464"/>
      <c r="M106" s="464"/>
      <c r="N106" s="464"/>
      <c r="O106" s="464"/>
      <c r="P106" s="464"/>
      <c r="Q106" s="464"/>
      <c r="R106" s="464"/>
      <c r="S106" s="464"/>
      <c r="T106" s="464"/>
      <c r="U106" s="464"/>
      <c r="V106" s="464"/>
      <c r="W106" s="464"/>
      <c r="X106" s="464"/>
      <c r="Y106" s="464"/>
      <c r="Z106" s="464"/>
      <c r="AA106" s="464"/>
      <c r="AB106" s="464"/>
      <c r="AC106" s="464"/>
      <c r="AD106" s="464"/>
      <c r="AE106" s="464"/>
      <c r="AF106" s="464"/>
      <c r="AG106" s="464"/>
      <c r="AH106" s="464"/>
      <c r="AI106" s="464"/>
      <c r="AJ106" s="464"/>
    </row>
    <row r="107" spans="1:36" ht="15.75" customHeight="1">
      <c r="A107" s="463"/>
      <c r="B107" s="464"/>
      <c r="C107" s="464"/>
      <c r="D107" s="464"/>
      <c r="E107" s="464"/>
      <c r="F107" s="464"/>
      <c r="G107" s="464"/>
      <c r="H107" s="464"/>
      <c r="I107" s="464"/>
      <c r="J107" s="464"/>
      <c r="K107" s="464"/>
      <c r="L107" s="464"/>
      <c r="M107" s="464"/>
      <c r="N107" s="464"/>
      <c r="O107" s="464"/>
      <c r="P107" s="464"/>
      <c r="Q107" s="464"/>
      <c r="R107" s="464"/>
      <c r="S107" s="464"/>
      <c r="T107" s="464"/>
      <c r="U107" s="464"/>
      <c r="V107" s="464"/>
      <c r="W107" s="464"/>
      <c r="X107" s="464"/>
      <c r="Y107" s="464"/>
      <c r="Z107" s="464"/>
      <c r="AA107" s="464"/>
      <c r="AB107" s="464"/>
      <c r="AC107" s="464"/>
      <c r="AD107" s="464"/>
      <c r="AE107" s="464"/>
      <c r="AF107" s="464"/>
      <c r="AG107" s="464"/>
      <c r="AH107" s="464"/>
      <c r="AI107" s="464"/>
      <c r="AJ107" s="464"/>
    </row>
    <row r="108" spans="1:36" ht="15.75" customHeight="1">
      <c r="A108" s="463"/>
      <c r="B108" s="464"/>
      <c r="C108" s="464"/>
      <c r="D108" s="464"/>
      <c r="E108" s="464"/>
      <c r="F108" s="464"/>
      <c r="G108" s="464"/>
      <c r="H108" s="464"/>
      <c r="I108" s="464"/>
      <c r="J108" s="464"/>
      <c r="K108" s="464"/>
      <c r="L108" s="464"/>
      <c r="M108" s="464"/>
      <c r="N108" s="464"/>
      <c r="O108" s="464"/>
      <c r="P108" s="464"/>
      <c r="Q108" s="464"/>
      <c r="R108" s="464"/>
      <c r="S108" s="464"/>
      <c r="T108" s="464"/>
      <c r="U108" s="464"/>
      <c r="V108" s="464"/>
      <c r="W108" s="464"/>
      <c r="X108" s="464"/>
      <c r="Y108" s="464"/>
      <c r="Z108" s="464"/>
      <c r="AA108" s="464"/>
      <c r="AB108" s="464"/>
      <c r="AC108" s="464"/>
      <c r="AD108" s="464"/>
      <c r="AE108" s="464"/>
      <c r="AF108" s="464"/>
      <c r="AG108" s="464"/>
      <c r="AH108" s="464"/>
      <c r="AI108" s="464"/>
      <c r="AJ108" s="464"/>
    </row>
    <row r="109" spans="1:36" ht="15.75" customHeight="1">
      <c r="A109" s="463"/>
      <c r="B109" s="464"/>
      <c r="C109" s="464"/>
      <c r="D109" s="464"/>
      <c r="E109" s="464"/>
      <c r="F109" s="464"/>
      <c r="G109" s="464"/>
      <c r="H109" s="464"/>
      <c r="I109" s="464"/>
      <c r="J109" s="464"/>
      <c r="K109" s="464"/>
      <c r="L109" s="464"/>
      <c r="M109" s="464"/>
      <c r="N109" s="464"/>
      <c r="O109" s="464"/>
      <c r="P109" s="464"/>
      <c r="Q109" s="464"/>
      <c r="R109" s="464"/>
      <c r="S109" s="464"/>
      <c r="T109" s="464"/>
      <c r="U109" s="464"/>
      <c r="V109" s="464"/>
      <c r="W109" s="464"/>
      <c r="X109" s="464"/>
      <c r="Y109" s="464"/>
      <c r="Z109" s="464"/>
      <c r="AA109" s="464"/>
      <c r="AB109" s="464"/>
      <c r="AC109" s="464"/>
      <c r="AD109" s="464"/>
      <c r="AE109" s="464"/>
      <c r="AF109" s="464"/>
      <c r="AG109" s="464"/>
      <c r="AH109" s="464"/>
      <c r="AI109" s="464"/>
      <c r="AJ109" s="464"/>
    </row>
    <row r="110" spans="1:36" ht="15.75" customHeight="1">
      <c r="A110" s="463"/>
      <c r="B110" s="464"/>
      <c r="C110" s="464"/>
      <c r="D110" s="464"/>
      <c r="E110" s="464"/>
      <c r="F110" s="464"/>
      <c r="G110" s="464"/>
      <c r="H110" s="464"/>
      <c r="I110" s="464"/>
      <c r="J110" s="464"/>
      <c r="K110" s="464"/>
      <c r="L110" s="464"/>
      <c r="M110" s="464"/>
      <c r="N110" s="464"/>
      <c r="O110" s="464"/>
      <c r="P110" s="464"/>
      <c r="Q110" s="464"/>
      <c r="R110" s="464"/>
      <c r="S110" s="464"/>
      <c r="T110" s="464"/>
      <c r="U110" s="464"/>
      <c r="V110" s="464"/>
      <c r="W110" s="464"/>
      <c r="X110" s="464"/>
      <c r="Y110" s="464"/>
      <c r="Z110" s="464"/>
      <c r="AA110" s="464"/>
      <c r="AB110" s="464"/>
      <c r="AC110" s="464"/>
      <c r="AD110" s="464"/>
      <c r="AE110" s="464"/>
      <c r="AF110" s="464"/>
      <c r="AG110" s="464"/>
      <c r="AH110" s="464"/>
      <c r="AI110" s="464"/>
      <c r="AJ110" s="464"/>
    </row>
    <row r="111" spans="1:36" ht="15.75" customHeight="1">
      <c r="A111" s="463"/>
      <c r="B111" s="464"/>
      <c r="C111" s="464"/>
      <c r="D111" s="464"/>
      <c r="E111" s="464"/>
      <c r="F111" s="464"/>
      <c r="G111" s="464"/>
      <c r="H111" s="464"/>
      <c r="I111" s="464"/>
      <c r="J111" s="464"/>
      <c r="K111" s="464"/>
      <c r="L111" s="464"/>
      <c r="M111" s="464"/>
      <c r="N111" s="464"/>
      <c r="O111" s="464"/>
      <c r="P111" s="464"/>
      <c r="Q111" s="464"/>
      <c r="R111" s="464"/>
      <c r="S111" s="464"/>
      <c r="T111" s="464"/>
      <c r="U111" s="464"/>
      <c r="V111" s="464"/>
      <c r="W111" s="464"/>
      <c r="X111" s="464"/>
      <c r="Y111" s="464"/>
      <c r="Z111" s="464"/>
      <c r="AA111" s="464"/>
      <c r="AB111" s="464"/>
      <c r="AC111" s="464"/>
      <c r="AD111" s="464"/>
      <c r="AE111" s="464"/>
      <c r="AF111" s="464"/>
      <c r="AG111" s="464"/>
      <c r="AH111" s="464"/>
      <c r="AI111" s="464"/>
      <c r="AJ111" s="464"/>
    </row>
    <row r="112" spans="1:36" ht="15.75" customHeight="1">
      <c r="A112" s="463"/>
      <c r="B112" s="464"/>
      <c r="C112" s="464"/>
      <c r="D112" s="464"/>
      <c r="E112" s="464"/>
      <c r="F112" s="464"/>
      <c r="G112" s="464"/>
      <c r="H112" s="464"/>
      <c r="I112" s="464"/>
      <c r="J112" s="464"/>
      <c r="K112" s="464"/>
      <c r="L112" s="464"/>
      <c r="M112" s="464"/>
      <c r="N112" s="464"/>
      <c r="O112" s="464"/>
      <c r="P112" s="464"/>
      <c r="Q112" s="464"/>
      <c r="R112" s="464"/>
      <c r="S112" s="464"/>
      <c r="T112" s="464"/>
      <c r="U112" s="464"/>
      <c r="V112" s="464"/>
      <c r="W112" s="464"/>
      <c r="X112" s="464"/>
      <c r="Y112" s="464"/>
      <c r="Z112" s="464"/>
      <c r="AA112" s="464"/>
      <c r="AB112" s="464"/>
      <c r="AC112" s="464"/>
      <c r="AD112" s="464"/>
      <c r="AE112" s="464"/>
      <c r="AF112" s="464"/>
      <c r="AG112" s="464"/>
      <c r="AH112" s="464"/>
      <c r="AI112" s="464"/>
      <c r="AJ112" s="464"/>
    </row>
    <row r="113" spans="1:36" ht="15.75" customHeight="1">
      <c r="A113" s="463"/>
      <c r="B113" s="464"/>
      <c r="C113" s="464"/>
      <c r="D113" s="464"/>
      <c r="E113" s="464"/>
      <c r="F113" s="464"/>
      <c r="G113" s="464"/>
      <c r="H113" s="464"/>
      <c r="I113" s="464"/>
      <c r="J113" s="464"/>
      <c r="K113" s="464"/>
      <c r="L113" s="464"/>
      <c r="M113" s="464"/>
      <c r="N113" s="464"/>
      <c r="O113" s="464"/>
      <c r="P113" s="464"/>
      <c r="Q113" s="464"/>
      <c r="R113" s="464"/>
      <c r="S113" s="464"/>
      <c r="T113" s="464"/>
      <c r="U113" s="464"/>
      <c r="V113" s="464"/>
      <c r="W113" s="464"/>
      <c r="X113" s="464"/>
      <c r="Y113" s="464"/>
      <c r="Z113" s="464"/>
      <c r="AA113" s="464"/>
      <c r="AB113" s="464"/>
      <c r="AC113" s="464"/>
      <c r="AD113" s="464"/>
      <c r="AE113" s="464"/>
      <c r="AF113" s="464"/>
      <c r="AG113" s="464"/>
      <c r="AH113" s="464"/>
      <c r="AI113" s="464"/>
      <c r="AJ113" s="464"/>
    </row>
    <row r="114" spans="1:36" ht="15.75" customHeight="1">
      <c r="A114" s="463"/>
      <c r="B114" s="464"/>
      <c r="C114" s="464"/>
      <c r="D114" s="464"/>
      <c r="E114" s="464"/>
      <c r="F114" s="464"/>
      <c r="G114" s="464"/>
      <c r="H114" s="464"/>
      <c r="I114" s="464"/>
      <c r="J114" s="464"/>
      <c r="K114" s="464"/>
      <c r="L114" s="464"/>
      <c r="M114" s="464"/>
      <c r="N114" s="464"/>
      <c r="O114" s="464"/>
      <c r="P114" s="464"/>
      <c r="Q114" s="464"/>
      <c r="R114" s="464"/>
      <c r="S114" s="464"/>
      <c r="T114" s="464"/>
      <c r="U114" s="464"/>
      <c r="V114" s="464"/>
      <c r="W114" s="464"/>
      <c r="X114" s="464"/>
      <c r="Y114" s="464"/>
      <c r="Z114" s="464"/>
      <c r="AA114" s="464"/>
      <c r="AB114" s="464"/>
      <c r="AC114" s="464"/>
      <c r="AD114" s="464"/>
      <c r="AE114" s="464"/>
      <c r="AF114" s="464"/>
      <c r="AG114" s="464"/>
      <c r="AH114" s="464"/>
      <c r="AI114" s="464"/>
      <c r="AJ114" s="464"/>
    </row>
    <row r="115" spans="1:36" ht="15.75" customHeight="1">
      <c r="A115" s="463"/>
      <c r="B115" s="464"/>
      <c r="C115" s="464"/>
      <c r="D115" s="464"/>
      <c r="E115" s="464"/>
      <c r="F115" s="464"/>
      <c r="G115" s="464"/>
      <c r="H115" s="464"/>
      <c r="I115" s="464"/>
      <c r="J115" s="464"/>
      <c r="K115" s="464"/>
      <c r="L115" s="464"/>
      <c r="M115" s="464"/>
      <c r="N115" s="464"/>
      <c r="O115" s="464"/>
      <c r="P115" s="464"/>
      <c r="Q115" s="464"/>
      <c r="R115" s="464"/>
      <c r="S115" s="464"/>
      <c r="T115" s="464"/>
      <c r="U115" s="464"/>
      <c r="V115" s="464"/>
      <c r="W115" s="464"/>
      <c r="X115" s="464"/>
      <c r="Y115" s="464"/>
      <c r="Z115" s="464"/>
      <c r="AA115" s="464"/>
      <c r="AB115" s="464"/>
      <c r="AC115" s="464"/>
      <c r="AD115" s="464"/>
      <c r="AE115" s="464"/>
      <c r="AF115" s="464"/>
      <c r="AG115" s="464"/>
      <c r="AH115" s="464"/>
      <c r="AI115" s="464"/>
      <c r="AJ115" s="464"/>
    </row>
    <row r="116" spans="1:36" ht="15.75" customHeight="1">
      <c r="A116" s="463"/>
      <c r="B116" s="464"/>
      <c r="C116" s="464"/>
      <c r="D116" s="464"/>
      <c r="E116" s="464"/>
      <c r="F116" s="464"/>
      <c r="G116" s="464"/>
      <c r="H116" s="464"/>
      <c r="I116" s="464"/>
      <c r="J116" s="464"/>
      <c r="K116" s="464"/>
      <c r="L116" s="464"/>
      <c r="M116" s="464"/>
      <c r="N116" s="464"/>
      <c r="O116" s="464"/>
      <c r="P116" s="464"/>
      <c r="Q116" s="464"/>
      <c r="R116" s="464"/>
      <c r="S116" s="464"/>
      <c r="T116" s="464"/>
      <c r="U116" s="464"/>
      <c r="V116" s="464"/>
      <c r="W116" s="464"/>
      <c r="X116" s="464"/>
      <c r="Y116" s="464"/>
      <c r="Z116" s="464"/>
      <c r="AA116" s="464"/>
      <c r="AB116" s="464"/>
      <c r="AC116" s="464"/>
      <c r="AD116" s="464"/>
      <c r="AE116" s="464"/>
      <c r="AF116" s="464"/>
      <c r="AG116" s="464"/>
      <c r="AH116" s="464"/>
      <c r="AI116" s="464"/>
      <c r="AJ116" s="464"/>
    </row>
    <row r="117" spans="1:36" ht="15.75" customHeight="1">
      <c r="A117" s="463"/>
      <c r="B117" s="464"/>
      <c r="C117" s="464"/>
      <c r="D117" s="464"/>
      <c r="E117" s="464"/>
      <c r="F117" s="464"/>
      <c r="G117" s="464"/>
      <c r="H117" s="464"/>
      <c r="I117" s="464"/>
      <c r="J117" s="464"/>
      <c r="K117" s="464"/>
      <c r="L117" s="464"/>
      <c r="M117" s="464"/>
      <c r="N117" s="464"/>
      <c r="O117" s="464"/>
      <c r="P117" s="464"/>
      <c r="Q117" s="464"/>
      <c r="R117" s="464"/>
      <c r="S117" s="464"/>
      <c r="T117" s="464"/>
      <c r="U117" s="464"/>
      <c r="V117" s="464"/>
      <c r="W117" s="464"/>
      <c r="X117" s="464"/>
      <c r="Y117" s="464"/>
      <c r="Z117" s="464"/>
      <c r="AA117" s="464"/>
      <c r="AB117" s="464"/>
      <c r="AC117" s="464"/>
      <c r="AD117" s="464"/>
      <c r="AE117" s="464"/>
      <c r="AF117" s="464"/>
      <c r="AG117" s="464"/>
      <c r="AH117" s="464"/>
      <c r="AI117" s="464"/>
      <c r="AJ117" s="464"/>
    </row>
    <row r="118" spans="1:36" ht="15.75" customHeight="1">
      <c r="A118" s="463"/>
      <c r="B118" s="464"/>
      <c r="C118" s="464"/>
      <c r="D118" s="464"/>
      <c r="E118" s="464"/>
      <c r="F118" s="464"/>
      <c r="G118" s="464"/>
      <c r="H118" s="464"/>
      <c r="I118" s="464"/>
      <c r="J118" s="464"/>
      <c r="K118" s="464"/>
      <c r="L118" s="464"/>
      <c r="M118" s="464"/>
      <c r="N118" s="464"/>
      <c r="O118" s="464"/>
      <c r="P118" s="464"/>
      <c r="Q118" s="464"/>
      <c r="R118" s="464"/>
      <c r="S118" s="464"/>
      <c r="T118" s="464"/>
      <c r="U118" s="464"/>
      <c r="V118" s="464"/>
      <c r="W118" s="464"/>
      <c r="X118" s="464"/>
      <c r="Y118" s="464"/>
      <c r="Z118" s="464"/>
      <c r="AA118" s="464"/>
      <c r="AB118" s="464"/>
      <c r="AC118" s="464"/>
      <c r="AD118" s="464"/>
      <c r="AE118" s="464"/>
      <c r="AF118" s="464"/>
      <c r="AG118" s="464"/>
      <c r="AH118" s="464"/>
      <c r="AI118" s="464"/>
      <c r="AJ118" s="464"/>
    </row>
    <row r="119" spans="1:36" ht="15.75" customHeight="1">
      <c r="A119" s="463"/>
      <c r="B119" s="464"/>
      <c r="C119" s="464"/>
      <c r="D119" s="464"/>
      <c r="E119" s="464"/>
      <c r="F119" s="464"/>
      <c r="G119" s="464"/>
      <c r="H119" s="464"/>
      <c r="I119" s="464"/>
      <c r="J119" s="464"/>
      <c r="K119" s="464"/>
      <c r="L119" s="464"/>
      <c r="M119" s="464"/>
      <c r="N119" s="464"/>
      <c r="O119" s="464"/>
      <c r="P119" s="464"/>
      <c r="Q119" s="464"/>
      <c r="R119" s="464"/>
      <c r="S119" s="464"/>
      <c r="T119" s="464"/>
      <c r="U119" s="464"/>
      <c r="V119" s="464"/>
      <c r="W119" s="464"/>
      <c r="X119" s="464"/>
      <c r="Y119" s="464"/>
      <c r="Z119" s="464"/>
      <c r="AA119" s="464"/>
      <c r="AB119" s="464"/>
      <c r="AC119" s="464"/>
      <c r="AD119" s="464"/>
      <c r="AE119" s="464"/>
      <c r="AF119" s="464"/>
      <c r="AG119" s="464"/>
      <c r="AH119" s="464"/>
      <c r="AI119" s="464"/>
      <c r="AJ119" s="464"/>
    </row>
    <row r="120" spans="1:36" ht="15.75" customHeight="1">
      <c r="A120" s="463"/>
      <c r="B120" s="464"/>
      <c r="C120" s="464"/>
      <c r="D120" s="464"/>
      <c r="E120" s="464"/>
      <c r="F120" s="464"/>
      <c r="G120" s="464"/>
      <c r="H120" s="464"/>
      <c r="I120" s="464"/>
      <c r="J120" s="464"/>
      <c r="K120" s="464"/>
      <c r="L120" s="464"/>
      <c r="M120" s="464"/>
      <c r="N120" s="464"/>
      <c r="O120" s="464"/>
      <c r="P120" s="464"/>
      <c r="Q120" s="464"/>
      <c r="R120" s="464"/>
      <c r="S120" s="464"/>
      <c r="T120" s="464"/>
      <c r="U120" s="464"/>
      <c r="V120" s="464"/>
      <c r="W120" s="464"/>
      <c r="X120" s="464"/>
      <c r="Y120" s="464"/>
      <c r="Z120" s="464"/>
      <c r="AA120" s="464"/>
      <c r="AB120" s="464"/>
      <c r="AC120" s="464"/>
      <c r="AD120" s="464"/>
      <c r="AE120" s="464"/>
      <c r="AF120" s="464"/>
      <c r="AG120" s="464"/>
      <c r="AH120" s="464"/>
      <c r="AI120" s="464"/>
      <c r="AJ120" s="464"/>
    </row>
    <row r="121" spans="1:36" ht="15.75" customHeight="1">
      <c r="A121" s="463"/>
      <c r="B121" s="464"/>
      <c r="C121" s="464"/>
      <c r="D121" s="464"/>
      <c r="E121" s="464"/>
      <c r="F121" s="464"/>
      <c r="G121" s="464"/>
      <c r="H121" s="464"/>
      <c r="I121" s="464"/>
      <c r="J121" s="464"/>
      <c r="K121" s="464"/>
      <c r="L121" s="464"/>
      <c r="M121" s="464"/>
      <c r="N121" s="464"/>
      <c r="O121" s="464"/>
      <c r="P121" s="464"/>
      <c r="Q121" s="464"/>
      <c r="R121" s="464"/>
      <c r="S121" s="464"/>
      <c r="T121" s="464"/>
      <c r="U121" s="464"/>
      <c r="V121" s="464"/>
      <c r="W121" s="464"/>
      <c r="X121" s="464"/>
      <c r="Y121" s="464"/>
      <c r="Z121" s="464"/>
      <c r="AA121" s="464"/>
      <c r="AB121" s="464"/>
      <c r="AC121" s="464"/>
      <c r="AD121" s="464"/>
      <c r="AE121" s="464"/>
      <c r="AF121" s="464"/>
      <c r="AG121" s="464"/>
      <c r="AH121" s="464"/>
      <c r="AI121" s="464"/>
      <c r="AJ121" s="464"/>
    </row>
    <row r="122" spans="1:36" ht="15.75" customHeight="1">
      <c r="A122" s="463"/>
      <c r="B122" s="464"/>
      <c r="C122" s="464"/>
      <c r="D122" s="464"/>
      <c r="E122" s="464"/>
      <c r="F122" s="464"/>
      <c r="G122" s="464"/>
      <c r="H122" s="464"/>
      <c r="I122" s="464"/>
      <c r="J122" s="464"/>
      <c r="K122" s="464"/>
      <c r="L122" s="464"/>
      <c r="M122" s="464"/>
      <c r="N122" s="464"/>
      <c r="O122" s="464"/>
      <c r="P122" s="464"/>
      <c r="Q122" s="464"/>
      <c r="R122" s="464"/>
      <c r="S122" s="464"/>
      <c r="T122" s="464"/>
      <c r="U122" s="464"/>
      <c r="V122" s="464"/>
      <c r="W122" s="464"/>
      <c r="X122" s="464"/>
      <c r="Y122" s="464"/>
      <c r="Z122" s="464"/>
      <c r="AA122" s="464"/>
      <c r="AB122" s="464"/>
      <c r="AC122" s="464"/>
      <c r="AD122" s="464"/>
      <c r="AE122" s="464"/>
      <c r="AF122" s="464"/>
      <c r="AG122" s="464"/>
      <c r="AH122" s="464"/>
      <c r="AI122" s="464"/>
      <c r="AJ122" s="464"/>
    </row>
    <row r="123" spans="1:36" ht="15.75" customHeight="1">
      <c r="A123" s="463"/>
      <c r="B123" s="464"/>
      <c r="C123" s="464"/>
      <c r="D123" s="464"/>
      <c r="E123" s="464"/>
      <c r="F123" s="464"/>
      <c r="G123" s="464"/>
      <c r="H123" s="464"/>
      <c r="I123" s="464"/>
      <c r="J123" s="464"/>
      <c r="K123" s="464"/>
      <c r="L123" s="464"/>
      <c r="M123" s="464"/>
      <c r="N123" s="464"/>
      <c r="O123" s="464"/>
      <c r="P123" s="464"/>
      <c r="Q123" s="464"/>
      <c r="R123" s="464"/>
      <c r="S123" s="464"/>
      <c r="T123" s="464"/>
      <c r="U123" s="464"/>
      <c r="V123" s="464"/>
      <c r="W123" s="464"/>
      <c r="X123" s="464"/>
      <c r="Y123" s="464"/>
      <c r="Z123" s="464"/>
      <c r="AA123" s="464"/>
      <c r="AB123" s="464"/>
      <c r="AC123" s="464"/>
      <c r="AD123" s="464"/>
      <c r="AE123" s="464"/>
      <c r="AF123" s="464"/>
      <c r="AG123" s="464"/>
      <c r="AH123" s="464"/>
      <c r="AI123" s="464"/>
      <c r="AJ123" s="464"/>
    </row>
    <row r="124" spans="1:36" ht="15.75" customHeight="1">
      <c r="A124" s="463"/>
      <c r="B124" s="464"/>
      <c r="C124" s="464"/>
      <c r="D124" s="464"/>
      <c r="E124" s="464"/>
      <c r="F124" s="464"/>
      <c r="G124" s="464"/>
      <c r="H124" s="464"/>
      <c r="I124" s="464"/>
      <c r="J124" s="464"/>
      <c r="K124" s="464"/>
      <c r="L124" s="464"/>
      <c r="M124" s="464"/>
      <c r="N124" s="464"/>
      <c r="O124" s="464"/>
      <c r="P124" s="464"/>
      <c r="Q124" s="464"/>
      <c r="R124" s="464"/>
      <c r="S124" s="464"/>
      <c r="T124" s="464"/>
      <c r="U124" s="464"/>
      <c r="V124" s="464"/>
      <c r="W124" s="464"/>
      <c r="X124" s="464"/>
      <c r="Y124" s="464"/>
      <c r="Z124" s="464"/>
      <c r="AA124" s="464"/>
      <c r="AB124" s="464"/>
      <c r="AC124" s="464"/>
      <c r="AD124" s="464"/>
      <c r="AE124" s="464"/>
      <c r="AF124" s="464"/>
      <c r="AG124" s="464"/>
      <c r="AH124" s="464"/>
      <c r="AI124" s="464"/>
      <c r="AJ124" s="464"/>
    </row>
    <row r="125" spans="1:36" ht="15.75" customHeight="1">
      <c r="A125" s="463"/>
      <c r="B125" s="464"/>
      <c r="C125" s="464"/>
      <c r="D125" s="464"/>
      <c r="E125" s="464"/>
      <c r="F125" s="464"/>
      <c r="G125" s="464"/>
      <c r="H125" s="464"/>
      <c r="I125" s="464"/>
      <c r="J125" s="464"/>
      <c r="K125" s="464"/>
      <c r="L125" s="464"/>
      <c r="M125" s="464"/>
      <c r="N125" s="464"/>
      <c r="O125" s="464"/>
      <c r="P125" s="464"/>
      <c r="Q125" s="464"/>
      <c r="R125" s="464"/>
      <c r="S125" s="464"/>
      <c r="T125" s="464"/>
      <c r="U125" s="464"/>
      <c r="V125" s="464"/>
      <c r="W125" s="464"/>
      <c r="X125" s="464"/>
      <c r="Y125" s="464"/>
      <c r="Z125" s="464"/>
      <c r="AA125" s="464"/>
      <c r="AB125" s="464"/>
      <c r="AC125" s="464"/>
      <c r="AD125" s="464"/>
      <c r="AE125" s="464"/>
      <c r="AF125" s="464"/>
      <c r="AG125" s="464"/>
      <c r="AH125" s="464"/>
      <c r="AI125" s="464"/>
      <c r="AJ125" s="464"/>
    </row>
    <row r="126" spans="1:36" ht="15.75" customHeight="1">
      <c r="A126" s="463"/>
      <c r="B126" s="464"/>
      <c r="C126" s="464"/>
      <c r="D126" s="464"/>
      <c r="E126" s="464"/>
      <c r="F126" s="464"/>
      <c r="G126" s="464"/>
      <c r="H126" s="464"/>
      <c r="I126" s="464"/>
      <c r="J126" s="464"/>
      <c r="K126" s="464"/>
      <c r="L126" s="464"/>
      <c r="M126" s="464"/>
      <c r="N126" s="464"/>
      <c r="O126" s="464"/>
      <c r="P126" s="464"/>
      <c r="Q126" s="464"/>
      <c r="R126" s="464"/>
      <c r="S126" s="464"/>
      <c r="T126" s="464"/>
      <c r="U126" s="464"/>
      <c r="V126" s="464"/>
      <c r="W126" s="464"/>
      <c r="X126" s="464"/>
      <c r="Y126" s="464"/>
      <c r="Z126" s="464"/>
      <c r="AA126" s="464"/>
      <c r="AB126" s="464"/>
      <c r="AC126" s="464"/>
      <c r="AD126" s="464"/>
      <c r="AE126" s="464"/>
      <c r="AF126" s="464"/>
      <c r="AG126" s="464"/>
      <c r="AH126" s="464"/>
      <c r="AI126" s="464"/>
      <c r="AJ126" s="464"/>
    </row>
    <row r="127" spans="1:36" ht="15.75" customHeight="1">
      <c r="A127" s="463"/>
      <c r="B127" s="464"/>
      <c r="C127" s="464"/>
      <c r="D127" s="464"/>
      <c r="E127" s="464"/>
      <c r="F127" s="464"/>
      <c r="G127" s="464"/>
      <c r="H127" s="464"/>
      <c r="I127" s="464"/>
      <c r="J127" s="464"/>
      <c r="K127" s="464"/>
      <c r="L127" s="464"/>
      <c r="M127" s="464"/>
      <c r="N127" s="464"/>
      <c r="O127" s="464"/>
      <c r="P127" s="464"/>
      <c r="Q127" s="464"/>
      <c r="R127" s="464"/>
      <c r="S127" s="464"/>
      <c r="T127" s="464"/>
      <c r="U127" s="464"/>
      <c r="V127" s="464"/>
      <c r="W127" s="464"/>
      <c r="X127" s="464"/>
      <c r="Y127" s="464"/>
      <c r="Z127" s="464"/>
      <c r="AA127" s="464"/>
      <c r="AB127" s="464"/>
      <c r="AC127" s="464"/>
      <c r="AD127" s="464"/>
      <c r="AE127" s="464"/>
      <c r="AF127" s="464"/>
      <c r="AG127" s="464"/>
      <c r="AH127" s="464"/>
      <c r="AI127" s="464"/>
      <c r="AJ127" s="464"/>
    </row>
    <row r="128" spans="1:36" ht="15.75" customHeight="1">
      <c r="A128" s="463"/>
      <c r="B128" s="464"/>
      <c r="C128" s="464"/>
      <c r="D128" s="464"/>
      <c r="E128" s="464"/>
      <c r="F128" s="464"/>
      <c r="G128" s="464"/>
      <c r="H128" s="464"/>
      <c r="I128" s="464"/>
      <c r="J128" s="464"/>
      <c r="K128" s="464"/>
      <c r="L128" s="464"/>
      <c r="M128" s="464"/>
      <c r="N128" s="464"/>
      <c r="O128" s="464"/>
      <c r="P128" s="464"/>
      <c r="Q128" s="464"/>
      <c r="R128" s="464"/>
      <c r="S128" s="464"/>
      <c r="T128" s="464"/>
      <c r="U128" s="464"/>
      <c r="V128" s="464"/>
      <c r="W128" s="464"/>
      <c r="X128" s="464"/>
      <c r="Y128" s="464"/>
      <c r="Z128" s="464"/>
      <c r="AA128" s="464"/>
      <c r="AB128" s="464"/>
      <c r="AC128" s="464"/>
      <c r="AD128" s="464"/>
      <c r="AE128" s="464"/>
      <c r="AF128" s="464"/>
      <c r="AG128" s="464"/>
      <c r="AH128" s="464"/>
      <c r="AI128" s="464"/>
      <c r="AJ128" s="464"/>
    </row>
    <row r="129" spans="1:36" ht="15.75" customHeight="1">
      <c r="A129" s="463"/>
      <c r="B129" s="464"/>
      <c r="C129" s="464"/>
      <c r="D129" s="464"/>
      <c r="E129" s="464"/>
      <c r="F129" s="464"/>
      <c r="G129" s="464"/>
      <c r="H129" s="464"/>
      <c r="I129" s="464"/>
      <c r="J129" s="464"/>
      <c r="K129" s="464"/>
      <c r="L129" s="464"/>
      <c r="M129" s="464"/>
      <c r="N129" s="464"/>
      <c r="O129" s="464"/>
      <c r="P129" s="464"/>
      <c r="Q129" s="464"/>
      <c r="R129" s="464"/>
      <c r="S129" s="464"/>
      <c r="T129" s="464"/>
      <c r="U129" s="464"/>
      <c r="V129" s="464"/>
      <c r="W129" s="464"/>
      <c r="X129" s="464"/>
      <c r="Y129" s="464"/>
      <c r="Z129" s="464"/>
      <c r="AA129" s="464"/>
      <c r="AB129" s="464"/>
      <c r="AC129" s="464"/>
      <c r="AD129" s="464"/>
      <c r="AE129" s="464"/>
      <c r="AF129" s="464"/>
      <c r="AG129" s="464"/>
      <c r="AH129" s="464"/>
      <c r="AI129" s="464"/>
      <c r="AJ129" s="464"/>
    </row>
    <row r="130" spans="1:36" ht="15.75" customHeight="1">
      <c r="A130" s="463"/>
      <c r="B130" s="464"/>
      <c r="C130" s="464"/>
      <c r="D130" s="464"/>
      <c r="E130" s="464"/>
      <c r="F130" s="464"/>
      <c r="G130" s="464"/>
      <c r="H130" s="464"/>
      <c r="I130" s="464"/>
      <c r="J130" s="464"/>
      <c r="K130" s="464"/>
      <c r="L130" s="464"/>
      <c r="M130" s="464"/>
      <c r="N130" s="464"/>
      <c r="O130" s="464"/>
      <c r="P130" s="464"/>
      <c r="Q130" s="464"/>
      <c r="R130" s="464"/>
      <c r="S130" s="464"/>
      <c r="T130" s="464"/>
      <c r="U130" s="464"/>
      <c r="V130" s="464"/>
      <c r="W130" s="464"/>
      <c r="X130" s="464"/>
      <c r="Y130" s="464"/>
      <c r="Z130" s="464"/>
      <c r="AA130" s="464"/>
      <c r="AB130" s="464"/>
      <c r="AC130" s="464"/>
      <c r="AD130" s="464"/>
      <c r="AE130" s="464"/>
      <c r="AF130" s="464"/>
      <c r="AG130" s="464"/>
      <c r="AH130" s="464"/>
      <c r="AI130" s="464"/>
      <c r="AJ130" s="464"/>
    </row>
    <row r="131" spans="1:36" ht="15.75" customHeight="1">
      <c r="A131" s="463"/>
      <c r="B131" s="464"/>
      <c r="C131" s="464"/>
      <c r="D131" s="464"/>
      <c r="E131" s="464"/>
      <c r="F131" s="464"/>
      <c r="G131" s="464"/>
      <c r="H131" s="464"/>
      <c r="I131" s="464"/>
      <c r="J131" s="464"/>
      <c r="K131" s="464"/>
      <c r="L131" s="464"/>
      <c r="M131" s="464"/>
      <c r="N131" s="464"/>
      <c r="O131" s="464"/>
      <c r="P131" s="464"/>
      <c r="Q131" s="464"/>
      <c r="R131" s="464"/>
      <c r="S131" s="464"/>
      <c r="T131" s="464"/>
      <c r="U131" s="464"/>
      <c r="V131" s="464"/>
      <c r="W131" s="464"/>
      <c r="X131" s="464"/>
      <c r="Y131" s="464"/>
      <c r="Z131" s="464"/>
      <c r="AA131" s="464"/>
      <c r="AB131" s="464"/>
      <c r="AC131" s="464"/>
      <c r="AD131" s="464"/>
      <c r="AE131" s="464"/>
      <c r="AF131" s="464"/>
      <c r="AG131" s="464"/>
      <c r="AH131" s="464"/>
      <c r="AI131" s="464"/>
      <c r="AJ131" s="464"/>
    </row>
    <row r="132" spans="1:36" ht="15.75" customHeight="1">
      <c r="A132" s="463"/>
      <c r="B132" s="464"/>
      <c r="C132" s="464"/>
      <c r="D132" s="464"/>
      <c r="E132" s="464"/>
      <c r="F132" s="464"/>
      <c r="G132" s="464"/>
      <c r="H132" s="464"/>
      <c r="I132" s="464"/>
      <c r="J132" s="464"/>
      <c r="K132" s="464"/>
      <c r="L132" s="464"/>
      <c r="M132" s="464"/>
      <c r="N132" s="464"/>
      <c r="O132" s="464"/>
      <c r="P132" s="464"/>
      <c r="Q132" s="464"/>
      <c r="R132" s="464"/>
      <c r="S132" s="464"/>
      <c r="T132" s="464"/>
      <c r="U132" s="464"/>
      <c r="V132" s="464"/>
      <c r="W132" s="464"/>
      <c r="X132" s="464"/>
      <c r="Y132" s="464"/>
      <c r="Z132" s="464"/>
      <c r="AA132" s="464"/>
      <c r="AB132" s="464"/>
      <c r="AC132" s="464"/>
      <c r="AD132" s="464"/>
      <c r="AE132" s="464"/>
      <c r="AF132" s="464"/>
      <c r="AG132" s="464"/>
      <c r="AH132" s="464"/>
      <c r="AI132" s="464"/>
      <c r="AJ132" s="464"/>
    </row>
    <row r="133" spans="1:36" ht="15.75" customHeight="1">
      <c r="A133" s="463"/>
      <c r="B133" s="464"/>
      <c r="C133" s="464"/>
      <c r="D133" s="464"/>
      <c r="E133" s="464"/>
      <c r="F133" s="464"/>
      <c r="G133" s="464"/>
      <c r="H133" s="464"/>
      <c r="I133" s="464"/>
      <c r="J133" s="464"/>
      <c r="K133" s="464"/>
      <c r="L133" s="464"/>
      <c r="M133" s="464"/>
      <c r="N133" s="464"/>
      <c r="O133" s="464"/>
      <c r="P133" s="464"/>
      <c r="Q133" s="464"/>
      <c r="R133" s="464"/>
      <c r="S133" s="464"/>
      <c r="T133" s="464"/>
      <c r="U133" s="464"/>
      <c r="V133" s="464"/>
      <c r="W133" s="464"/>
      <c r="X133" s="464"/>
      <c r="Y133" s="464"/>
      <c r="Z133" s="464"/>
      <c r="AA133" s="464"/>
      <c r="AB133" s="464"/>
      <c r="AC133" s="464"/>
      <c r="AD133" s="464"/>
      <c r="AE133" s="464"/>
      <c r="AF133" s="464"/>
      <c r="AG133" s="464"/>
      <c r="AH133" s="464"/>
      <c r="AI133" s="464"/>
      <c r="AJ133" s="464"/>
    </row>
    <row r="134" spans="1:36" ht="15.75" customHeight="1">
      <c r="A134" s="463"/>
      <c r="B134" s="464"/>
      <c r="C134" s="464"/>
      <c r="D134" s="464"/>
      <c r="E134" s="464"/>
      <c r="F134" s="464"/>
      <c r="G134" s="464"/>
      <c r="H134" s="464"/>
      <c r="I134" s="464"/>
      <c r="J134" s="464"/>
      <c r="K134" s="464"/>
      <c r="L134" s="464"/>
      <c r="M134" s="464"/>
      <c r="N134" s="464"/>
      <c r="O134" s="464"/>
      <c r="P134" s="464"/>
      <c r="Q134" s="464"/>
      <c r="R134" s="464"/>
      <c r="S134" s="464"/>
      <c r="T134" s="464"/>
      <c r="U134" s="464"/>
      <c r="V134" s="464"/>
      <c r="W134" s="464"/>
      <c r="X134" s="464"/>
      <c r="Y134" s="464"/>
      <c r="Z134" s="464"/>
      <c r="AA134" s="464"/>
      <c r="AB134" s="464"/>
      <c r="AC134" s="464"/>
      <c r="AD134" s="464"/>
      <c r="AE134" s="464"/>
      <c r="AF134" s="464"/>
      <c r="AG134" s="464"/>
      <c r="AH134" s="464"/>
      <c r="AI134" s="464"/>
      <c r="AJ134" s="464"/>
    </row>
    <row r="135" spans="1:36" ht="15.75" customHeight="1">
      <c r="A135" s="463"/>
      <c r="B135" s="464"/>
      <c r="C135" s="464"/>
      <c r="D135" s="464"/>
      <c r="E135" s="464"/>
      <c r="F135" s="464"/>
      <c r="G135" s="464"/>
      <c r="H135" s="464"/>
      <c r="I135" s="464"/>
      <c r="J135" s="464"/>
      <c r="K135" s="464"/>
      <c r="L135" s="464"/>
      <c r="M135" s="464"/>
      <c r="N135" s="464"/>
      <c r="O135" s="464"/>
      <c r="P135" s="464"/>
      <c r="Q135" s="464"/>
      <c r="R135" s="464"/>
      <c r="S135" s="464"/>
      <c r="T135" s="464"/>
      <c r="U135" s="464"/>
      <c r="V135" s="464"/>
      <c r="W135" s="464"/>
      <c r="X135" s="464"/>
      <c r="Y135" s="464"/>
      <c r="Z135" s="464"/>
      <c r="AA135" s="464"/>
      <c r="AB135" s="464"/>
      <c r="AC135" s="464"/>
      <c r="AD135" s="464"/>
      <c r="AE135" s="464"/>
      <c r="AF135" s="464"/>
      <c r="AG135" s="464"/>
      <c r="AH135" s="464"/>
      <c r="AI135" s="464"/>
      <c r="AJ135" s="464"/>
    </row>
    <row r="136" spans="1:36" ht="15.75" customHeight="1">
      <c r="A136" s="463"/>
      <c r="B136" s="464"/>
      <c r="C136" s="464"/>
      <c r="D136" s="464"/>
      <c r="E136" s="464"/>
      <c r="F136" s="464"/>
      <c r="G136" s="464"/>
      <c r="H136" s="464"/>
      <c r="I136" s="464"/>
      <c r="J136" s="464"/>
      <c r="K136" s="464"/>
      <c r="L136" s="464"/>
      <c r="M136" s="464"/>
      <c r="N136" s="464"/>
      <c r="O136" s="464"/>
      <c r="P136" s="464"/>
      <c r="Q136" s="464"/>
      <c r="R136" s="464"/>
      <c r="S136" s="464"/>
      <c r="T136" s="464"/>
      <c r="U136" s="464"/>
      <c r="V136" s="464"/>
      <c r="W136" s="464"/>
      <c r="X136" s="464"/>
      <c r="Y136" s="464"/>
      <c r="Z136" s="464"/>
      <c r="AA136" s="464"/>
      <c r="AB136" s="464"/>
      <c r="AC136" s="464"/>
      <c r="AD136" s="464"/>
      <c r="AE136" s="464"/>
      <c r="AF136" s="464"/>
      <c r="AG136" s="464"/>
      <c r="AH136" s="464"/>
      <c r="AI136" s="464"/>
      <c r="AJ136" s="464"/>
    </row>
    <row r="137" spans="1:36" ht="15.75" customHeight="1">
      <c r="A137" s="463"/>
      <c r="B137" s="464"/>
      <c r="C137" s="464"/>
      <c r="D137" s="464"/>
      <c r="E137" s="464"/>
      <c r="F137" s="464"/>
      <c r="G137" s="464"/>
      <c r="H137" s="464"/>
      <c r="I137" s="464"/>
      <c r="J137" s="464"/>
      <c r="K137" s="464"/>
      <c r="L137" s="464"/>
      <c r="M137" s="464"/>
      <c r="N137" s="464"/>
      <c r="O137" s="464"/>
      <c r="P137" s="464"/>
      <c r="Q137" s="464"/>
      <c r="R137" s="464"/>
      <c r="S137" s="464"/>
      <c r="T137" s="464"/>
      <c r="U137" s="464"/>
      <c r="V137" s="464"/>
      <c r="W137" s="464"/>
      <c r="X137" s="464"/>
      <c r="Y137" s="464"/>
      <c r="Z137" s="464"/>
      <c r="AA137" s="464"/>
      <c r="AB137" s="464"/>
      <c r="AC137" s="464"/>
      <c r="AD137" s="464"/>
      <c r="AE137" s="464"/>
      <c r="AF137" s="464"/>
      <c r="AG137" s="464"/>
      <c r="AH137" s="464"/>
      <c r="AI137" s="464"/>
      <c r="AJ137" s="464"/>
    </row>
    <row r="138" spans="1:36" ht="15.75" customHeight="1">
      <c r="A138" s="463"/>
      <c r="B138" s="464"/>
      <c r="C138" s="464"/>
      <c r="D138" s="464"/>
      <c r="E138" s="464"/>
      <c r="F138" s="464"/>
      <c r="G138" s="464"/>
      <c r="H138" s="464"/>
      <c r="I138" s="464"/>
      <c r="J138" s="464"/>
      <c r="K138" s="464"/>
      <c r="L138" s="464"/>
      <c r="M138" s="464"/>
      <c r="N138" s="464"/>
      <c r="O138" s="464"/>
      <c r="P138" s="464"/>
      <c r="Q138" s="464"/>
      <c r="R138" s="464"/>
      <c r="S138" s="464"/>
      <c r="T138" s="464"/>
      <c r="U138" s="464"/>
      <c r="V138" s="464"/>
      <c r="W138" s="464"/>
      <c r="X138" s="464"/>
      <c r="Y138" s="464"/>
      <c r="Z138" s="464"/>
      <c r="AA138" s="464"/>
      <c r="AB138" s="464"/>
      <c r="AC138" s="464"/>
      <c r="AD138" s="464"/>
      <c r="AE138" s="464"/>
      <c r="AF138" s="464"/>
      <c r="AG138" s="464"/>
      <c r="AH138" s="464"/>
      <c r="AI138" s="464"/>
      <c r="AJ138" s="464"/>
    </row>
    <row r="139" spans="1:36" ht="15.75" customHeight="1">
      <c r="A139" s="463"/>
      <c r="B139" s="464"/>
      <c r="C139" s="464"/>
      <c r="D139" s="464"/>
      <c r="E139" s="464"/>
      <c r="F139" s="464"/>
      <c r="G139" s="464"/>
      <c r="H139" s="464"/>
      <c r="I139" s="464"/>
      <c r="J139" s="464"/>
      <c r="K139" s="464"/>
      <c r="L139" s="464"/>
      <c r="M139" s="464"/>
      <c r="N139" s="464"/>
      <c r="O139" s="464"/>
      <c r="P139" s="464"/>
      <c r="Q139" s="464"/>
      <c r="R139" s="464"/>
      <c r="S139" s="464"/>
      <c r="T139" s="464"/>
      <c r="U139" s="464"/>
      <c r="V139" s="464"/>
      <c r="W139" s="464"/>
      <c r="X139" s="464"/>
      <c r="Y139" s="464"/>
      <c r="Z139" s="464"/>
      <c r="AA139" s="464"/>
      <c r="AB139" s="464"/>
      <c r="AC139" s="464"/>
      <c r="AD139" s="464"/>
      <c r="AE139" s="464"/>
      <c r="AF139" s="464"/>
      <c r="AG139" s="464"/>
      <c r="AH139" s="464"/>
      <c r="AI139" s="464"/>
      <c r="AJ139" s="464"/>
    </row>
    <row r="140" spans="1:36" ht="15.75" customHeight="1">
      <c r="A140" s="463"/>
      <c r="B140" s="464"/>
      <c r="C140" s="464"/>
      <c r="D140" s="464"/>
      <c r="E140" s="464"/>
      <c r="F140" s="464"/>
      <c r="G140" s="464"/>
      <c r="H140" s="464"/>
      <c r="I140" s="464"/>
      <c r="J140" s="464"/>
      <c r="K140" s="464"/>
      <c r="L140" s="464"/>
      <c r="M140" s="464"/>
      <c r="N140" s="464"/>
      <c r="O140" s="464"/>
      <c r="P140" s="464"/>
      <c r="Q140" s="464"/>
      <c r="R140" s="464"/>
      <c r="S140" s="464"/>
      <c r="T140" s="464"/>
      <c r="U140" s="464"/>
      <c r="V140" s="464"/>
      <c r="W140" s="464"/>
      <c r="X140" s="464"/>
      <c r="Y140" s="464"/>
      <c r="Z140" s="464"/>
      <c r="AA140" s="464"/>
      <c r="AB140" s="464"/>
      <c r="AC140" s="464"/>
      <c r="AD140" s="464"/>
      <c r="AE140" s="464"/>
      <c r="AF140" s="464"/>
      <c r="AG140" s="464"/>
      <c r="AH140" s="464"/>
      <c r="AI140" s="464"/>
      <c r="AJ140" s="464"/>
    </row>
    <row r="141" spans="1:36" ht="15.75" customHeight="1">
      <c r="A141" s="463"/>
      <c r="B141" s="464"/>
      <c r="C141" s="464"/>
      <c r="D141" s="464"/>
      <c r="E141" s="464"/>
      <c r="F141" s="464"/>
      <c r="G141" s="464"/>
      <c r="H141" s="464"/>
      <c r="I141" s="464"/>
      <c r="J141" s="464"/>
      <c r="K141" s="464"/>
      <c r="L141" s="464"/>
      <c r="M141" s="464"/>
      <c r="N141" s="464"/>
      <c r="O141" s="464"/>
      <c r="P141" s="464"/>
      <c r="Q141" s="464"/>
      <c r="R141" s="464"/>
      <c r="S141" s="464"/>
      <c r="T141" s="464"/>
      <c r="U141" s="464"/>
      <c r="V141" s="464"/>
      <c r="W141" s="464"/>
      <c r="X141" s="464"/>
      <c r="Y141" s="464"/>
      <c r="Z141" s="464"/>
      <c r="AA141" s="464"/>
      <c r="AB141" s="464"/>
      <c r="AC141" s="464"/>
      <c r="AD141" s="464"/>
      <c r="AE141" s="464"/>
      <c r="AF141" s="464"/>
      <c r="AG141" s="464"/>
      <c r="AH141" s="464"/>
      <c r="AI141" s="464"/>
      <c r="AJ141" s="464"/>
    </row>
    <row r="142" spans="1:36" ht="15.75" customHeight="1">
      <c r="A142" s="463"/>
      <c r="B142" s="464"/>
      <c r="C142" s="464"/>
      <c r="D142" s="464"/>
      <c r="E142" s="464"/>
      <c r="F142" s="464"/>
      <c r="G142" s="464"/>
      <c r="H142" s="464"/>
      <c r="I142" s="464"/>
      <c r="J142" s="464"/>
      <c r="K142" s="464"/>
      <c r="L142" s="464"/>
      <c r="M142" s="464"/>
      <c r="N142" s="464"/>
      <c r="O142" s="464"/>
      <c r="P142" s="464"/>
      <c r="Q142" s="464"/>
      <c r="R142" s="464"/>
      <c r="S142" s="464"/>
      <c r="T142" s="464"/>
      <c r="U142" s="464"/>
      <c r="V142" s="464"/>
      <c r="W142" s="464"/>
      <c r="X142" s="464"/>
      <c r="Y142" s="464"/>
      <c r="Z142" s="464"/>
      <c r="AA142" s="464"/>
      <c r="AB142" s="464"/>
      <c r="AC142" s="464"/>
      <c r="AD142" s="464"/>
      <c r="AE142" s="464"/>
      <c r="AF142" s="464"/>
      <c r="AG142" s="464"/>
      <c r="AH142" s="464"/>
      <c r="AI142" s="464"/>
      <c r="AJ142" s="464"/>
    </row>
    <row r="143" spans="1:36" ht="15.75" customHeight="1">
      <c r="A143" s="463"/>
      <c r="B143" s="464"/>
      <c r="C143" s="464"/>
      <c r="D143" s="464"/>
      <c r="E143" s="464"/>
      <c r="F143" s="464"/>
      <c r="G143" s="464"/>
      <c r="H143" s="464"/>
      <c r="I143" s="464"/>
      <c r="J143" s="464"/>
      <c r="K143" s="464"/>
      <c r="L143" s="464"/>
      <c r="M143" s="464"/>
      <c r="N143" s="464"/>
      <c r="O143" s="464"/>
      <c r="P143" s="464"/>
      <c r="Q143" s="464"/>
      <c r="R143" s="464"/>
      <c r="S143" s="464"/>
      <c r="T143" s="464"/>
      <c r="U143" s="464"/>
      <c r="V143" s="464"/>
      <c r="W143" s="464"/>
      <c r="X143" s="464"/>
      <c r="Y143" s="464"/>
      <c r="Z143" s="464"/>
      <c r="AA143" s="464"/>
      <c r="AB143" s="464"/>
      <c r="AC143" s="464"/>
      <c r="AD143" s="464"/>
      <c r="AE143" s="464"/>
      <c r="AF143" s="464"/>
      <c r="AG143" s="464"/>
      <c r="AH143" s="464"/>
      <c r="AI143" s="464"/>
      <c r="AJ143" s="464"/>
    </row>
    <row r="144" spans="1:36" ht="15.75" customHeight="1">
      <c r="A144" s="463"/>
      <c r="B144" s="464"/>
      <c r="C144" s="464"/>
      <c r="D144" s="464"/>
      <c r="E144" s="464"/>
      <c r="F144" s="464"/>
      <c r="G144" s="464"/>
      <c r="H144" s="464"/>
      <c r="I144" s="464"/>
      <c r="J144" s="464"/>
      <c r="K144" s="464"/>
      <c r="L144" s="464"/>
      <c r="M144" s="464"/>
      <c r="N144" s="464"/>
      <c r="O144" s="464"/>
      <c r="P144" s="464"/>
      <c r="Q144" s="464"/>
      <c r="R144" s="464"/>
      <c r="S144" s="464"/>
      <c r="T144" s="464"/>
      <c r="U144" s="464"/>
      <c r="V144" s="464"/>
      <c r="W144" s="464"/>
      <c r="X144" s="464"/>
      <c r="Y144" s="464"/>
      <c r="Z144" s="464"/>
      <c r="AA144" s="464"/>
      <c r="AB144" s="464"/>
      <c r="AC144" s="464"/>
      <c r="AD144" s="464"/>
      <c r="AE144" s="464"/>
      <c r="AF144" s="464"/>
      <c r="AG144" s="464"/>
      <c r="AH144" s="464"/>
      <c r="AI144" s="464"/>
      <c r="AJ144" s="464"/>
    </row>
    <row r="145" spans="1:36" ht="15.75" customHeight="1">
      <c r="A145" s="463"/>
      <c r="B145" s="464"/>
      <c r="C145" s="464"/>
      <c r="D145" s="464"/>
      <c r="E145" s="464"/>
      <c r="F145" s="464"/>
      <c r="G145" s="464"/>
      <c r="H145" s="464"/>
      <c r="I145" s="464"/>
      <c r="J145" s="464"/>
      <c r="K145" s="464"/>
      <c r="L145" s="464"/>
      <c r="M145" s="464"/>
      <c r="N145" s="464"/>
      <c r="O145" s="464"/>
      <c r="P145" s="464"/>
      <c r="Q145" s="464"/>
      <c r="R145" s="464"/>
      <c r="S145" s="464"/>
      <c r="T145" s="464"/>
      <c r="U145" s="464"/>
      <c r="V145" s="464"/>
      <c r="W145" s="464"/>
      <c r="X145" s="464"/>
      <c r="Y145" s="464"/>
      <c r="Z145" s="464"/>
      <c r="AA145" s="464"/>
      <c r="AB145" s="464"/>
      <c r="AC145" s="464"/>
      <c r="AD145" s="464"/>
      <c r="AE145" s="464"/>
      <c r="AF145" s="464"/>
      <c r="AG145" s="464"/>
      <c r="AH145" s="464"/>
      <c r="AI145" s="464"/>
      <c r="AJ145" s="464"/>
    </row>
    <row r="146" spans="1:36" ht="15.75" customHeight="1">
      <c r="A146" s="463"/>
      <c r="B146" s="464"/>
      <c r="C146" s="464"/>
      <c r="D146" s="464"/>
      <c r="E146" s="464"/>
      <c r="F146" s="464"/>
      <c r="G146" s="464"/>
      <c r="H146" s="464"/>
      <c r="I146" s="464"/>
      <c r="J146" s="464"/>
      <c r="K146" s="464"/>
      <c r="L146" s="464"/>
      <c r="M146" s="464"/>
      <c r="N146" s="464"/>
      <c r="O146" s="464"/>
      <c r="P146" s="464"/>
      <c r="Q146" s="464"/>
      <c r="R146" s="464"/>
      <c r="S146" s="464"/>
      <c r="T146" s="464"/>
      <c r="U146" s="464"/>
      <c r="V146" s="464"/>
      <c r="W146" s="464"/>
      <c r="X146" s="464"/>
      <c r="Y146" s="464"/>
      <c r="Z146" s="464"/>
      <c r="AA146" s="464"/>
      <c r="AB146" s="464"/>
      <c r="AC146" s="464"/>
      <c r="AD146" s="464"/>
      <c r="AE146" s="464"/>
      <c r="AF146" s="464"/>
      <c r="AG146" s="464"/>
      <c r="AH146" s="464"/>
      <c r="AI146" s="464"/>
      <c r="AJ146" s="464"/>
    </row>
    <row r="147" spans="1:36" ht="15.75" customHeight="1">
      <c r="A147" s="463"/>
      <c r="B147" s="464"/>
      <c r="C147" s="464"/>
      <c r="D147" s="464"/>
      <c r="E147" s="464"/>
      <c r="F147" s="464"/>
      <c r="G147" s="464"/>
      <c r="H147" s="464"/>
      <c r="I147" s="464"/>
      <c r="J147" s="464"/>
      <c r="K147" s="464"/>
      <c r="L147" s="464"/>
      <c r="M147" s="464"/>
      <c r="N147" s="464"/>
      <c r="O147" s="464"/>
      <c r="P147" s="464"/>
      <c r="Q147" s="464"/>
      <c r="R147" s="464"/>
      <c r="S147" s="464"/>
      <c r="T147" s="464"/>
      <c r="U147" s="464"/>
      <c r="V147" s="464"/>
      <c r="W147" s="464"/>
      <c r="X147" s="464"/>
      <c r="Y147" s="464"/>
      <c r="Z147" s="464"/>
      <c r="AA147" s="464"/>
      <c r="AB147" s="464"/>
      <c r="AC147" s="464"/>
      <c r="AD147" s="464"/>
      <c r="AE147" s="464"/>
      <c r="AF147" s="464"/>
      <c r="AG147" s="464"/>
      <c r="AH147" s="464"/>
      <c r="AI147" s="464"/>
      <c r="AJ147" s="464"/>
    </row>
    <row r="148" spans="1:36" ht="15.75" customHeight="1">
      <c r="A148" s="463"/>
      <c r="B148" s="464"/>
      <c r="C148" s="464"/>
      <c r="D148" s="464"/>
      <c r="E148" s="464"/>
      <c r="F148" s="464"/>
      <c r="G148" s="464"/>
      <c r="H148" s="464"/>
      <c r="I148" s="464"/>
      <c r="J148" s="464"/>
      <c r="K148" s="464"/>
      <c r="L148" s="464"/>
      <c r="M148" s="464"/>
      <c r="N148" s="464"/>
      <c r="O148" s="464"/>
      <c r="P148" s="464"/>
      <c r="Q148" s="464"/>
      <c r="R148" s="464"/>
      <c r="S148" s="464"/>
      <c r="T148" s="464"/>
      <c r="U148" s="464"/>
      <c r="V148" s="464"/>
      <c r="W148" s="464"/>
      <c r="X148" s="464"/>
      <c r="Y148" s="464"/>
      <c r="Z148" s="464"/>
      <c r="AA148" s="464"/>
      <c r="AB148" s="464"/>
      <c r="AC148" s="464"/>
      <c r="AD148" s="464"/>
      <c r="AE148" s="464"/>
      <c r="AF148" s="464"/>
      <c r="AG148" s="464"/>
      <c r="AH148" s="464"/>
      <c r="AI148" s="464"/>
      <c r="AJ148" s="464"/>
    </row>
    <row r="149" spans="1:36" ht="15.75" customHeight="1">
      <c r="A149" s="463"/>
      <c r="B149" s="464"/>
      <c r="C149" s="464"/>
      <c r="D149" s="464"/>
      <c r="E149" s="464"/>
      <c r="F149" s="464"/>
      <c r="G149" s="464"/>
      <c r="H149" s="464"/>
      <c r="I149" s="464"/>
      <c r="J149" s="464"/>
      <c r="K149" s="464"/>
      <c r="L149" s="464"/>
      <c r="M149" s="464"/>
      <c r="N149" s="464"/>
      <c r="O149" s="464"/>
      <c r="P149" s="464"/>
      <c r="Q149" s="464"/>
      <c r="R149" s="464"/>
      <c r="S149" s="464"/>
      <c r="T149" s="464"/>
      <c r="U149" s="464"/>
      <c r="V149" s="464"/>
      <c r="W149" s="464"/>
      <c r="X149" s="464"/>
      <c r="Y149" s="464"/>
      <c r="Z149" s="464"/>
      <c r="AA149" s="464"/>
      <c r="AB149" s="464"/>
      <c r="AC149" s="464"/>
      <c r="AD149" s="464"/>
      <c r="AE149" s="464"/>
      <c r="AF149" s="464"/>
      <c r="AG149" s="464"/>
      <c r="AH149" s="464"/>
      <c r="AI149" s="464"/>
      <c r="AJ149" s="464"/>
    </row>
    <row r="150" spans="1:36" ht="15.75" customHeight="1">
      <c r="A150" s="463"/>
      <c r="B150" s="464"/>
      <c r="C150" s="464"/>
      <c r="D150" s="464"/>
      <c r="E150" s="464"/>
      <c r="F150" s="464"/>
      <c r="G150" s="464"/>
      <c r="H150" s="464"/>
      <c r="I150" s="464"/>
      <c r="J150" s="464"/>
      <c r="K150" s="464"/>
      <c r="L150" s="464"/>
      <c r="M150" s="464"/>
      <c r="N150" s="464"/>
      <c r="O150" s="464"/>
      <c r="P150" s="464"/>
      <c r="Q150" s="464"/>
      <c r="R150" s="464"/>
      <c r="S150" s="464"/>
      <c r="T150" s="464"/>
      <c r="U150" s="464"/>
      <c r="V150" s="464"/>
      <c r="W150" s="464"/>
      <c r="X150" s="464"/>
      <c r="Y150" s="464"/>
      <c r="Z150" s="464"/>
      <c r="AA150" s="464"/>
      <c r="AB150" s="464"/>
      <c r="AC150" s="464"/>
      <c r="AD150" s="464"/>
      <c r="AE150" s="464"/>
      <c r="AF150" s="464"/>
      <c r="AG150" s="464"/>
      <c r="AH150" s="464"/>
      <c r="AI150" s="464"/>
      <c r="AJ150" s="464"/>
    </row>
    <row r="151" spans="1:36" ht="15.75" customHeight="1">
      <c r="A151" s="463"/>
      <c r="B151" s="464"/>
      <c r="C151" s="464"/>
      <c r="D151" s="464"/>
      <c r="E151" s="464"/>
      <c r="F151" s="464"/>
      <c r="G151" s="464"/>
      <c r="H151" s="464"/>
      <c r="I151" s="464"/>
      <c r="J151" s="464"/>
      <c r="K151" s="464"/>
      <c r="L151" s="464"/>
      <c r="M151" s="464"/>
      <c r="N151" s="464"/>
      <c r="O151" s="464"/>
      <c r="P151" s="464"/>
      <c r="Q151" s="464"/>
      <c r="R151" s="464"/>
      <c r="S151" s="464"/>
      <c r="T151" s="464"/>
      <c r="U151" s="464"/>
      <c r="V151" s="464"/>
      <c r="W151" s="464"/>
      <c r="X151" s="464"/>
      <c r="Y151" s="464"/>
      <c r="Z151" s="464"/>
      <c r="AA151" s="464"/>
      <c r="AB151" s="464"/>
      <c r="AC151" s="464"/>
      <c r="AD151" s="464"/>
      <c r="AE151" s="464"/>
      <c r="AF151" s="464"/>
      <c r="AG151" s="464"/>
      <c r="AH151" s="464"/>
      <c r="AI151" s="464"/>
      <c r="AJ151" s="464"/>
    </row>
    <row r="152" spans="1:36" ht="15.75" customHeight="1">
      <c r="A152" s="463"/>
      <c r="B152" s="464"/>
      <c r="C152" s="464"/>
      <c r="D152" s="464"/>
      <c r="E152" s="464"/>
      <c r="F152" s="464"/>
      <c r="G152" s="464"/>
      <c r="H152" s="464"/>
      <c r="I152" s="464"/>
      <c r="J152" s="464"/>
      <c r="K152" s="464"/>
      <c r="L152" s="464"/>
      <c r="M152" s="464"/>
      <c r="N152" s="464"/>
      <c r="O152" s="464"/>
      <c r="P152" s="464"/>
      <c r="Q152" s="464"/>
      <c r="R152" s="464"/>
      <c r="S152" s="464"/>
      <c r="T152" s="464"/>
      <c r="U152" s="464"/>
      <c r="V152" s="464"/>
      <c r="W152" s="464"/>
      <c r="X152" s="464"/>
      <c r="Y152" s="464"/>
      <c r="Z152" s="464"/>
      <c r="AA152" s="464"/>
      <c r="AB152" s="464"/>
      <c r="AC152" s="464"/>
      <c r="AD152" s="464"/>
      <c r="AE152" s="464"/>
      <c r="AF152" s="464"/>
      <c r="AG152" s="464"/>
      <c r="AH152" s="464"/>
      <c r="AI152" s="464"/>
      <c r="AJ152" s="464"/>
    </row>
    <row r="153" spans="1:36" ht="15.75" customHeight="1">
      <c r="A153" s="463"/>
      <c r="B153" s="464"/>
      <c r="C153" s="464"/>
      <c r="D153" s="464"/>
      <c r="E153" s="464"/>
      <c r="F153" s="464"/>
      <c r="G153" s="464"/>
      <c r="H153" s="464"/>
      <c r="I153" s="464"/>
      <c r="J153" s="464"/>
      <c r="K153" s="464"/>
      <c r="L153" s="464"/>
      <c r="M153" s="464"/>
      <c r="N153" s="464"/>
      <c r="O153" s="464"/>
      <c r="P153" s="464"/>
      <c r="Q153" s="464"/>
      <c r="R153" s="464"/>
      <c r="S153" s="464"/>
      <c r="T153" s="464"/>
      <c r="U153" s="464"/>
      <c r="V153" s="464"/>
      <c r="W153" s="464"/>
      <c r="X153" s="464"/>
      <c r="Y153" s="464"/>
      <c r="Z153" s="464"/>
      <c r="AA153" s="464"/>
      <c r="AB153" s="464"/>
      <c r="AC153" s="464"/>
      <c r="AD153" s="464"/>
      <c r="AE153" s="464"/>
      <c r="AF153" s="464"/>
      <c r="AG153" s="464"/>
      <c r="AH153" s="464"/>
      <c r="AI153" s="464"/>
      <c r="AJ153" s="464"/>
    </row>
    <row r="154" spans="1:36" ht="15.75" customHeight="1">
      <c r="A154" s="463"/>
      <c r="B154" s="464"/>
      <c r="C154" s="464"/>
      <c r="D154" s="464"/>
      <c r="E154" s="464"/>
      <c r="F154" s="464"/>
      <c r="G154" s="464"/>
      <c r="H154" s="464"/>
      <c r="I154" s="464"/>
      <c r="J154" s="464"/>
      <c r="K154" s="464"/>
      <c r="L154" s="464"/>
      <c r="M154" s="464"/>
      <c r="N154" s="464"/>
      <c r="O154" s="464"/>
      <c r="P154" s="464"/>
      <c r="Q154" s="464"/>
      <c r="R154" s="464"/>
      <c r="S154" s="464"/>
      <c r="T154" s="464"/>
      <c r="U154" s="464"/>
      <c r="V154" s="464"/>
      <c r="W154" s="464"/>
      <c r="X154" s="464"/>
      <c r="Y154" s="464"/>
      <c r="Z154" s="464"/>
      <c r="AA154" s="464"/>
      <c r="AB154" s="464"/>
      <c r="AC154" s="464"/>
      <c r="AD154" s="464"/>
      <c r="AE154" s="464"/>
      <c r="AF154" s="464"/>
      <c r="AG154" s="464"/>
      <c r="AH154" s="464"/>
      <c r="AI154" s="464"/>
      <c r="AJ154" s="464"/>
    </row>
    <row r="155" spans="1:36" ht="15.75" customHeight="1">
      <c r="A155" s="463"/>
      <c r="B155" s="464"/>
      <c r="C155" s="464"/>
      <c r="D155" s="464"/>
      <c r="E155" s="464"/>
      <c r="F155" s="464"/>
      <c r="G155" s="464"/>
      <c r="H155" s="464"/>
      <c r="I155" s="464"/>
      <c r="J155" s="464"/>
      <c r="K155" s="464"/>
      <c r="L155" s="464"/>
      <c r="M155" s="464"/>
      <c r="N155" s="464"/>
      <c r="O155" s="464"/>
      <c r="P155" s="464"/>
      <c r="Q155" s="464"/>
      <c r="R155" s="464"/>
      <c r="S155" s="464"/>
      <c r="T155" s="464"/>
      <c r="U155" s="464"/>
      <c r="V155" s="464"/>
      <c r="W155" s="464"/>
      <c r="X155" s="464"/>
      <c r="Y155" s="464"/>
      <c r="Z155" s="464"/>
      <c r="AA155" s="464"/>
      <c r="AB155" s="464"/>
      <c r="AC155" s="464"/>
      <c r="AD155" s="464"/>
      <c r="AE155" s="464"/>
      <c r="AF155" s="464"/>
      <c r="AG155" s="464"/>
      <c r="AH155" s="464"/>
      <c r="AI155" s="464"/>
      <c r="AJ155" s="464"/>
    </row>
    <row r="156" spans="1:36" ht="15.75" customHeight="1">
      <c r="A156" s="463"/>
      <c r="B156" s="464"/>
      <c r="C156" s="464"/>
      <c r="D156" s="464"/>
      <c r="E156" s="464"/>
      <c r="F156" s="464"/>
      <c r="G156" s="464"/>
      <c r="H156" s="464"/>
      <c r="I156" s="464"/>
      <c r="J156" s="464"/>
      <c r="K156" s="464"/>
      <c r="L156" s="464"/>
      <c r="M156" s="464"/>
      <c r="N156" s="464"/>
      <c r="O156" s="464"/>
      <c r="P156" s="464"/>
      <c r="Q156" s="464"/>
      <c r="R156" s="464"/>
      <c r="S156" s="464"/>
      <c r="T156" s="464"/>
      <c r="U156" s="464"/>
      <c r="V156" s="464"/>
      <c r="W156" s="464"/>
      <c r="X156" s="464"/>
      <c r="Y156" s="464"/>
      <c r="Z156" s="464"/>
      <c r="AA156" s="464"/>
      <c r="AB156" s="464"/>
      <c r="AC156" s="464"/>
      <c r="AD156" s="464"/>
      <c r="AE156" s="464"/>
      <c r="AF156" s="464"/>
      <c r="AG156" s="464"/>
      <c r="AH156" s="464"/>
      <c r="AI156" s="464"/>
      <c r="AJ156" s="464"/>
    </row>
    <row r="157" spans="1:36" ht="15.75" customHeight="1">
      <c r="A157" s="463"/>
      <c r="B157" s="464"/>
      <c r="C157" s="464"/>
      <c r="D157" s="464"/>
      <c r="E157" s="464"/>
      <c r="F157" s="464"/>
      <c r="G157" s="464"/>
      <c r="H157" s="464"/>
      <c r="I157" s="464"/>
      <c r="J157" s="464"/>
      <c r="K157" s="464"/>
      <c r="L157" s="464"/>
      <c r="M157" s="464"/>
      <c r="N157" s="464"/>
      <c r="O157" s="464"/>
      <c r="P157" s="464"/>
      <c r="Q157" s="464"/>
      <c r="R157" s="464"/>
      <c r="S157" s="464"/>
      <c r="T157" s="464"/>
      <c r="U157" s="464"/>
      <c r="V157" s="464"/>
      <c r="W157" s="464"/>
      <c r="X157" s="464"/>
      <c r="Y157" s="464"/>
      <c r="Z157" s="464"/>
      <c r="AA157" s="464"/>
      <c r="AB157" s="464"/>
      <c r="AC157" s="464"/>
      <c r="AD157" s="464"/>
      <c r="AE157" s="464"/>
      <c r="AF157" s="464"/>
      <c r="AG157" s="464"/>
      <c r="AH157" s="464"/>
      <c r="AI157" s="464"/>
      <c r="AJ157" s="464"/>
    </row>
    <row r="158" spans="1:36" ht="15.75" customHeight="1">
      <c r="A158" s="463"/>
      <c r="B158" s="464"/>
      <c r="C158" s="464"/>
      <c r="D158" s="464"/>
      <c r="E158" s="464"/>
      <c r="F158" s="464"/>
      <c r="G158" s="464"/>
      <c r="H158" s="464"/>
      <c r="I158" s="464"/>
      <c r="J158" s="464"/>
      <c r="K158" s="464"/>
      <c r="L158" s="464"/>
      <c r="M158" s="464"/>
      <c r="N158" s="464"/>
      <c r="O158" s="464"/>
      <c r="P158" s="464"/>
      <c r="Q158" s="464"/>
      <c r="R158" s="464"/>
      <c r="S158" s="464"/>
      <c r="T158" s="464"/>
      <c r="U158" s="464"/>
      <c r="V158" s="464"/>
      <c r="W158" s="464"/>
      <c r="X158" s="464"/>
      <c r="Y158" s="464"/>
      <c r="Z158" s="464"/>
      <c r="AA158" s="464"/>
      <c r="AB158" s="464"/>
      <c r="AC158" s="464"/>
      <c r="AD158" s="464"/>
      <c r="AE158" s="464"/>
      <c r="AF158" s="464"/>
      <c r="AG158" s="464"/>
      <c r="AH158" s="464"/>
      <c r="AI158" s="464"/>
      <c r="AJ158" s="464"/>
    </row>
    <row r="159" spans="1:36" ht="15.75" customHeight="1">
      <c r="A159" s="463"/>
      <c r="B159" s="464"/>
      <c r="C159" s="464"/>
      <c r="D159" s="464"/>
      <c r="E159" s="464"/>
      <c r="F159" s="464"/>
      <c r="G159" s="464"/>
      <c r="H159" s="464"/>
      <c r="I159" s="464"/>
      <c r="J159" s="464"/>
      <c r="K159" s="464"/>
      <c r="L159" s="464"/>
      <c r="M159" s="464"/>
      <c r="N159" s="464"/>
      <c r="O159" s="464"/>
      <c r="P159" s="464"/>
      <c r="Q159" s="464"/>
      <c r="R159" s="464"/>
      <c r="S159" s="464"/>
      <c r="T159" s="464"/>
      <c r="U159" s="464"/>
      <c r="V159" s="464"/>
      <c r="W159" s="464"/>
      <c r="X159" s="464"/>
      <c r="Y159" s="464"/>
      <c r="Z159" s="464"/>
      <c r="AA159" s="464"/>
      <c r="AB159" s="464"/>
      <c r="AC159" s="464"/>
      <c r="AD159" s="464"/>
      <c r="AE159" s="464"/>
      <c r="AF159" s="464"/>
      <c r="AG159" s="464"/>
      <c r="AH159" s="464"/>
      <c r="AI159" s="464"/>
      <c r="AJ159" s="464"/>
    </row>
    <row r="160" spans="1:36" ht="15.75" customHeight="1">
      <c r="A160" s="463"/>
      <c r="B160" s="464"/>
      <c r="C160" s="464"/>
      <c r="D160" s="464"/>
      <c r="E160" s="464"/>
      <c r="F160" s="464"/>
      <c r="G160" s="464"/>
      <c r="H160" s="464"/>
      <c r="I160" s="464"/>
      <c r="J160" s="464"/>
      <c r="K160" s="464"/>
      <c r="L160" s="464"/>
      <c r="M160" s="464"/>
      <c r="N160" s="464"/>
      <c r="O160" s="464"/>
      <c r="P160" s="464"/>
      <c r="Q160" s="464"/>
      <c r="R160" s="464"/>
      <c r="S160" s="464"/>
      <c r="T160" s="464"/>
      <c r="U160" s="464"/>
      <c r="V160" s="464"/>
      <c r="W160" s="464"/>
      <c r="X160" s="464"/>
      <c r="Y160" s="464"/>
      <c r="Z160" s="464"/>
      <c r="AA160" s="464"/>
      <c r="AB160" s="464"/>
      <c r="AC160" s="464"/>
      <c r="AD160" s="464"/>
      <c r="AE160" s="464"/>
      <c r="AF160" s="464"/>
      <c r="AG160" s="464"/>
      <c r="AH160" s="464"/>
      <c r="AI160" s="464"/>
      <c r="AJ160" s="464"/>
    </row>
    <row r="161" spans="1:36" ht="15.75" customHeight="1">
      <c r="A161" s="463"/>
      <c r="B161" s="464"/>
      <c r="C161" s="464"/>
      <c r="D161" s="464"/>
      <c r="E161" s="464"/>
      <c r="F161" s="464"/>
      <c r="G161" s="464"/>
      <c r="H161" s="464"/>
      <c r="I161" s="464"/>
      <c r="J161" s="464"/>
      <c r="K161" s="464"/>
      <c r="L161" s="464"/>
      <c r="M161" s="464"/>
      <c r="N161" s="464"/>
      <c r="O161" s="464"/>
      <c r="P161" s="464"/>
      <c r="Q161" s="464"/>
      <c r="R161" s="464"/>
      <c r="S161" s="464"/>
      <c r="T161" s="464"/>
      <c r="U161" s="464"/>
      <c r="V161" s="464"/>
      <c r="W161" s="464"/>
      <c r="X161" s="464"/>
      <c r="Y161" s="464"/>
      <c r="Z161" s="464"/>
      <c r="AA161" s="464"/>
      <c r="AB161" s="464"/>
      <c r="AC161" s="464"/>
      <c r="AD161" s="464"/>
      <c r="AE161" s="464"/>
      <c r="AF161" s="464"/>
      <c r="AG161" s="464"/>
      <c r="AH161" s="464"/>
      <c r="AI161" s="464"/>
      <c r="AJ161" s="464"/>
    </row>
    <row r="162" spans="1:36" ht="15.75" customHeight="1">
      <c r="A162" s="463"/>
      <c r="B162" s="464"/>
      <c r="C162" s="464"/>
      <c r="D162" s="464"/>
      <c r="E162" s="464"/>
      <c r="F162" s="464"/>
      <c r="G162" s="464"/>
      <c r="H162" s="464"/>
      <c r="I162" s="464"/>
      <c r="J162" s="464"/>
      <c r="K162" s="464"/>
      <c r="L162" s="464"/>
      <c r="M162" s="464"/>
      <c r="N162" s="464"/>
      <c r="O162" s="464"/>
      <c r="P162" s="464"/>
      <c r="Q162" s="464"/>
      <c r="R162" s="464"/>
      <c r="S162" s="464"/>
      <c r="T162" s="464"/>
      <c r="U162" s="464"/>
      <c r="V162" s="464"/>
      <c r="W162" s="464"/>
      <c r="X162" s="464"/>
      <c r="Y162" s="464"/>
      <c r="Z162" s="464"/>
      <c r="AA162" s="464"/>
      <c r="AB162" s="464"/>
      <c r="AC162" s="464"/>
      <c r="AD162" s="464"/>
      <c r="AE162" s="464"/>
      <c r="AF162" s="464"/>
      <c r="AG162" s="464"/>
      <c r="AH162" s="464"/>
      <c r="AI162" s="464"/>
      <c r="AJ162" s="464"/>
    </row>
    <row r="163" spans="1:36" ht="15.75" customHeight="1">
      <c r="A163" s="463"/>
      <c r="B163" s="464"/>
      <c r="C163" s="464"/>
      <c r="D163" s="464"/>
      <c r="E163" s="464"/>
      <c r="F163" s="464"/>
      <c r="G163" s="464"/>
      <c r="H163" s="464"/>
      <c r="I163" s="464"/>
      <c r="J163" s="464"/>
      <c r="K163" s="464"/>
      <c r="L163" s="464"/>
      <c r="M163" s="464"/>
      <c r="N163" s="464"/>
      <c r="O163" s="464"/>
      <c r="P163" s="464"/>
      <c r="Q163" s="464"/>
      <c r="R163" s="464"/>
      <c r="S163" s="464"/>
      <c r="T163" s="464"/>
      <c r="U163" s="464"/>
      <c r="V163" s="464"/>
      <c r="W163" s="464"/>
      <c r="X163" s="464"/>
      <c r="Y163" s="464"/>
      <c r="Z163" s="464"/>
      <c r="AA163" s="464"/>
      <c r="AB163" s="464"/>
      <c r="AC163" s="464"/>
      <c r="AD163" s="464"/>
      <c r="AE163" s="464"/>
      <c r="AF163" s="464"/>
      <c r="AG163" s="464"/>
      <c r="AH163" s="464"/>
      <c r="AI163" s="464"/>
      <c r="AJ163" s="464"/>
    </row>
    <row r="164" spans="1:36" ht="15.75" customHeight="1">
      <c r="A164" s="463"/>
      <c r="B164" s="464"/>
      <c r="C164" s="464"/>
      <c r="D164" s="464"/>
      <c r="E164" s="464"/>
      <c r="F164" s="464"/>
      <c r="G164" s="464"/>
      <c r="H164" s="464"/>
      <c r="I164" s="464"/>
      <c r="J164" s="464"/>
      <c r="K164" s="464"/>
      <c r="L164" s="464"/>
      <c r="M164" s="464"/>
      <c r="N164" s="464"/>
      <c r="O164" s="464"/>
      <c r="P164" s="464"/>
      <c r="Q164" s="464"/>
      <c r="R164" s="464"/>
      <c r="S164" s="464"/>
      <c r="T164" s="464"/>
      <c r="U164" s="464"/>
      <c r="V164" s="464"/>
      <c r="W164" s="464"/>
      <c r="X164" s="464"/>
      <c r="Y164" s="464"/>
      <c r="Z164" s="464"/>
      <c r="AA164" s="464"/>
      <c r="AB164" s="464"/>
      <c r="AC164" s="464"/>
      <c r="AD164" s="464"/>
      <c r="AE164" s="464"/>
      <c r="AF164" s="464"/>
      <c r="AG164" s="464"/>
      <c r="AH164" s="464"/>
      <c r="AI164" s="464"/>
      <c r="AJ164" s="464"/>
    </row>
    <row r="165" spans="1:36" ht="15.75" customHeight="1">
      <c r="A165" s="463"/>
      <c r="B165" s="464"/>
      <c r="C165" s="464"/>
      <c r="D165" s="464"/>
      <c r="E165" s="464"/>
      <c r="F165" s="464"/>
      <c r="G165" s="464"/>
      <c r="H165" s="464"/>
      <c r="I165" s="464"/>
      <c r="J165" s="464"/>
      <c r="K165" s="464"/>
      <c r="L165" s="464"/>
      <c r="M165" s="464"/>
      <c r="N165" s="464"/>
      <c r="O165" s="464"/>
      <c r="P165" s="464"/>
      <c r="Q165" s="464"/>
      <c r="R165" s="464"/>
      <c r="S165" s="464"/>
      <c r="T165" s="464"/>
      <c r="U165" s="464"/>
      <c r="V165" s="464"/>
      <c r="W165" s="464"/>
      <c r="X165" s="464"/>
      <c r="Y165" s="464"/>
      <c r="Z165" s="464"/>
      <c r="AA165" s="464"/>
      <c r="AB165" s="464"/>
      <c r="AC165" s="464"/>
      <c r="AD165" s="464"/>
      <c r="AE165" s="464"/>
      <c r="AF165" s="464"/>
      <c r="AG165" s="464"/>
      <c r="AH165" s="464"/>
      <c r="AI165" s="464"/>
      <c r="AJ165" s="464"/>
    </row>
    <row r="166" spans="1:36" ht="15.75" customHeight="1">
      <c r="A166" s="463"/>
      <c r="B166" s="464"/>
      <c r="C166" s="464"/>
      <c r="D166" s="464"/>
      <c r="E166" s="464"/>
      <c r="F166" s="464"/>
      <c r="G166" s="464"/>
      <c r="H166" s="464"/>
      <c r="I166" s="464"/>
      <c r="J166" s="464"/>
      <c r="K166" s="464"/>
      <c r="L166" s="464"/>
      <c r="M166" s="464"/>
      <c r="N166" s="464"/>
      <c r="O166" s="464"/>
      <c r="P166" s="464"/>
      <c r="Q166" s="464"/>
      <c r="R166" s="464"/>
      <c r="S166" s="464"/>
      <c r="T166" s="464"/>
      <c r="U166" s="464"/>
      <c r="V166" s="464"/>
      <c r="W166" s="464"/>
      <c r="X166" s="464"/>
      <c r="Y166" s="464"/>
      <c r="Z166" s="464"/>
      <c r="AA166" s="464"/>
      <c r="AB166" s="464"/>
      <c r="AC166" s="464"/>
      <c r="AD166" s="464"/>
      <c r="AE166" s="464"/>
      <c r="AF166" s="464"/>
      <c r="AG166" s="464"/>
      <c r="AH166" s="464"/>
      <c r="AI166" s="464"/>
      <c r="AJ166" s="464"/>
    </row>
    <row r="167" spans="1:36" ht="15.75" customHeight="1">
      <c r="A167" s="463"/>
      <c r="B167" s="464"/>
      <c r="C167" s="464"/>
      <c r="D167" s="464"/>
      <c r="E167" s="464"/>
      <c r="F167" s="464"/>
      <c r="G167" s="464"/>
      <c r="H167" s="464"/>
      <c r="I167" s="464"/>
      <c r="J167" s="464"/>
      <c r="K167" s="464"/>
      <c r="L167" s="464"/>
      <c r="M167" s="464"/>
      <c r="N167" s="464"/>
      <c r="O167" s="464"/>
      <c r="P167" s="464"/>
      <c r="Q167" s="464"/>
      <c r="R167" s="464"/>
      <c r="S167" s="464"/>
      <c r="T167" s="464"/>
      <c r="U167" s="464"/>
      <c r="V167" s="464"/>
      <c r="W167" s="464"/>
      <c r="X167" s="464"/>
      <c r="Y167" s="464"/>
      <c r="Z167" s="464"/>
      <c r="AA167" s="464"/>
      <c r="AB167" s="464"/>
      <c r="AC167" s="464"/>
      <c r="AD167" s="464"/>
      <c r="AE167" s="464"/>
      <c r="AF167" s="464"/>
      <c r="AG167" s="464"/>
      <c r="AH167" s="464"/>
      <c r="AI167" s="464"/>
      <c r="AJ167" s="464"/>
    </row>
    <row r="168" spans="1:36" ht="15.75" customHeight="1">
      <c r="A168" s="463"/>
      <c r="B168" s="464"/>
      <c r="C168" s="464"/>
      <c r="D168" s="464"/>
      <c r="E168" s="464"/>
      <c r="F168" s="464"/>
      <c r="G168" s="464"/>
      <c r="H168" s="464"/>
      <c r="I168" s="464"/>
      <c r="J168" s="464"/>
      <c r="K168" s="464"/>
      <c r="L168" s="464"/>
      <c r="M168" s="464"/>
      <c r="N168" s="464"/>
      <c r="O168" s="464"/>
      <c r="P168" s="464"/>
      <c r="Q168" s="464"/>
      <c r="R168" s="464"/>
      <c r="S168" s="464"/>
      <c r="T168" s="464"/>
      <c r="U168" s="464"/>
      <c r="V168" s="464"/>
      <c r="W168" s="464"/>
      <c r="X168" s="464"/>
      <c r="Y168" s="464"/>
      <c r="Z168" s="464"/>
      <c r="AA168" s="464"/>
      <c r="AB168" s="464"/>
      <c r="AC168" s="464"/>
      <c r="AD168" s="464"/>
      <c r="AE168" s="464"/>
      <c r="AF168" s="464"/>
      <c r="AG168" s="464"/>
      <c r="AH168" s="464"/>
      <c r="AI168" s="464"/>
      <c r="AJ168" s="464"/>
    </row>
    <row r="169" spans="1:36" ht="15.75" customHeight="1">
      <c r="A169" s="463"/>
      <c r="B169" s="464"/>
      <c r="C169" s="464"/>
      <c r="D169" s="464"/>
      <c r="E169" s="464"/>
      <c r="F169" s="464"/>
      <c r="G169" s="464"/>
      <c r="H169" s="464"/>
      <c r="I169" s="464"/>
      <c r="J169" s="464"/>
      <c r="K169" s="464"/>
      <c r="L169" s="464"/>
      <c r="M169" s="464"/>
      <c r="N169" s="464"/>
      <c r="O169" s="464"/>
      <c r="P169" s="464"/>
      <c r="Q169" s="464"/>
      <c r="R169" s="464"/>
      <c r="S169" s="464"/>
      <c r="T169" s="464"/>
      <c r="U169" s="464"/>
      <c r="V169" s="464"/>
      <c r="W169" s="464"/>
      <c r="X169" s="464"/>
      <c r="Y169" s="464"/>
      <c r="Z169" s="464"/>
      <c r="AA169" s="464"/>
      <c r="AB169" s="464"/>
      <c r="AC169" s="464"/>
      <c r="AD169" s="464"/>
      <c r="AE169" s="464"/>
      <c r="AF169" s="464"/>
      <c r="AG169" s="464"/>
      <c r="AH169" s="464"/>
      <c r="AI169" s="464"/>
      <c r="AJ169" s="464"/>
    </row>
    <row r="170" spans="1:36" ht="15.75" customHeight="1">
      <c r="A170" s="463"/>
      <c r="B170" s="464"/>
      <c r="C170" s="464"/>
      <c r="D170" s="464"/>
      <c r="E170" s="464"/>
      <c r="F170" s="464"/>
      <c r="G170" s="464"/>
      <c r="H170" s="464"/>
      <c r="I170" s="464"/>
      <c r="J170" s="464"/>
      <c r="K170" s="464"/>
      <c r="L170" s="464"/>
      <c r="M170" s="464"/>
      <c r="N170" s="464"/>
      <c r="O170" s="464"/>
      <c r="P170" s="464"/>
      <c r="Q170" s="464"/>
      <c r="R170" s="464"/>
      <c r="S170" s="464"/>
      <c r="T170" s="464"/>
      <c r="U170" s="464"/>
      <c r="V170" s="464"/>
      <c r="W170" s="464"/>
      <c r="X170" s="464"/>
      <c r="Y170" s="464"/>
      <c r="Z170" s="464"/>
      <c r="AA170" s="464"/>
      <c r="AB170" s="464"/>
      <c r="AC170" s="464"/>
      <c r="AD170" s="464"/>
      <c r="AE170" s="464"/>
      <c r="AF170" s="464"/>
      <c r="AG170" s="464"/>
      <c r="AH170" s="464"/>
      <c r="AI170" s="464"/>
      <c r="AJ170" s="464"/>
    </row>
    <row r="171" spans="1:36" ht="15.75" customHeight="1">
      <c r="A171" s="463"/>
      <c r="B171" s="464"/>
      <c r="C171" s="464"/>
      <c r="D171" s="464"/>
      <c r="E171" s="464"/>
      <c r="F171" s="464"/>
      <c r="G171" s="464"/>
      <c r="H171" s="464"/>
      <c r="I171" s="464"/>
      <c r="J171" s="464"/>
      <c r="K171" s="464"/>
      <c r="L171" s="464"/>
      <c r="M171" s="464"/>
      <c r="N171" s="464"/>
      <c r="O171" s="464"/>
      <c r="P171" s="464"/>
      <c r="Q171" s="464"/>
      <c r="R171" s="464"/>
      <c r="S171" s="464"/>
      <c r="T171" s="464"/>
      <c r="U171" s="464"/>
      <c r="V171" s="464"/>
      <c r="W171" s="464"/>
      <c r="X171" s="464"/>
      <c r="Y171" s="464"/>
      <c r="Z171" s="464"/>
      <c r="AA171" s="464"/>
      <c r="AB171" s="464"/>
      <c r="AC171" s="464"/>
      <c r="AD171" s="464"/>
      <c r="AE171" s="464"/>
      <c r="AF171" s="464"/>
      <c r="AG171" s="464"/>
      <c r="AH171" s="464"/>
      <c r="AI171" s="464"/>
      <c r="AJ171" s="464"/>
    </row>
    <row r="172" spans="1:36" ht="15.75" customHeight="1">
      <c r="A172" s="463"/>
      <c r="B172" s="464"/>
      <c r="C172" s="464"/>
      <c r="D172" s="464"/>
      <c r="E172" s="464"/>
      <c r="F172" s="464"/>
      <c r="G172" s="464"/>
      <c r="H172" s="464"/>
      <c r="I172" s="464"/>
      <c r="J172" s="464"/>
      <c r="K172" s="464"/>
      <c r="L172" s="464"/>
      <c r="M172" s="464"/>
      <c r="N172" s="464"/>
      <c r="O172" s="464"/>
      <c r="P172" s="464"/>
      <c r="Q172" s="464"/>
      <c r="R172" s="464"/>
      <c r="S172" s="464"/>
      <c r="T172" s="464"/>
      <c r="U172" s="464"/>
      <c r="V172" s="464"/>
      <c r="W172" s="464"/>
      <c r="X172" s="464"/>
      <c r="Y172" s="464"/>
      <c r="Z172" s="464"/>
      <c r="AA172" s="464"/>
      <c r="AB172" s="464"/>
      <c r="AC172" s="464"/>
      <c r="AD172" s="464"/>
      <c r="AE172" s="464"/>
      <c r="AF172" s="464"/>
      <c r="AG172" s="464"/>
      <c r="AH172" s="464"/>
      <c r="AI172" s="464"/>
      <c r="AJ172" s="464"/>
    </row>
    <row r="173" spans="1:36" ht="15.75" customHeight="1">
      <c r="A173" s="463"/>
      <c r="B173" s="464"/>
      <c r="C173" s="464"/>
      <c r="D173" s="464"/>
      <c r="E173" s="464"/>
      <c r="F173" s="464"/>
      <c r="G173" s="464"/>
      <c r="H173" s="464"/>
      <c r="I173" s="464"/>
      <c r="J173" s="464"/>
      <c r="K173" s="464"/>
      <c r="L173" s="464"/>
      <c r="M173" s="464"/>
      <c r="N173" s="464"/>
      <c r="O173" s="464"/>
      <c r="P173" s="464"/>
      <c r="Q173" s="464"/>
      <c r="R173" s="464"/>
      <c r="S173" s="464"/>
      <c r="T173" s="464"/>
      <c r="U173" s="464"/>
      <c r="V173" s="464"/>
      <c r="W173" s="464"/>
      <c r="X173" s="464"/>
      <c r="Y173" s="464"/>
      <c r="Z173" s="464"/>
      <c r="AA173" s="464"/>
      <c r="AB173" s="464"/>
      <c r="AC173" s="464"/>
      <c r="AD173" s="464"/>
      <c r="AE173" s="464"/>
      <c r="AF173" s="464"/>
      <c r="AG173" s="464"/>
      <c r="AH173" s="464"/>
      <c r="AI173" s="464"/>
      <c r="AJ173" s="464"/>
    </row>
    <row r="174" spans="1:36" ht="15.75" customHeight="1">
      <c r="A174" s="463"/>
      <c r="B174" s="464"/>
      <c r="C174" s="464"/>
      <c r="D174" s="464"/>
      <c r="E174" s="464"/>
      <c r="F174" s="464"/>
      <c r="G174" s="464"/>
      <c r="H174" s="464"/>
      <c r="I174" s="464"/>
      <c r="J174" s="464"/>
      <c r="K174" s="464"/>
      <c r="L174" s="464"/>
      <c r="M174" s="464"/>
      <c r="N174" s="464"/>
      <c r="O174" s="464"/>
      <c r="P174" s="464"/>
      <c r="Q174" s="464"/>
      <c r="R174" s="464"/>
      <c r="S174" s="464"/>
      <c r="T174" s="464"/>
      <c r="U174" s="464"/>
      <c r="V174" s="464"/>
      <c r="W174" s="464"/>
      <c r="X174" s="464"/>
      <c r="Y174" s="464"/>
      <c r="Z174" s="464"/>
      <c r="AA174" s="464"/>
      <c r="AB174" s="464"/>
      <c r="AC174" s="464"/>
      <c r="AD174" s="464"/>
      <c r="AE174" s="464"/>
      <c r="AF174" s="464"/>
      <c r="AG174" s="464"/>
      <c r="AH174" s="464"/>
      <c r="AI174" s="464"/>
      <c r="AJ174" s="464"/>
    </row>
    <row r="175" spans="1:36" ht="15.75" customHeight="1">
      <c r="A175" s="463"/>
      <c r="B175" s="464"/>
      <c r="C175" s="464"/>
      <c r="D175" s="464"/>
      <c r="E175" s="464"/>
      <c r="F175" s="464"/>
      <c r="G175" s="464"/>
      <c r="H175" s="464"/>
      <c r="I175" s="464"/>
      <c r="J175" s="464"/>
      <c r="K175" s="464"/>
      <c r="L175" s="464"/>
      <c r="M175" s="464"/>
      <c r="N175" s="464"/>
      <c r="O175" s="464"/>
      <c r="P175" s="464"/>
      <c r="Q175" s="464"/>
      <c r="R175" s="464"/>
      <c r="S175" s="464"/>
      <c r="T175" s="464"/>
      <c r="U175" s="464"/>
      <c r="V175" s="464"/>
      <c r="W175" s="464"/>
      <c r="X175" s="464"/>
      <c r="Y175" s="464"/>
      <c r="Z175" s="464"/>
      <c r="AA175" s="464"/>
      <c r="AB175" s="464"/>
      <c r="AC175" s="464"/>
      <c r="AD175" s="464"/>
      <c r="AE175" s="464"/>
      <c r="AF175" s="464"/>
      <c r="AG175" s="464"/>
      <c r="AH175" s="464"/>
      <c r="AI175" s="464"/>
      <c r="AJ175" s="464"/>
    </row>
    <row r="176" spans="1:36" ht="15.75" customHeight="1">
      <c r="A176" s="463"/>
      <c r="B176" s="464"/>
      <c r="C176" s="464"/>
      <c r="D176" s="464"/>
      <c r="E176" s="464"/>
      <c r="F176" s="464"/>
      <c r="G176" s="464"/>
      <c r="H176" s="464"/>
      <c r="I176" s="464"/>
      <c r="J176" s="464"/>
      <c r="K176" s="464"/>
      <c r="L176" s="464"/>
      <c r="M176" s="464"/>
      <c r="N176" s="464"/>
      <c r="O176" s="464"/>
      <c r="P176" s="464"/>
      <c r="Q176" s="464"/>
      <c r="R176" s="464"/>
      <c r="S176" s="464"/>
      <c r="T176" s="464"/>
      <c r="U176" s="464"/>
      <c r="V176" s="464"/>
      <c r="W176" s="464"/>
      <c r="X176" s="464"/>
      <c r="Y176" s="464"/>
      <c r="Z176" s="464"/>
      <c r="AA176" s="464"/>
      <c r="AB176" s="464"/>
      <c r="AC176" s="464"/>
      <c r="AD176" s="464"/>
      <c r="AE176" s="464"/>
      <c r="AF176" s="464"/>
      <c r="AG176" s="464"/>
      <c r="AH176" s="464"/>
      <c r="AI176" s="464"/>
      <c r="AJ176" s="464"/>
    </row>
    <row r="177" spans="1:36" ht="15.75" customHeight="1">
      <c r="A177" s="463"/>
      <c r="B177" s="464"/>
      <c r="C177" s="464"/>
      <c r="D177" s="464"/>
      <c r="E177" s="464"/>
      <c r="F177" s="464"/>
      <c r="G177" s="464"/>
      <c r="H177" s="464"/>
      <c r="I177" s="464"/>
      <c r="J177" s="464"/>
      <c r="K177" s="464"/>
      <c r="L177" s="464"/>
      <c r="M177" s="464"/>
      <c r="N177" s="464"/>
      <c r="O177" s="464"/>
      <c r="P177" s="464"/>
      <c r="Q177" s="464"/>
      <c r="R177" s="464"/>
      <c r="S177" s="464"/>
      <c r="T177" s="464"/>
      <c r="U177" s="464"/>
      <c r="V177" s="464"/>
      <c r="W177" s="464"/>
      <c r="X177" s="464"/>
      <c r="Y177" s="464"/>
      <c r="Z177" s="464"/>
      <c r="AA177" s="464"/>
      <c r="AB177" s="464"/>
      <c r="AC177" s="464"/>
      <c r="AD177" s="464"/>
      <c r="AE177" s="464"/>
      <c r="AF177" s="464"/>
      <c r="AG177" s="464"/>
      <c r="AH177" s="464"/>
      <c r="AI177" s="464"/>
      <c r="AJ177" s="464"/>
    </row>
    <row r="178" spans="1:36" ht="15.75" customHeight="1">
      <c r="A178" s="463"/>
      <c r="B178" s="464"/>
      <c r="C178" s="464"/>
      <c r="D178" s="464"/>
      <c r="E178" s="464"/>
      <c r="F178" s="464"/>
      <c r="G178" s="464"/>
      <c r="H178" s="464"/>
      <c r="I178" s="464"/>
      <c r="J178" s="464"/>
      <c r="K178" s="464"/>
      <c r="L178" s="464"/>
      <c r="M178" s="464"/>
      <c r="N178" s="464"/>
      <c r="O178" s="464"/>
      <c r="P178" s="464"/>
      <c r="Q178" s="464"/>
      <c r="R178" s="464"/>
      <c r="S178" s="464"/>
      <c r="T178" s="464"/>
      <c r="U178" s="464"/>
      <c r="V178" s="464"/>
      <c r="W178" s="464"/>
      <c r="X178" s="464"/>
      <c r="Y178" s="464"/>
      <c r="Z178" s="464"/>
      <c r="AA178" s="464"/>
      <c r="AB178" s="464"/>
      <c r="AC178" s="464"/>
      <c r="AD178" s="464"/>
      <c r="AE178" s="464"/>
      <c r="AF178" s="464"/>
      <c r="AG178" s="464"/>
      <c r="AH178" s="464"/>
      <c r="AI178" s="464"/>
      <c r="AJ178" s="464"/>
    </row>
    <row r="179" spans="1:36" ht="15.75" customHeight="1">
      <c r="A179" s="463"/>
      <c r="B179" s="464"/>
      <c r="C179" s="464"/>
      <c r="D179" s="464"/>
      <c r="E179" s="464"/>
      <c r="F179" s="464"/>
      <c r="G179" s="464"/>
      <c r="H179" s="464"/>
      <c r="I179" s="464"/>
      <c r="J179" s="464"/>
      <c r="K179" s="464"/>
      <c r="L179" s="464"/>
      <c r="M179" s="464"/>
      <c r="N179" s="464"/>
      <c r="O179" s="464"/>
      <c r="P179" s="464"/>
      <c r="Q179" s="464"/>
      <c r="R179" s="464"/>
      <c r="S179" s="464"/>
      <c r="T179" s="464"/>
      <c r="U179" s="464"/>
      <c r="V179" s="464"/>
      <c r="W179" s="464"/>
      <c r="X179" s="464"/>
      <c r="Y179" s="464"/>
      <c r="Z179" s="464"/>
      <c r="AA179" s="464"/>
      <c r="AB179" s="464"/>
      <c r="AC179" s="464"/>
      <c r="AD179" s="464"/>
      <c r="AE179" s="464"/>
      <c r="AF179" s="464"/>
      <c r="AG179" s="464"/>
      <c r="AH179" s="464"/>
      <c r="AI179" s="464"/>
      <c r="AJ179" s="464"/>
    </row>
    <row r="180" spans="1:36" ht="15.75" customHeight="1">
      <c r="A180" s="463"/>
      <c r="B180" s="464"/>
      <c r="C180" s="464"/>
      <c r="D180" s="464"/>
      <c r="E180" s="464"/>
      <c r="F180" s="464"/>
      <c r="G180" s="464"/>
      <c r="H180" s="464"/>
      <c r="I180" s="464"/>
      <c r="J180" s="464"/>
      <c r="K180" s="464"/>
      <c r="L180" s="464"/>
      <c r="M180" s="464"/>
      <c r="N180" s="464"/>
      <c r="O180" s="464"/>
      <c r="P180" s="464"/>
      <c r="Q180" s="464"/>
      <c r="R180" s="464"/>
      <c r="S180" s="464"/>
      <c r="T180" s="464"/>
      <c r="U180" s="464"/>
      <c r="V180" s="464"/>
      <c r="W180" s="464"/>
      <c r="X180" s="464"/>
      <c r="Y180" s="464"/>
      <c r="Z180" s="464"/>
      <c r="AA180" s="464"/>
      <c r="AB180" s="464"/>
      <c r="AC180" s="464"/>
      <c r="AD180" s="464"/>
      <c r="AE180" s="464"/>
      <c r="AF180" s="464"/>
      <c r="AG180" s="464"/>
      <c r="AH180" s="464"/>
      <c r="AI180" s="464"/>
      <c r="AJ180" s="464"/>
    </row>
    <row r="181" spans="1:36" ht="15.75" customHeight="1">
      <c r="A181" s="463"/>
      <c r="B181" s="464"/>
      <c r="C181" s="464"/>
      <c r="D181" s="464"/>
      <c r="E181" s="464"/>
      <c r="F181" s="464"/>
      <c r="G181" s="464"/>
      <c r="H181" s="464"/>
      <c r="I181" s="464"/>
      <c r="J181" s="464"/>
      <c r="K181" s="464"/>
      <c r="L181" s="464"/>
      <c r="M181" s="464"/>
      <c r="N181" s="464"/>
      <c r="O181" s="464"/>
      <c r="P181" s="464"/>
      <c r="Q181" s="464"/>
      <c r="R181" s="464"/>
      <c r="S181" s="464"/>
      <c r="T181" s="464"/>
      <c r="U181" s="464"/>
      <c r="V181" s="464"/>
      <c r="W181" s="464"/>
      <c r="X181" s="464"/>
      <c r="Y181" s="464"/>
      <c r="Z181" s="464"/>
      <c r="AA181" s="464"/>
      <c r="AB181" s="464"/>
      <c r="AC181" s="464"/>
      <c r="AD181" s="464"/>
      <c r="AE181" s="464"/>
      <c r="AF181" s="464"/>
      <c r="AG181" s="464"/>
      <c r="AH181" s="464"/>
      <c r="AI181" s="464"/>
      <c r="AJ181" s="464"/>
    </row>
    <row r="182" spans="1:36" ht="15.75" customHeight="1">
      <c r="A182" s="463"/>
      <c r="B182" s="464"/>
      <c r="C182" s="464"/>
      <c r="D182" s="464"/>
      <c r="E182" s="464"/>
      <c r="F182" s="464"/>
      <c r="G182" s="464"/>
      <c r="H182" s="464"/>
      <c r="I182" s="464"/>
      <c r="J182" s="464"/>
      <c r="K182" s="464"/>
      <c r="L182" s="464"/>
      <c r="M182" s="464"/>
      <c r="N182" s="464"/>
      <c r="O182" s="464"/>
      <c r="P182" s="464"/>
      <c r="Q182" s="464"/>
      <c r="R182" s="464"/>
      <c r="S182" s="464"/>
      <c r="T182" s="464"/>
      <c r="U182" s="464"/>
      <c r="V182" s="464"/>
      <c r="W182" s="464"/>
      <c r="X182" s="464"/>
      <c r="Y182" s="464"/>
      <c r="Z182" s="464"/>
      <c r="AA182" s="464"/>
      <c r="AB182" s="464"/>
      <c r="AC182" s="464"/>
      <c r="AD182" s="464"/>
      <c r="AE182" s="464"/>
      <c r="AF182" s="464"/>
      <c r="AG182" s="464"/>
      <c r="AH182" s="464"/>
      <c r="AI182" s="464"/>
      <c r="AJ182" s="464"/>
    </row>
    <row r="183" spans="1:36" ht="15.75" customHeight="1">
      <c r="A183" s="463"/>
      <c r="B183" s="464"/>
      <c r="C183" s="464"/>
      <c r="D183" s="464"/>
      <c r="E183" s="464"/>
      <c r="F183" s="464"/>
      <c r="G183" s="464"/>
      <c r="H183" s="464"/>
      <c r="I183" s="464"/>
      <c r="J183" s="464"/>
      <c r="K183" s="464"/>
      <c r="L183" s="464"/>
      <c r="M183" s="464"/>
      <c r="N183" s="464"/>
      <c r="O183" s="464"/>
      <c r="P183" s="464"/>
      <c r="Q183" s="464"/>
      <c r="R183" s="464"/>
      <c r="S183" s="464"/>
      <c r="T183" s="464"/>
      <c r="U183" s="464"/>
      <c r="V183" s="464"/>
      <c r="W183" s="464"/>
      <c r="X183" s="464"/>
      <c r="Y183" s="464"/>
      <c r="Z183" s="464"/>
      <c r="AA183" s="464"/>
      <c r="AB183" s="464"/>
      <c r="AC183" s="464"/>
      <c r="AD183" s="464"/>
      <c r="AE183" s="464"/>
      <c r="AF183" s="464"/>
      <c r="AG183" s="464"/>
      <c r="AH183" s="464"/>
      <c r="AI183" s="464"/>
      <c r="AJ183" s="464"/>
    </row>
    <row r="184" spans="1:36" ht="15.75" customHeight="1">
      <c r="A184" s="463"/>
      <c r="B184" s="464"/>
      <c r="C184" s="464"/>
      <c r="D184" s="464"/>
      <c r="E184" s="464"/>
      <c r="F184" s="464"/>
      <c r="G184" s="464"/>
      <c r="H184" s="464"/>
      <c r="I184" s="464"/>
      <c r="J184" s="464"/>
      <c r="K184" s="464"/>
      <c r="L184" s="464"/>
      <c r="M184" s="464"/>
      <c r="N184" s="464"/>
      <c r="O184" s="464"/>
      <c r="P184" s="464"/>
      <c r="Q184" s="464"/>
      <c r="R184" s="464"/>
      <c r="S184" s="464"/>
      <c r="T184" s="464"/>
      <c r="U184" s="464"/>
      <c r="V184" s="464"/>
      <c r="W184" s="464"/>
      <c r="X184" s="464"/>
      <c r="Y184" s="464"/>
      <c r="Z184" s="464"/>
      <c r="AA184" s="464"/>
      <c r="AB184" s="464"/>
      <c r="AC184" s="464"/>
      <c r="AD184" s="464"/>
      <c r="AE184" s="464"/>
      <c r="AF184" s="464"/>
      <c r="AG184" s="464"/>
      <c r="AH184" s="464"/>
      <c r="AI184" s="464"/>
      <c r="AJ184" s="464"/>
    </row>
    <row r="185" spans="1:36" ht="15.75" customHeight="1">
      <c r="A185" s="463"/>
      <c r="B185" s="464"/>
      <c r="C185" s="464"/>
      <c r="D185" s="464"/>
      <c r="E185" s="464"/>
      <c r="F185" s="464"/>
      <c r="G185" s="464"/>
      <c r="H185" s="464"/>
      <c r="I185" s="464"/>
      <c r="J185" s="464"/>
      <c r="K185" s="464"/>
      <c r="L185" s="464"/>
      <c r="M185" s="464"/>
      <c r="N185" s="464"/>
      <c r="O185" s="464"/>
      <c r="P185" s="464"/>
      <c r="Q185" s="464"/>
      <c r="R185" s="464"/>
      <c r="S185" s="464"/>
      <c r="T185" s="464"/>
      <c r="U185" s="464"/>
      <c r="V185" s="464"/>
      <c r="W185" s="464"/>
      <c r="X185" s="464"/>
      <c r="Y185" s="464"/>
      <c r="Z185" s="464"/>
      <c r="AA185" s="464"/>
      <c r="AB185" s="464"/>
      <c r="AC185" s="464"/>
      <c r="AD185" s="464"/>
      <c r="AE185" s="464"/>
      <c r="AF185" s="464"/>
      <c r="AG185" s="464"/>
      <c r="AH185" s="464"/>
      <c r="AI185" s="464"/>
      <c r="AJ185" s="464"/>
    </row>
    <row r="186" spans="1:36" ht="15.75" customHeight="1">
      <c r="A186" s="463"/>
      <c r="B186" s="464"/>
      <c r="C186" s="464"/>
      <c r="D186" s="464"/>
      <c r="E186" s="464"/>
      <c r="F186" s="464"/>
      <c r="G186" s="464"/>
      <c r="H186" s="464"/>
      <c r="I186" s="464"/>
      <c r="J186" s="464"/>
      <c r="K186" s="464"/>
      <c r="L186" s="464"/>
      <c r="M186" s="464"/>
      <c r="N186" s="464"/>
      <c r="O186" s="464"/>
      <c r="P186" s="464"/>
      <c r="Q186" s="464"/>
      <c r="R186" s="464"/>
      <c r="S186" s="464"/>
      <c r="T186" s="464"/>
      <c r="U186" s="464"/>
      <c r="V186" s="464"/>
      <c r="W186" s="464"/>
      <c r="X186" s="464"/>
      <c r="Y186" s="464"/>
      <c r="Z186" s="464"/>
      <c r="AA186" s="464"/>
      <c r="AB186" s="464"/>
      <c r="AC186" s="464"/>
      <c r="AD186" s="464"/>
      <c r="AE186" s="464"/>
      <c r="AF186" s="464"/>
      <c r="AG186" s="464"/>
      <c r="AH186" s="464"/>
      <c r="AI186" s="464"/>
      <c r="AJ186" s="464"/>
    </row>
    <row r="187" spans="1:36" ht="15.75" customHeight="1">
      <c r="A187" s="463"/>
      <c r="B187" s="464"/>
      <c r="C187" s="464"/>
      <c r="D187" s="464"/>
      <c r="E187" s="464"/>
      <c r="F187" s="464"/>
      <c r="G187" s="464"/>
      <c r="H187" s="464"/>
      <c r="I187" s="464"/>
      <c r="J187" s="464"/>
      <c r="K187" s="464"/>
      <c r="L187" s="464"/>
      <c r="M187" s="464"/>
      <c r="N187" s="464"/>
      <c r="O187" s="464"/>
      <c r="P187" s="464"/>
      <c r="Q187" s="464"/>
      <c r="R187" s="464"/>
      <c r="S187" s="464"/>
      <c r="T187" s="464"/>
      <c r="U187" s="464"/>
      <c r="V187" s="464"/>
      <c r="W187" s="464"/>
      <c r="X187" s="464"/>
      <c r="Y187" s="464"/>
      <c r="Z187" s="464"/>
      <c r="AA187" s="464"/>
      <c r="AB187" s="464"/>
      <c r="AC187" s="464"/>
      <c r="AD187" s="464"/>
      <c r="AE187" s="464"/>
      <c r="AF187" s="464"/>
      <c r="AG187" s="464"/>
      <c r="AH187" s="464"/>
      <c r="AI187" s="464"/>
      <c r="AJ187" s="464"/>
    </row>
    <row r="188" spans="1:36" ht="15.75" customHeight="1">
      <c r="A188" s="463"/>
      <c r="B188" s="464"/>
      <c r="C188" s="464"/>
      <c r="D188" s="464"/>
      <c r="E188" s="464"/>
      <c r="F188" s="464"/>
      <c r="G188" s="464"/>
      <c r="H188" s="464"/>
      <c r="I188" s="464"/>
      <c r="J188" s="464"/>
      <c r="K188" s="464"/>
      <c r="L188" s="464"/>
      <c r="M188" s="464"/>
      <c r="N188" s="464"/>
      <c r="O188" s="464"/>
      <c r="P188" s="464"/>
      <c r="Q188" s="464"/>
      <c r="R188" s="464"/>
      <c r="S188" s="464"/>
      <c r="T188" s="464"/>
      <c r="U188" s="464"/>
      <c r="V188" s="464"/>
      <c r="W188" s="464"/>
      <c r="X188" s="464"/>
      <c r="Y188" s="464"/>
      <c r="Z188" s="464"/>
      <c r="AA188" s="464"/>
      <c r="AB188" s="464"/>
      <c r="AC188" s="464"/>
      <c r="AD188" s="464"/>
      <c r="AE188" s="464"/>
      <c r="AF188" s="464"/>
      <c r="AG188" s="464"/>
      <c r="AH188" s="464"/>
      <c r="AI188" s="464"/>
      <c r="AJ188" s="464"/>
    </row>
    <row r="189" spans="1:36" ht="15.75" customHeight="1">
      <c r="A189" s="463"/>
      <c r="B189" s="464"/>
      <c r="C189" s="464"/>
      <c r="D189" s="464"/>
      <c r="E189" s="464"/>
      <c r="F189" s="464"/>
      <c r="G189" s="464"/>
      <c r="H189" s="464"/>
      <c r="I189" s="464"/>
      <c r="J189" s="464"/>
      <c r="K189" s="464"/>
      <c r="L189" s="464"/>
      <c r="M189" s="464"/>
      <c r="N189" s="464"/>
      <c r="O189" s="464"/>
      <c r="P189" s="464"/>
      <c r="Q189" s="464"/>
      <c r="R189" s="464"/>
      <c r="S189" s="464"/>
      <c r="T189" s="464"/>
      <c r="U189" s="464"/>
      <c r="V189" s="464"/>
      <c r="W189" s="464"/>
      <c r="X189" s="464"/>
      <c r="Y189" s="464"/>
      <c r="Z189" s="464"/>
      <c r="AA189" s="464"/>
      <c r="AB189" s="464"/>
      <c r="AC189" s="464"/>
      <c r="AD189" s="464"/>
      <c r="AE189" s="464"/>
      <c r="AF189" s="464"/>
      <c r="AG189" s="464"/>
      <c r="AH189" s="464"/>
      <c r="AI189" s="464"/>
      <c r="AJ189" s="464"/>
    </row>
    <row r="190" spans="1:36" ht="15.75" customHeight="1">
      <c r="A190" s="463"/>
      <c r="B190" s="464"/>
      <c r="C190" s="464"/>
      <c r="D190" s="464"/>
      <c r="E190" s="464"/>
      <c r="F190" s="464"/>
      <c r="G190" s="464"/>
      <c r="H190" s="464"/>
      <c r="I190" s="464"/>
      <c r="J190" s="464"/>
      <c r="K190" s="464"/>
      <c r="L190" s="464"/>
      <c r="M190" s="464"/>
      <c r="N190" s="464"/>
      <c r="O190" s="464"/>
      <c r="P190" s="464"/>
      <c r="Q190" s="464"/>
      <c r="R190" s="464"/>
      <c r="S190" s="464"/>
      <c r="T190" s="464"/>
      <c r="U190" s="464"/>
      <c r="V190" s="464"/>
      <c r="W190" s="464"/>
      <c r="X190" s="464"/>
      <c r="Y190" s="464"/>
      <c r="Z190" s="464"/>
      <c r="AA190" s="464"/>
      <c r="AB190" s="464"/>
      <c r="AC190" s="464"/>
      <c r="AD190" s="464"/>
      <c r="AE190" s="464"/>
      <c r="AF190" s="464"/>
      <c r="AG190" s="464"/>
      <c r="AH190" s="464"/>
      <c r="AI190" s="464"/>
      <c r="AJ190" s="464"/>
    </row>
    <row r="191" spans="1:36" ht="15.75" customHeight="1">
      <c r="A191" s="463"/>
      <c r="B191" s="464"/>
      <c r="C191" s="464"/>
      <c r="D191" s="464"/>
      <c r="E191" s="464"/>
      <c r="F191" s="464"/>
      <c r="G191" s="464"/>
      <c r="H191" s="464"/>
      <c r="I191" s="464"/>
      <c r="J191" s="464"/>
      <c r="K191" s="464"/>
      <c r="L191" s="464"/>
      <c r="M191" s="464"/>
      <c r="N191" s="464"/>
      <c r="O191" s="464"/>
      <c r="P191" s="464"/>
      <c r="Q191" s="464"/>
      <c r="R191" s="464"/>
      <c r="S191" s="464"/>
      <c r="T191" s="464"/>
      <c r="U191" s="464"/>
      <c r="V191" s="464"/>
      <c r="W191" s="464"/>
      <c r="X191" s="464"/>
      <c r="Y191" s="464"/>
      <c r="Z191" s="464"/>
      <c r="AA191" s="464"/>
      <c r="AB191" s="464"/>
      <c r="AC191" s="464"/>
      <c r="AD191" s="464"/>
      <c r="AE191" s="464"/>
      <c r="AF191" s="464"/>
      <c r="AG191" s="464"/>
      <c r="AH191" s="464"/>
      <c r="AI191" s="464"/>
      <c r="AJ191" s="464"/>
    </row>
    <row r="192" spans="1:36" ht="15.75" customHeight="1">
      <c r="A192" s="463"/>
      <c r="B192" s="464"/>
      <c r="C192" s="464"/>
      <c r="D192" s="464"/>
      <c r="E192" s="464"/>
      <c r="F192" s="464"/>
      <c r="G192" s="464"/>
      <c r="H192" s="464"/>
      <c r="I192" s="464"/>
      <c r="J192" s="464"/>
      <c r="K192" s="464"/>
      <c r="L192" s="464"/>
      <c r="M192" s="464"/>
      <c r="N192" s="464"/>
      <c r="O192" s="464"/>
      <c r="P192" s="464"/>
      <c r="Q192" s="464"/>
      <c r="R192" s="464"/>
      <c r="S192" s="464"/>
      <c r="T192" s="464"/>
      <c r="U192" s="464"/>
      <c r="V192" s="464"/>
      <c r="W192" s="464"/>
      <c r="X192" s="464"/>
      <c r="Y192" s="464"/>
      <c r="Z192" s="464"/>
      <c r="AA192" s="464"/>
      <c r="AB192" s="464"/>
      <c r="AC192" s="464"/>
      <c r="AD192" s="464"/>
      <c r="AE192" s="464"/>
      <c r="AF192" s="464"/>
      <c r="AG192" s="464"/>
      <c r="AH192" s="464"/>
      <c r="AI192" s="464"/>
      <c r="AJ192" s="464"/>
    </row>
    <row r="193" spans="1:36" ht="15.75" customHeight="1">
      <c r="A193" s="463"/>
      <c r="B193" s="464"/>
      <c r="C193" s="464"/>
      <c r="D193" s="464"/>
      <c r="E193" s="464"/>
      <c r="F193" s="464"/>
      <c r="G193" s="464"/>
      <c r="H193" s="464"/>
      <c r="I193" s="464"/>
      <c r="J193" s="464"/>
      <c r="K193" s="464"/>
      <c r="L193" s="464"/>
      <c r="M193" s="464"/>
      <c r="N193" s="464"/>
      <c r="O193" s="464"/>
      <c r="P193" s="464"/>
      <c r="Q193" s="464"/>
      <c r="R193" s="464"/>
      <c r="S193" s="464"/>
      <c r="T193" s="464"/>
      <c r="U193" s="464"/>
      <c r="V193" s="464"/>
      <c r="W193" s="464"/>
      <c r="X193" s="464"/>
      <c r="Y193" s="464"/>
      <c r="Z193" s="464"/>
      <c r="AA193" s="464"/>
      <c r="AB193" s="464"/>
      <c r="AC193" s="464"/>
      <c r="AD193" s="464"/>
      <c r="AE193" s="464"/>
      <c r="AF193" s="464"/>
      <c r="AG193" s="464"/>
      <c r="AH193" s="464"/>
      <c r="AI193" s="464"/>
      <c r="AJ193" s="464"/>
    </row>
    <row r="194" spans="1:36" ht="15.75" customHeight="1">
      <c r="A194" s="463"/>
      <c r="B194" s="464"/>
      <c r="C194" s="464"/>
      <c r="D194" s="464"/>
      <c r="E194" s="464"/>
      <c r="F194" s="464"/>
      <c r="G194" s="464"/>
      <c r="H194" s="464"/>
      <c r="I194" s="464"/>
      <c r="J194" s="464"/>
      <c r="K194" s="464"/>
      <c r="L194" s="464"/>
      <c r="M194" s="464"/>
      <c r="N194" s="464"/>
      <c r="O194" s="464"/>
      <c r="P194" s="464"/>
      <c r="Q194" s="464"/>
      <c r="R194" s="464"/>
      <c r="S194" s="464"/>
      <c r="T194" s="464"/>
      <c r="U194" s="464"/>
      <c r="V194" s="464"/>
      <c r="W194" s="464"/>
      <c r="X194" s="464"/>
      <c r="Y194" s="464"/>
      <c r="Z194" s="464"/>
      <c r="AA194" s="464"/>
      <c r="AB194" s="464"/>
      <c r="AC194" s="464"/>
      <c r="AD194" s="464"/>
      <c r="AE194" s="464"/>
      <c r="AF194" s="464"/>
      <c r="AG194" s="464"/>
      <c r="AH194" s="464"/>
      <c r="AI194" s="464"/>
      <c r="AJ194" s="464"/>
    </row>
    <row r="195" spans="1:36" ht="15.75" customHeight="1">
      <c r="A195" s="463"/>
      <c r="B195" s="464"/>
      <c r="C195" s="464"/>
      <c r="D195" s="464"/>
      <c r="E195" s="464"/>
      <c r="F195" s="464"/>
      <c r="G195" s="464"/>
      <c r="H195" s="464"/>
      <c r="I195" s="464"/>
      <c r="J195" s="464"/>
      <c r="K195" s="464"/>
      <c r="L195" s="464"/>
      <c r="M195" s="464"/>
      <c r="N195" s="464"/>
      <c r="O195" s="464"/>
      <c r="P195" s="464"/>
      <c r="Q195" s="464"/>
      <c r="R195" s="464"/>
      <c r="S195" s="464"/>
      <c r="T195" s="464"/>
      <c r="U195" s="464"/>
      <c r="V195" s="464"/>
      <c r="W195" s="464"/>
      <c r="X195" s="464"/>
      <c r="Y195" s="464"/>
      <c r="Z195" s="464"/>
      <c r="AA195" s="464"/>
      <c r="AB195" s="464"/>
      <c r="AC195" s="464"/>
      <c r="AD195" s="464"/>
      <c r="AE195" s="464"/>
      <c r="AF195" s="464"/>
      <c r="AG195" s="464"/>
      <c r="AH195" s="464"/>
      <c r="AI195" s="464"/>
      <c r="AJ195" s="464"/>
    </row>
    <row r="196" spans="1:36" ht="15.75" customHeight="1">
      <c r="A196" s="463"/>
      <c r="B196" s="464"/>
      <c r="C196" s="464"/>
      <c r="D196" s="464"/>
      <c r="E196" s="464"/>
      <c r="F196" s="464"/>
      <c r="G196" s="464"/>
      <c r="H196" s="464"/>
      <c r="I196" s="464"/>
      <c r="J196" s="464"/>
      <c r="K196" s="464"/>
      <c r="L196" s="464"/>
      <c r="M196" s="464"/>
      <c r="N196" s="464"/>
      <c r="O196" s="464"/>
      <c r="P196" s="464"/>
      <c r="Q196" s="464"/>
      <c r="R196" s="464"/>
      <c r="S196" s="464"/>
      <c r="T196" s="464"/>
      <c r="U196" s="464"/>
      <c r="V196" s="464"/>
      <c r="W196" s="464"/>
      <c r="X196" s="464"/>
      <c r="Y196" s="464"/>
      <c r="Z196" s="464"/>
      <c r="AA196" s="464"/>
      <c r="AB196" s="464"/>
      <c r="AC196" s="464"/>
      <c r="AD196" s="464"/>
      <c r="AE196" s="464"/>
      <c r="AF196" s="464"/>
      <c r="AG196" s="464"/>
      <c r="AH196" s="464"/>
      <c r="AI196" s="464"/>
      <c r="AJ196" s="464"/>
    </row>
    <row r="197" spans="1:36" ht="15.75" customHeight="1">
      <c r="A197" s="463"/>
      <c r="B197" s="464"/>
      <c r="C197" s="464"/>
      <c r="D197" s="464"/>
      <c r="E197" s="464"/>
      <c r="F197" s="464"/>
      <c r="G197" s="464"/>
      <c r="H197" s="464"/>
      <c r="I197" s="464"/>
      <c r="J197" s="464"/>
      <c r="K197" s="464"/>
      <c r="L197" s="464"/>
      <c r="M197" s="464"/>
      <c r="N197" s="464"/>
      <c r="O197" s="464"/>
      <c r="P197" s="464"/>
      <c r="Q197" s="464"/>
      <c r="R197" s="464"/>
      <c r="S197" s="464"/>
      <c r="T197" s="464"/>
      <c r="U197" s="464"/>
      <c r="V197" s="464"/>
      <c r="W197" s="464"/>
      <c r="X197" s="464"/>
      <c r="Y197" s="464"/>
      <c r="Z197" s="464"/>
      <c r="AA197" s="464"/>
      <c r="AB197" s="464"/>
      <c r="AC197" s="464"/>
      <c r="AD197" s="464"/>
      <c r="AE197" s="464"/>
      <c r="AF197" s="464"/>
      <c r="AG197" s="464"/>
      <c r="AH197" s="464"/>
      <c r="AI197" s="464"/>
      <c r="AJ197" s="464"/>
    </row>
    <row r="198" spans="1:36" ht="15.75" customHeight="1">
      <c r="A198" s="463"/>
      <c r="B198" s="464"/>
      <c r="C198" s="464"/>
      <c r="D198" s="464"/>
      <c r="E198" s="464"/>
      <c r="F198" s="464"/>
      <c r="G198" s="464"/>
      <c r="H198" s="464"/>
      <c r="I198" s="464"/>
      <c r="J198" s="464"/>
      <c r="K198" s="464"/>
      <c r="L198" s="464"/>
      <c r="M198" s="464"/>
      <c r="N198" s="464"/>
      <c r="O198" s="464"/>
      <c r="P198" s="464"/>
      <c r="Q198" s="464"/>
      <c r="R198" s="464"/>
      <c r="S198" s="464"/>
      <c r="T198" s="464"/>
      <c r="U198" s="464"/>
      <c r="V198" s="464"/>
      <c r="W198" s="464"/>
      <c r="X198" s="464"/>
      <c r="Y198" s="464"/>
      <c r="Z198" s="464"/>
      <c r="AA198" s="464"/>
      <c r="AB198" s="464"/>
      <c r="AC198" s="464"/>
      <c r="AD198" s="464"/>
      <c r="AE198" s="464"/>
      <c r="AF198" s="464"/>
      <c r="AG198" s="464"/>
      <c r="AH198" s="464"/>
      <c r="AI198" s="464"/>
      <c r="AJ198" s="464"/>
    </row>
    <row r="199" spans="1:36" ht="15.75" customHeight="1">
      <c r="A199" s="463"/>
      <c r="B199" s="464"/>
      <c r="C199" s="464"/>
      <c r="D199" s="464"/>
      <c r="E199" s="464"/>
      <c r="F199" s="464"/>
      <c r="G199" s="464"/>
      <c r="H199" s="464"/>
      <c r="I199" s="464"/>
      <c r="J199" s="464"/>
      <c r="K199" s="464"/>
      <c r="L199" s="464"/>
      <c r="M199" s="464"/>
      <c r="N199" s="464"/>
      <c r="O199" s="464"/>
      <c r="P199" s="464"/>
      <c r="Q199" s="464"/>
      <c r="R199" s="464"/>
      <c r="S199" s="464"/>
      <c r="T199" s="464"/>
      <c r="U199" s="464"/>
      <c r="V199" s="464"/>
      <c r="W199" s="464"/>
      <c r="X199" s="464"/>
      <c r="Y199" s="464"/>
      <c r="Z199" s="464"/>
      <c r="AA199" s="464"/>
      <c r="AB199" s="464"/>
      <c r="AC199" s="464"/>
      <c r="AD199" s="464"/>
      <c r="AE199" s="464"/>
      <c r="AF199" s="464"/>
      <c r="AG199" s="464"/>
      <c r="AH199" s="464"/>
      <c r="AI199" s="464"/>
      <c r="AJ199" s="464"/>
    </row>
    <row r="200" spans="1:36" ht="15.75" customHeight="1">
      <c r="A200" s="463"/>
      <c r="B200" s="464"/>
      <c r="C200" s="464"/>
      <c r="D200" s="464"/>
      <c r="E200" s="464"/>
      <c r="F200" s="464"/>
      <c r="G200" s="464"/>
      <c r="H200" s="464"/>
      <c r="I200" s="464"/>
      <c r="J200" s="464"/>
      <c r="K200" s="464"/>
      <c r="L200" s="464"/>
      <c r="M200" s="464"/>
      <c r="N200" s="464"/>
      <c r="O200" s="464"/>
      <c r="P200" s="464"/>
      <c r="Q200" s="464"/>
      <c r="R200" s="464"/>
      <c r="S200" s="464"/>
      <c r="T200" s="464"/>
      <c r="U200" s="464"/>
      <c r="V200" s="464"/>
      <c r="W200" s="464"/>
      <c r="X200" s="464"/>
      <c r="Y200" s="464"/>
      <c r="Z200" s="464"/>
      <c r="AA200" s="464"/>
      <c r="AB200" s="464"/>
      <c r="AC200" s="464"/>
      <c r="AD200" s="464"/>
      <c r="AE200" s="464"/>
      <c r="AF200" s="464"/>
      <c r="AG200" s="464"/>
      <c r="AH200" s="464"/>
      <c r="AI200" s="464"/>
      <c r="AJ200" s="464"/>
    </row>
    <row r="201" spans="1:36" ht="15.75" customHeight="1">
      <c r="A201" s="463"/>
      <c r="B201" s="464"/>
      <c r="C201" s="464"/>
      <c r="D201" s="464"/>
      <c r="E201" s="464"/>
      <c r="F201" s="464"/>
      <c r="G201" s="464"/>
      <c r="H201" s="464"/>
      <c r="I201" s="464"/>
      <c r="J201" s="464"/>
      <c r="K201" s="464"/>
      <c r="L201" s="464"/>
      <c r="M201" s="464"/>
      <c r="N201" s="464"/>
      <c r="O201" s="464"/>
      <c r="P201" s="464"/>
      <c r="Q201" s="464"/>
      <c r="R201" s="464"/>
      <c r="S201" s="464"/>
      <c r="T201" s="464"/>
      <c r="U201" s="464"/>
      <c r="V201" s="464"/>
      <c r="W201" s="464"/>
      <c r="X201" s="464"/>
      <c r="Y201" s="464"/>
      <c r="Z201" s="464"/>
      <c r="AA201" s="464"/>
      <c r="AB201" s="464"/>
      <c r="AC201" s="464"/>
      <c r="AD201" s="464"/>
      <c r="AE201" s="464"/>
      <c r="AF201" s="464"/>
      <c r="AG201" s="464"/>
      <c r="AH201" s="464"/>
      <c r="AI201" s="464"/>
      <c r="AJ201" s="464"/>
    </row>
    <row r="202" spans="1:36" ht="15.75" customHeight="1">
      <c r="A202" s="463"/>
      <c r="B202" s="464"/>
      <c r="C202" s="464"/>
      <c r="D202" s="464"/>
      <c r="E202" s="464"/>
      <c r="F202" s="464"/>
      <c r="G202" s="464"/>
      <c r="H202" s="464"/>
      <c r="I202" s="464"/>
      <c r="J202" s="464"/>
      <c r="K202" s="464"/>
      <c r="L202" s="464"/>
      <c r="M202" s="464"/>
      <c r="N202" s="464"/>
      <c r="O202" s="464"/>
      <c r="P202" s="464"/>
      <c r="Q202" s="464"/>
      <c r="R202" s="464"/>
      <c r="S202" s="464"/>
      <c r="T202" s="464"/>
      <c r="U202" s="464"/>
      <c r="V202" s="464"/>
      <c r="W202" s="464"/>
      <c r="X202" s="464"/>
      <c r="Y202" s="464"/>
      <c r="Z202" s="464"/>
      <c r="AA202" s="464"/>
      <c r="AB202" s="464"/>
      <c r="AC202" s="464"/>
      <c r="AD202" s="464"/>
      <c r="AE202" s="464"/>
      <c r="AF202" s="464"/>
      <c r="AG202" s="464"/>
      <c r="AH202" s="464"/>
      <c r="AI202" s="464"/>
      <c r="AJ202" s="464"/>
    </row>
    <row r="203" spans="1:36" ht="15.75" customHeight="1">
      <c r="A203" s="463"/>
      <c r="B203" s="464"/>
      <c r="C203" s="464"/>
      <c r="D203" s="464"/>
      <c r="E203" s="464"/>
      <c r="F203" s="464"/>
      <c r="G203" s="464"/>
      <c r="H203" s="464"/>
      <c r="I203" s="464"/>
      <c r="J203" s="464"/>
      <c r="K203" s="464"/>
      <c r="L203" s="464"/>
      <c r="M203" s="464"/>
      <c r="N203" s="464"/>
      <c r="O203" s="464"/>
      <c r="P203" s="464"/>
      <c r="Q203" s="464"/>
      <c r="R203" s="464"/>
      <c r="S203" s="464"/>
      <c r="T203" s="464"/>
      <c r="U203" s="464"/>
      <c r="V203" s="464"/>
      <c r="W203" s="464"/>
      <c r="X203" s="464"/>
      <c r="Y203" s="464"/>
      <c r="Z203" s="464"/>
      <c r="AA203" s="464"/>
      <c r="AB203" s="464"/>
      <c r="AC203" s="464"/>
      <c r="AD203" s="464"/>
      <c r="AE203" s="464"/>
      <c r="AF203" s="464"/>
      <c r="AG203" s="464"/>
      <c r="AH203" s="464"/>
      <c r="AI203" s="464"/>
      <c r="AJ203" s="464"/>
    </row>
    <row r="204" spans="1:36" ht="15.75" customHeight="1">
      <c r="A204" s="463"/>
      <c r="B204" s="464"/>
      <c r="C204" s="464"/>
      <c r="D204" s="464"/>
      <c r="E204" s="464"/>
      <c r="F204" s="464"/>
      <c r="G204" s="464"/>
      <c r="H204" s="464"/>
      <c r="I204" s="464"/>
      <c r="J204" s="464"/>
      <c r="K204" s="464"/>
      <c r="L204" s="464"/>
      <c r="M204" s="464"/>
      <c r="N204" s="464"/>
      <c r="O204" s="464"/>
      <c r="P204" s="464"/>
      <c r="Q204" s="464"/>
      <c r="R204" s="464"/>
      <c r="S204" s="464"/>
      <c r="T204" s="464"/>
      <c r="U204" s="464"/>
      <c r="V204" s="464"/>
      <c r="W204" s="464"/>
      <c r="X204" s="464"/>
      <c r="Y204" s="464"/>
      <c r="Z204" s="464"/>
      <c r="AA204" s="464"/>
      <c r="AB204" s="464"/>
      <c r="AC204" s="464"/>
      <c r="AD204" s="464"/>
      <c r="AE204" s="464"/>
      <c r="AF204" s="464"/>
      <c r="AG204" s="464"/>
      <c r="AH204" s="464"/>
      <c r="AI204" s="464"/>
      <c r="AJ204" s="464"/>
    </row>
    <row r="205" spans="1:36" ht="15.75" customHeight="1">
      <c r="A205" s="463"/>
      <c r="B205" s="464"/>
      <c r="C205" s="464"/>
      <c r="D205" s="464"/>
      <c r="E205" s="464"/>
      <c r="F205" s="464"/>
      <c r="G205" s="464"/>
      <c r="H205" s="464"/>
      <c r="I205" s="464"/>
      <c r="J205" s="464"/>
      <c r="K205" s="464"/>
      <c r="L205" s="464"/>
      <c r="M205" s="464"/>
      <c r="N205" s="464"/>
      <c r="O205" s="464"/>
      <c r="P205" s="464"/>
      <c r="Q205" s="464"/>
      <c r="R205" s="464"/>
      <c r="S205" s="464"/>
      <c r="T205" s="464"/>
      <c r="U205" s="464"/>
      <c r="V205" s="464"/>
      <c r="W205" s="464"/>
      <c r="X205" s="464"/>
      <c r="Y205" s="464"/>
      <c r="Z205" s="464"/>
      <c r="AA205" s="464"/>
      <c r="AB205" s="464"/>
      <c r="AC205" s="464"/>
      <c r="AD205" s="464"/>
      <c r="AE205" s="464"/>
      <c r="AF205" s="464"/>
      <c r="AG205" s="464"/>
      <c r="AH205" s="464"/>
      <c r="AI205" s="464"/>
      <c r="AJ205" s="464"/>
    </row>
    <row r="206" spans="1:36" ht="15.75" customHeight="1">
      <c r="A206" s="463"/>
      <c r="B206" s="464"/>
      <c r="C206" s="464"/>
      <c r="D206" s="464"/>
      <c r="E206" s="464"/>
      <c r="F206" s="464"/>
      <c r="G206" s="464"/>
      <c r="H206" s="464"/>
      <c r="I206" s="464"/>
      <c r="J206" s="464"/>
      <c r="K206" s="464"/>
      <c r="L206" s="464"/>
      <c r="M206" s="464"/>
      <c r="N206" s="464"/>
      <c r="O206" s="464"/>
      <c r="P206" s="464"/>
      <c r="Q206" s="464"/>
      <c r="R206" s="464"/>
      <c r="S206" s="464"/>
      <c r="T206" s="464"/>
      <c r="U206" s="464"/>
      <c r="V206" s="464"/>
      <c r="W206" s="464"/>
      <c r="X206" s="464"/>
      <c r="Y206" s="464"/>
      <c r="Z206" s="464"/>
      <c r="AA206" s="464"/>
      <c r="AB206" s="464"/>
      <c r="AC206" s="464"/>
      <c r="AD206" s="464"/>
      <c r="AE206" s="464"/>
      <c r="AF206" s="464"/>
      <c r="AG206" s="464"/>
      <c r="AH206" s="464"/>
      <c r="AI206" s="464"/>
      <c r="AJ206" s="464"/>
    </row>
    <row r="207" spans="1:36" ht="15.75" customHeight="1">
      <c r="A207" s="463"/>
      <c r="B207" s="464"/>
      <c r="C207" s="464"/>
      <c r="D207" s="464"/>
      <c r="E207" s="464"/>
      <c r="F207" s="464"/>
      <c r="G207" s="464"/>
      <c r="H207" s="464"/>
      <c r="I207" s="464"/>
      <c r="J207" s="464"/>
      <c r="K207" s="464"/>
      <c r="L207" s="464"/>
      <c r="M207" s="464"/>
      <c r="N207" s="464"/>
      <c r="O207" s="464"/>
      <c r="P207" s="464"/>
      <c r="Q207" s="464"/>
      <c r="R207" s="464"/>
      <c r="S207" s="464"/>
      <c r="T207" s="464"/>
      <c r="U207" s="464"/>
      <c r="V207" s="464"/>
      <c r="W207" s="464"/>
      <c r="X207" s="464"/>
      <c r="Y207" s="464"/>
      <c r="Z207" s="464"/>
      <c r="AA207" s="464"/>
      <c r="AB207" s="464"/>
      <c r="AC207" s="464"/>
      <c r="AD207" s="464"/>
      <c r="AE207" s="464"/>
      <c r="AF207" s="464"/>
      <c r="AG207" s="464"/>
      <c r="AH207" s="464"/>
      <c r="AI207" s="464"/>
      <c r="AJ207" s="464"/>
    </row>
    <row r="208" spans="1:36" ht="15.75" customHeight="1">
      <c r="A208" s="463"/>
      <c r="B208" s="464"/>
      <c r="C208" s="464"/>
      <c r="D208" s="464"/>
      <c r="E208" s="464"/>
      <c r="F208" s="464"/>
      <c r="G208" s="464"/>
      <c r="H208" s="464"/>
      <c r="I208" s="464"/>
      <c r="J208" s="464"/>
      <c r="K208" s="464"/>
      <c r="L208" s="464"/>
      <c r="M208" s="464"/>
      <c r="N208" s="464"/>
      <c r="O208" s="464"/>
      <c r="P208" s="464"/>
      <c r="Q208" s="464"/>
      <c r="R208" s="464"/>
      <c r="S208" s="464"/>
      <c r="T208" s="464"/>
      <c r="U208" s="464"/>
      <c r="V208" s="464"/>
      <c r="W208" s="464"/>
      <c r="X208" s="464"/>
      <c r="Y208" s="464"/>
      <c r="Z208" s="464"/>
      <c r="AA208" s="464"/>
      <c r="AB208" s="464"/>
      <c r="AC208" s="464"/>
      <c r="AD208" s="464"/>
      <c r="AE208" s="464"/>
      <c r="AF208" s="464"/>
      <c r="AG208" s="464"/>
      <c r="AH208" s="464"/>
      <c r="AI208" s="464"/>
      <c r="AJ208" s="464"/>
    </row>
    <row r="209" spans="1:36" ht="15.75" customHeight="1">
      <c r="A209" s="463"/>
      <c r="B209" s="464"/>
      <c r="C209" s="464"/>
      <c r="D209" s="464"/>
      <c r="E209" s="464"/>
      <c r="F209" s="464"/>
      <c r="G209" s="464"/>
      <c r="H209" s="464"/>
      <c r="I209" s="464"/>
      <c r="J209" s="464"/>
      <c r="K209" s="464"/>
      <c r="L209" s="464"/>
      <c r="M209" s="464"/>
      <c r="N209" s="464"/>
      <c r="O209" s="464"/>
      <c r="P209" s="464"/>
      <c r="Q209" s="464"/>
      <c r="R209" s="464"/>
      <c r="S209" s="464"/>
      <c r="T209" s="464"/>
      <c r="U209" s="464"/>
      <c r="V209" s="464"/>
      <c r="W209" s="464"/>
      <c r="X209" s="464"/>
      <c r="Y209" s="464"/>
      <c r="Z209" s="464"/>
      <c r="AA209" s="464"/>
      <c r="AB209" s="464"/>
      <c r="AC209" s="464"/>
      <c r="AD209" s="464"/>
      <c r="AE209" s="464"/>
      <c r="AF209" s="464"/>
      <c r="AG209" s="464"/>
      <c r="AH209" s="464"/>
      <c r="AI209" s="464"/>
      <c r="AJ209" s="464"/>
    </row>
    <row r="210" spans="1:36" ht="15.75" customHeight="1">
      <c r="A210" s="463"/>
      <c r="B210" s="464"/>
      <c r="C210" s="464"/>
      <c r="D210" s="464"/>
      <c r="E210" s="464"/>
      <c r="F210" s="464"/>
      <c r="G210" s="464"/>
      <c r="H210" s="464"/>
      <c r="I210" s="464"/>
      <c r="J210" s="464"/>
      <c r="K210" s="464"/>
      <c r="L210" s="464"/>
      <c r="M210" s="464"/>
      <c r="N210" s="464"/>
      <c r="O210" s="464"/>
      <c r="P210" s="464"/>
      <c r="Q210" s="464"/>
      <c r="R210" s="464"/>
      <c r="S210" s="464"/>
      <c r="T210" s="464"/>
      <c r="U210" s="464"/>
      <c r="V210" s="464"/>
      <c r="W210" s="464"/>
      <c r="X210" s="464"/>
      <c r="Y210" s="464"/>
      <c r="Z210" s="464"/>
      <c r="AA210" s="464"/>
      <c r="AB210" s="464"/>
      <c r="AC210" s="464"/>
      <c r="AD210" s="464"/>
      <c r="AE210" s="464"/>
      <c r="AF210" s="464"/>
      <c r="AG210" s="464"/>
      <c r="AH210" s="464"/>
      <c r="AI210" s="464"/>
      <c r="AJ210" s="464"/>
    </row>
    <row r="211" spans="1:36" ht="15.75" customHeight="1">
      <c r="A211" s="463"/>
      <c r="B211" s="464"/>
      <c r="C211" s="464"/>
      <c r="D211" s="464"/>
      <c r="E211" s="464"/>
      <c r="F211" s="464"/>
      <c r="G211" s="464"/>
      <c r="H211" s="464"/>
      <c r="I211" s="464"/>
      <c r="J211" s="464"/>
      <c r="K211" s="464"/>
      <c r="L211" s="464"/>
      <c r="M211" s="464"/>
      <c r="N211" s="464"/>
      <c r="O211" s="464"/>
      <c r="P211" s="464"/>
      <c r="Q211" s="464"/>
      <c r="R211" s="464"/>
      <c r="S211" s="464"/>
      <c r="T211" s="464"/>
      <c r="U211" s="464"/>
      <c r="V211" s="464"/>
      <c r="W211" s="464"/>
      <c r="X211" s="464"/>
      <c r="Y211" s="464"/>
      <c r="Z211" s="464"/>
      <c r="AA211" s="464"/>
      <c r="AB211" s="464"/>
      <c r="AC211" s="464"/>
      <c r="AD211" s="464"/>
      <c r="AE211" s="464"/>
      <c r="AF211" s="464"/>
      <c r="AG211" s="464"/>
      <c r="AH211" s="464"/>
      <c r="AI211" s="464"/>
      <c r="AJ211" s="464"/>
    </row>
    <row r="212" spans="1:36" ht="15.75" customHeight="1">
      <c r="A212" s="463"/>
      <c r="B212" s="464"/>
      <c r="C212" s="464"/>
      <c r="D212" s="464"/>
      <c r="E212" s="464"/>
      <c r="F212" s="464"/>
      <c r="G212" s="464"/>
      <c r="H212" s="464"/>
      <c r="I212" s="464"/>
      <c r="J212" s="464"/>
      <c r="K212" s="464"/>
      <c r="L212" s="464"/>
      <c r="M212" s="464"/>
      <c r="N212" s="464"/>
      <c r="O212" s="464"/>
      <c r="P212" s="464"/>
      <c r="Q212" s="464"/>
      <c r="R212" s="464"/>
      <c r="S212" s="464"/>
      <c r="T212" s="464"/>
      <c r="U212" s="464"/>
      <c r="V212" s="464"/>
      <c r="W212" s="464"/>
      <c r="X212" s="464"/>
      <c r="Y212" s="464"/>
      <c r="Z212" s="464"/>
      <c r="AA212" s="464"/>
      <c r="AB212" s="464"/>
      <c r="AC212" s="464"/>
      <c r="AD212" s="464"/>
      <c r="AE212" s="464"/>
      <c r="AF212" s="464"/>
      <c r="AG212" s="464"/>
      <c r="AH212" s="464"/>
      <c r="AI212" s="464"/>
      <c r="AJ212" s="464"/>
    </row>
    <row r="213" spans="1:36" ht="15.75" customHeight="1">
      <c r="A213" s="463"/>
      <c r="B213" s="464"/>
      <c r="C213" s="464"/>
      <c r="D213" s="464"/>
      <c r="E213" s="464"/>
      <c r="F213" s="464"/>
      <c r="G213" s="464"/>
      <c r="H213" s="464"/>
      <c r="I213" s="464"/>
      <c r="J213" s="464"/>
      <c r="K213" s="464"/>
      <c r="L213" s="464"/>
      <c r="M213" s="464"/>
      <c r="N213" s="464"/>
      <c r="O213" s="464"/>
      <c r="P213" s="464"/>
      <c r="Q213" s="464"/>
      <c r="R213" s="464"/>
      <c r="S213" s="464"/>
      <c r="T213" s="464"/>
      <c r="U213" s="464"/>
      <c r="V213" s="464"/>
      <c r="W213" s="464"/>
      <c r="X213" s="464"/>
      <c r="Y213" s="464"/>
      <c r="Z213" s="464"/>
      <c r="AA213" s="464"/>
      <c r="AB213" s="464"/>
      <c r="AC213" s="464"/>
      <c r="AD213" s="464"/>
      <c r="AE213" s="464"/>
      <c r="AF213" s="464"/>
      <c r="AG213" s="464"/>
      <c r="AH213" s="464"/>
      <c r="AI213" s="464"/>
      <c r="AJ213" s="464"/>
    </row>
    <row r="214" spans="1:36" ht="15.75" customHeight="1">
      <c r="A214" s="463"/>
      <c r="B214" s="464"/>
      <c r="C214" s="464"/>
      <c r="D214" s="464"/>
      <c r="E214" s="464"/>
      <c r="F214" s="464"/>
      <c r="G214" s="464"/>
      <c r="H214" s="464"/>
      <c r="I214" s="464"/>
      <c r="J214" s="464"/>
      <c r="K214" s="464"/>
      <c r="L214" s="464"/>
      <c r="M214" s="464"/>
      <c r="N214" s="464"/>
      <c r="O214" s="464"/>
      <c r="P214" s="464"/>
      <c r="Q214" s="464"/>
      <c r="R214" s="464"/>
      <c r="S214" s="464"/>
      <c r="T214" s="464"/>
      <c r="U214" s="464"/>
      <c r="V214" s="464"/>
      <c r="W214" s="464"/>
      <c r="X214" s="464"/>
      <c r="Y214" s="464"/>
      <c r="Z214" s="464"/>
      <c r="AA214" s="464"/>
      <c r="AB214" s="464"/>
      <c r="AC214" s="464"/>
      <c r="AD214" s="464"/>
      <c r="AE214" s="464"/>
      <c r="AF214" s="464"/>
      <c r="AG214" s="464"/>
      <c r="AH214" s="464"/>
      <c r="AI214" s="464"/>
      <c r="AJ214" s="464"/>
    </row>
    <row r="215" spans="1:36" ht="15.75" customHeight="1">
      <c r="A215" s="463"/>
      <c r="B215" s="464"/>
      <c r="C215" s="464"/>
      <c r="D215" s="464"/>
      <c r="E215" s="464"/>
      <c r="F215" s="464"/>
      <c r="G215" s="464"/>
      <c r="H215" s="464"/>
      <c r="I215" s="464"/>
      <c r="J215" s="464"/>
      <c r="K215" s="464"/>
      <c r="L215" s="464"/>
      <c r="M215" s="464"/>
      <c r="N215" s="464"/>
      <c r="O215" s="464"/>
      <c r="P215" s="464"/>
      <c r="Q215" s="464"/>
      <c r="R215" s="464"/>
      <c r="S215" s="464"/>
      <c r="T215" s="464"/>
      <c r="U215" s="464"/>
      <c r="V215" s="464"/>
      <c r="W215" s="464"/>
      <c r="X215" s="464"/>
      <c r="Y215" s="464"/>
      <c r="Z215" s="464"/>
      <c r="AA215" s="464"/>
      <c r="AB215" s="464"/>
      <c r="AC215" s="464"/>
      <c r="AD215" s="464"/>
      <c r="AE215" s="464"/>
      <c r="AF215" s="464"/>
      <c r="AG215" s="464"/>
      <c r="AH215" s="464"/>
      <c r="AI215" s="464"/>
      <c r="AJ215" s="464"/>
    </row>
    <row r="216" spans="1:36" ht="15.75" customHeight="1">
      <c r="A216" s="463"/>
      <c r="B216" s="464"/>
      <c r="C216" s="464"/>
      <c r="D216" s="464"/>
      <c r="E216" s="464"/>
      <c r="F216" s="464"/>
      <c r="G216" s="464"/>
      <c r="H216" s="464"/>
      <c r="I216" s="464"/>
      <c r="J216" s="464"/>
      <c r="K216" s="464"/>
      <c r="L216" s="464"/>
      <c r="M216" s="464"/>
      <c r="N216" s="464"/>
      <c r="O216" s="464"/>
      <c r="P216" s="464"/>
      <c r="Q216" s="464"/>
      <c r="R216" s="464"/>
      <c r="S216" s="464"/>
      <c r="T216" s="464"/>
      <c r="U216" s="464"/>
      <c r="V216" s="464"/>
      <c r="W216" s="464"/>
      <c r="X216" s="464"/>
      <c r="Y216" s="464"/>
      <c r="Z216" s="464"/>
      <c r="AA216" s="464"/>
      <c r="AB216" s="464"/>
      <c r="AC216" s="464"/>
      <c r="AD216" s="464"/>
      <c r="AE216" s="464"/>
      <c r="AF216" s="464"/>
      <c r="AG216" s="464"/>
      <c r="AH216" s="464"/>
      <c r="AI216" s="464"/>
      <c r="AJ216" s="464"/>
    </row>
    <row r="217" spans="1:36" ht="15.75" customHeight="1">
      <c r="A217" s="463"/>
      <c r="B217" s="464"/>
      <c r="C217" s="464"/>
      <c r="D217" s="464"/>
      <c r="E217" s="464"/>
      <c r="F217" s="464"/>
      <c r="G217" s="464"/>
      <c r="H217" s="464"/>
      <c r="I217" s="464"/>
      <c r="J217" s="464"/>
      <c r="K217" s="464"/>
      <c r="L217" s="464"/>
      <c r="M217" s="464"/>
      <c r="N217" s="464"/>
      <c r="O217" s="464"/>
      <c r="P217" s="464"/>
      <c r="Q217" s="464"/>
      <c r="R217" s="464"/>
      <c r="S217" s="464"/>
      <c r="T217" s="464"/>
      <c r="U217" s="464"/>
      <c r="V217" s="464"/>
      <c r="W217" s="464"/>
      <c r="X217" s="464"/>
      <c r="Y217" s="464"/>
      <c r="Z217" s="464"/>
      <c r="AA217" s="464"/>
      <c r="AB217" s="464"/>
      <c r="AC217" s="464"/>
      <c r="AD217" s="464"/>
      <c r="AE217" s="464"/>
      <c r="AF217" s="464"/>
      <c r="AG217" s="464"/>
      <c r="AH217" s="464"/>
      <c r="AI217" s="464"/>
      <c r="AJ217" s="464"/>
    </row>
    <row r="218" spans="1:36" ht="15.75" customHeight="1">
      <c r="A218" s="463"/>
      <c r="B218" s="464"/>
      <c r="C218" s="464"/>
      <c r="D218" s="464"/>
      <c r="E218" s="464"/>
      <c r="F218" s="464"/>
      <c r="G218" s="464"/>
      <c r="H218" s="464"/>
      <c r="I218" s="464"/>
      <c r="J218" s="464"/>
      <c r="K218" s="464"/>
      <c r="L218" s="464"/>
      <c r="M218" s="464"/>
      <c r="N218" s="464"/>
      <c r="O218" s="464"/>
      <c r="P218" s="464"/>
      <c r="Q218" s="464"/>
      <c r="R218" s="464"/>
      <c r="S218" s="464"/>
      <c r="T218" s="464"/>
      <c r="U218" s="464"/>
      <c r="V218" s="464"/>
      <c r="W218" s="464"/>
      <c r="X218" s="464"/>
      <c r="Y218" s="464"/>
      <c r="Z218" s="464"/>
      <c r="AA218" s="464"/>
      <c r="AB218" s="464"/>
      <c r="AC218" s="464"/>
      <c r="AD218" s="464"/>
      <c r="AE218" s="464"/>
      <c r="AF218" s="464"/>
      <c r="AG218" s="464"/>
      <c r="AH218" s="464"/>
      <c r="AI218" s="464"/>
      <c r="AJ218" s="464"/>
    </row>
    <row r="219" spans="1:36" ht="15.75" customHeight="1">
      <c r="A219" s="463"/>
      <c r="B219" s="464"/>
      <c r="C219" s="464"/>
      <c r="D219" s="464"/>
      <c r="E219" s="464"/>
      <c r="F219" s="464"/>
      <c r="G219" s="464"/>
      <c r="H219" s="464"/>
      <c r="I219" s="464"/>
      <c r="J219" s="464"/>
      <c r="K219" s="464"/>
      <c r="L219" s="464"/>
      <c r="M219" s="464"/>
      <c r="N219" s="464"/>
      <c r="O219" s="464"/>
      <c r="P219" s="464"/>
      <c r="Q219" s="464"/>
      <c r="R219" s="464"/>
      <c r="S219" s="464"/>
      <c r="T219" s="464"/>
      <c r="U219" s="464"/>
      <c r="V219" s="464"/>
      <c r="W219" s="464"/>
      <c r="X219" s="464"/>
      <c r="Y219" s="464"/>
      <c r="Z219" s="464"/>
      <c r="AA219" s="464"/>
      <c r="AB219" s="464"/>
      <c r="AC219" s="464"/>
      <c r="AD219" s="464"/>
      <c r="AE219" s="464"/>
      <c r="AF219" s="464"/>
      <c r="AG219" s="464"/>
      <c r="AH219" s="464"/>
      <c r="AI219" s="464"/>
      <c r="AJ219" s="464"/>
    </row>
    <row r="220" spans="1:36" ht="15.75" customHeight="1">
      <c r="A220" s="463"/>
      <c r="B220" s="464"/>
      <c r="C220" s="464"/>
      <c r="D220" s="464"/>
      <c r="E220" s="464"/>
      <c r="F220" s="464"/>
      <c r="G220" s="464"/>
      <c r="H220" s="464"/>
      <c r="I220" s="464"/>
      <c r="J220" s="464"/>
      <c r="K220" s="464"/>
      <c r="L220" s="464"/>
      <c r="M220" s="464"/>
      <c r="N220" s="464"/>
      <c r="O220" s="464"/>
      <c r="P220" s="464"/>
      <c r="Q220" s="464"/>
      <c r="R220" s="464"/>
      <c r="S220" s="464"/>
      <c r="T220" s="464"/>
      <c r="U220" s="464"/>
      <c r="V220" s="464"/>
      <c r="W220" s="464"/>
      <c r="X220" s="464"/>
      <c r="Y220" s="464"/>
      <c r="Z220" s="464"/>
      <c r="AA220" s="464"/>
      <c r="AB220" s="464"/>
      <c r="AC220" s="464"/>
      <c r="AD220" s="464"/>
      <c r="AE220" s="464"/>
      <c r="AF220" s="464"/>
      <c r="AG220" s="464"/>
      <c r="AH220" s="464"/>
      <c r="AI220" s="464"/>
      <c r="AJ220" s="464"/>
    </row>
    <row r="221" spans="1:36" ht="15.75" customHeight="1">
      <c r="A221" s="463"/>
      <c r="B221" s="464"/>
      <c r="C221" s="464"/>
      <c r="D221" s="464"/>
      <c r="E221" s="464"/>
      <c r="F221" s="464"/>
      <c r="G221" s="464"/>
      <c r="H221" s="464"/>
      <c r="I221" s="464"/>
      <c r="J221" s="464"/>
      <c r="K221" s="464"/>
      <c r="L221" s="464"/>
      <c r="M221" s="464"/>
      <c r="N221" s="464"/>
      <c r="O221" s="464"/>
      <c r="P221" s="464"/>
      <c r="Q221" s="464"/>
      <c r="R221" s="464"/>
      <c r="S221" s="464"/>
      <c r="T221" s="464"/>
      <c r="U221" s="464"/>
      <c r="V221" s="464"/>
      <c r="W221" s="464"/>
      <c r="X221" s="464"/>
      <c r="Y221" s="464"/>
      <c r="Z221" s="464"/>
      <c r="AA221" s="464"/>
      <c r="AB221" s="464"/>
      <c r="AC221" s="464"/>
      <c r="AD221" s="464"/>
      <c r="AE221" s="464"/>
      <c r="AF221" s="464"/>
      <c r="AG221" s="464"/>
      <c r="AH221" s="464"/>
      <c r="AI221" s="464"/>
      <c r="AJ221" s="464"/>
    </row>
    <row r="222" spans="1:36" ht="15.75" customHeight="1">
      <c r="A222" s="463"/>
      <c r="B222" s="464"/>
      <c r="C222" s="464"/>
      <c r="D222" s="464"/>
      <c r="E222" s="464"/>
      <c r="F222" s="464"/>
      <c r="G222" s="464"/>
      <c r="H222" s="464"/>
      <c r="I222" s="464"/>
      <c r="J222" s="464"/>
      <c r="K222" s="464"/>
      <c r="L222" s="464"/>
      <c r="M222" s="464"/>
      <c r="N222" s="464"/>
      <c r="O222" s="464"/>
      <c r="P222" s="464"/>
      <c r="Q222" s="464"/>
      <c r="R222" s="464"/>
      <c r="S222" s="464"/>
      <c r="T222" s="464"/>
      <c r="U222" s="464"/>
      <c r="V222" s="464"/>
      <c r="W222" s="464"/>
      <c r="X222" s="464"/>
      <c r="Y222" s="464"/>
      <c r="Z222" s="464"/>
      <c r="AA222" s="464"/>
      <c r="AB222" s="464"/>
      <c r="AC222" s="464"/>
      <c r="AD222" s="464"/>
      <c r="AE222" s="464"/>
      <c r="AF222" s="464"/>
      <c r="AG222" s="464"/>
      <c r="AH222" s="464"/>
      <c r="AI222" s="464"/>
      <c r="AJ222" s="464"/>
    </row>
    <row r="223" spans="1:36" ht="15.75" customHeight="1">
      <c r="A223" s="463"/>
      <c r="B223" s="464"/>
      <c r="C223" s="464"/>
      <c r="D223" s="464"/>
      <c r="E223" s="464"/>
      <c r="F223" s="464"/>
      <c r="G223" s="464"/>
      <c r="H223" s="464"/>
      <c r="I223" s="464"/>
      <c r="J223" s="464"/>
      <c r="K223" s="464"/>
      <c r="L223" s="464"/>
      <c r="M223" s="464"/>
      <c r="N223" s="464"/>
      <c r="O223" s="464"/>
      <c r="P223" s="464"/>
      <c r="Q223" s="464"/>
      <c r="R223" s="464"/>
      <c r="S223" s="464"/>
      <c r="T223" s="464"/>
      <c r="U223" s="464"/>
      <c r="V223" s="464"/>
      <c r="W223" s="464"/>
      <c r="X223" s="464"/>
      <c r="Y223" s="464"/>
      <c r="Z223" s="464"/>
      <c r="AA223" s="464"/>
      <c r="AB223" s="464"/>
      <c r="AC223" s="464"/>
      <c r="AD223" s="464"/>
      <c r="AE223" s="464"/>
      <c r="AF223" s="464"/>
      <c r="AG223" s="464"/>
      <c r="AH223" s="464"/>
      <c r="AI223" s="464"/>
      <c r="AJ223" s="464"/>
    </row>
    <row r="224" spans="1:36" ht="15.75" customHeight="1">
      <c r="A224" s="463"/>
      <c r="B224" s="464"/>
      <c r="C224" s="464"/>
      <c r="D224" s="464"/>
      <c r="E224" s="464"/>
      <c r="F224" s="464"/>
      <c r="G224" s="464"/>
      <c r="H224" s="464"/>
      <c r="I224" s="464"/>
      <c r="J224" s="464"/>
      <c r="K224" s="464"/>
      <c r="L224" s="464"/>
      <c r="M224" s="464"/>
      <c r="N224" s="464"/>
      <c r="O224" s="464"/>
      <c r="P224" s="464"/>
      <c r="Q224" s="464"/>
      <c r="R224" s="464"/>
      <c r="S224" s="464"/>
      <c r="T224" s="464"/>
      <c r="U224" s="464"/>
      <c r="V224" s="464"/>
      <c r="W224" s="464"/>
      <c r="X224" s="464"/>
      <c r="Y224" s="464"/>
      <c r="Z224" s="464"/>
      <c r="AA224" s="464"/>
      <c r="AB224" s="464"/>
      <c r="AC224" s="464"/>
      <c r="AD224" s="464"/>
      <c r="AE224" s="464"/>
      <c r="AF224" s="464"/>
      <c r="AG224" s="464"/>
      <c r="AH224" s="464"/>
      <c r="AI224" s="464"/>
      <c r="AJ224" s="464"/>
    </row>
    <row r="225" spans="1:36" ht="15.75" customHeight="1">
      <c r="A225" s="463"/>
      <c r="B225" s="464"/>
      <c r="C225" s="464"/>
      <c r="D225" s="464"/>
      <c r="E225" s="464"/>
      <c r="F225" s="464"/>
      <c r="G225" s="464"/>
      <c r="H225" s="464"/>
      <c r="I225" s="464"/>
      <c r="J225" s="464"/>
      <c r="K225" s="464"/>
      <c r="L225" s="464"/>
      <c r="M225" s="464"/>
      <c r="N225" s="464"/>
      <c r="O225" s="464"/>
      <c r="P225" s="464"/>
      <c r="Q225" s="464"/>
      <c r="R225" s="464"/>
      <c r="S225" s="464"/>
      <c r="T225" s="464"/>
      <c r="U225" s="464"/>
      <c r="V225" s="464"/>
      <c r="W225" s="464"/>
      <c r="X225" s="464"/>
      <c r="Y225" s="464"/>
      <c r="Z225" s="464"/>
      <c r="AA225" s="464"/>
      <c r="AB225" s="464"/>
      <c r="AC225" s="464"/>
      <c r="AD225" s="464"/>
      <c r="AE225" s="464"/>
      <c r="AF225" s="464"/>
      <c r="AG225" s="464"/>
      <c r="AH225" s="464"/>
      <c r="AI225" s="464"/>
      <c r="AJ225" s="464"/>
    </row>
    <row r="226" spans="1:36" ht="15.75" customHeight="1">
      <c r="A226" s="463"/>
      <c r="B226" s="464"/>
      <c r="C226" s="464"/>
      <c r="D226" s="464"/>
      <c r="E226" s="464"/>
      <c r="F226" s="464"/>
      <c r="G226" s="464"/>
      <c r="H226" s="464"/>
      <c r="I226" s="464"/>
      <c r="J226" s="464"/>
      <c r="K226" s="464"/>
      <c r="L226" s="464"/>
      <c r="M226" s="464"/>
      <c r="N226" s="464"/>
      <c r="O226" s="464"/>
      <c r="P226" s="464"/>
      <c r="Q226" s="464"/>
      <c r="R226" s="464"/>
      <c r="S226" s="464"/>
      <c r="T226" s="464"/>
      <c r="U226" s="464"/>
      <c r="V226" s="464"/>
      <c r="W226" s="464"/>
      <c r="X226" s="464"/>
      <c r="Y226" s="464"/>
      <c r="Z226" s="464"/>
      <c r="AA226" s="464"/>
      <c r="AB226" s="464"/>
      <c r="AC226" s="464"/>
      <c r="AD226" s="464"/>
      <c r="AE226" s="464"/>
      <c r="AF226" s="464"/>
      <c r="AG226" s="464"/>
      <c r="AH226" s="464"/>
      <c r="AI226" s="464"/>
      <c r="AJ226" s="464"/>
    </row>
    <row r="227" spans="1:36" ht="15.75" customHeight="1">
      <c r="A227" s="463"/>
      <c r="B227" s="464"/>
      <c r="C227" s="464"/>
      <c r="D227" s="464"/>
      <c r="E227" s="464"/>
      <c r="F227" s="464"/>
      <c r="G227" s="464"/>
      <c r="H227" s="464"/>
      <c r="I227" s="464"/>
      <c r="J227" s="464"/>
      <c r="K227" s="464"/>
      <c r="L227" s="464"/>
      <c r="M227" s="464"/>
      <c r="N227" s="464"/>
      <c r="O227" s="464"/>
      <c r="P227" s="464"/>
      <c r="Q227" s="464"/>
      <c r="R227" s="464"/>
      <c r="S227" s="464"/>
      <c r="T227" s="464"/>
      <c r="U227" s="464"/>
      <c r="V227" s="464"/>
      <c r="W227" s="464"/>
      <c r="X227" s="464"/>
      <c r="Y227" s="464"/>
      <c r="Z227" s="464"/>
      <c r="AA227" s="464"/>
      <c r="AB227" s="464"/>
      <c r="AC227" s="464"/>
      <c r="AD227" s="464"/>
      <c r="AE227" s="464"/>
      <c r="AF227" s="464"/>
      <c r="AG227" s="464"/>
      <c r="AH227" s="464"/>
      <c r="AI227" s="464"/>
      <c r="AJ227" s="464"/>
    </row>
    <row r="228" spans="1:36" ht="15.75" customHeight="1">
      <c r="A228" s="463"/>
      <c r="B228" s="464"/>
      <c r="C228" s="464"/>
      <c r="D228" s="464"/>
      <c r="E228" s="464"/>
      <c r="F228" s="464"/>
      <c r="G228" s="464"/>
      <c r="H228" s="464"/>
      <c r="I228" s="464"/>
      <c r="J228" s="464"/>
      <c r="K228" s="464"/>
      <c r="L228" s="464"/>
      <c r="M228" s="464"/>
      <c r="N228" s="464"/>
      <c r="O228" s="464"/>
      <c r="P228" s="464"/>
      <c r="Q228" s="464"/>
      <c r="R228" s="464"/>
      <c r="S228" s="464"/>
      <c r="T228" s="464"/>
      <c r="U228" s="464"/>
      <c r="V228" s="464"/>
      <c r="W228" s="464"/>
      <c r="X228" s="464"/>
      <c r="Y228" s="464"/>
      <c r="Z228" s="464"/>
      <c r="AA228" s="464"/>
      <c r="AB228" s="464"/>
      <c r="AC228" s="464"/>
      <c r="AD228" s="464"/>
      <c r="AE228" s="464"/>
      <c r="AF228" s="464"/>
      <c r="AG228" s="464"/>
      <c r="AH228" s="464"/>
      <c r="AI228" s="464"/>
      <c r="AJ228" s="464"/>
    </row>
    <row r="229" spans="1:36" ht="15.75" customHeight="1">
      <c r="A229" s="463"/>
      <c r="B229" s="464"/>
      <c r="C229" s="464"/>
      <c r="D229" s="464"/>
      <c r="E229" s="464"/>
      <c r="F229" s="464"/>
      <c r="G229" s="464"/>
      <c r="H229" s="464"/>
      <c r="I229" s="464"/>
      <c r="J229" s="464"/>
      <c r="K229" s="464"/>
      <c r="L229" s="464"/>
      <c r="M229" s="464"/>
      <c r="N229" s="464"/>
      <c r="O229" s="464"/>
      <c r="P229" s="464"/>
      <c r="Q229" s="464"/>
      <c r="R229" s="464"/>
      <c r="S229" s="464"/>
      <c r="T229" s="464"/>
      <c r="U229" s="464"/>
      <c r="V229" s="464"/>
      <c r="W229" s="464"/>
      <c r="X229" s="464"/>
      <c r="Y229" s="464"/>
      <c r="Z229" s="464"/>
      <c r="AA229" s="464"/>
      <c r="AB229" s="464"/>
      <c r="AC229" s="464"/>
      <c r="AD229" s="464"/>
      <c r="AE229" s="464"/>
      <c r="AF229" s="464"/>
      <c r="AG229" s="464"/>
      <c r="AH229" s="464"/>
      <c r="AI229" s="464"/>
      <c r="AJ229" s="464"/>
    </row>
    <row r="230" spans="1:36" ht="15.75" customHeight="1">
      <c r="A230" s="463"/>
      <c r="B230" s="464"/>
      <c r="C230" s="464"/>
      <c r="D230" s="464"/>
      <c r="E230" s="464"/>
      <c r="F230" s="464"/>
      <c r="G230" s="464"/>
      <c r="H230" s="464"/>
      <c r="I230" s="464"/>
      <c r="J230" s="464"/>
      <c r="K230" s="464"/>
      <c r="L230" s="464"/>
      <c r="M230" s="464"/>
      <c r="N230" s="464"/>
      <c r="O230" s="464"/>
      <c r="P230" s="464"/>
      <c r="Q230" s="464"/>
      <c r="R230" s="464"/>
      <c r="S230" s="464"/>
      <c r="T230" s="464"/>
      <c r="U230" s="464"/>
      <c r="V230" s="464"/>
      <c r="W230" s="464"/>
      <c r="X230" s="464"/>
      <c r="Y230" s="464"/>
      <c r="Z230" s="464"/>
      <c r="AA230" s="464"/>
      <c r="AB230" s="464"/>
      <c r="AC230" s="464"/>
      <c r="AD230" s="464"/>
      <c r="AE230" s="464"/>
      <c r="AF230" s="464"/>
      <c r="AG230" s="464"/>
      <c r="AH230" s="464"/>
      <c r="AI230" s="464"/>
      <c r="AJ230" s="464"/>
    </row>
    <row r="231" spans="1:36" ht="15.75" customHeight="1">
      <c r="A231" s="463"/>
      <c r="B231" s="464"/>
      <c r="C231" s="464"/>
      <c r="D231" s="464"/>
      <c r="E231" s="464"/>
      <c r="F231" s="464"/>
      <c r="G231" s="464"/>
      <c r="H231" s="464"/>
      <c r="I231" s="464"/>
      <c r="J231" s="464"/>
      <c r="K231" s="464"/>
      <c r="L231" s="464"/>
      <c r="M231" s="464"/>
      <c r="N231" s="464"/>
      <c r="O231" s="464"/>
      <c r="P231" s="464"/>
      <c r="Q231" s="464"/>
      <c r="R231" s="464"/>
      <c r="S231" s="464"/>
      <c r="T231" s="464"/>
      <c r="U231" s="464"/>
      <c r="V231" s="464"/>
      <c r="W231" s="464"/>
      <c r="X231" s="464"/>
      <c r="Y231" s="464"/>
      <c r="Z231" s="464"/>
      <c r="AA231" s="464"/>
      <c r="AB231" s="464"/>
      <c r="AC231" s="464"/>
      <c r="AD231" s="464"/>
      <c r="AE231" s="464"/>
      <c r="AF231" s="464"/>
      <c r="AG231" s="464"/>
      <c r="AH231" s="464"/>
      <c r="AI231" s="464"/>
      <c r="AJ231" s="464"/>
    </row>
    <row r="232" spans="1:36" ht="15.75" customHeight="1">
      <c r="A232" s="463"/>
      <c r="B232" s="464"/>
      <c r="C232" s="464"/>
      <c r="D232" s="464"/>
      <c r="E232" s="464"/>
      <c r="F232" s="464"/>
      <c r="G232" s="464"/>
      <c r="H232" s="464"/>
      <c r="I232" s="464"/>
      <c r="J232" s="464"/>
      <c r="K232" s="464"/>
      <c r="L232" s="464"/>
      <c r="M232" s="464"/>
      <c r="N232" s="464"/>
      <c r="O232" s="464"/>
      <c r="P232" s="464"/>
      <c r="Q232" s="464"/>
      <c r="R232" s="464"/>
      <c r="S232" s="464"/>
      <c r="T232" s="464"/>
      <c r="U232" s="464"/>
      <c r="V232" s="464"/>
      <c r="W232" s="464"/>
      <c r="X232" s="464"/>
      <c r="Y232" s="464"/>
      <c r="Z232" s="464"/>
      <c r="AA232" s="464"/>
      <c r="AB232" s="464"/>
      <c r="AC232" s="464"/>
      <c r="AD232" s="464"/>
      <c r="AE232" s="464"/>
      <c r="AF232" s="464"/>
      <c r="AG232" s="464"/>
      <c r="AH232" s="464"/>
      <c r="AI232" s="464"/>
      <c r="AJ232" s="464"/>
    </row>
    <row r="233" spans="1:36" ht="15.75" customHeight="1">
      <c r="A233" s="463"/>
      <c r="B233" s="464"/>
      <c r="C233" s="464"/>
      <c r="D233" s="464"/>
      <c r="E233" s="464"/>
      <c r="F233" s="464"/>
      <c r="G233" s="464"/>
      <c r="H233" s="464"/>
      <c r="I233" s="464"/>
      <c r="J233" s="464"/>
      <c r="K233" s="464"/>
      <c r="L233" s="464"/>
      <c r="M233" s="464"/>
      <c r="N233" s="464"/>
      <c r="O233" s="464"/>
      <c r="P233" s="464"/>
      <c r="Q233" s="464"/>
      <c r="R233" s="464"/>
      <c r="S233" s="464"/>
      <c r="T233" s="464"/>
      <c r="U233" s="464"/>
      <c r="V233" s="464"/>
      <c r="W233" s="464"/>
      <c r="X233" s="464"/>
      <c r="Y233" s="464"/>
      <c r="Z233" s="464"/>
      <c r="AA233" s="464"/>
      <c r="AB233" s="464"/>
      <c r="AC233" s="464"/>
      <c r="AD233" s="464"/>
      <c r="AE233" s="464"/>
      <c r="AF233" s="464"/>
      <c r="AG233" s="464"/>
      <c r="AH233" s="464"/>
      <c r="AI233" s="464"/>
      <c r="AJ233" s="464"/>
    </row>
    <row r="234" spans="1:36" ht="15.75" customHeight="1">
      <c r="A234" s="463"/>
      <c r="B234" s="464"/>
      <c r="C234" s="464"/>
      <c r="D234" s="464"/>
      <c r="E234" s="464"/>
      <c r="F234" s="464"/>
      <c r="G234" s="464"/>
      <c r="H234" s="464"/>
      <c r="I234" s="464"/>
      <c r="J234" s="464"/>
      <c r="K234" s="464"/>
      <c r="L234" s="464"/>
      <c r="M234" s="464"/>
      <c r="N234" s="464"/>
      <c r="O234" s="464"/>
      <c r="P234" s="464"/>
      <c r="Q234" s="464"/>
      <c r="R234" s="464"/>
      <c r="S234" s="464"/>
      <c r="T234" s="464"/>
      <c r="U234" s="464"/>
      <c r="V234" s="464"/>
      <c r="W234" s="464"/>
      <c r="X234" s="464"/>
      <c r="Y234" s="464"/>
      <c r="Z234" s="464"/>
      <c r="AA234" s="464"/>
      <c r="AB234" s="464"/>
      <c r="AC234" s="464"/>
      <c r="AD234" s="464"/>
      <c r="AE234" s="464"/>
      <c r="AF234" s="464"/>
      <c r="AG234" s="464"/>
      <c r="AH234" s="464"/>
      <c r="AI234" s="464"/>
      <c r="AJ234" s="464"/>
    </row>
    <row r="235" spans="1:36" ht="15.75" customHeight="1">
      <c r="A235" s="463"/>
      <c r="B235" s="464"/>
      <c r="C235" s="464"/>
      <c r="D235" s="464"/>
      <c r="E235" s="464"/>
      <c r="F235" s="464"/>
      <c r="G235" s="464"/>
      <c r="H235" s="464"/>
      <c r="I235" s="464"/>
      <c r="J235" s="464"/>
      <c r="K235" s="464"/>
      <c r="L235" s="464"/>
      <c r="M235" s="464"/>
      <c r="N235" s="464"/>
      <c r="O235" s="464"/>
      <c r="P235" s="464"/>
      <c r="Q235" s="464"/>
      <c r="R235" s="464"/>
      <c r="S235" s="464"/>
      <c r="T235" s="464"/>
      <c r="U235" s="464"/>
      <c r="V235" s="464"/>
      <c r="W235" s="464"/>
      <c r="X235" s="464"/>
      <c r="Y235" s="464"/>
      <c r="Z235" s="464"/>
      <c r="AA235" s="464"/>
      <c r="AB235" s="464"/>
      <c r="AC235" s="464"/>
      <c r="AD235" s="464"/>
      <c r="AE235" s="464"/>
      <c r="AF235" s="464"/>
      <c r="AG235" s="464"/>
      <c r="AH235" s="464"/>
      <c r="AI235" s="464"/>
      <c r="AJ235" s="464"/>
    </row>
    <row r="236" spans="1:36" ht="15.75" customHeight="1">
      <c r="A236" s="463"/>
      <c r="B236" s="464"/>
      <c r="C236" s="464"/>
      <c r="D236" s="464"/>
      <c r="E236" s="464"/>
      <c r="F236" s="464"/>
      <c r="G236" s="464"/>
      <c r="H236" s="464"/>
      <c r="I236" s="464"/>
      <c r="J236" s="464"/>
      <c r="K236" s="464"/>
      <c r="L236" s="464"/>
      <c r="M236" s="464"/>
      <c r="N236" s="464"/>
      <c r="O236" s="464"/>
      <c r="P236" s="464"/>
      <c r="Q236" s="464"/>
      <c r="R236" s="464"/>
      <c r="S236" s="464"/>
      <c r="T236" s="464"/>
      <c r="U236" s="464"/>
      <c r="V236" s="464"/>
      <c r="W236" s="464"/>
      <c r="X236" s="464"/>
      <c r="Y236" s="464"/>
      <c r="Z236" s="464"/>
      <c r="AA236" s="464"/>
      <c r="AB236" s="464"/>
      <c r="AC236" s="464"/>
      <c r="AD236" s="464"/>
      <c r="AE236" s="464"/>
      <c r="AF236" s="464"/>
      <c r="AG236" s="464"/>
      <c r="AH236" s="464"/>
      <c r="AI236" s="464"/>
      <c r="AJ236" s="464"/>
    </row>
    <row r="237" spans="1:36" ht="15.75" customHeight="1">
      <c r="A237" s="463"/>
      <c r="B237" s="464"/>
      <c r="C237" s="464"/>
      <c r="D237" s="464"/>
      <c r="E237" s="464"/>
      <c r="F237" s="464"/>
      <c r="G237" s="464"/>
      <c r="H237" s="464"/>
      <c r="I237" s="464"/>
      <c r="J237" s="464"/>
      <c r="K237" s="464"/>
      <c r="L237" s="464"/>
      <c r="M237" s="464"/>
      <c r="N237" s="464"/>
      <c r="O237" s="464"/>
      <c r="P237" s="464"/>
      <c r="Q237" s="464"/>
      <c r="R237" s="464"/>
      <c r="S237" s="464"/>
      <c r="T237" s="464"/>
      <c r="U237" s="464"/>
      <c r="V237" s="464"/>
      <c r="W237" s="464"/>
      <c r="X237" s="464"/>
      <c r="Y237" s="464"/>
      <c r="Z237" s="464"/>
      <c r="AA237" s="464"/>
      <c r="AB237" s="464"/>
      <c r="AC237" s="464"/>
      <c r="AD237" s="464"/>
      <c r="AE237" s="464"/>
      <c r="AF237" s="464"/>
      <c r="AG237" s="464"/>
      <c r="AH237" s="464"/>
      <c r="AI237" s="464"/>
      <c r="AJ237" s="464"/>
    </row>
    <row r="238" spans="1:36" ht="15.75" customHeight="1">
      <c r="A238" s="463"/>
      <c r="B238" s="464"/>
      <c r="C238" s="464"/>
      <c r="D238" s="464"/>
      <c r="E238" s="464"/>
      <c r="F238" s="464"/>
      <c r="G238" s="464"/>
      <c r="H238" s="464"/>
      <c r="I238" s="464"/>
      <c r="J238" s="464"/>
      <c r="K238" s="464"/>
      <c r="L238" s="464"/>
      <c r="M238" s="464"/>
      <c r="N238" s="464"/>
      <c r="O238" s="464"/>
      <c r="P238" s="464"/>
      <c r="Q238" s="464"/>
      <c r="R238" s="464"/>
      <c r="S238" s="464"/>
      <c r="T238" s="464"/>
      <c r="U238" s="464"/>
      <c r="V238" s="464"/>
      <c r="W238" s="464"/>
      <c r="X238" s="464"/>
      <c r="Y238" s="464"/>
      <c r="Z238" s="464"/>
      <c r="AA238" s="464"/>
      <c r="AB238" s="464"/>
      <c r="AC238" s="464"/>
      <c r="AD238" s="464"/>
      <c r="AE238" s="464"/>
      <c r="AF238" s="464"/>
      <c r="AG238" s="464"/>
      <c r="AH238" s="464"/>
      <c r="AI238" s="464"/>
      <c r="AJ238" s="464"/>
    </row>
    <row r="239" spans="1:36" ht="15.75" customHeight="1">
      <c r="A239" s="463"/>
      <c r="B239" s="464"/>
      <c r="C239" s="464"/>
      <c r="D239" s="464"/>
      <c r="E239" s="464"/>
      <c r="F239" s="464"/>
      <c r="G239" s="464"/>
      <c r="H239" s="464"/>
      <c r="I239" s="464"/>
      <c r="J239" s="464"/>
      <c r="K239" s="464"/>
      <c r="L239" s="464"/>
      <c r="M239" s="464"/>
      <c r="N239" s="464"/>
      <c r="O239" s="464"/>
      <c r="P239" s="464"/>
      <c r="Q239" s="464"/>
      <c r="R239" s="464"/>
      <c r="S239" s="464"/>
      <c r="T239" s="464"/>
      <c r="U239" s="464"/>
      <c r="V239" s="464"/>
      <c r="W239" s="464"/>
      <c r="X239" s="464"/>
      <c r="Y239" s="464"/>
      <c r="Z239" s="464"/>
      <c r="AA239" s="464"/>
      <c r="AB239" s="464"/>
      <c r="AC239" s="464"/>
      <c r="AD239" s="464"/>
      <c r="AE239" s="464"/>
      <c r="AF239" s="464"/>
      <c r="AG239" s="464"/>
      <c r="AH239" s="464"/>
      <c r="AI239" s="464"/>
      <c r="AJ239" s="464"/>
    </row>
    <row r="240" spans="1:36" ht="15.75" customHeight="1">
      <c r="A240" s="463"/>
      <c r="B240" s="464"/>
      <c r="C240" s="464"/>
      <c r="D240" s="464"/>
      <c r="E240" s="464"/>
      <c r="F240" s="464"/>
      <c r="G240" s="464"/>
      <c r="H240" s="464"/>
      <c r="I240" s="464"/>
      <c r="J240" s="464"/>
      <c r="K240" s="464"/>
      <c r="L240" s="464"/>
      <c r="M240" s="464"/>
      <c r="N240" s="464"/>
      <c r="O240" s="464"/>
      <c r="P240" s="464"/>
      <c r="Q240" s="464"/>
      <c r="R240" s="464"/>
      <c r="S240" s="464"/>
      <c r="T240" s="464"/>
      <c r="U240" s="464"/>
      <c r="V240" s="464"/>
      <c r="W240" s="464"/>
      <c r="X240" s="464"/>
      <c r="Y240" s="464"/>
      <c r="Z240" s="464"/>
      <c r="AA240" s="464"/>
      <c r="AB240" s="464"/>
      <c r="AC240" s="464"/>
      <c r="AD240" s="464"/>
      <c r="AE240" s="464"/>
      <c r="AF240" s="464"/>
      <c r="AG240" s="464"/>
      <c r="AH240" s="464"/>
      <c r="AI240" s="464"/>
      <c r="AJ240" s="464"/>
    </row>
    <row r="241" spans="1:36" ht="15.75" customHeight="1">
      <c r="A241" s="463"/>
      <c r="B241" s="464"/>
      <c r="C241" s="464"/>
      <c r="D241" s="464"/>
      <c r="E241" s="464"/>
      <c r="F241" s="464"/>
      <c r="G241" s="464"/>
      <c r="H241" s="464"/>
      <c r="I241" s="464"/>
      <c r="J241" s="464"/>
      <c r="K241" s="464"/>
      <c r="L241" s="464"/>
      <c r="M241" s="464"/>
      <c r="N241" s="464"/>
      <c r="O241" s="464"/>
      <c r="P241" s="464"/>
      <c r="Q241" s="464"/>
      <c r="R241" s="464"/>
      <c r="S241" s="464"/>
      <c r="T241" s="464"/>
      <c r="U241" s="464"/>
      <c r="V241" s="464"/>
      <c r="W241" s="464"/>
      <c r="X241" s="464"/>
      <c r="Y241" s="464"/>
      <c r="Z241" s="464"/>
      <c r="AA241" s="464"/>
      <c r="AB241" s="464"/>
      <c r="AC241" s="464"/>
      <c r="AD241" s="464"/>
      <c r="AE241" s="464"/>
      <c r="AF241" s="464"/>
      <c r="AG241" s="464"/>
      <c r="AH241" s="464"/>
      <c r="AI241" s="464"/>
      <c r="AJ241" s="464"/>
    </row>
    <row r="242" spans="1:36" ht="15.75" customHeight="1">
      <c r="A242" s="463"/>
      <c r="B242" s="464"/>
      <c r="C242" s="464"/>
      <c r="D242" s="464"/>
      <c r="E242" s="464"/>
      <c r="F242" s="464"/>
      <c r="G242" s="464"/>
      <c r="H242" s="464"/>
      <c r="I242" s="464"/>
      <c r="J242" s="464"/>
      <c r="K242" s="464"/>
      <c r="L242" s="464"/>
      <c r="M242" s="464"/>
      <c r="N242" s="464"/>
      <c r="O242" s="464"/>
      <c r="P242" s="464"/>
      <c r="Q242" s="464"/>
      <c r="R242" s="464"/>
      <c r="S242" s="464"/>
      <c r="T242" s="464"/>
      <c r="U242" s="464"/>
      <c r="V242" s="464"/>
      <c r="W242" s="464"/>
      <c r="X242" s="464"/>
      <c r="Y242" s="464"/>
      <c r="Z242" s="464"/>
      <c r="AA242" s="464"/>
      <c r="AB242" s="464"/>
      <c r="AC242" s="464"/>
      <c r="AD242" s="464"/>
      <c r="AE242" s="464"/>
      <c r="AF242" s="464"/>
      <c r="AG242" s="464"/>
      <c r="AH242" s="464"/>
      <c r="AI242" s="464"/>
      <c r="AJ242" s="464"/>
    </row>
    <row r="243" spans="1:36" ht="15.75" customHeight="1">
      <c r="A243" s="463"/>
      <c r="B243" s="464"/>
      <c r="C243" s="464"/>
      <c r="D243" s="464"/>
      <c r="E243" s="464"/>
      <c r="F243" s="464"/>
      <c r="G243" s="464"/>
      <c r="H243" s="464"/>
      <c r="I243" s="464"/>
      <c r="J243" s="464"/>
      <c r="K243" s="464"/>
      <c r="L243" s="464"/>
      <c r="M243" s="464"/>
      <c r="N243" s="464"/>
      <c r="O243" s="464"/>
      <c r="P243" s="464"/>
      <c r="Q243" s="464"/>
      <c r="R243" s="464"/>
      <c r="S243" s="464"/>
      <c r="T243" s="464"/>
      <c r="U243" s="464"/>
      <c r="V243" s="464"/>
      <c r="W243" s="464"/>
      <c r="X243" s="464"/>
      <c r="Y243" s="464"/>
      <c r="Z243" s="464"/>
      <c r="AA243" s="464"/>
      <c r="AB243" s="464"/>
      <c r="AC243" s="464"/>
      <c r="AD243" s="464"/>
      <c r="AE243" s="464"/>
      <c r="AF243" s="464"/>
      <c r="AG243" s="464"/>
      <c r="AH243" s="464"/>
      <c r="AI243" s="464"/>
      <c r="AJ243" s="464"/>
    </row>
    <row r="244" spans="1:36" ht="15.75" customHeight="1">
      <c r="A244" s="463"/>
      <c r="B244" s="464"/>
      <c r="C244" s="464"/>
      <c r="D244" s="464"/>
      <c r="E244" s="464"/>
      <c r="F244" s="464"/>
      <c r="G244" s="464"/>
      <c r="H244" s="464"/>
      <c r="I244" s="464"/>
      <c r="J244" s="464"/>
      <c r="K244" s="464"/>
      <c r="L244" s="464"/>
      <c r="M244" s="464"/>
      <c r="N244" s="464"/>
      <c r="O244" s="464"/>
      <c r="P244" s="464"/>
      <c r="Q244" s="464"/>
      <c r="R244" s="464"/>
      <c r="S244" s="464"/>
      <c r="T244" s="464"/>
      <c r="U244" s="464"/>
      <c r="V244" s="464"/>
      <c r="W244" s="464"/>
      <c r="X244" s="464"/>
      <c r="Y244" s="464"/>
      <c r="Z244" s="464"/>
      <c r="AA244" s="464"/>
      <c r="AB244" s="464"/>
      <c r="AC244" s="464"/>
      <c r="AD244" s="464"/>
      <c r="AE244" s="464"/>
      <c r="AF244" s="464"/>
      <c r="AG244" s="464"/>
      <c r="AH244" s="464"/>
      <c r="AI244" s="464"/>
      <c r="AJ244" s="464"/>
    </row>
    <row r="245" spans="1:36" ht="15.75" customHeight="1">
      <c r="A245" s="463"/>
      <c r="B245" s="464"/>
      <c r="C245" s="464"/>
      <c r="D245" s="464"/>
      <c r="E245" s="464"/>
      <c r="F245" s="464"/>
      <c r="G245" s="464"/>
      <c r="H245" s="464"/>
      <c r="I245" s="464"/>
      <c r="J245" s="464"/>
      <c r="K245" s="464"/>
      <c r="L245" s="464"/>
      <c r="M245" s="464"/>
      <c r="N245" s="464"/>
      <c r="O245" s="464"/>
      <c r="P245" s="464"/>
      <c r="Q245" s="464"/>
      <c r="R245" s="464"/>
      <c r="S245" s="464"/>
      <c r="T245" s="464"/>
      <c r="U245" s="464"/>
      <c r="V245" s="464"/>
      <c r="W245" s="464"/>
      <c r="X245" s="464"/>
      <c r="Y245" s="464"/>
      <c r="Z245" s="464"/>
      <c r="AA245" s="464"/>
      <c r="AB245" s="464"/>
      <c r="AC245" s="464"/>
      <c r="AD245" s="464"/>
      <c r="AE245" s="464"/>
      <c r="AF245" s="464"/>
      <c r="AG245" s="464"/>
      <c r="AH245" s="464"/>
      <c r="AI245" s="464"/>
      <c r="AJ245" s="464"/>
    </row>
    <row r="246" spans="1:36" ht="15.75" customHeight="1">
      <c r="A246" s="463"/>
      <c r="B246" s="464"/>
      <c r="C246" s="464"/>
      <c r="D246" s="464"/>
      <c r="E246" s="464"/>
      <c r="F246" s="464"/>
      <c r="G246" s="464"/>
      <c r="H246" s="464"/>
      <c r="I246" s="464"/>
      <c r="J246" s="464"/>
      <c r="K246" s="464"/>
      <c r="L246" s="464"/>
      <c r="M246" s="464"/>
      <c r="N246" s="464"/>
      <c r="O246" s="464"/>
      <c r="P246" s="464"/>
      <c r="Q246" s="464"/>
      <c r="R246" s="464"/>
      <c r="S246" s="464"/>
      <c r="T246" s="464"/>
      <c r="U246" s="464"/>
      <c r="V246" s="464"/>
      <c r="W246" s="464"/>
      <c r="X246" s="464"/>
      <c r="Y246" s="464"/>
      <c r="Z246" s="464"/>
      <c r="AA246" s="464"/>
      <c r="AB246" s="464"/>
      <c r="AC246" s="464"/>
      <c r="AD246" s="464"/>
      <c r="AE246" s="464"/>
      <c r="AF246" s="464"/>
      <c r="AG246" s="464"/>
      <c r="AH246" s="464"/>
      <c r="AI246" s="464"/>
      <c r="AJ246" s="464"/>
    </row>
    <row r="247" spans="1:36" ht="15.75" customHeight="1">
      <c r="A247" s="463"/>
      <c r="B247" s="464"/>
      <c r="C247" s="464"/>
      <c r="D247" s="464"/>
      <c r="E247" s="464"/>
      <c r="F247" s="464"/>
      <c r="G247" s="464"/>
      <c r="H247" s="464"/>
      <c r="I247" s="464"/>
      <c r="J247" s="464"/>
      <c r="K247" s="464"/>
      <c r="L247" s="464"/>
      <c r="M247" s="464"/>
      <c r="N247" s="464"/>
      <c r="O247" s="464"/>
      <c r="P247" s="464"/>
      <c r="Q247" s="464"/>
      <c r="R247" s="464"/>
      <c r="S247" s="464"/>
      <c r="T247" s="464"/>
      <c r="U247" s="464"/>
      <c r="V247" s="464"/>
      <c r="W247" s="464"/>
      <c r="X247" s="464"/>
      <c r="Y247" s="464"/>
      <c r="Z247" s="464"/>
      <c r="AA247" s="464"/>
      <c r="AB247" s="464"/>
      <c r="AC247" s="464"/>
      <c r="AD247" s="464"/>
      <c r="AE247" s="464"/>
      <c r="AF247" s="464"/>
      <c r="AG247" s="464"/>
      <c r="AH247" s="464"/>
      <c r="AI247" s="464"/>
      <c r="AJ247" s="464"/>
    </row>
    <row r="248" spans="1:36" ht="15.75" customHeight="1">
      <c r="A248" s="463"/>
      <c r="B248" s="464"/>
      <c r="C248" s="464"/>
      <c r="D248" s="464"/>
      <c r="E248" s="464"/>
      <c r="F248" s="464"/>
      <c r="G248" s="464"/>
      <c r="H248" s="464"/>
      <c r="I248" s="464"/>
      <c r="J248" s="464"/>
      <c r="K248" s="464"/>
      <c r="L248" s="464"/>
      <c r="M248" s="464"/>
      <c r="N248" s="464"/>
      <c r="O248" s="464"/>
      <c r="P248" s="464"/>
      <c r="Q248" s="464"/>
      <c r="R248" s="464"/>
      <c r="S248" s="464"/>
      <c r="T248" s="464"/>
      <c r="U248" s="464"/>
      <c r="V248" s="464"/>
      <c r="W248" s="464"/>
      <c r="X248" s="464"/>
      <c r="Y248" s="464"/>
      <c r="Z248" s="464"/>
      <c r="AA248" s="464"/>
      <c r="AB248" s="464"/>
      <c r="AC248" s="464"/>
      <c r="AD248" s="464"/>
      <c r="AE248" s="464"/>
      <c r="AF248" s="464"/>
      <c r="AG248" s="464"/>
      <c r="AH248" s="464"/>
      <c r="AI248" s="464"/>
      <c r="AJ248" s="464"/>
    </row>
    <row r="249" spans="1:36" ht="15.75" customHeight="1"/>
    <row r="250" spans="1:36" ht="15.75" customHeight="1"/>
    <row r="251" spans="1:36" ht="15.75" customHeight="1"/>
    <row r="252" spans="1:36" ht="15.75" customHeight="1"/>
    <row r="253" spans="1:36" ht="15.75" customHeight="1"/>
    <row r="254" spans="1:36" ht="15.75" customHeight="1"/>
    <row r="255" spans="1:36" ht="15.75" customHeight="1"/>
    <row r="256" spans="1:3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K31:L31"/>
    <mergeCell ref="M31:N31"/>
    <mergeCell ref="C21:E21"/>
    <mergeCell ref="F21:H21"/>
    <mergeCell ref="C31:D31"/>
    <mergeCell ref="E31:F31"/>
    <mergeCell ref="G31:H31"/>
    <mergeCell ref="I31:J31"/>
  </mergeCells>
  <pageMargins left="0.70866141732283472" right="0.70866141732283472" top="0.78740157480314965" bottom="0.78740157480314965"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F993"/>
  <sheetViews>
    <sheetView workbookViewId="0"/>
  </sheetViews>
  <sheetFormatPr baseColWidth="10" defaultColWidth="14.33203125" defaultRowHeight="15" customHeight="1"/>
  <cols>
    <col min="1" max="1" width="15.5546875" customWidth="1"/>
    <col min="2" max="2" width="27.6640625" customWidth="1"/>
    <col min="3" max="3" width="20.33203125" customWidth="1"/>
    <col min="4" max="14" width="15.33203125" customWidth="1"/>
    <col min="15" max="32" width="11.33203125" customWidth="1"/>
  </cols>
  <sheetData>
    <row r="1" spans="1:32" ht="15.75" customHeight="1">
      <c r="A1" s="461"/>
      <c r="B1" s="462"/>
      <c r="C1" s="462"/>
      <c r="D1" s="462"/>
      <c r="E1" s="462"/>
      <c r="F1" s="462"/>
      <c r="G1" s="462"/>
      <c r="H1" s="462"/>
      <c r="I1" s="462"/>
      <c r="J1" s="462"/>
      <c r="K1" s="462"/>
      <c r="L1" s="462"/>
      <c r="M1" s="462"/>
      <c r="N1" s="462"/>
      <c r="O1" s="462"/>
      <c r="P1" s="462"/>
      <c r="Q1" s="462"/>
      <c r="R1" s="462"/>
      <c r="S1" s="462"/>
      <c r="T1" s="462"/>
      <c r="U1" s="462"/>
      <c r="V1" s="462"/>
      <c r="W1" s="462"/>
      <c r="X1" s="462"/>
      <c r="Y1" s="462"/>
      <c r="Z1" s="462"/>
      <c r="AA1" s="462"/>
      <c r="AB1" s="462"/>
      <c r="AC1" s="462"/>
      <c r="AD1" s="462"/>
      <c r="AE1" s="462"/>
      <c r="AF1" s="462"/>
    </row>
    <row r="2" spans="1:32" ht="15.75" customHeight="1">
      <c r="A2" s="463"/>
      <c r="B2" s="464"/>
      <c r="C2" s="464"/>
      <c r="D2" s="464"/>
      <c r="E2" s="464"/>
      <c r="F2" s="464"/>
      <c r="G2" s="464"/>
      <c r="H2" s="464"/>
      <c r="I2" s="464"/>
      <c r="J2" s="464"/>
      <c r="K2" s="464"/>
      <c r="L2" s="464"/>
      <c r="M2" s="464"/>
      <c r="N2" s="464"/>
      <c r="O2" s="464"/>
      <c r="P2" s="464"/>
      <c r="Q2" s="464"/>
      <c r="R2" s="464"/>
      <c r="S2" s="464"/>
      <c r="T2" s="464"/>
      <c r="U2" s="464"/>
      <c r="V2" s="464"/>
      <c r="W2" s="464"/>
      <c r="X2" s="464"/>
      <c r="Y2" s="464"/>
      <c r="Z2" s="464"/>
      <c r="AA2" s="464"/>
      <c r="AB2" s="464"/>
      <c r="AC2" s="464"/>
      <c r="AD2" s="464"/>
      <c r="AE2" s="464"/>
      <c r="AF2" s="464"/>
    </row>
    <row r="3" spans="1:32" ht="15.75" customHeight="1">
      <c r="A3" s="465"/>
      <c r="B3" s="462" t="s">
        <v>3633</v>
      </c>
      <c r="C3" s="462" t="s">
        <v>3634</v>
      </c>
      <c r="D3" s="466">
        <v>250000</v>
      </c>
      <c r="E3" s="466">
        <v>500000</v>
      </c>
      <c r="F3" s="466">
        <v>1000000</v>
      </c>
      <c r="G3" s="466">
        <v>1500000</v>
      </c>
      <c r="H3" s="466">
        <v>2000000</v>
      </c>
      <c r="I3" s="466">
        <v>2500000</v>
      </c>
      <c r="J3" s="466">
        <v>3000000</v>
      </c>
      <c r="K3" s="466">
        <v>4000000</v>
      </c>
      <c r="L3" s="466">
        <v>5000000</v>
      </c>
      <c r="M3" s="466">
        <v>7500000</v>
      </c>
      <c r="N3" s="466">
        <v>10000000</v>
      </c>
      <c r="O3" s="464"/>
      <c r="P3" s="464"/>
      <c r="Q3" s="464"/>
      <c r="R3" s="464"/>
      <c r="S3" s="464"/>
      <c r="T3" s="464"/>
      <c r="U3" s="464"/>
      <c r="V3" s="464"/>
      <c r="W3" s="464"/>
      <c r="X3" s="464"/>
      <c r="Y3" s="464"/>
      <c r="Z3" s="464"/>
      <c r="AA3" s="464"/>
      <c r="AB3" s="464"/>
      <c r="AC3" s="464"/>
      <c r="AD3" s="464"/>
      <c r="AE3" s="464"/>
      <c r="AF3" s="464"/>
    </row>
    <row r="4" spans="1:32" ht="15.75" customHeight="1">
      <c r="A4" s="465"/>
      <c r="B4" s="467" t="s">
        <v>3635</v>
      </c>
      <c r="C4" s="468">
        <v>0</v>
      </c>
      <c r="D4" s="583">
        <v>750</v>
      </c>
      <c r="E4" s="583">
        <v>900</v>
      </c>
      <c r="F4" s="583">
        <v>1180</v>
      </c>
      <c r="G4" s="583">
        <v>1770</v>
      </c>
      <c r="H4" s="583">
        <v>2280</v>
      </c>
      <c r="I4" s="583">
        <v>2940</v>
      </c>
      <c r="J4" s="583">
        <v>3360</v>
      </c>
      <c r="K4" s="583">
        <v>4250</v>
      </c>
      <c r="L4" s="583">
        <v>5100</v>
      </c>
      <c r="M4" s="583">
        <v>7300</v>
      </c>
      <c r="N4" s="583">
        <v>9340</v>
      </c>
      <c r="O4" s="464"/>
      <c r="P4" s="464"/>
      <c r="Q4" s="464"/>
      <c r="R4" s="464"/>
      <c r="S4" s="464"/>
      <c r="T4" s="464"/>
      <c r="U4" s="464"/>
      <c r="V4" s="464"/>
      <c r="W4" s="464"/>
      <c r="X4" s="464"/>
      <c r="Y4" s="464"/>
      <c r="Z4" s="464"/>
      <c r="AA4" s="464"/>
      <c r="AB4" s="464"/>
      <c r="AC4" s="464"/>
      <c r="AD4" s="464"/>
      <c r="AE4" s="464"/>
      <c r="AF4" s="464"/>
    </row>
    <row r="5" spans="1:32" ht="15.75" customHeight="1">
      <c r="A5" s="465"/>
      <c r="B5" s="467" t="s">
        <v>3636</v>
      </c>
      <c r="C5" s="468">
        <v>5000000</v>
      </c>
      <c r="D5" s="584"/>
      <c r="E5" s="583">
        <v>900</v>
      </c>
      <c r="F5" s="583">
        <v>1180</v>
      </c>
      <c r="G5" s="583">
        <v>1770</v>
      </c>
      <c r="H5" s="583">
        <v>2280</v>
      </c>
      <c r="I5" s="583">
        <v>2940</v>
      </c>
      <c r="J5" s="583">
        <v>3360</v>
      </c>
      <c r="K5" s="583">
        <v>4250</v>
      </c>
      <c r="L5" s="583">
        <v>5100</v>
      </c>
      <c r="M5" s="583">
        <v>7300</v>
      </c>
      <c r="N5" s="583">
        <v>9340</v>
      </c>
      <c r="O5" s="464"/>
      <c r="P5" s="464"/>
      <c r="Q5" s="464"/>
      <c r="R5" s="464"/>
      <c r="S5" s="464"/>
      <c r="T5" s="464"/>
      <c r="U5" s="464"/>
      <c r="V5" s="464"/>
      <c r="W5" s="464"/>
      <c r="X5" s="464"/>
      <c r="Y5" s="464"/>
      <c r="Z5" s="464"/>
      <c r="AA5" s="464"/>
      <c r="AB5" s="464"/>
      <c r="AC5" s="464"/>
      <c r="AD5" s="464"/>
      <c r="AE5" s="464"/>
      <c r="AF5" s="464"/>
    </row>
    <row r="6" spans="1:32" ht="15.75" customHeight="1">
      <c r="A6" s="465"/>
      <c r="B6" s="467" t="s">
        <v>3637</v>
      </c>
      <c r="C6" s="468">
        <v>50000000</v>
      </c>
      <c r="D6" s="584"/>
      <c r="E6" s="583">
        <v>1000</v>
      </c>
      <c r="F6" s="583">
        <v>1390</v>
      </c>
      <c r="G6" s="583">
        <v>2100</v>
      </c>
      <c r="H6" s="583">
        <v>2500</v>
      </c>
      <c r="I6" s="583">
        <v>3480</v>
      </c>
      <c r="J6" s="583">
        <v>3970</v>
      </c>
      <c r="K6" s="583">
        <v>4980</v>
      </c>
      <c r="L6" s="583">
        <v>6000</v>
      </c>
      <c r="M6" s="583">
        <v>8280</v>
      </c>
      <c r="N6" s="583">
        <v>10700</v>
      </c>
      <c r="O6" s="464"/>
      <c r="P6" s="464"/>
      <c r="Q6" s="464"/>
      <c r="R6" s="464"/>
      <c r="S6" s="464"/>
      <c r="T6" s="464"/>
      <c r="U6" s="464"/>
      <c r="V6" s="464"/>
      <c r="W6" s="464"/>
      <c r="X6" s="464"/>
      <c r="Y6" s="464"/>
      <c r="Z6" s="464"/>
      <c r="AA6" s="464"/>
      <c r="AB6" s="464"/>
      <c r="AC6" s="464"/>
      <c r="AD6" s="464"/>
      <c r="AE6" s="464"/>
      <c r="AF6" s="464"/>
    </row>
    <row r="7" spans="1:32" ht="15.75" customHeight="1">
      <c r="A7" s="465"/>
      <c r="B7" s="467" t="s">
        <v>3638</v>
      </c>
      <c r="C7" s="468">
        <v>100000000</v>
      </c>
      <c r="D7" s="584"/>
      <c r="E7" s="585">
        <v>1250</v>
      </c>
      <c r="F7" s="583">
        <v>1950</v>
      </c>
      <c r="G7" s="583">
        <v>2920</v>
      </c>
      <c r="H7" s="583">
        <v>3340</v>
      </c>
      <c r="I7" s="583">
        <v>4000</v>
      </c>
      <c r="J7" s="583">
        <v>4180</v>
      </c>
      <c r="K7" s="583">
        <v>5300</v>
      </c>
      <c r="L7" s="583">
        <v>6700</v>
      </c>
      <c r="M7" s="583">
        <v>9480</v>
      </c>
      <c r="N7" s="583">
        <v>11500</v>
      </c>
      <c r="O7" s="464"/>
      <c r="P7" s="464"/>
      <c r="Q7" s="464"/>
      <c r="R7" s="464"/>
      <c r="S7" s="464"/>
      <c r="T7" s="464"/>
      <c r="U7" s="464"/>
      <c r="V7" s="464"/>
      <c r="W7" s="464"/>
      <c r="X7" s="464"/>
      <c r="Y7" s="464"/>
      <c r="Z7" s="464"/>
      <c r="AA7" s="464"/>
      <c r="AB7" s="464"/>
      <c r="AC7" s="464"/>
      <c r="AD7" s="464"/>
      <c r="AE7" s="464"/>
      <c r="AF7" s="464"/>
    </row>
    <row r="8" spans="1:32" ht="15.75" customHeight="1">
      <c r="A8" s="465"/>
      <c r="B8" s="467" t="s">
        <v>3815</v>
      </c>
      <c r="C8" s="468">
        <v>150000000</v>
      </c>
      <c r="D8" s="470"/>
      <c r="E8" s="470"/>
      <c r="F8" s="470"/>
      <c r="G8" s="470"/>
      <c r="H8" s="470"/>
      <c r="I8" s="470"/>
      <c r="J8" s="471">
        <v>4840</v>
      </c>
      <c r="K8" s="471">
        <v>6450</v>
      </c>
      <c r="L8" s="471">
        <v>8000</v>
      </c>
      <c r="M8" s="471">
        <v>12650</v>
      </c>
      <c r="N8" s="471">
        <v>15950</v>
      </c>
      <c r="O8" s="464"/>
      <c r="P8" s="464"/>
      <c r="Q8" s="464"/>
      <c r="R8" s="464"/>
      <c r="S8" s="464"/>
      <c r="T8" s="464"/>
      <c r="U8" s="464"/>
      <c r="V8" s="464"/>
      <c r="W8" s="464"/>
      <c r="X8" s="464"/>
      <c r="Y8" s="464"/>
      <c r="Z8" s="464"/>
      <c r="AA8" s="464"/>
      <c r="AB8" s="464"/>
      <c r="AC8" s="464"/>
      <c r="AD8" s="464"/>
      <c r="AE8" s="464"/>
      <c r="AF8" s="464"/>
    </row>
    <row r="9" spans="1:32" ht="15.75" customHeight="1">
      <c r="A9" s="465"/>
      <c r="B9" s="467" t="s">
        <v>3816</v>
      </c>
      <c r="C9" s="468">
        <v>200000000</v>
      </c>
      <c r="D9" s="470"/>
      <c r="E9" s="470"/>
      <c r="F9" s="470"/>
      <c r="G9" s="470"/>
      <c r="H9" s="470"/>
      <c r="I9" s="470"/>
      <c r="J9" s="471">
        <v>5100</v>
      </c>
      <c r="K9" s="471">
        <v>6810</v>
      </c>
      <c r="L9" s="471">
        <v>8500</v>
      </c>
      <c r="M9" s="471">
        <v>13280</v>
      </c>
      <c r="N9" s="471">
        <v>16950</v>
      </c>
      <c r="O9" s="464"/>
      <c r="P9" s="464"/>
      <c r="Q9" s="464"/>
      <c r="R9" s="464"/>
      <c r="S9" s="464"/>
      <c r="T9" s="464"/>
      <c r="U9" s="464"/>
      <c r="V9" s="464"/>
      <c r="W9" s="464"/>
      <c r="X9" s="464"/>
      <c r="Y9" s="464"/>
      <c r="Z9" s="464"/>
      <c r="AA9" s="464"/>
      <c r="AB9" s="464"/>
      <c r="AC9" s="464"/>
      <c r="AD9" s="464"/>
      <c r="AE9" s="464"/>
      <c r="AF9" s="464"/>
    </row>
    <row r="10" spans="1:32" ht="15.75" customHeight="1">
      <c r="A10" s="465"/>
      <c r="B10" s="467" t="s">
        <v>3817</v>
      </c>
      <c r="C10" s="468">
        <v>250000000</v>
      </c>
      <c r="D10" s="470"/>
      <c r="E10" s="470"/>
      <c r="F10" s="470"/>
      <c r="G10" s="470"/>
      <c r="H10" s="470"/>
      <c r="I10" s="470"/>
      <c r="J10" s="471">
        <v>5700</v>
      </c>
      <c r="K10" s="471">
        <v>7100</v>
      </c>
      <c r="L10" s="471">
        <v>9000</v>
      </c>
      <c r="M10" s="471">
        <v>13650</v>
      </c>
      <c r="N10" s="471">
        <v>18000</v>
      </c>
      <c r="O10" s="464"/>
      <c r="P10" s="464"/>
      <c r="Q10" s="464"/>
      <c r="R10" s="464"/>
      <c r="S10" s="464"/>
      <c r="T10" s="464"/>
      <c r="U10" s="464"/>
      <c r="V10" s="464"/>
      <c r="W10" s="464"/>
      <c r="X10" s="464"/>
      <c r="Y10" s="464"/>
      <c r="Z10" s="464"/>
      <c r="AA10" s="464"/>
      <c r="AB10" s="464"/>
      <c r="AC10" s="464"/>
      <c r="AD10" s="464"/>
      <c r="AE10" s="464"/>
      <c r="AF10" s="464"/>
    </row>
    <row r="11" spans="1:32" ht="15.75" customHeight="1">
      <c r="A11" s="465"/>
      <c r="B11" s="467" t="s">
        <v>3818</v>
      </c>
      <c r="C11" s="468">
        <v>350000000</v>
      </c>
      <c r="D11" s="470"/>
      <c r="E11" s="470"/>
      <c r="F11" s="470"/>
      <c r="G11" s="470"/>
      <c r="H11" s="470"/>
      <c r="I11" s="470"/>
      <c r="J11" s="471">
        <v>6100</v>
      </c>
      <c r="K11" s="471">
        <v>7500</v>
      </c>
      <c r="L11" s="471">
        <v>9500</v>
      </c>
      <c r="M11" s="471">
        <v>14000</v>
      </c>
      <c r="N11" s="471">
        <v>18880</v>
      </c>
      <c r="O11" s="464"/>
      <c r="P11" s="464"/>
      <c r="Q11" s="464"/>
      <c r="R11" s="464"/>
      <c r="S11" s="464"/>
      <c r="T11" s="464"/>
      <c r="U11" s="464"/>
      <c r="V11" s="464"/>
      <c r="W11" s="464"/>
      <c r="X11" s="464"/>
      <c r="Y11" s="464"/>
      <c r="Z11" s="464"/>
      <c r="AA11" s="464"/>
      <c r="AB11" s="464"/>
      <c r="AC11" s="464"/>
      <c r="AD11" s="464"/>
      <c r="AE11" s="464"/>
      <c r="AF11" s="464"/>
    </row>
    <row r="12" spans="1:32" ht="15.75" customHeight="1">
      <c r="A12" s="465"/>
      <c r="B12" s="464"/>
      <c r="C12" s="464"/>
      <c r="D12" s="464"/>
      <c r="E12" s="464"/>
      <c r="F12" s="464"/>
      <c r="G12" s="464"/>
      <c r="H12" s="464"/>
      <c r="I12" s="464"/>
      <c r="J12" s="464"/>
      <c r="K12" s="464"/>
      <c r="L12" s="464"/>
      <c r="M12" s="464"/>
      <c r="N12" s="464"/>
      <c r="O12" s="464"/>
      <c r="P12" s="464"/>
      <c r="Q12" s="464"/>
      <c r="R12" s="464"/>
      <c r="S12" s="464"/>
      <c r="T12" s="464"/>
      <c r="U12" s="464"/>
      <c r="V12" s="464"/>
      <c r="W12" s="464"/>
      <c r="X12" s="464"/>
      <c r="Y12" s="464"/>
      <c r="Z12" s="464"/>
      <c r="AA12" s="464"/>
      <c r="AB12" s="464"/>
      <c r="AC12" s="464"/>
      <c r="AD12" s="464"/>
      <c r="AE12" s="464"/>
      <c r="AF12" s="464"/>
    </row>
    <row r="13" spans="1:32" ht="15.75" customHeight="1">
      <c r="A13" s="465"/>
      <c r="B13" s="464"/>
      <c r="C13" s="464"/>
      <c r="D13" s="464"/>
      <c r="E13" s="464"/>
      <c r="F13" s="464"/>
      <c r="G13" s="464"/>
      <c r="H13" s="464"/>
      <c r="I13" s="464"/>
      <c r="J13" s="464"/>
      <c r="K13" s="464"/>
      <c r="L13" s="464"/>
      <c r="M13" s="464"/>
      <c r="N13" s="464"/>
      <c r="O13" s="464"/>
      <c r="P13" s="464"/>
      <c r="Q13" s="464"/>
      <c r="R13" s="464"/>
      <c r="S13" s="464"/>
      <c r="T13" s="464"/>
      <c r="U13" s="464"/>
      <c r="V13" s="464"/>
      <c r="W13" s="464"/>
      <c r="X13" s="464"/>
      <c r="Y13" s="464"/>
      <c r="Z13" s="464"/>
      <c r="AA13" s="464"/>
      <c r="AB13" s="464"/>
      <c r="AC13" s="464"/>
      <c r="AD13" s="464"/>
      <c r="AE13" s="464"/>
      <c r="AF13" s="464"/>
    </row>
    <row r="14" spans="1:32" ht="15.75" customHeight="1">
      <c r="A14" s="465"/>
      <c r="B14" s="464"/>
      <c r="C14" s="464"/>
      <c r="D14" s="464"/>
      <c r="E14" s="464"/>
      <c r="F14" s="464"/>
      <c r="G14" s="464"/>
      <c r="H14" s="464"/>
      <c r="I14" s="464"/>
      <c r="J14" s="464"/>
      <c r="K14" s="464"/>
      <c r="L14" s="464"/>
      <c r="M14" s="464"/>
      <c r="N14" s="464"/>
      <c r="O14" s="464"/>
      <c r="P14" s="464"/>
      <c r="Q14" s="464"/>
      <c r="R14" s="464"/>
      <c r="S14" s="464"/>
      <c r="T14" s="464"/>
      <c r="U14" s="464"/>
      <c r="V14" s="464"/>
      <c r="W14" s="464"/>
      <c r="X14" s="464"/>
      <c r="Y14" s="464"/>
      <c r="Z14" s="464"/>
      <c r="AA14" s="464"/>
      <c r="AB14" s="464"/>
      <c r="AC14" s="464"/>
      <c r="AD14" s="464"/>
      <c r="AE14" s="464"/>
      <c r="AF14" s="464"/>
    </row>
    <row r="15" spans="1:32" ht="15.75" customHeight="1">
      <c r="A15" s="465"/>
      <c r="B15" s="464"/>
      <c r="C15" s="464"/>
      <c r="D15" s="464"/>
      <c r="E15" s="464"/>
      <c r="F15" s="464"/>
      <c r="G15" s="464"/>
      <c r="H15" s="464"/>
      <c r="I15" s="464"/>
      <c r="J15" s="464"/>
      <c r="K15" s="464"/>
      <c r="L15" s="464"/>
      <c r="M15" s="464"/>
      <c r="N15" s="464"/>
      <c r="O15" s="464"/>
      <c r="P15" s="464"/>
      <c r="Q15" s="464"/>
      <c r="R15" s="464"/>
      <c r="S15" s="464"/>
      <c r="T15" s="464"/>
      <c r="U15" s="464"/>
      <c r="V15" s="464"/>
      <c r="W15" s="464"/>
      <c r="X15" s="464"/>
      <c r="Y15" s="464"/>
      <c r="Z15" s="464"/>
      <c r="AA15" s="464"/>
      <c r="AB15" s="464"/>
      <c r="AC15" s="464"/>
      <c r="AD15" s="464"/>
      <c r="AE15" s="464"/>
      <c r="AF15" s="464"/>
    </row>
    <row r="16" spans="1:32" ht="15.75" customHeight="1">
      <c r="A16" s="465"/>
      <c r="B16" s="464"/>
      <c r="C16" s="464"/>
      <c r="D16" s="464"/>
      <c r="E16" s="464"/>
      <c r="F16" s="464"/>
      <c r="G16" s="464"/>
      <c r="H16" s="464"/>
      <c r="I16" s="464"/>
      <c r="J16" s="464"/>
      <c r="K16" s="464"/>
      <c r="L16" s="464"/>
      <c r="M16" s="464"/>
      <c r="N16" s="464"/>
      <c r="O16" s="464"/>
      <c r="P16" s="464"/>
      <c r="Q16" s="464"/>
      <c r="R16" s="464"/>
      <c r="S16" s="464"/>
      <c r="T16" s="464"/>
      <c r="U16" s="464"/>
      <c r="V16" s="464"/>
      <c r="W16" s="464"/>
      <c r="X16" s="464"/>
      <c r="Y16" s="464"/>
      <c r="Z16" s="464"/>
      <c r="AA16" s="464"/>
      <c r="AB16" s="464"/>
      <c r="AC16" s="464"/>
      <c r="AD16" s="464"/>
      <c r="AE16" s="464"/>
      <c r="AF16" s="464"/>
    </row>
    <row r="17" spans="1:32" ht="15.75" customHeight="1" thickBot="1">
      <c r="A17" s="465"/>
      <c r="B17" s="464"/>
      <c r="C17" s="464"/>
      <c r="D17" s="464"/>
      <c r="E17" s="464"/>
      <c r="F17" s="464"/>
      <c r="G17" s="464"/>
      <c r="H17" s="464"/>
      <c r="I17" s="464"/>
      <c r="J17" s="464"/>
      <c r="K17" s="464"/>
      <c r="L17" s="464"/>
      <c r="M17" s="464"/>
      <c r="N17" s="464"/>
      <c r="O17" s="464"/>
      <c r="P17" s="464"/>
      <c r="Q17" s="464"/>
      <c r="R17" s="464"/>
      <c r="S17" s="464"/>
      <c r="T17" s="464"/>
      <c r="U17" s="464"/>
      <c r="V17" s="464"/>
      <c r="W17" s="464"/>
      <c r="X17" s="464"/>
      <c r="Y17" s="464"/>
      <c r="Z17" s="464"/>
      <c r="AA17" s="464"/>
      <c r="AB17" s="464"/>
      <c r="AC17" s="464"/>
      <c r="AD17" s="464"/>
      <c r="AE17" s="464"/>
      <c r="AF17" s="464"/>
    </row>
    <row r="18" spans="1:32" ht="15.75" customHeight="1" thickBot="1">
      <c r="A18" s="465"/>
      <c r="C18" s="1083" t="s">
        <v>2398</v>
      </c>
      <c r="D18" s="1085"/>
      <c r="E18" s="1084"/>
      <c r="F18" s="1086" t="s">
        <v>3111</v>
      </c>
      <c r="G18" s="1085"/>
      <c r="H18" s="1084"/>
      <c r="J18" s="168" t="s">
        <v>3646</v>
      </c>
      <c r="K18" s="472">
        <v>250000</v>
      </c>
      <c r="L18" s="464"/>
      <c r="M18" s="464"/>
      <c r="O18" s="464"/>
      <c r="P18" s="464"/>
      <c r="Q18" s="464"/>
      <c r="R18" s="464"/>
      <c r="S18" s="464"/>
      <c r="T18" s="464"/>
      <c r="U18" s="464"/>
      <c r="V18" s="464"/>
      <c r="W18" s="464"/>
      <c r="X18" s="464"/>
      <c r="Y18" s="464"/>
      <c r="Z18" s="464"/>
      <c r="AA18" s="464"/>
      <c r="AB18" s="464"/>
      <c r="AC18" s="464"/>
      <c r="AD18" s="464"/>
      <c r="AE18" s="464"/>
      <c r="AF18" s="464"/>
    </row>
    <row r="19" spans="1:32" ht="15.75" customHeight="1" thickBot="1">
      <c r="A19" s="465"/>
      <c r="C19" s="473" t="s">
        <v>3113</v>
      </c>
      <c r="D19" s="22" t="s">
        <v>3114</v>
      </c>
      <c r="E19" s="22" t="s">
        <v>3115</v>
      </c>
      <c r="F19" s="473" t="s">
        <v>3113</v>
      </c>
      <c r="G19" s="22" t="s">
        <v>3114</v>
      </c>
      <c r="H19" s="474" t="s">
        <v>3115</v>
      </c>
      <c r="I19" s="475"/>
      <c r="J19" s="168" t="s">
        <v>3647</v>
      </c>
      <c r="K19" s="472">
        <v>10000000</v>
      </c>
      <c r="L19" s="464"/>
      <c r="M19" s="464"/>
      <c r="O19" s="464"/>
      <c r="P19" s="464"/>
      <c r="Q19" s="464"/>
      <c r="R19" s="464"/>
      <c r="S19" s="464"/>
      <c r="T19" s="464"/>
      <c r="U19" s="464"/>
      <c r="V19" s="464"/>
      <c r="W19" s="464"/>
      <c r="X19" s="464"/>
      <c r="Y19" s="464"/>
      <c r="Z19" s="464"/>
      <c r="AA19" s="464"/>
      <c r="AB19" s="464"/>
      <c r="AC19" s="464"/>
      <c r="AD19" s="464"/>
      <c r="AE19" s="464"/>
      <c r="AF19" s="464"/>
    </row>
    <row r="20" spans="1:32" ht="15.75" customHeight="1">
      <c r="A20" s="465"/>
      <c r="B20" s="476" t="s">
        <v>3117</v>
      </c>
      <c r="C20" s="477">
        <f>IF(Deckungssumme1GI&gt;K19,K19,Deckungssumme1GI)</f>
        <v>0</v>
      </c>
      <c r="D20" s="478">
        <f>IF(Deckungssumme2GI&gt;K19,K19,Deckungssumme2GI)</f>
        <v>0</v>
      </c>
      <c r="E20" s="478">
        <f>IF(Deckungssumme3GI&gt;K19,K19,Deckungssumme3GI)</f>
        <v>0</v>
      </c>
      <c r="F20" s="477">
        <f>IF(Deckungssumme1&gt;K19,K19,Deckungssumme1)</f>
        <v>0</v>
      </c>
      <c r="G20" s="478">
        <f>IF(Deckungssumme2&gt;K19,K19,Deckungssumme2)</f>
        <v>0</v>
      </c>
      <c r="H20" s="479">
        <f>IF(Deckungssumme3&gt;K19,K19,Deckungssumme3)</f>
        <v>0</v>
      </c>
      <c r="J20" s="168" t="s">
        <v>3648</v>
      </c>
      <c r="K20" s="472">
        <v>500000000</v>
      </c>
      <c r="L20" s="464"/>
      <c r="M20" s="464"/>
      <c r="O20" s="464"/>
      <c r="P20" s="464"/>
      <c r="Q20" s="464"/>
      <c r="R20" s="464"/>
      <c r="S20" s="464"/>
      <c r="T20" s="464"/>
      <c r="U20" s="464"/>
      <c r="V20" s="464"/>
      <c r="W20" s="464"/>
      <c r="X20" s="464"/>
      <c r="Y20" s="464"/>
      <c r="Z20" s="464"/>
      <c r="AA20" s="464"/>
      <c r="AB20" s="464"/>
      <c r="AC20" s="464"/>
      <c r="AD20" s="464"/>
      <c r="AE20" s="464"/>
      <c r="AF20" s="464"/>
    </row>
    <row r="21" spans="1:32" ht="15.75" customHeight="1">
      <c r="A21" s="465"/>
      <c r="B21" s="480" t="s">
        <v>3119</v>
      </c>
      <c r="C21" s="477" t="str">
        <f>IF(Deckungssumme1GI=0,"",D41)</f>
        <v/>
      </c>
      <c r="D21" s="478" t="str">
        <f>IF(Deckungssumme2GI=0,"",F41)</f>
        <v/>
      </c>
      <c r="E21" s="478" t="str">
        <f>IF(Deckungssumme3GI=0,"",H41)</f>
        <v/>
      </c>
      <c r="F21" s="477" t="str">
        <f>IF(Deckungssumme1=0,"",J41)</f>
        <v/>
      </c>
      <c r="G21" s="478" t="str">
        <f>IF(Deckungssumme2=0,"",L41)</f>
        <v/>
      </c>
      <c r="H21" s="479" t="str">
        <f>IF(Deckungssumme3=0,"",N41)</f>
        <v/>
      </c>
      <c r="J21" s="464"/>
      <c r="K21" s="464"/>
      <c r="L21" s="464"/>
      <c r="M21" s="464"/>
      <c r="O21" s="464"/>
      <c r="P21" s="464"/>
      <c r="Q21" s="464"/>
      <c r="R21" s="464"/>
      <c r="S21" s="464"/>
      <c r="T21" s="464"/>
      <c r="U21" s="464"/>
      <c r="V21" s="464"/>
      <c r="W21" s="464"/>
      <c r="X21" s="464"/>
      <c r="Y21" s="464"/>
      <c r="Z21" s="464"/>
      <c r="AA21" s="464"/>
      <c r="AB21" s="464"/>
      <c r="AC21" s="464"/>
      <c r="AD21" s="464"/>
      <c r="AE21" s="464"/>
      <c r="AF21" s="464"/>
    </row>
    <row r="22" spans="1:32" ht="15.75" customHeight="1">
      <c r="A22" s="465"/>
      <c r="B22" s="480" t="s">
        <v>3649</v>
      </c>
      <c r="C22" s="477">
        <f>IF(MAX(AußenumsatzGI,VereinsvermögenGI)&gt;axa_MaxUmsatz,"Umsatz zu groß!",MAX(AußenumsatzGI,VereinsvermögenGI))</f>
        <v>0</v>
      </c>
      <c r="D22" s="478">
        <f>IF(MAX(AußenumsatzGI,VereinsvermögenGI)&gt;axa_MaxUmsatz,"Umsatz zu groß!",MAX(AußenumsatzGI,VereinsvermögenGI))</f>
        <v>0</v>
      </c>
      <c r="E22" s="478">
        <f>IF(MAX(AußenumsatzGI,VereinsvermögenGI)&gt;axa_MaxUmsatz,"Umsatz zu groß!",MAX(AußenumsatzGI,VereinsvermögenGI))</f>
        <v>0</v>
      </c>
      <c r="F22" s="477">
        <f>IF(MAX(Außenumsatz,Vereinsvermögen)&gt;axa_MaxUmsatz,"Umsatz zu groß!",MAX(Außenumsatz,Vereinsvermögen))</f>
        <v>0</v>
      </c>
      <c r="G22" s="478">
        <f>IF(MAX(Außenumsatz,Vereinsvermögen)&gt;axa_MaxUmsatz,"Umsatz zu groß!",MAX(Außenumsatz,Vereinsvermögen))</f>
        <v>0</v>
      </c>
      <c r="H22" s="479">
        <f>IF(MAX(Außenumsatz,Vereinsvermögen)&gt;axa_MaxUmsatz,"Umsatz zu groß!",MAX(Außenumsatz,Vereinsvermögen))</f>
        <v>0</v>
      </c>
      <c r="J22" s="464"/>
      <c r="K22" s="464"/>
      <c r="L22" s="464"/>
      <c r="M22" s="464"/>
      <c r="O22" s="464"/>
      <c r="P22" s="464"/>
      <c r="Q22" s="464"/>
      <c r="R22" s="464"/>
      <c r="S22" s="464"/>
      <c r="T22" s="464"/>
      <c r="U22" s="464"/>
      <c r="V22" s="464"/>
      <c r="W22" s="464"/>
      <c r="X22" s="464"/>
      <c r="Y22" s="464"/>
      <c r="Z22" s="464"/>
      <c r="AA22" s="464"/>
      <c r="AB22" s="464"/>
      <c r="AC22" s="464"/>
      <c r="AD22" s="464"/>
      <c r="AE22" s="464"/>
      <c r="AF22" s="464"/>
    </row>
    <row r="23" spans="1:32" ht="15.75" customHeight="1">
      <c r="A23" s="465"/>
      <c r="B23" s="480" t="s">
        <v>3650</v>
      </c>
      <c r="C23" s="477" t="e">
        <f t="shared" ref="C23:H23" si="0">MATCH(C21,$D$3:$N$3,1)</f>
        <v>#N/A</v>
      </c>
      <c r="D23" s="478" t="e">
        <f t="shared" si="0"/>
        <v>#N/A</v>
      </c>
      <c r="E23" s="478" t="e">
        <f t="shared" si="0"/>
        <v>#N/A</v>
      </c>
      <c r="F23" s="477" t="e">
        <f t="shared" si="0"/>
        <v>#N/A</v>
      </c>
      <c r="G23" s="478" t="e">
        <f t="shared" si="0"/>
        <v>#N/A</v>
      </c>
      <c r="H23" s="479" t="e">
        <f t="shared" si="0"/>
        <v>#N/A</v>
      </c>
      <c r="J23" s="464"/>
      <c r="K23" s="464"/>
      <c r="L23" s="464"/>
      <c r="M23" s="464"/>
      <c r="O23" s="464"/>
      <c r="P23" s="464"/>
      <c r="Q23" s="464"/>
      <c r="R23" s="464"/>
      <c r="S23" s="464"/>
      <c r="T23" s="464"/>
      <c r="U23" s="464"/>
      <c r="V23" s="464"/>
      <c r="W23" s="464"/>
      <c r="X23" s="464"/>
      <c r="Y23" s="464"/>
      <c r="Z23" s="464"/>
      <c r="AA23" s="464"/>
      <c r="AB23" s="464"/>
      <c r="AC23" s="464"/>
      <c r="AD23" s="464"/>
      <c r="AE23" s="464"/>
      <c r="AF23" s="464"/>
    </row>
    <row r="24" spans="1:32" ht="15.75" customHeight="1">
      <c r="A24" s="465"/>
      <c r="B24" s="480" t="s">
        <v>3651</v>
      </c>
      <c r="C24" s="477">
        <f t="shared" ref="C24:H24" si="1">MATCH(C22,$C$4:$C$11,1)</f>
        <v>1</v>
      </c>
      <c r="D24" s="478">
        <f t="shared" si="1"/>
        <v>1</v>
      </c>
      <c r="E24" s="478">
        <f t="shared" si="1"/>
        <v>1</v>
      </c>
      <c r="F24" s="477">
        <f t="shared" si="1"/>
        <v>1</v>
      </c>
      <c r="G24" s="478">
        <f t="shared" si="1"/>
        <v>1</v>
      </c>
      <c r="H24" s="479">
        <f t="shared" si="1"/>
        <v>1</v>
      </c>
      <c r="J24" s="464"/>
      <c r="K24" s="464"/>
      <c r="L24" s="464"/>
      <c r="M24" s="464"/>
      <c r="O24" s="464"/>
      <c r="P24" s="464"/>
      <c r="Q24" s="464"/>
      <c r="R24" s="464"/>
      <c r="S24" s="464"/>
      <c r="T24" s="464"/>
      <c r="U24" s="464"/>
      <c r="V24" s="464"/>
      <c r="W24" s="464"/>
      <c r="X24" s="464"/>
      <c r="Y24" s="464"/>
      <c r="Z24" s="464"/>
      <c r="AA24" s="464"/>
      <c r="AB24" s="464"/>
      <c r="AC24" s="464"/>
      <c r="AD24" s="464"/>
      <c r="AE24" s="464"/>
      <c r="AF24" s="464"/>
    </row>
    <row r="25" spans="1:32" ht="15.75" customHeight="1" thickBot="1">
      <c r="A25" s="465"/>
      <c r="B25" s="481" t="s">
        <v>3118</v>
      </c>
      <c r="C25" s="482" t="str">
        <f t="shared" ref="C25:H25" si="2">IFERROR(INDEX($D$4:$N$11,C24,C23),"")</f>
        <v/>
      </c>
      <c r="D25" s="483" t="str">
        <f t="shared" si="2"/>
        <v/>
      </c>
      <c r="E25" s="483" t="str">
        <f t="shared" si="2"/>
        <v/>
      </c>
      <c r="F25" s="483" t="str">
        <f t="shared" si="2"/>
        <v/>
      </c>
      <c r="G25" s="483" t="str">
        <f t="shared" si="2"/>
        <v/>
      </c>
      <c r="H25" s="484" t="str">
        <f t="shared" si="2"/>
        <v/>
      </c>
      <c r="J25" s="464"/>
      <c r="K25" s="464"/>
      <c r="L25" s="464"/>
      <c r="M25" s="464"/>
      <c r="O25" s="464"/>
      <c r="P25" s="464"/>
      <c r="Q25" s="464"/>
      <c r="R25" s="464"/>
      <c r="S25" s="464"/>
      <c r="T25" s="464"/>
      <c r="U25" s="464"/>
      <c r="V25" s="464"/>
      <c r="W25" s="464"/>
      <c r="X25" s="464"/>
      <c r="Y25" s="464"/>
      <c r="Z25" s="464"/>
      <c r="AA25" s="464"/>
      <c r="AB25" s="464"/>
      <c r="AC25" s="464"/>
      <c r="AD25" s="464"/>
      <c r="AE25" s="464"/>
      <c r="AF25" s="464"/>
    </row>
    <row r="26" spans="1:32" ht="15.75" customHeight="1">
      <c r="A26" s="465"/>
      <c r="O26" s="464"/>
      <c r="P26" s="464"/>
      <c r="Q26" s="464"/>
      <c r="R26" s="464"/>
      <c r="S26" s="464"/>
      <c r="T26" s="464"/>
      <c r="U26" s="464"/>
      <c r="V26" s="464"/>
      <c r="W26" s="464"/>
      <c r="X26" s="464"/>
      <c r="Y26" s="464"/>
      <c r="Z26" s="464"/>
      <c r="AA26" s="464"/>
      <c r="AB26" s="464"/>
      <c r="AC26" s="464"/>
      <c r="AD26" s="464"/>
      <c r="AE26" s="464"/>
      <c r="AF26" s="464"/>
    </row>
    <row r="27" spans="1:32" ht="15.75" customHeight="1" thickBot="1">
      <c r="A27" s="465"/>
      <c r="O27" s="464"/>
      <c r="P27" s="464"/>
      <c r="Q27" s="464"/>
      <c r="R27" s="464"/>
      <c r="S27" s="464"/>
      <c r="T27" s="464"/>
      <c r="U27" s="464"/>
      <c r="V27" s="464"/>
      <c r="W27" s="464"/>
      <c r="X27" s="464"/>
      <c r="Y27" s="464"/>
      <c r="Z27" s="464"/>
      <c r="AA27" s="464"/>
      <c r="AB27" s="464"/>
      <c r="AC27" s="464"/>
      <c r="AD27" s="464"/>
      <c r="AE27" s="464"/>
      <c r="AF27" s="464"/>
    </row>
    <row r="28" spans="1:32" ht="15.75" customHeight="1" thickBot="1">
      <c r="A28" s="465"/>
      <c r="B28" s="485" t="s">
        <v>3652</v>
      </c>
      <c r="C28" s="1083" t="s">
        <v>3113</v>
      </c>
      <c r="D28" s="1084"/>
      <c r="E28" s="1083" t="s">
        <v>3114</v>
      </c>
      <c r="F28" s="1087"/>
      <c r="G28" s="1088" t="s">
        <v>3115</v>
      </c>
      <c r="H28" s="1084"/>
      <c r="I28" s="1083" t="s">
        <v>3113</v>
      </c>
      <c r="J28" s="1084"/>
      <c r="K28" s="1083" t="s">
        <v>3114</v>
      </c>
      <c r="L28" s="1084"/>
      <c r="M28" s="1083" t="s">
        <v>3115</v>
      </c>
      <c r="N28" s="1084"/>
      <c r="O28" s="464"/>
      <c r="P28" s="464"/>
      <c r="Q28" s="464"/>
      <c r="R28" s="464"/>
      <c r="S28" s="464"/>
      <c r="T28" s="464"/>
      <c r="U28" s="464"/>
      <c r="V28" s="464"/>
      <c r="W28" s="464"/>
      <c r="X28" s="464"/>
      <c r="Y28" s="464"/>
      <c r="Z28" s="464"/>
      <c r="AA28" s="464"/>
      <c r="AB28" s="464"/>
      <c r="AC28" s="464"/>
      <c r="AD28" s="464"/>
      <c r="AE28" s="464"/>
      <c r="AF28" s="464"/>
    </row>
    <row r="29" spans="1:32" ht="15.75" customHeight="1">
      <c r="A29" s="465"/>
      <c r="B29" s="486">
        <v>250000</v>
      </c>
      <c r="C29" s="487">
        <f t="shared" ref="C29:C39" si="3">$C$20</f>
        <v>0</v>
      </c>
      <c r="D29" s="488">
        <f t="shared" ref="D29:D39" si="4">IF(C29&lt;=B29,B29,"")</f>
        <v>250000</v>
      </c>
      <c r="E29" s="487">
        <f t="shared" ref="E29:E39" si="5">$D$20</f>
        <v>0</v>
      </c>
      <c r="F29" s="488">
        <f t="shared" ref="F29:F39" si="6">IF(E29&lt;=B29,B29,"")</f>
        <v>250000</v>
      </c>
      <c r="G29" s="487">
        <f t="shared" ref="G29:G39" si="7">$E$20</f>
        <v>0</v>
      </c>
      <c r="H29" s="488">
        <f t="shared" ref="H29:H39" si="8">IF(G29&lt;=B29,B29,"")</f>
        <v>250000</v>
      </c>
      <c r="I29" s="487">
        <f t="shared" ref="I29:I39" si="9">$F$20</f>
        <v>0</v>
      </c>
      <c r="J29" s="488">
        <f t="shared" ref="J29:J39" si="10">IF(I29&lt;=B29,B29,"")</f>
        <v>250000</v>
      </c>
      <c r="K29" s="487">
        <f t="shared" ref="K29:K39" si="11">$G$20</f>
        <v>0</v>
      </c>
      <c r="L29" s="488">
        <f t="shared" ref="L29:L39" si="12">IF(K29&lt;=B29,B29,"")</f>
        <v>250000</v>
      </c>
      <c r="M29" s="487">
        <f t="shared" ref="M29:M39" si="13">$H$20</f>
        <v>0</v>
      </c>
      <c r="N29" s="488">
        <f t="shared" ref="N29:N39" si="14">IF(M29&lt;=B29,B29,"")</f>
        <v>250000</v>
      </c>
      <c r="O29" s="464"/>
      <c r="P29" s="464"/>
      <c r="Q29" s="464"/>
      <c r="R29" s="464"/>
      <c r="S29" s="464"/>
      <c r="T29" s="464"/>
      <c r="U29" s="464"/>
      <c r="V29" s="464"/>
      <c r="W29" s="464"/>
      <c r="X29" s="464"/>
      <c r="Y29" s="464"/>
      <c r="Z29" s="464"/>
      <c r="AA29" s="464"/>
      <c r="AB29" s="464"/>
      <c r="AC29" s="464"/>
      <c r="AD29" s="464"/>
      <c r="AE29" s="464"/>
      <c r="AF29" s="464"/>
    </row>
    <row r="30" spans="1:32" ht="15.75" customHeight="1">
      <c r="A30" s="465"/>
      <c r="B30" s="486">
        <v>500000</v>
      </c>
      <c r="C30" s="487">
        <f t="shared" si="3"/>
        <v>0</v>
      </c>
      <c r="D30" s="488">
        <f t="shared" si="4"/>
        <v>500000</v>
      </c>
      <c r="E30" s="487">
        <f t="shared" si="5"/>
        <v>0</v>
      </c>
      <c r="F30" s="488">
        <f t="shared" si="6"/>
        <v>500000</v>
      </c>
      <c r="G30" s="487">
        <f t="shared" si="7"/>
        <v>0</v>
      </c>
      <c r="H30" s="488">
        <f t="shared" si="8"/>
        <v>500000</v>
      </c>
      <c r="I30" s="487">
        <f t="shared" si="9"/>
        <v>0</v>
      </c>
      <c r="J30" s="488">
        <f t="shared" si="10"/>
        <v>500000</v>
      </c>
      <c r="K30" s="487">
        <f t="shared" si="11"/>
        <v>0</v>
      </c>
      <c r="L30" s="488">
        <f t="shared" si="12"/>
        <v>500000</v>
      </c>
      <c r="M30" s="487">
        <f t="shared" si="13"/>
        <v>0</v>
      </c>
      <c r="N30" s="488">
        <f t="shared" si="14"/>
        <v>500000</v>
      </c>
      <c r="O30" s="464"/>
      <c r="P30" s="464"/>
      <c r="Q30" s="464"/>
      <c r="R30" s="464"/>
      <c r="S30" s="464"/>
      <c r="T30" s="464"/>
      <c r="U30" s="464"/>
      <c r="V30" s="464"/>
      <c r="W30" s="464"/>
      <c r="X30" s="464"/>
      <c r="Y30" s="464"/>
      <c r="Z30" s="464"/>
      <c r="AA30" s="464"/>
      <c r="AB30" s="464"/>
      <c r="AC30" s="464"/>
      <c r="AD30" s="464"/>
      <c r="AE30" s="464"/>
      <c r="AF30" s="464"/>
    </row>
    <row r="31" spans="1:32" ht="15.75" customHeight="1">
      <c r="A31" s="465"/>
      <c r="B31" s="486">
        <v>1000000</v>
      </c>
      <c r="C31" s="487">
        <f t="shared" si="3"/>
        <v>0</v>
      </c>
      <c r="D31" s="488">
        <f t="shared" si="4"/>
        <v>1000000</v>
      </c>
      <c r="E31" s="487">
        <f t="shared" si="5"/>
        <v>0</v>
      </c>
      <c r="F31" s="488">
        <f t="shared" si="6"/>
        <v>1000000</v>
      </c>
      <c r="G31" s="487">
        <f t="shared" si="7"/>
        <v>0</v>
      </c>
      <c r="H31" s="488">
        <f t="shared" si="8"/>
        <v>1000000</v>
      </c>
      <c r="I31" s="487">
        <f t="shared" si="9"/>
        <v>0</v>
      </c>
      <c r="J31" s="488">
        <f t="shared" si="10"/>
        <v>1000000</v>
      </c>
      <c r="K31" s="487">
        <f t="shared" si="11"/>
        <v>0</v>
      </c>
      <c r="L31" s="488">
        <f t="shared" si="12"/>
        <v>1000000</v>
      </c>
      <c r="M31" s="487">
        <f t="shared" si="13"/>
        <v>0</v>
      </c>
      <c r="N31" s="488">
        <f t="shared" si="14"/>
        <v>1000000</v>
      </c>
      <c r="O31" s="464"/>
      <c r="P31" s="464"/>
      <c r="Q31" s="464"/>
      <c r="R31" s="464"/>
      <c r="S31" s="464"/>
      <c r="T31" s="464"/>
      <c r="U31" s="464"/>
      <c r="V31" s="464"/>
      <c r="W31" s="464"/>
      <c r="X31" s="464"/>
      <c r="Y31" s="464"/>
      <c r="Z31" s="464"/>
      <c r="AA31" s="464"/>
      <c r="AB31" s="464"/>
      <c r="AC31" s="464"/>
      <c r="AD31" s="464"/>
      <c r="AE31" s="464"/>
      <c r="AF31" s="464"/>
    </row>
    <row r="32" spans="1:32" ht="15.75" customHeight="1">
      <c r="A32" s="465"/>
      <c r="B32" s="486">
        <v>1500000</v>
      </c>
      <c r="C32" s="487">
        <f t="shared" si="3"/>
        <v>0</v>
      </c>
      <c r="D32" s="488">
        <f t="shared" si="4"/>
        <v>1500000</v>
      </c>
      <c r="E32" s="487">
        <f t="shared" si="5"/>
        <v>0</v>
      </c>
      <c r="F32" s="488">
        <f t="shared" si="6"/>
        <v>1500000</v>
      </c>
      <c r="G32" s="487">
        <f t="shared" si="7"/>
        <v>0</v>
      </c>
      <c r="H32" s="488">
        <f t="shared" si="8"/>
        <v>1500000</v>
      </c>
      <c r="I32" s="487">
        <f t="shared" si="9"/>
        <v>0</v>
      </c>
      <c r="J32" s="488">
        <f t="shared" si="10"/>
        <v>1500000</v>
      </c>
      <c r="K32" s="487">
        <f t="shared" si="11"/>
        <v>0</v>
      </c>
      <c r="L32" s="488">
        <f t="shared" si="12"/>
        <v>1500000</v>
      </c>
      <c r="M32" s="487">
        <f t="shared" si="13"/>
        <v>0</v>
      </c>
      <c r="N32" s="488">
        <f t="shared" si="14"/>
        <v>1500000</v>
      </c>
      <c r="O32" s="464"/>
      <c r="P32" s="464"/>
      <c r="Q32" s="464"/>
      <c r="R32" s="464"/>
      <c r="S32" s="464"/>
      <c r="T32" s="464"/>
      <c r="U32" s="464"/>
      <c r="V32" s="464"/>
      <c r="W32" s="464"/>
      <c r="X32" s="464"/>
      <c r="Y32" s="464"/>
      <c r="Z32" s="464"/>
      <c r="AA32" s="464"/>
      <c r="AB32" s="464"/>
      <c r="AC32" s="464"/>
      <c r="AD32" s="464"/>
      <c r="AE32" s="464"/>
      <c r="AF32" s="464"/>
    </row>
    <row r="33" spans="1:32" ht="15.75" customHeight="1">
      <c r="A33" s="465"/>
      <c r="B33" s="486">
        <v>2000000</v>
      </c>
      <c r="C33" s="487">
        <f t="shared" si="3"/>
        <v>0</v>
      </c>
      <c r="D33" s="488">
        <f t="shared" si="4"/>
        <v>2000000</v>
      </c>
      <c r="E33" s="487">
        <f t="shared" si="5"/>
        <v>0</v>
      </c>
      <c r="F33" s="488">
        <f t="shared" si="6"/>
        <v>2000000</v>
      </c>
      <c r="G33" s="487">
        <f t="shared" si="7"/>
        <v>0</v>
      </c>
      <c r="H33" s="488">
        <f t="shared" si="8"/>
        <v>2000000</v>
      </c>
      <c r="I33" s="487">
        <f t="shared" si="9"/>
        <v>0</v>
      </c>
      <c r="J33" s="488">
        <f t="shared" si="10"/>
        <v>2000000</v>
      </c>
      <c r="K33" s="487">
        <f t="shared" si="11"/>
        <v>0</v>
      </c>
      <c r="L33" s="488">
        <f t="shared" si="12"/>
        <v>2000000</v>
      </c>
      <c r="M33" s="487">
        <f t="shared" si="13"/>
        <v>0</v>
      </c>
      <c r="N33" s="488">
        <f t="shared" si="14"/>
        <v>2000000</v>
      </c>
      <c r="O33" s="464"/>
      <c r="P33" s="464"/>
      <c r="Q33" s="464"/>
      <c r="R33" s="464"/>
      <c r="S33" s="464"/>
      <c r="T33" s="464"/>
      <c r="U33" s="464"/>
      <c r="V33" s="464"/>
      <c r="W33" s="464"/>
      <c r="X33" s="464"/>
      <c r="Y33" s="464"/>
      <c r="Z33" s="464"/>
      <c r="AA33" s="464"/>
      <c r="AB33" s="464"/>
      <c r="AC33" s="464"/>
      <c r="AD33" s="464"/>
      <c r="AE33" s="464"/>
      <c r="AF33" s="464"/>
    </row>
    <row r="34" spans="1:32" ht="15.75" customHeight="1">
      <c r="A34" s="465"/>
      <c r="B34" s="486">
        <v>2500000</v>
      </c>
      <c r="C34" s="487">
        <f t="shared" si="3"/>
        <v>0</v>
      </c>
      <c r="D34" s="488">
        <f t="shared" si="4"/>
        <v>2500000</v>
      </c>
      <c r="E34" s="487">
        <f t="shared" si="5"/>
        <v>0</v>
      </c>
      <c r="F34" s="488">
        <f t="shared" si="6"/>
        <v>2500000</v>
      </c>
      <c r="G34" s="487">
        <f t="shared" si="7"/>
        <v>0</v>
      </c>
      <c r="H34" s="488">
        <f t="shared" si="8"/>
        <v>2500000</v>
      </c>
      <c r="I34" s="487">
        <f t="shared" si="9"/>
        <v>0</v>
      </c>
      <c r="J34" s="488">
        <f t="shared" si="10"/>
        <v>2500000</v>
      </c>
      <c r="K34" s="487">
        <f t="shared" si="11"/>
        <v>0</v>
      </c>
      <c r="L34" s="488">
        <f t="shared" si="12"/>
        <v>2500000</v>
      </c>
      <c r="M34" s="487">
        <f t="shared" si="13"/>
        <v>0</v>
      </c>
      <c r="N34" s="488">
        <f t="shared" si="14"/>
        <v>2500000</v>
      </c>
      <c r="O34" s="464"/>
      <c r="P34" s="464"/>
      <c r="Q34" s="464"/>
      <c r="R34" s="464"/>
      <c r="S34" s="464"/>
      <c r="T34" s="464"/>
      <c r="U34" s="464"/>
      <c r="V34" s="464"/>
      <c r="W34" s="464"/>
      <c r="X34" s="464"/>
      <c r="Y34" s="464"/>
      <c r="Z34" s="464"/>
      <c r="AA34" s="464"/>
      <c r="AB34" s="464"/>
      <c r="AC34" s="464"/>
      <c r="AD34" s="464"/>
      <c r="AE34" s="464"/>
      <c r="AF34" s="464"/>
    </row>
    <row r="35" spans="1:32" ht="15.75" customHeight="1">
      <c r="A35" s="465"/>
      <c r="B35" s="486">
        <v>3000000</v>
      </c>
      <c r="C35" s="487">
        <f t="shared" si="3"/>
        <v>0</v>
      </c>
      <c r="D35" s="488">
        <f t="shared" si="4"/>
        <v>3000000</v>
      </c>
      <c r="E35" s="487">
        <f t="shared" si="5"/>
        <v>0</v>
      </c>
      <c r="F35" s="488">
        <f t="shared" si="6"/>
        <v>3000000</v>
      </c>
      <c r="G35" s="487">
        <f t="shared" si="7"/>
        <v>0</v>
      </c>
      <c r="H35" s="488">
        <f t="shared" si="8"/>
        <v>3000000</v>
      </c>
      <c r="I35" s="487">
        <f t="shared" si="9"/>
        <v>0</v>
      </c>
      <c r="J35" s="488">
        <f t="shared" si="10"/>
        <v>3000000</v>
      </c>
      <c r="K35" s="487">
        <f t="shared" si="11"/>
        <v>0</v>
      </c>
      <c r="L35" s="488">
        <f t="shared" si="12"/>
        <v>3000000</v>
      </c>
      <c r="M35" s="487">
        <f t="shared" si="13"/>
        <v>0</v>
      </c>
      <c r="N35" s="488">
        <f t="shared" si="14"/>
        <v>3000000</v>
      </c>
      <c r="O35" s="464"/>
      <c r="P35" s="464"/>
      <c r="Q35" s="464"/>
      <c r="R35" s="464"/>
      <c r="S35" s="464"/>
      <c r="T35" s="464"/>
      <c r="U35" s="464"/>
      <c r="V35" s="464"/>
      <c r="W35" s="464"/>
      <c r="X35" s="464"/>
      <c r="Y35" s="464"/>
      <c r="Z35" s="464"/>
      <c r="AA35" s="464"/>
      <c r="AB35" s="464"/>
      <c r="AC35" s="464"/>
      <c r="AD35" s="464"/>
      <c r="AE35" s="464"/>
      <c r="AF35" s="464"/>
    </row>
    <row r="36" spans="1:32" ht="15.75" customHeight="1">
      <c r="A36" s="465"/>
      <c r="B36" s="486">
        <v>4000000</v>
      </c>
      <c r="C36" s="487">
        <f t="shared" si="3"/>
        <v>0</v>
      </c>
      <c r="D36" s="488">
        <f t="shared" si="4"/>
        <v>4000000</v>
      </c>
      <c r="E36" s="487">
        <f t="shared" si="5"/>
        <v>0</v>
      </c>
      <c r="F36" s="488">
        <f t="shared" si="6"/>
        <v>4000000</v>
      </c>
      <c r="G36" s="487">
        <f t="shared" si="7"/>
        <v>0</v>
      </c>
      <c r="H36" s="488">
        <f t="shared" si="8"/>
        <v>4000000</v>
      </c>
      <c r="I36" s="487">
        <f t="shared" si="9"/>
        <v>0</v>
      </c>
      <c r="J36" s="488">
        <f t="shared" si="10"/>
        <v>4000000</v>
      </c>
      <c r="K36" s="487">
        <f t="shared" si="11"/>
        <v>0</v>
      </c>
      <c r="L36" s="488">
        <f t="shared" si="12"/>
        <v>4000000</v>
      </c>
      <c r="M36" s="487">
        <f t="shared" si="13"/>
        <v>0</v>
      </c>
      <c r="N36" s="488">
        <f t="shared" si="14"/>
        <v>4000000</v>
      </c>
      <c r="O36" s="464"/>
      <c r="P36" s="464"/>
      <c r="Q36" s="464"/>
      <c r="R36" s="464"/>
      <c r="S36" s="464"/>
      <c r="T36" s="464"/>
      <c r="U36" s="464"/>
      <c r="V36" s="464"/>
      <c r="W36" s="464"/>
      <c r="X36" s="464"/>
      <c r="Y36" s="464"/>
      <c r="Z36" s="464"/>
      <c r="AA36" s="464"/>
      <c r="AB36" s="464"/>
      <c r="AC36" s="464"/>
      <c r="AD36" s="464"/>
      <c r="AE36" s="464"/>
      <c r="AF36" s="464"/>
    </row>
    <row r="37" spans="1:32" ht="15.75" customHeight="1">
      <c r="A37" s="465"/>
      <c r="B37" s="486">
        <v>5000000</v>
      </c>
      <c r="C37" s="487">
        <f t="shared" si="3"/>
        <v>0</v>
      </c>
      <c r="D37" s="488">
        <f t="shared" si="4"/>
        <v>5000000</v>
      </c>
      <c r="E37" s="487">
        <f t="shared" si="5"/>
        <v>0</v>
      </c>
      <c r="F37" s="488">
        <f t="shared" si="6"/>
        <v>5000000</v>
      </c>
      <c r="G37" s="487">
        <f t="shared" si="7"/>
        <v>0</v>
      </c>
      <c r="H37" s="488">
        <f t="shared" si="8"/>
        <v>5000000</v>
      </c>
      <c r="I37" s="487">
        <f t="shared" si="9"/>
        <v>0</v>
      </c>
      <c r="J37" s="488">
        <f t="shared" si="10"/>
        <v>5000000</v>
      </c>
      <c r="K37" s="487">
        <f t="shared" si="11"/>
        <v>0</v>
      </c>
      <c r="L37" s="488">
        <f t="shared" si="12"/>
        <v>5000000</v>
      </c>
      <c r="M37" s="487">
        <f t="shared" si="13"/>
        <v>0</v>
      </c>
      <c r="N37" s="488">
        <f t="shared" si="14"/>
        <v>5000000</v>
      </c>
      <c r="O37" s="464"/>
      <c r="P37" s="464"/>
      <c r="Q37" s="464"/>
      <c r="R37" s="464"/>
      <c r="S37" s="464"/>
      <c r="T37" s="464"/>
      <c r="U37" s="464"/>
      <c r="V37" s="464"/>
      <c r="W37" s="464"/>
      <c r="X37" s="464"/>
      <c r="Y37" s="464"/>
      <c r="Z37" s="464"/>
      <c r="AA37" s="464"/>
      <c r="AB37" s="464"/>
      <c r="AC37" s="464"/>
      <c r="AD37" s="464"/>
      <c r="AE37" s="464"/>
      <c r="AF37" s="464"/>
    </row>
    <row r="38" spans="1:32" ht="15.75" customHeight="1">
      <c r="A38" s="465"/>
      <c r="B38" s="486">
        <v>7500000</v>
      </c>
      <c r="C38" s="487">
        <f t="shared" si="3"/>
        <v>0</v>
      </c>
      <c r="D38" s="488">
        <f t="shared" si="4"/>
        <v>7500000</v>
      </c>
      <c r="E38" s="487">
        <f t="shared" si="5"/>
        <v>0</v>
      </c>
      <c r="F38" s="488">
        <f t="shared" si="6"/>
        <v>7500000</v>
      </c>
      <c r="G38" s="487">
        <f t="shared" si="7"/>
        <v>0</v>
      </c>
      <c r="H38" s="488">
        <f t="shared" si="8"/>
        <v>7500000</v>
      </c>
      <c r="I38" s="487">
        <f t="shared" si="9"/>
        <v>0</v>
      </c>
      <c r="J38" s="488">
        <f t="shared" si="10"/>
        <v>7500000</v>
      </c>
      <c r="K38" s="487">
        <f t="shared" si="11"/>
        <v>0</v>
      </c>
      <c r="L38" s="488">
        <f t="shared" si="12"/>
        <v>7500000</v>
      </c>
      <c r="M38" s="487">
        <f t="shared" si="13"/>
        <v>0</v>
      </c>
      <c r="N38" s="488">
        <f t="shared" si="14"/>
        <v>7500000</v>
      </c>
      <c r="O38" s="464"/>
      <c r="P38" s="464"/>
      <c r="Q38" s="464"/>
      <c r="R38" s="464"/>
      <c r="S38" s="464"/>
      <c r="T38" s="464"/>
      <c r="U38" s="464"/>
      <c r="V38" s="464"/>
      <c r="W38" s="464"/>
      <c r="X38" s="464"/>
      <c r="Y38" s="464"/>
      <c r="Z38" s="464"/>
      <c r="AA38" s="464"/>
      <c r="AB38" s="464"/>
      <c r="AC38" s="464"/>
      <c r="AD38" s="464"/>
      <c r="AE38" s="464"/>
      <c r="AF38" s="464"/>
    </row>
    <row r="39" spans="1:32" ht="15.75" customHeight="1">
      <c r="A39" s="465"/>
      <c r="B39" s="864">
        <v>10000000</v>
      </c>
      <c r="C39" s="487">
        <f t="shared" si="3"/>
        <v>0</v>
      </c>
      <c r="D39" s="488">
        <f t="shared" si="4"/>
        <v>10000000</v>
      </c>
      <c r="E39" s="487">
        <f t="shared" si="5"/>
        <v>0</v>
      </c>
      <c r="F39" s="488">
        <f t="shared" si="6"/>
        <v>10000000</v>
      </c>
      <c r="G39" s="487">
        <f t="shared" si="7"/>
        <v>0</v>
      </c>
      <c r="H39" s="488">
        <f t="shared" si="8"/>
        <v>10000000</v>
      </c>
      <c r="I39" s="487">
        <f t="shared" si="9"/>
        <v>0</v>
      </c>
      <c r="J39" s="488">
        <f t="shared" si="10"/>
        <v>10000000</v>
      </c>
      <c r="K39" s="487">
        <f t="shared" si="11"/>
        <v>0</v>
      </c>
      <c r="L39" s="488">
        <f t="shared" si="12"/>
        <v>10000000</v>
      </c>
      <c r="M39" s="487">
        <f t="shared" si="13"/>
        <v>0</v>
      </c>
      <c r="N39" s="488">
        <f t="shared" si="14"/>
        <v>10000000</v>
      </c>
      <c r="O39" s="464"/>
      <c r="P39" s="464"/>
      <c r="Q39" s="464"/>
      <c r="R39" s="464"/>
      <c r="S39" s="464"/>
      <c r="T39" s="464"/>
      <c r="U39" s="464"/>
      <c r="V39" s="464"/>
      <c r="W39" s="464"/>
      <c r="X39" s="464"/>
      <c r="Y39" s="464"/>
      <c r="Z39" s="464"/>
      <c r="AA39" s="464"/>
      <c r="AB39" s="464"/>
      <c r="AC39" s="464"/>
      <c r="AD39" s="464"/>
      <c r="AE39" s="464"/>
      <c r="AF39" s="464"/>
    </row>
    <row r="40" spans="1:32" ht="15.75" customHeight="1">
      <c r="A40" s="465"/>
      <c r="C40" s="487"/>
      <c r="D40" s="488"/>
      <c r="E40" s="487"/>
      <c r="F40" s="488"/>
      <c r="G40" s="487"/>
      <c r="H40" s="488"/>
      <c r="I40" s="487"/>
      <c r="J40" s="488"/>
      <c r="K40" s="487"/>
      <c r="L40" s="488"/>
      <c r="M40" s="487"/>
      <c r="N40" s="488"/>
      <c r="O40" s="464"/>
      <c r="P40" s="464"/>
      <c r="Q40" s="464"/>
      <c r="R40" s="464"/>
      <c r="S40" s="464"/>
      <c r="T40" s="464"/>
      <c r="U40" s="464"/>
      <c r="V40" s="464"/>
      <c r="W40" s="464"/>
      <c r="X40" s="464"/>
      <c r="Y40" s="464"/>
      <c r="Z40" s="464"/>
      <c r="AA40" s="464"/>
      <c r="AB40" s="464"/>
      <c r="AC40" s="464"/>
      <c r="AD40" s="464"/>
      <c r="AE40" s="464"/>
      <c r="AF40" s="464"/>
    </row>
    <row r="41" spans="1:32" ht="15.75" customHeight="1" thickBot="1">
      <c r="A41" s="465"/>
      <c r="C41" s="490"/>
      <c r="D41" s="491">
        <f>MIN(D29:D39)</f>
        <v>250000</v>
      </c>
      <c r="E41" s="490"/>
      <c r="F41" s="491">
        <f>MIN(F29:F39)</f>
        <v>250000</v>
      </c>
      <c r="G41" s="490"/>
      <c r="H41" s="491">
        <f>MIN(H29:H39)</f>
        <v>250000</v>
      </c>
      <c r="I41" s="490"/>
      <c r="J41" s="491">
        <f>MIN(J29:J39)</f>
        <v>250000</v>
      </c>
      <c r="K41" s="490"/>
      <c r="L41" s="491">
        <f>MIN(L29:L39)</f>
        <v>250000</v>
      </c>
      <c r="M41" s="490"/>
      <c r="N41" s="491">
        <f>MIN(N29:N39)</f>
        <v>250000</v>
      </c>
      <c r="O41" s="464"/>
      <c r="P41" s="464"/>
      <c r="Q41" s="464"/>
      <c r="R41" s="464"/>
      <c r="S41" s="464"/>
      <c r="T41" s="464"/>
      <c r="U41" s="464"/>
      <c r="V41" s="464"/>
      <c r="W41" s="464"/>
      <c r="X41" s="464"/>
      <c r="Y41" s="464"/>
      <c r="Z41" s="464"/>
      <c r="AA41" s="464"/>
      <c r="AB41" s="464"/>
      <c r="AC41" s="464"/>
      <c r="AD41" s="464"/>
      <c r="AE41" s="464"/>
      <c r="AF41" s="464"/>
    </row>
    <row r="42" spans="1:32" ht="15.75" customHeight="1">
      <c r="A42" s="465"/>
      <c r="B42" s="464"/>
      <c r="C42" s="464"/>
      <c r="D42" s="464"/>
      <c r="E42" s="464"/>
      <c r="F42" s="464"/>
      <c r="G42" s="464"/>
      <c r="H42" s="464"/>
      <c r="I42" s="464"/>
      <c r="J42" s="464"/>
      <c r="K42" s="464"/>
      <c r="L42" s="464"/>
      <c r="M42" s="464"/>
      <c r="N42" s="464"/>
      <c r="O42" s="464"/>
      <c r="P42" s="464"/>
      <c r="Q42" s="464"/>
      <c r="R42" s="464"/>
      <c r="S42" s="464"/>
      <c r="T42" s="464"/>
      <c r="U42" s="464"/>
      <c r="V42" s="464"/>
      <c r="W42" s="464"/>
      <c r="X42" s="464"/>
      <c r="Y42" s="464"/>
      <c r="Z42" s="464"/>
      <c r="AA42" s="464"/>
      <c r="AB42" s="464"/>
      <c r="AC42" s="464"/>
      <c r="AD42" s="464"/>
      <c r="AE42" s="464"/>
      <c r="AF42" s="464"/>
    </row>
    <row r="43" spans="1:32" ht="15.75" customHeight="1">
      <c r="A43" s="465"/>
      <c r="B43" s="464"/>
      <c r="C43" s="464"/>
      <c r="D43" s="464"/>
      <c r="E43" s="464"/>
      <c r="F43" s="464"/>
      <c r="G43" s="464"/>
      <c r="H43" s="464"/>
      <c r="I43" s="464"/>
      <c r="J43" s="464"/>
      <c r="K43" s="464"/>
      <c r="L43" s="464"/>
      <c r="M43" s="464"/>
      <c r="N43" s="464"/>
      <c r="O43" s="464"/>
      <c r="P43" s="464"/>
      <c r="Q43" s="464"/>
      <c r="R43" s="464"/>
      <c r="S43" s="464"/>
      <c r="T43" s="464"/>
      <c r="U43" s="464"/>
      <c r="V43" s="464"/>
      <c r="W43" s="464"/>
      <c r="X43" s="464"/>
      <c r="Y43" s="464"/>
      <c r="Z43" s="464"/>
      <c r="AA43" s="464"/>
      <c r="AB43" s="464"/>
      <c r="AC43" s="464"/>
      <c r="AD43" s="464"/>
      <c r="AE43" s="464"/>
      <c r="AF43" s="464"/>
    </row>
    <row r="44" spans="1:32" ht="15.75" customHeight="1">
      <c r="A44" s="465"/>
      <c r="B44" s="464"/>
      <c r="C44" s="464"/>
      <c r="D44" s="464"/>
      <c r="E44" s="464"/>
      <c r="F44" s="464"/>
      <c r="G44" s="464"/>
      <c r="H44" s="464"/>
      <c r="I44" s="464"/>
      <c r="J44" s="464"/>
      <c r="K44" s="464"/>
      <c r="L44" s="464"/>
      <c r="M44" s="464"/>
      <c r="N44" s="464"/>
      <c r="O44" s="464"/>
      <c r="P44" s="464"/>
      <c r="Q44" s="464"/>
      <c r="R44" s="464"/>
      <c r="S44" s="464"/>
      <c r="T44" s="464"/>
      <c r="U44" s="464"/>
      <c r="V44" s="464"/>
      <c r="W44" s="464"/>
      <c r="X44" s="464"/>
      <c r="Y44" s="464"/>
      <c r="Z44" s="464"/>
      <c r="AA44" s="464"/>
      <c r="AB44" s="464"/>
      <c r="AC44" s="464"/>
      <c r="AD44" s="464"/>
      <c r="AE44" s="464"/>
      <c r="AF44" s="464"/>
    </row>
    <row r="45" spans="1:32" ht="15.75" customHeight="1">
      <c r="A45" s="465"/>
      <c r="B45" s="464"/>
      <c r="C45" s="464"/>
      <c r="D45" s="464"/>
      <c r="E45" s="464"/>
      <c r="F45" s="464"/>
      <c r="G45" s="464"/>
      <c r="H45" s="464"/>
      <c r="I45" s="464"/>
      <c r="J45" s="464"/>
      <c r="K45" s="464"/>
      <c r="L45" s="464"/>
      <c r="M45" s="464"/>
      <c r="N45" s="464"/>
      <c r="O45" s="464"/>
      <c r="P45" s="464"/>
      <c r="Q45" s="464"/>
      <c r="R45" s="464"/>
      <c r="S45" s="464"/>
      <c r="T45" s="464"/>
      <c r="U45" s="464"/>
      <c r="V45" s="464"/>
      <c r="W45" s="464"/>
      <c r="X45" s="464"/>
      <c r="Y45" s="464"/>
      <c r="Z45" s="464"/>
      <c r="AA45" s="464"/>
      <c r="AB45" s="464"/>
      <c r="AC45" s="464"/>
      <c r="AD45" s="464"/>
      <c r="AE45" s="464"/>
      <c r="AF45" s="464"/>
    </row>
    <row r="46" spans="1:32" ht="15.75" customHeight="1">
      <c r="A46" s="463"/>
      <c r="B46" s="464"/>
      <c r="C46" s="464"/>
      <c r="D46" s="464"/>
      <c r="E46" s="464"/>
      <c r="F46" s="464"/>
      <c r="G46" s="464"/>
      <c r="H46" s="464"/>
      <c r="I46" s="464"/>
      <c r="J46" s="464"/>
      <c r="K46" s="464"/>
      <c r="L46" s="464"/>
      <c r="M46" s="464"/>
      <c r="N46" s="464"/>
      <c r="O46" s="464"/>
      <c r="P46" s="464"/>
      <c r="Q46" s="464"/>
      <c r="R46" s="464"/>
      <c r="S46" s="464"/>
      <c r="T46" s="464"/>
      <c r="U46" s="464"/>
      <c r="V46" s="464"/>
      <c r="W46" s="464"/>
      <c r="X46" s="464"/>
      <c r="Y46" s="464"/>
      <c r="Z46" s="464"/>
      <c r="AA46" s="464"/>
      <c r="AB46" s="464"/>
      <c r="AC46" s="464"/>
      <c r="AD46" s="464"/>
      <c r="AE46" s="464"/>
      <c r="AF46" s="464"/>
    </row>
    <row r="47" spans="1:32" ht="15.75" customHeight="1">
      <c r="A47" s="463"/>
      <c r="B47" s="464"/>
      <c r="C47" s="464"/>
      <c r="D47" s="464"/>
      <c r="E47" s="464"/>
      <c r="F47" s="464"/>
      <c r="G47" s="464"/>
      <c r="H47" s="464"/>
      <c r="I47" s="464"/>
      <c r="J47" s="464"/>
      <c r="K47" s="464"/>
      <c r="L47" s="464"/>
      <c r="M47" s="464"/>
      <c r="N47" s="464"/>
      <c r="O47" s="464"/>
      <c r="P47" s="464"/>
      <c r="Q47" s="464"/>
      <c r="R47" s="464"/>
      <c r="S47" s="464"/>
      <c r="T47" s="464"/>
      <c r="U47" s="464"/>
      <c r="V47" s="464"/>
      <c r="W47" s="464"/>
      <c r="X47" s="464"/>
      <c r="Y47" s="464"/>
      <c r="Z47" s="464"/>
      <c r="AA47" s="464"/>
      <c r="AB47" s="464"/>
      <c r="AC47" s="464"/>
      <c r="AD47" s="464"/>
      <c r="AE47" s="464"/>
      <c r="AF47" s="464"/>
    </row>
    <row r="48" spans="1:32" ht="15.75" customHeight="1">
      <c r="A48" s="463"/>
      <c r="B48" s="464"/>
      <c r="C48" s="464"/>
      <c r="D48" s="464"/>
      <c r="E48" s="464"/>
      <c r="F48" s="464"/>
      <c r="G48" s="464"/>
      <c r="H48" s="464"/>
      <c r="I48" s="464"/>
      <c r="J48" s="464"/>
      <c r="K48" s="464"/>
      <c r="L48" s="464"/>
      <c r="M48" s="464"/>
      <c r="N48" s="464"/>
      <c r="O48" s="464"/>
      <c r="P48" s="464"/>
      <c r="Q48" s="464"/>
      <c r="R48" s="464"/>
      <c r="S48" s="464"/>
      <c r="T48" s="464"/>
      <c r="U48" s="464"/>
      <c r="V48" s="464"/>
      <c r="W48" s="464"/>
      <c r="X48" s="464"/>
      <c r="Y48" s="464"/>
      <c r="Z48" s="464"/>
      <c r="AA48" s="464"/>
      <c r="AB48" s="464"/>
      <c r="AC48" s="464"/>
      <c r="AD48" s="464"/>
      <c r="AE48" s="464"/>
      <c r="AF48" s="464"/>
    </row>
    <row r="49" spans="1:32" ht="15.75" customHeight="1">
      <c r="A49" s="463"/>
      <c r="B49" s="464"/>
      <c r="C49" s="464"/>
      <c r="D49" s="464"/>
      <c r="E49" s="464"/>
      <c r="F49" s="464"/>
      <c r="G49" s="464"/>
      <c r="H49" s="464"/>
      <c r="I49" s="464"/>
      <c r="J49" s="464"/>
      <c r="K49" s="464"/>
      <c r="L49" s="464"/>
      <c r="M49" s="464"/>
      <c r="N49" s="464"/>
      <c r="O49" s="464"/>
      <c r="P49" s="464"/>
      <c r="Q49" s="464"/>
      <c r="R49" s="464"/>
      <c r="S49" s="464"/>
      <c r="T49" s="464"/>
      <c r="U49" s="464"/>
      <c r="V49" s="464"/>
      <c r="W49" s="464"/>
      <c r="X49" s="464"/>
      <c r="Y49" s="464"/>
      <c r="Z49" s="464"/>
      <c r="AA49" s="464"/>
      <c r="AB49" s="464"/>
      <c r="AC49" s="464"/>
      <c r="AD49" s="464"/>
      <c r="AE49" s="464"/>
      <c r="AF49" s="464"/>
    </row>
    <row r="50" spans="1:32" ht="15.75" customHeight="1">
      <c r="A50" s="463"/>
      <c r="B50" s="464"/>
      <c r="C50" s="464"/>
      <c r="D50" s="464"/>
      <c r="E50" s="464"/>
      <c r="F50" s="464"/>
      <c r="G50" s="464"/>
      <c r="H50" s="464"/>
      <c r="I50" s="464"/>
      <c r="J50" s="464"/>
      <c r="K50" s="464"/>
      <c r="L50" s="464"/>
      <c r="M50" s="464"/>
      <c r="N50" s="464"/>
      <c r="O50" s="464"/>
      <c r="P50" s="464"/>
      <c r="Q50" s="464"/>
      <c r="R50" s="464"/>
      <c r="S50" s="464"/>
      <c r="T50" s="464"/>
      <c r="U50" s="464"/>
      <c r="V50" s="464"/>
      <c r="W50" s="464"/>
      <c r="X50" s="464"/>
      <c r="Y50" s="464"/>
      <c r="Z50" s="464"/>
      <c r="AA50" s="464"/>
      <c r="AB50" s="464"/>
      <c r="AC50" s="464"/>
      <c r="AD50" s="464"/>
      <c r="AE50" s="464"/>
      <c r="AF50" s="464"/>
    </row>
    <row r="51" spans="1:32" ht="15.75" customHeight="1">
      <c r="A51" s="463"/>
      <c r="B51" s="464"/>
      <c r="C51" s="464"/>
      <c r="D51" s="464"/>
      <c r="E51" s="464"/>
      <c r="F51" s="464"/>
      <c r="G51" s="464"/>
      <c r="H51" s="464"/>
      <c r="I51" s="464"/>
      <c r="J51" s="464"/>
      <c r="K51" s="464"/>
      <c r="L51" s="464"/>
      <c r="M51" s="464"/>
      <c r="N51" s="464"/>
      <c r="O51" s="464"/>
      <c r="P51" s="464"/>
      <c r="Q51" s="464"/>
      <c r="R51" s="464"/>
      <c r="S51" s="464"/>
      <c r="T51" s="464"/>
      <c r="U51" s="464"/>
      <c r="V51" s="464"/>
      <c r="W51" s="464"/>
      <c r="X51" s="464"/>
      <c r="Y51" s="464"/>
      <c r="Z51" s="464"/>
      <c r="AA51" s="464"/>
      <c r="AB51" s="464"/>
      <c r="AC51" s="464"/>
      <c r="AD51" s="464"/>
      <c r="AE51" s="464"/>
      <c r="AF51" s="464"/>
    </row>
    <row r="52" spans="1:32" ht="15.75" customHeight="1">
      <c r="A52" s="463"/>
      <c r="B52" s="464"/>
      <c r="C52" s="464"/>
      <c r="D52" s="464"/>
      <c r="E52" s="464"/>
      <c r="F52" s="464"/>
      <c r="G52" s="464"/>
      <c r="H52" s="464"/>
      <c r="I52" s="464"/>
      <c r="J52" s="464"/>
      <c r="K52" s="464"/>
      <c r="L52" s="464"/>
      <c r="M52" s="464"/>
      <c r="N52" s="464"/>
      <c r="O52" s="464"/>
      <c r="P52" s="464"/>
      <c r="Q52" s="464"/>
      <c r="R52" s="464"/>
      <c r="S52" s="464"/>
      <c r="T52" s="464"/>
      <c r="U52" s="464"/>
      <c r="V52" s="464"/>
      <c r="W52" s="464"/>
      <c r="X52" s="464"/>
      <c r="Y52" s="464"/>
      <c r="Z52" s="464"/>
      <c r="AA52" s="464"/>
      <c r="AB52" s="464"/>
      <c r="AC52" s="464"/>
      <c r="AD52" s="464"/>
      <c r="AE52" s="464"/>
      <c r="AF52" s="464"/>
    </row>
    <row r="53" spans="1:32" ht="15.75" customHeight="1">
      <c r="A53" s="463"/>
      <c r="B53" s="464"/>
      <c r="C53" s="464"/>
      <c r="D53" s="464"/>
      <c r="E53" s="464"/>
      <c r="F53" s="464"/>
      <c r="G53" s="464"/>
      <c r="H53" s="464"/>
      <c r="I53" s="464"/>
      <c r="J53" s="464"/>
      <c r="K53" s="464"/>
      <c r="L53" s="464"/>
      <c r="M53" s="464"/>
      <c r="N53" s="464"/>
      <c r="O53" s="464"/>
      <c r="P53" s="464"/>
      <c r="Q53" s="464"/>
      <c r="R53" s="464"/>
      <c r="S53" s="464"/>
      <c r="T53" s="464"/>
      <c r="U53" s="464"/>
      <c r="V53" s="464"/>
      <c r="W53" s="464"/>
      <c r="X53" s="464"/>
      <c r="Y53" s="464"/>
      <c r="Z53" s="464"/>
      <c r="AA53" s="464"/>
      <c r="AB53" s="464"/>
      <c r="AC53" s="464"/>
      <c r="AD53" s="464"/>
      <c r="AE53" s="464"/>
      <c r="AF53" s="464"/>
    </row>
    <row r="54" spans="1:32" ht="15.75" customHeight="1">
      <c r="A54" s="463"/>
      <c r="B54" s="464"/>
      <c r="C54" s="464"/>
      <c r="D54" s="464"/>
      <c r="E54" s="464"/>
      <c r="F54" s="464"/>
      <c r="G54" s="464"/>
      <c r="H54" s="464"/>
      <c r="I54" s="464"/>
      <c r="J54" s="464"/>
      <c r="K54" s="464"/>
      <c r="L54" s="464"/>
      <c r="M54" s="464"/>
      <c r="N54" s="464"/>
      <c r="O54" s="464"/>
      <c r="P54" s="464"/>
      <c r="Q54" s="464"/>
      <c r="R54" s="464"/>
      <c r="S54" s="464"/>
      <c r="T54" s="464"/>
      <c r="U54" s="464"/>
      <c r="V54" s="464"/>
      <c r="W54" s="464"/>
      <c r="X54" s="464"/>
      <c r="Y54" s="464"/>
      <c r="Z54" s="464"/>
      <c r="AA54" s="464"/>
      <c r="AB54" s="464"/>
      <c r="AC54" s="464"/>
      <c r="AD54" s="464"/>
      <c r="AE54" s="464"/>
      <c r="AF54" s="464"/>
    </row>
    <row r="55" spans="1:32" ht="15.75" customHeight="1">
      <c r="A55" s="463"/>
      <c r="B55" s="464"/>
      <c r="C55" s="464"/>
      <c r="D55" s="464"/>
      <c r="E55" s="464"/>
      <c r="F55" s="464"/>
      <c r="G55" s="464"/>
      <c r="H55" s="464"/>
      <c r="I55" s="464"/>
      <c r="J55" s="464"/>
      <c r="K55" s="464"/>
      <c r="L55" s="464"/>
      <c r="M55" s="464"/>
      <c r="N55" s="464"/>
      <c r="O55" s="464"/>
      <c r="P55" s="464"/>
      <c r="Q55" s="464"/>
      <c r="R55" s="464"/>
      <c r="S55" s="464"/>
      <c r="T55" s="464"/>
      <c r="U55" s="464"/>
      <c r="V55" s="464"/>
      <c r="W55" s="464"/>
      <c r="X55" s="464"/>
      <c r="Y55" s="464"/>
      <c r="Z55" s="464"/>
      <c r="AA55" s="464"/>
      <c r="AB55" s="464"/>
      <c r="AC55" s="464"/>
      <c r="AD55" s="464"/>
      <c r="AE55" s="464"/>
      <c r="AF55" s="464"/>
    </row>
    <row r="56" spans="1:32" ht="15.75" customHeight="1">
      <c r="A56" s="463"/>
      <c r="B56" s="464"/>
      <c r="C56" s="464"/>
      <c r="D56" s="464"/>
      <c r="E56" s="464"/>
      <c r="F56" s="464"/>
      <c r="G56" s="464"/>
      <c r="H56" s="464"/>
      <c r="I56" s="464"/>
      <c r="J56" s="464"/>
      <c r="K56" s="464"/>
      <c r="L56" s="464"/>
      <c r="M56" s="464"/>
      <c r="N56" s="464"/>
      <c r="O56" s="464"/>
      <c r="P56" s="464"/>
      <c r="Q56" s="464"/>
      <c r="R56" s="464"/>
      <c r="S56" s="464"/>
      <c r="T56" s="464"/>
      <c r="U56" s="464"/>
      <c r="V56" s="464"/>
      <c r="W56" s="464"/>
      <c r="X56" s="464"/>
      <c r="Y56" s="464"/>
      <c r="Z56" s="464"/>
      <c r="AA56" s="464"/>
      <c r="AB56" s="464"/>
      <c r="AC56" s="464"/>
      <c r="AD56" s="464"/>
      <c r="AE56" s="464"/>
      <c r="AF56" s="464"/>
    </row>
    <row r="57" spans="1:32" ht="15.75" customHeight="1">
      <c r="A57" s="463"/>
      <c r="B57" s="464"/>
      <c r="C57" s="464"/>
      <c r="D57" s="464"/>
      <c r="E57" s="464"/>
      <c r="F57" s="464"/>
      <c r="G57" s="464"/>
      <c r="H57" s="464"/>
      <c r="I57" s="464"/>
      <c r="J57" s="464"/>
      <c r="K57" s="464"/>
      <c r="L57" s="464"/>
      <c r="M57" s="464"/>
      <c r="N57" s="464"/>
      <c r="O57" s="464"/>
      <c r="P57" s="464"/>
      <c r="Q57" s="464"/>
      <c r="R57" s="464"/>
      <c r="S57" s="464"/>
      <c r="T57" s="464"/>
      <c r="U57" s="464"/>
      <c r="V57" s="464"/>
      <c r="W57" s="464"/>
      <c r="X57" s="464"/>
      <c r="Y57" s="464"/>
      <c r="Z57" s="464"/>
      <c r="AA57" s="464"/>
      <c r="AB57" s="464"/>
      <c r="AC57" s="464"/>
      <c r="AD57" s="464"/>
      <c r="AE57" s="464"/>
      <c r="AF57" s="464"/>
    </row>
    <row r="58" spans="1:32" ht="15.75" customHeight="1">
      <c r="A58" s="463"/>
      <c r="B58" s="464"/>
      <c r="C58" s="464"/>
      <c r="D58" s="464"/>
      <c r="E58" s="464"/>
      <c r="F58" s="464"/>
      <c r="G58" s="464"/>
      <c r="H58" s="464"/>
      <c r="I58" s="464"/>
      <c r="J58" s="464"/>
      <c r="K58" s="464"/>
      <c r="L58" s="464"/>
      <c r="M58" s="464"/>
      <c r="N58" s="464"/>
      <c r="O58" s="464"/>
      <c r="P58" s="464"/>
      <c r="Q58" s="464"/>
      <c r="R58" s="464"/>
      <c r="S58" s="464"/>
      <c r="T58" s="464"/>
      <c r="U58" s="464"/>
      <c r="V58" s="464"/>
      <c r="W58" s="464"/>
      <c r="X58" s="464"/>
      <c r="Y58" s="464"/>
      <c r="Z58" s="464"/>
      <c r="AA58" s="464"/>
      <c r="AB58" s="464"/>
      <c r="AC58" s="464"/>
      <c r="AD58" s="464"/>
      <c r="AE58" s="464"/>
      <c r="AF58" s="464"/>
    </row>
    <row r="59" spans="1:32" ht="15.75" customHeight="1">
      <c r="A59" s="463"/>
      <c r="B59" s="464"/>
      <c r="C59" s="464"/>
      <c r="D59" s="464"/>
      <c r="E59" s="464"/>
      <c r="F59" s="464"/>
      <c r="G59" s="464"/>
      <c r="H59" s="464"/>
      <c r="I59" s="464"/>
      <c r="J59" s="464"/>
      <c r="K59" s="464"/>
      <c r="L59" s="464"/>
      <c r="M59" s="464"/>
      <c r="N59" s="464"/>
      <c r="O59" s="464"/>
      <c r="P59" s="464"/>
      <c r="Q59" s="464"/>
      <c r="R59" s="464"/>
      <c r="S59" s="464"/>
      <c r="T59" s="464"/>
      <c r="U59" s="464"/>
      <c r="V59" s="464"/>
      <c r="W59" s="464"/>
      <c r="X59" s="464"/>
      <c r="Y59" s="464"/>
      <c r="Z59" s="464"/>
      <c r="AA59" s="464"/>
      <c r="AB59" s="464"/>
      <c r="AC59" s="464"/>
      <c r="AD59" s="464"/>
      <c r="AE59" s="464"/>
      <c r="AF59" s="464"/>
    </row>
    <row r="60" spans="1:32" ht="15.75" customHeight="1">
      <c r="A60" s="463"/>
      <c r="B60" s="464"/>
      <c r="C60" s="464"/>
      <c r="D60" s="464"/>
      <c r="E60" s="464"/>
      <c r="F60" s="464"/>
      <c r="G60" s="464"/>
      <c r="H60" s="464"/>
      <c r="I60" s="464"/>
      <c r="J60" s="464"/>
      <c r="K60" s="464"/>
      <c r="L60" s="464"/>
      <c r="M60" s="464"/>
      <c r="N60" s="464"/>
      <c r="O60" s="464"/>
      <c r="P60" s="464"/>
      <c r="Q60" s="464"/>
      <c r="R60" s="464"/>
      <c r="S60" s="464"/>
      <c r="T60" s="464"/>
      <c r="U60" s="464"/>
      <c r="V60" s="464"/>
      <c r="W60" s="464"/>
      <c r="X60" s="464"/>
      <c r="Y60" s="464"/>
      <c r="Z60" s="464"/>
      <c r="AA60" s="464"/>
      <c r="AB60" s="464"/>
      <c r="AC60" s="464"/>
      <c r="AD60" s="464"/>
      <c r="AE60" s="464"/>
      <c r="AF60" s="464"/>
    </row>
    <row r="61" spans="1:32" ht="15.75" customHeight="1">
      <c r="A61" s="463"/>
      <c r="B61" s="464"/>
      <c r="C61" s="464"/>
      <c r="D61" s="464"/>
      <c r="E61" s="464"/>
      <c r="F61" s="464"/>
      <c r="G61" s="464"/>
      <c r="H61" s="464"/>
      <c r="I61" s="464"/>
      <c r="J61" s="464"/>
      <c r="K61" s="464"/>
      <c r="L61" s="464"/>
      <c r="M61" s="464"/>
      <c r="N61" s="464"/>
      <c r="O61" s="464"/>
      <c r="P61" s="464"/>
      <c r="Q61" s="464"/>
      <c r="R61" s="464"/>
      <c r="S61" s="464"/>
      <c r="T61" s="464"/>
      <c r="U61" s="464"/>
      <c r="V61" s="464"/>
      <c r="W61" s="464"/>
      <c r="X61" s="464"/>
      <c r="Y61" s="464"/>
      <c r="Z61" s="464"/>
      <c r="AA61" s="464"/>
      <c r="AB61" s="464"/>
      <c r="AC61" s="464"/>
      <c r="AD61" s="464"/>
      <c r="AE61" s="464"/>
      <c r="AF61" s="464"/>
    </row>
    <row r="62" spans="1:32" ht="15.75" customHeight="1">
      <c r="A62" s="463"/>
      <c r="B62" s="464"/>
      <c r="C62" s="464"/>
      <c r="D62" s="464"/>
      <c r="E62" s="464"/>
      <c r="F62" s="464"/>
      <c r="G62" s="464"/>
      <c r="H62" s="464"/>
      <c r="I62" s="464"/>
      <c r="J62" s="464"/>
      <c r="K62" s="464"/>
      <c r="L62" s="464"/>
      <c r="M62" s="464"/>
      <c r="N62" s="464"/>
      <c r="O62" s="464"/>
      <c r="P62" s="464"/>
      <c r="Q62" s="464"/>
      <c r="R62" s="464"/>
      <c r="S62" s="464"/>
      <c r="T62" s="464"/>
      <c r="U62" s="464"/>
      <c r="V62" s="464"/>
      <c r="W62" s="464"/>
      <c r="X62" s="464"/>
      <c r="Y62" s="464"/>
      <c r="Z62" s="464"/>
      <c r="AA62" s="464"/>
      <c r="AB62" s="464"/>
      <c r="AC62" s="464"/>
      <c r="AD62" s="464"/>
      <c r="AE62" s="464"/>
      <c r="AF62" s="464"/>
    </row>
    <row r="63" spans="1:32" ht="15.75" customHeight="1">
      <c r="A63" s="463"/>
      <c r="B63" s="464"/>
      <c r="C63" s="464"/>
      <c r="D63" s="464"/>
      <c r="E63" s="464"/>
      <c r="F63" s="464"/>
      <c r="G63" s="464"/>
      <c r="H63" s="464"/>
      <c r="I63" s="464"/>
      <c r="J63" s="464"/>
      <c r="K63" s="464"/>
      <c r="L63" s="464"/>
      <c r="M63" s="464"/>
      <c r="N63" s="464"/>
      <c r="O63" s="464"/>
      <c r="P63" s="464"/>
      <c r="Q63" s="464"/>
      <c r="R63" s="464"/>
      <c r="S63" s="464"/>
      <c r="T63" s="464"/>
      <c r="U63" s="464"/>
      <c r="V63" s="464"/>
      <c r="W63" s="464"/>
      <c r="X63" s="464"/>
      <c r="Y63" s="464"/>
      <c r="Z63" s="464"/>
      <c r="AA63" s="464"/>
      <c r="AB63" s="464"/>
      <c r="AC63" s="464"/>
      <c r="AD63" s="464"/>
      <c r="AE63" s="464"/>
      <c r="AF63" s="464"/>
    </row>
    <row r="64" spans="1:32" ht="15.75" customHeight="1">
      <c r="A64" s="463"/>
      <c r="B64" s="464"/>
      <c r="C64" s="464"/>
      <c r="D64" s="464"/>
      <c r="E64" s="464"/>
      <c r="F64" s="464"/>
      <c r="G64" s="464"/>
      <c r="H64" s="464"/>
      <c r="I64" s="464"/>
      <c r="J64" s="464"/>
      <c r="K64" s="464"/>
      <c r="L64" s="464"/>
      <c r="M64" s="464"/>
      <c r="N64" s="464"/>
      <c r="O64" s="464"/>
      <c r="P64" s="464"/>
      <c r="Q64" s="464"/>
      <c r="R64" s="464"/>
      <c r="S64" s="464"/>
      <c r="T64" s="464"/>
      <c r="U64" s="464"/>
      <c r="V64" s="464"/>
      <c r="W64" s="464"/>
      <c r="X64" s="464"/>
      <c r="Y64" s="464"/>
      <c r="Z64" s="464"/>
      <c r="AA64" s="464"/>
      <c r="AB64" s="464"/>
      <c r="AC64" s="464"/>
      <c r="AD64" s="464"/>
      <c r="AE64" s="464"/>
      <c r="AF64" s="464"/>
    </row>
    <row r="65" spans="1:32" ht="15.75" customHeight="1">
      <c r="A65" s="463"/>
      <c r="B65" s="464"/>
      <c r="C65" s="464"/>
      <c r="D65" s="464"/>
      <c r="E65" s="464"/>
      <c r="F65" s="464"/>
      <c r="G65" s="464"/>
      <c r="H65" s="464"/>
      <c r="I65" s="464"/>
      <c r="J65" s="464"/>
      <c r="K65" s="464"/>
      <c r="L65" s="464"/>
      <c r="M65" s="464"/>
      <c r="N65" s="464"/>
      <c r="O65" s="464"/>
      <c r="P65" s="464"/>
      <c r="Q65" s="464"/>
      <c r="R65" s="464"/>
      <c r="S65" s="464"/>
      <c r="T65" s="464"/>
      <c r="U65" s="464"/>
      <c r="V65" s="464"/>
      <c r="W65" s="464"/>
      <c r="X65" s="464"/>
      <c r="Y65" s="464"/>
      <c r="Z65" s="464"/>
      <c r="AA65" s="464"/>
      <c r="AB65" s="464"/>
      <c r="AC65" s="464"/>
      <c r="AD65" s="464"/>
      <c r="AE65" s="464"/>
      <c r="AF65" s="464"/>
    </row>
    <row r="66" spans="1:32" ht="15.75" customHeight="1">
      <c r="A66" s="463"/>
      <c r="B66" s="464"/>
      <c r="C66" s="464"/>
      <c r="D66" s="464"/>
      <c r="E66" s="464"/>
      <c r="F66" s="464"/>
      <c r="G66" s="464"/>
      <c r="H66" s="464"/>
      <c r="I66" s="464"/>
      <c r="J66" s="464"/>
      <c r="K66" s="464"/>
      <c r="L66" s="464"/>
      <c r="M66" s="464"/>
      <c r="N66" s="464"/>
      <c r="O66" s="464"/>
      <c r="P66" s="464"/>
      <c r="Q66" s="464"/>
      <c r="R66" s="464"/>
      <c r="S66" s="464"/>
      <c r="T66" s="464"/>
      <c r="U66" s="464"/>
      <c r="V66" s="464"/>
      <c r="W66" s="464"/>
      <c r="X66" s="464"/>
      <c r="Y66" s="464"/>
      <c r="Z66" s="464"/>
      <c r="AA66" s="464"/>
      <c r="AB66" s="464"/>
      <c r="AC66" s="464"/>
      <c r="AD66" s="464"/>
      <c r="AE66" s="464"/>
      <c r="AF66" s="464"/>
    </row>
    <row r="67" spans="1:32" ht="15.75" customHeight="1">
      <c r="A67" s="463"/>
      <c r="B67" s="464"/>
      <c r="C67" s="464"/>
      <c r="D67" s="464"/>
      <c r="E67" s="464"/>
      <c r="F67" s="464"/>
      <c r="G67" s="464"/>
      <c r="H67" s="464"/>
      <c r="I67" s="464"/>
      <c r="J67" s="464"/>
      <c r="K67" s="464"/>
      <c r="L67" s="464"/>
      <c r="M67" s="464"/>
      <c r="N67" s="464"/>
      <c r="O67" s="464"/>
      <c r="P67" s="464"/>
      <c r="Q67" s="464"/>
      <c r="R67" s="464"/>
      <c r="S67" s="464"/>
      <c r="T67" s="464"/>
      <c r="U67" s="464"/>
      <c r="V67" s="464"/>
      <c r="W67" s="464"/>
      <c r="X67" s="464"/>
      <c r="Y67" s="464"/>
      <c r="Z67" s="464"/>
      <c r="AA67" s="464"/>
      <c r="AB67" s="464"/>
      <c r="AC67" s="464"/>
      <c r="AD67" s="464"/>
      <c r="AE67" s="464"/>
      <c r="AF67" s="464"/>
    </row>
    <row r="68" spans="1:32" ht="15.75" customHeight="1">
      <c r="A68" s="463"/>
      <c r="B68" s="464"/>
      <c r="C68" s="464"/>
      <c r="D68" s="464"/>
      <c r="E68" s="464"/>
      <c r="F68" s="464"/>
      <c r="G68" s="464"/>
      <c r="H68" s="464"/>
      <c r="I68" s="464"/>
      <c r="J68" s="464"/>
      <c r="K68" s="464"/>
      <c r="L68" s="464"/>
      <c r="M68" s="464"/>
      <c r="N68" s="464"/>
      <c r="O68" s="464"/>
      <c r="P68" s="464"/>
      <c r="Q68" s="464"/>
      <c r="R68" s="464"/>
      <c r="S68" s="464"/>
      <c r="T68" s="464"/>
      <c r="U68" s="464"/>
      <c r="V68" s="464"/>
      <c r="W68" s="464"/>
      <c r="X68" s="464"/>
      <c r="Y68" s="464"/>
      <c r="Z68" s="464"/>
      <c r="AA68" s="464"/>
      <c r="AB68" s="464"/>
      <c r="AC68" s="464"/>
      <c r="AD68" s="464"/>
      <c r="AE68" s="464"/>
      <c r="AF68" s="464"/>
    </row>
    <row r="69" spans="1:32" ht="15.75" customHeight="1">
      <c r="A69" s="463"/>
      <c r="B69" s="464"/>
      <c r="C69" s="464"/>
      <c r="D69" s="464"/>
      <c r="E69" s="464"/>
      <c r="F69" s="464"/>
      <c r="G69" s="464"/>
      <c r="H69" s="464"/>
      <c r="I69" s="464"/>
      <c r="J69" s="464"/>
      <c r="K69" s="464"/>
      <c r="L69" s="464"/>
      <c r="M69" s="464"/>
      <c r="N69" s="464"/>
      <c r="O69" s="464"/>
      <c r="P69" s="464"/>
      <c r="Q69" s="464"/>
      <c r="R69" s="464"/>
      <c r="S69" s="464"/>
      <c r="T69" s="464"/>
      <c r="U69" s="464"/>
      <c r="V69" s="464"/>
      <c r="W69" s="464"/>
      <c r="X69" s="464"/>
      <c r="Y69" s="464"/>
      <c r="Z69" s="464"/>
      <c r="AA69" s="464"/>
      <c r="AB69" s="464"/>
      <c r="AC69" s="464"/>
      <c r="AD69" s="464"/>
      <c r="AE69" s="464"/>
      <c r="AF69" s="464"/>
    </row>
    <row r="70" spans="1:32" ht="15.75" customHeight="1">
      <c r="A70" s="463"/>
      <c r="B70" s="464"/>
      <c r="C70" s="464"/>
      <c r="D70" s="464"/>
      <c r="E70" s="464"/>
      <c r="F70" s="464"/>
      <c r="G70" s="464"/>
      <c r="H70" s="464"/>
      <c r="I70" s="464"/>
      <c r="J70" s="464"/>
      <c r="K70" s="464"/>
      <c r="L70" s="464"/>
      <c r="M70" s="464"/>
      <c r="N70" s="464"/>
      <c r="O70" s="464"/>
      <c r="P70" s="464"/>
      <c r="Q70" s="464"/>
      <c r="R70" s="464"/>
      <c r="S70" s="464"/>
      <c r="T70" s="464"/>
      <c r="U70" s="464"/>
      <c r="V70" s="464"/>
      <c r="W70" s="464"/>
      <c r="X70" s="464"/>
      <c r="Y70" s="464"/>
      <c r="Z70" s="464"/>
      <c r="AA70" s="464"/>
      <c r="AB70" s="464"/>
      <c r="AC70" s="464"/>
      <c r="AD70" s="464"/>
      <c r="AE70" s="464"/>
      <c r="AF70" s="464"/>
    </row>
    <row r="71" spans="1:32" ht="15.75" customHeight="1">
      <c r="A71" s="463"/>
      <c r="B71" s="464"/>
      <c r="C71" s="464"/>
      <c r="D71" s="464"/>
      <c r="E71" s="464"/>
      <c r="F71" s="464"/>
      <c r="G71" s="464"/>
      <c r="H71" s="464"/>
      <c r="I71" s="464"/>
      <c r="J71" s="464"/>
      <c r="K71" s="464"/>
      <c r="L71" s="464"/>
      <c r="M71" s="464"/>
      <c r="N71" s="464"/>
      <c r="O71" s="464"/>
      <c r="P71" s="464"/>
      <c r="Q71" s="464"/>
      <c r="R71" s="464"/>
      <c r="S71" s="464"/>
      <c r="T71" s="464"/>
      <c r="U71" s="464"/>
      <c r="V71" s="464"/>
      <c r="W71" s="464"/>
      <c r="X71" s="464"/>
      <c r="Y71" s="464"/>
      <c r="Z71" s="464"/>
      <c r="AA71" s="464"/>
      <c r="AB71" s="464"/>
      <c r="AC71" s="464"/>
      <c r="AD71" s="464"/>
      <c r="AE71" s="464"/>
      <c r="AF71" s="464"/>
    </row>
    <row r="72" spans="1:32" ht="15.75" customHeight="1">
      <c r="A72" s="463"/>
      <c r="B72" s="464"/>
      <c r="C72" s="464"/>
      <c r="D72" s="464"/>
      <c r="E72" s="464"/>
      <c r="F72" s="464"/>
      <c r="G72" s="464"/>
      <c r="H72" s="464"/>
      <c r="I72" s="464"/>
      <c r="J72" s="464"/>
      <c r="K72" s="464"/>
      <c r="L72" s="464"/>
      <c r="M72" s="464"/>
      <c r="N72" s="464"/>
      <c r="O72" s="464"/>
      <c r="P72" s="464"/>
      <c r="Q72" s="464"/>
      <c r="R72" s="464"/>
      <c r="S72" s="464"/>
      <c r="T72" s="464"/>
      <c r="U72" s="464"/>
      <c r="V72" s="464"/>
      <c r="W72" s="464"/>
      <c r="X72" s="464"/>
      <c r="Y72" s="464"/>
      <c r="Z72" s="464"/>
      <c r="AA72" s="464"/>
      <c r="AB72" s="464"/>
      <c r="AC72" s="464"/>
      <c r="AD72" s="464"/>
      <c r="AE72" s="464"/>
      <c r="AF72" s="464"/>
    </row>
    <row r="73" spans="1:32" ht="15.75" customHeight="1">
      <c r="A73" s="463"/>
      <c r="B73" s="464"/>
      <c r="C73" s="464"/>
      <c r="D73" s="464"/>
      <c r="E73" s="464"/>
      <c r="F73" s="464"/>
      <c r="G73" s="464"/>
      <c r="H73" s="464"/>
      <c r="I73" s="464"/>
      <c r="J73" s="464"/>
      <c r="K73" s="464"/>
      <c r="L73" s="464"/>
      <c r="M73" s="464"/>
      <c r="N73" s="464"/>
      <c r="O73" s="464"/>
      <c r="P73" s="464"/>
      <c r="Q73" s="464"/>
      <c r="R73" s="464"/>
      <c r="S73" s="464"/>
      <c r="T73" s="464"/>
      <c r="U73" s="464"/>
      <c r="V73" s="464"/>
      <c r="W73" s="464"/>
      <c r="X73" s="464"/>
      <c r="Y73" s="464"/>
      <c r="Z73" s="464"/>
      <c r="AA73" s="464"/>
      <c r="AB73" s="464"/>
      <c r="AC73" s="464"/>
      <c r="AD73" s="464"/>
      <c r="AE73" s="464"/>
      <c r="AF73" s="464"/>
    </row>
    <row r="74" spans="1:32" ht="15.75" customHeight="1">
      <c r="A74" s="463"/>
      <c r="B74" s="464"/>
      <c r="C74" s="464"/>
      <c r="D74" s="464"/>
      <c r="E74" s="464"/>
      <c r="F74" s="464"/>
      <c r="G74" s="464"/>
      <c r="H74" s="464"/>
      <c r="I74" s="464"/>
      <c r="J74" s="464"/>
      <c r="K74" s="464"/>
      <c r="L74" s="464"/>
      <c r="M74" s="464"/>
      <c r="N74" s="464"/>
      <c r="O74" s="464"/>
      <c r="P74" s="464"/>
      <c r="Q74" s="464"/>
      <c r="R74" s="464"/>
      <c r="S74" s="464"/>
      <c r="T74" s="464"/>
      <c r="U74" s="464"/>
      <c r="V74" s="464"/>
      <c r="W74" s="464"/>
      <c r="X74" s="464"/>
      <c r="Y74" s="464"/>
      <c r="Z74" s="464"/>
      <c r="AA74" s="464"/>
      <c r="AB74" s="464"/>
      <c r="AC74" s="464"/>
      <c r="AD74" s="464"/>
      <c r="AE74" s="464"/>
      <c r="AF74" s="464"/>
    </row>
    <row r="75" spans="1:32" ht="15.75" customHeight="1">
      <c r="A75" s="463"/>
      <c r="B75" s="464"/>
      <c r="C75" s="464"/>
      <c r="D75" s="464"/>
      <c r="E75" s="464"/>
      <c r="F75" s="464"/>
      <c r="G75" s="464"/>
      <c r="H75" s="464"/>
      <c r="I75" s="464"/>
      <c r="J75" s="464"/>
      <c r="K75" s="464"/>
      <c r="L75" s="464"/>
      <c r="M75" s="464"/>
      <c r="N75" s="464"/>
      <c r="O75" s="464"/>
      <c r="P75" s="464"/>
      <c r="Q75" s="464"/>
      <c r="R75" s="464"/>
      <c r="S75" s="464"/>
      <c r="T75" s="464"/>
      <c r="U75" s="464"/>
      <c r="V75" s="464"/>
      <c r="W75" s="464"/>
      <c r="X75" s="464"/>
      <c r="Y75" s="464"/>
      <c r="Z75" s="464"/>
      <c r="AA75" s="464"/>
      <c r="AB75" s="464"/>
      <c r="AC75" s="464"/>
      <c r="AD75" s="464"/>
      <c r="AE75" s="464"/>
      <c r="AF75" s="464"/>
    </row>
    <row r="76" spans="1:32" ht="15.75" customHeight="1">
      <c r="A76" s="463"/>
      <c r="B76" s="464"/>
      <c r="C76" s="464"/>
      <c r="D76" s="464"/>
      <c r="E76" s="464"/>
      <c r="F76" s="464"/>
      <c r="G76" s="464"/>
      <c r="H76" s="464"/>
      <c r="I76" s="464"/>
      <c r="J76" s="464"/>
      <c r="K76" s="464"/>
      <c r="L76" s="464"/>
      <c r="M76" s="464"/>
      <c r="N76" s="464"/>
      <c r="O76" s="464"/>
      <c r="P76" s="464"/>
      <c r="Q76" s="464"/>
      <c r="R76" s="464"/>
      <c r="S76" s="464"/>
      <c r="T76" s="464"/>
      <c r="U76" s="464"/>
      <c r="V76" s="464"/>
      <c r="W76" s="464"/>
      <c r="X76" s="464"/>
      <c r="Y76" s="464"/>
      <c r="Z76" s="464"/>
      <c r="AA76" s="464"/>
      <c r="AB76" s="464"/>
      <c r="AC76" s="464"/>
      <c r="AD76" s="464"/>
      <c r="AE76" s="464"/>
      <c r="AF76" s="464"/>
    </row>
    <row r="77" spans="1:32" ht="15.75" customHeight="1">
      <c r="A77" s="463"/>
      <c r="B77" s="464"/>
      <c r="C77" s="464"/>
      <c r="D77" s="464"/>
      <c r="E77" s="464"/>
      <c r="F77" s="464"/>
      <c r="G77" s="464"/>
      <c r="H77" s="464"/>
      <c r="I77" s="464"/>
      <c r="J77" s="464"/>
      <c r="K77" s="464"/>
      <c r="L77" s="464"/>
      <c r="M77" s="464"/>
      <c r="N77" s="464"/>
      <c r="O77" s="464"/>
      <c r="P77" s="464"/>
      <c r="Q77" s="464"/>
      <c r="R77" s="464"/>
      <c r="S77" s="464"/>
      <c r="T77" s="464"/>
      <c r="U77" s="464"/>
      <c r="V77" s="464"/>
      <c r="W77" s="464"/>
      <c r="X77" s="464"/>
      <c r="Y77" s="464"/>
      <c r="Z77" s="464"/>
      <c r="AA77" s="464"/>
      <c r="AB77" s="464"/>
      <c r="AC77" s="464"/>
      <c r="AD77" s="464"/>
      <c r="AE77" s="464"/>
      <c r="AF77" s="464"/>
    </row>
    <row r="78" spans="1:32" ht="15.75" customHeight="1">
      <c r="A78" s="463"/>
      <c r="B78" s="464"/>
      <c r="C78" s="464"/>
      <c r="D78" s="464"/>
      <c r="E78" s="464"/>
      <c r="F78" s="464"/>
      <c r="G78" s="464"/>
      <c r="H78" s="464"/>
      <c r="I78" s="464"/>
      <c r="J78" s="464"/>
      <c r="K78" s="464"/>
      <c r="L78" s="464"/>
      <c r="M78" s="464"/>
      <c r="N78" s="464"/>
      <c r="O78" s="464"/>
      <c r="P78" s="464"/>
      <c r="Q78" s="464"/>
      <c r="R78" s="464"/>
      <c r="S78" s="464"/>
      <c r="T78" s="464"/>
      <c r="U78" s="464"/>
      <c r="V78" s="464"/>
      <c r="W78" s="464"/>
      <c r="X78" s="464"/>
      <c r="Y78" s="464"/>
      <c r="Z78" s="464"/>
      <c r="AA78" s="464"/>
      <c r="AB78" s="464"/>
      <c r="AC78" s="464"/>
      <c r="AD78" s="464"/>
      <c r="AE78" s="464"/>
      <c r="AF78" s="464"/>
    </row>
    <row r="79" spans="1:32" ht="15.75" customHeight="1">
      <c r="A79" s="463"/>
      <c r="B79" s="464"/>
      <c r="C79" s="464"/>
      <c r="D79" s="464"/>
      <c r="E79" s="464"/>
      <c r="F79" s="464"/>
      <c r="G79" s="464"/>
      <c r="H79" s="464"/>
      <c r="I79" s="464"/>
      <c r="J79" s="464"/>
      <c r="K79" s="464"/>
      <c r="L79" s="464"/>
      <c r="M79" s="464"/>
      <c r="N79" s="464"/>
      <c r="O79" s="464"/>
      <c r="P79" s="464"/>
      <c r="Q79" s="464"/>
      <c r="R79" s="464"/>
      <c r="S79" s="464"/>
      <c r="T79" s="464"/>
      <c r="U79" s="464"/>
      <c r="V79" s="464"/>
      <c r="W79" s="464"/>
      <c r="X79" s="464"/>
      <c r="Y79" s="464"/>
      <c r="Z79" s="464"/>
      <c r="AA79" s="464"/>
      <c r="AB79" s="464"/>
      <c r="AC79" s="464"/>
      <c r="AD79" s="464"/>
      <c r="AE79" s="464"/>
      <c r="AF79" s="464"/>
    </row>
    <row r="80" spans="1:32" ht="15.75" customHeight="1">
      <c r="A80" s="463"/>
      <c r="B80" s="464"/>
      <c r="C80" s="464"/>
      <c r="D80" s="464"/>
      <c r="E80" s="464"/>
      <c r="F80" s="464"/>
      <c r="G80" s="464"/>
      <c r="H80" s="464"/>
      <c r="I80" s="464"/>
      <c r="J80" s="464"/>
      <c r="K80" s="464"/>
      <c r="L80" s="464"/>
      <c r="M80" s="464"/>
      <c r="N80" s="464"/>
      <c r="O80" s="464"/>
      <c r="P80" s="464"/>
      <c r="Q80" s="464"/>
      <c r="R80" s="464"/>
      <c r="S80" s="464"/>
      <c r="T80" s="464"/>
      <c r="U80" s="464"/>
      <c r="V80" s="464"/>
      <c r="W80" s="464"/>
      <c r="X80" s="464"/>
      <c r="Y80" s="464"/>
      <c r="Z80" s="464"/>
      <c r="AA80" s="464"/>
      <c r="AB80" s="464"/>
      <c r="AC80" s="464"/>
      <c r="AD80" s="464"/>
      <c r="AE80" s="464"/>
      <c r="AF80" s="464"/>
    </row>
    <row r="81" spans="1:32" ht="15.75" customHeight="1">
      <c r="A81" s="463"/>
      <c r="B81" s="464"/>
      <c r="C81" s="464"/>
      <c r="D81" s="464"/>
      <c r="E81" s="464"/>
      <c r="F81" s="464"/>
      <c r="G81" s="464"/>
      <c r="H81" s="464"/>
      <c r="I81" s="464"/>
      <c r="J81" s="464"/>
      <c r="K81" s="464"/>
      <c r="L81" s="464"/>
      <c r="M81" s="464"/>
      <c r="N81" s="464"/>
      <c r="O81" s="464"/>
      <c r="P81" s="464"/>
      <c r="Q81" s="464"/>
      <c r="R81" s="464"/>
      <c r="S81" s="464"/>
      <c r="T81" s="464"/>
      <c r="U81" s="464"/>
      <c r="V81" s="464"/>
      <c r="W81" s="464"/>
      <c r="X81" s="464"/>
      <c r="Y81" s="464"/>
      <c r="Z81" s="464"/>
      <c r="AA81" s="464"/>
      <c r="AB81" s="464"/>
      <c r="AC81" s="464"/>
      <c r="AD81" s="464"/>
      <c r="AE81" s="464"/>
      <c r="AF81" s="464"/>
    </row>
    <row r="82" spans="1:32" ht="15.75" customHeight="1">
      <c r="A82" s="463"/>
      <c r="B82" s="464"/>
      <c r="C82" s="464"/>
      <c r="D82" s="464"/>
      <c r="E82" s="464"/>
      <c r="F82" s="464"/>
      <c r="G82" s="464"/>
      <c r="H82" s="464"/>
      <c r="I82" s="464"/>
      <c r="J82" s="464"/>
      <c r="K82" s="464"/>
      <c r="L82" s="464"/>
      <c r="M82" s="464"/>
      <c r="N82" s="464"/>
      <c r="O82" s="464"/>
      <c r="P82" s="464"/>
      <c r="Q82" s="464"/>
      <c r="R82" s="464"/>
      <c r="S82" s="464"/>
      <c r="T82" s="464"/>
      <c r="U82" s="464"/>
      <c r="V82" s="464"/>
      <c r="W82" s="464"/>
      <c r="X82" s="464"/>
      <c r="Y82" s="464"/>
      <c r="Z82" s="464"/>
      <c r="AA82" s="464"/>
      <c r="AB82" s="464"/>
      <c r="AC82" s="464"/>
      <c r="AD82" s="464"/>
      <c r="AE82" s="464"/>
      <c r="AF82" s="464"/>
    </row>
    <row r="83" spans="1:32" ht="15.75" customHeight="1">
      <c r="A83" s="463"/>
      <c r="B83" s="464"/>
      <c r="C83" s="464"/>
      <c r="D83" s="464"/>
      <c r="E83" s="464"/>
      <c r="F83" s="464"/>
      <c r="G83" s="464"/>
      <c r="H83" s="464"/>
      <c r="I83" s="464"/>
      <c r="J83" s="464"/>
      <c r="K83" s="464"/>
      <c r="L83" s="464"/>
      <c r="M83" s="464"/>
      <c r="N83" s="464"/>
      <c r="O83" s="464"/>
      <c r="P83" s="464"/>
      <c r="Q83" s="464"/>
      <c r="R83" s="464"/>
      <c r="S83" s="464"/>
      <c r="T83" s="464"/>
      <c r="U83" s="464"/>
      <c r="V83" s="464"/>
      <c r="W83" s="464"/>
      <c r="X83" s="464"/>
      <c r="Y83" s="464"/>
      <c r="Z83" s="464"/>
      <c r="AA83" s="464"/>
      <c r="AB83" s="464"/>
      <c r="AC83" s="464"/>
      <c r="AD83" s="464"/>
      <c r="AE83" s="464"/>
      <c r="AF83" s="464"/>
    </row>
    <row r="84" spans="1:32" ht="15.75" customHeight="1">
      <c r="A84" s="463"/>
      <c r="B84" s="464"/>
      <c r="C84" s="464"/>
      <c r="D84" s="464"/>
      <c r="E84" s="464"/>
      <c r="F84" s="464"/>
      <c r="G84" s="464"/>
      <c r="H84" s="464"/>
      <c r="I84" s="464"/>
      <c r="J84" s="464"/>
      <c r="K84" s="464"/>
      <c r="L84" s="464"/>
      <c r="M84" s="464"/>
      <c r="N84" s="464"/>
      <c r="O84" s="464"/>
      <c r="P84" s="464"/>
      <c r="Q84" s="464"/>
      <c r="R84" s="464"/>
      <c r="S84" s="464"/>
      <c r="T84" s="464"/>
      <c r="U84" s="464"/>
      <c r="V84" s="464"/>
      <c r="W84" s="464"/>
      <c r="X84" s="464"/>
      <c r="Y84" s="464"/>
      <c r="Z84" s="464"/>
      <c r="AA84" s="464"/>
      <c r="AB84" s="464"/>
      <c r="AC84" s="464"/>
      <c r="AD84" s="464"/>
      <c r="AE84" s="464"/>
      <c r="AF84" s="464"/>
    </row>
    <row r="85" spans="1:32" ht="15.75" customHeight="1">
      <c r="A85" s="463"/>
      <c r="B85" s="464"/>
      <c r="C85" s="464"/>
      <c r="D85" s="464"/>
      <c r="E85" s="464"/>
      <c r="F85" s="464"/>
      <c r="G85" s="464"/>
      <c r="H85" s="464"/>
      <c r="I85" s="464"/>
      <c r="J85" s="464"/>
      <c r="K85" s="464"/>
      <c r="L85" s="464"/>
      <c r="M85" s="464"/>
      <c r="N85" s="464"/>
      <c r="O85" s="464"/>
      <c r="P85" s="464"/>
      <c r="Q85" s="464"/>
      <c r="R85" s="464"/>
      <c r="S85" s="464"/>
      <c r="T85" s="464"/>
      <c r="U85" s="464"/>
      <c r="V85" s="464"/>
      <c r="W85" s="464"/>
      <c r="X85" s="464"/>
      <c r="Y85" s="464"/>
      <c r="Z85" s="464"/>
      <c r="AA85" s="464"/>
      <c r="AB85" s="464"/>
      <c r="AC85" s="464"/>
      <c r="AD85" s="464"/>
      <c r="AE85" s="464"/>
      <c r="AF85" s="464"/>
    </row>
    <row r="86" spans="1:32" ht="15.75" customHeight="1">
      <c r="A86" s="463"/>
      <c r="B86" s="464"/>
      <c r="C86" s="464"/>
      <c r="D86" s="464"/>
      <c r="E86" s="464"/>
      <c r="F86" s="464"/>
      <c r="G86" s="464"/>
      <c r="H86" s="464"/>
      <c r="I86" s="464"/>
      <c r="J86" s="464"/>
      <c r="K86" s="464"/>
      <c r="L86" s="464"/>
      <c r="M86" s="464"/>
      <c r="N86" s="464"/>
      <c r="O86" s="464"/>
      <c r="P86" s="464"/>
      <c r="Q86" s="464"/>
      <c r="R86" s="464"/>
      <c r="S86" s="464"/>
      <c r="T86" s="464"/>
      <c r="U86" s="464"/>
      <c r="V86" s="464"/>
      <c r="W86" s="464"/>
      <c r="X86" s="464"/>
      <c r="Y86" s="464"/>
      <c r="Z86" s="464"/>
      <c r="AA86" s="464"/>
      <c r="AB86" s="464"/>
      <c r="AC86" s="464"/>
      <c r="AD86" s="464"/>
      <c r="AE86" s="464"/>
      <c r="AF86" s="464"/>
    </row>
    <row r="87" spans="1:32" ht="15.75" customHeight="1">
      <c r="A87" s="463"/>
      <c r="B87" s="464"/>
      <c r="C87" s="464"/>
      <c r="D87" s="464"/>
      <c r="E87" s="464"/>
      <c r="F87" s="464"/>
      <c r="G87" s="464"/>
      <c r="H87" s="464"/>
      <c r="I87" s="464"/>
      <c r="J87" s="464"/>
      <c r="K87" s="464"/>
      <c r="L87" s="464"/>
      <c r="M87" s="464"/>
      <c r="N87" s="464"/>
      <c r="O87" s="464"/>
      <c r="P87" s="464"/>
      <c r="Q87" s="464"/>
      <c r="R87" s="464"/>
      <c r="S87" s="464"/>
      <c r="T87" s="464"/>
      <c r="U87" s="464"/>
      <c r="V87" s="464"/>
      <c r="W87" s="464"/>
      <c r="X87" s="464"/>
      <c r="Y87" s="464"/>
      <c r="Z87" s="464"/>
      <c r="AA87" s="464"/>
      <c r="AB87" s="464"/>
      <c r="AC87" s="464"/>
      <c r="AD87" s="464"/>
      <c r="AE87" s="464"/>
      <c r="AF87" s="464"/>
    </row>
    <row r="88" spans="1:32" ht="15.75" customHeight="1">
      <c r="A88" s="463"/>
      <c r="B88" s="464"/>
      <c r="C88" s="464"/>
      <c r="D88" s="464"/>
      <c r="E88" s="464"/>
      <c r="F88" s="464"/>
      <c r="G88" s="464"/>
      <c r="H88" s="464"/>
      <c r="I88" s="464"/>
      <c r="J88" s="464"/>
      <c r="K88" s="464"/>
      <c r="L88" s="464"/>
      <c r="M88" s="464"/>
      <c r="N88" s="464"/>
      <c r="O88" s="464"/>
      <c r="P88" s="464"/>
      <c r="Q88" s="464"/>
      <c r="R88" s="464"/>
      <c r="S88" s="464"/>
      <c r="T88" s="464"/>
      <c r="U88" s="464"/>
      <c r="V88" s="464"/>
      <c r="W88" s="464"/>
      <c r="X88" s="464"/>
      <c r="Y88" s="464"/>
      <c r="Z88" s="464"/>
      <c r="AA88" s="464"/>
      <c r="AB88" s="464"/>
      <c r="AC88" s="464"/>
      <c r="AD88" s="464"/>
      <c r="AE88" s="464"/>
      <c r="AF88" s="464"/>
    </row>
    <row r="89" spans="1:32" ht="15.75" customHeight="1">
      <c r="A89" s="463"/>
      <c r="B89" s="464"/>
      <c r="C89" s="464"/>
      <c r="D89" s="464"/>
      <c r="E89" s="464"/>
      <c r="F89" s="464"/>
      <c r="G89" s="464"/>
      <c r="H89" s="464"/>
      <c r="I89" s="464"/>
      <c r="J89" s="464"/>
      <c r="K89" s="464"/>
      <c r="L89" s="464"/>
      <c r="M89" s="464"/>
      <c r="N89" s="464"/>
      <c r="O89" s="464"/>
      <c r="P89" s="464"/>
      <c r="Q89" s="464"/>
      <c r="R89" s="464"/>
      <c r="S89" s="464"/>
      <c r="T89" s="464"/>
      <c r="U89" s="464"/>
      <c r="V89" s="464"/>
      <c r="W89" s="464"/>
      <c r="X89" s="464"/>
      <c r="Y89" s="464"/>
      <c r="Z89" s="464"/>
      <c r="AA89" s="464"/>
      <c r="AB89" s="464"/>
      <c r="AC89" s="464"/>
      <c r="AD89" s="464"/>
      <c r="AE89" s="464"/>
      <c r="AF89" s="464"/>
    </row>
    <row r="90" spans="1:32" ht="15.75" customHeight="1">
      <c r="A90" s="463"/>
      <c r="B90" s="464"/>
      <c r="C90" s="464"/>
      <c r="D90" s="464"/>
      <c r="E90" s="464"/>
      <c r="F90" s="464"/>
      <c r="G90" s="464"/>
      <c r="H90" s="464"/>
      <c r="I90" s="464"/>
      <c r="J90" s="464"/>
      <c r="K90" s="464"/>
      <c r="L90" s="464"/>
      <c r="M90" s="464"/>
      <c r="N90" s="464"/>
      <c r="O90" s="464"/>
      <c r="P90" s="464"/>
      <c r="Q90" s="464"/>
      <c r="R90" s="464"/>
      <c r="S90" s="464"/>
      <c r="T90" s="464"/>
      <c r="U90" s="464"/>
      <c r="V90" s="464"/>
      <c r="W90" s="464"/>
      <c r="X90" s="464"/>
      <c r="Y90" s="464"/>
      <c r="Z90" s="464"/>
      <c r="AA90" s="464"/>
      <c r="AB90" s="464"/>
      <c r="AC90" s="464"/>
      <c r="AD90" s="464"/>
      <c r="AE90" s="464"/>
      <c r="AF90" s="464"/>
    </row>
    <row r="91" spans="1:32" ht="15.75" customHeight="1">
      <c r="A91" s="463"/>
      <c r="B91" s="464"/>
      <c r="C91" s="464"/>
      <c r="D91" s="464"/>
      <c r="E91" s="464"/>
      <c r="F91" s="464"/>
      <c r="G91" s="464"/>
      <c r="H91" s="464"/>
      <c r="I91" s="464"/>
      <c r="J91" s="464"/>
      <c r="K91" s="464"/>
      <c r="L91" s="464"/>
      <c r="M91" s="464"/>
      <c r="N91" s="464"/>
      <c r="O91" s="464"/>
      <c r="P91" s="464"/>
      <c r="Q91" s="464"/>
      <c r="R91" s="464"/>
      <c r="S91" s="464"/>
      <c r="T91" s="464"/>
      <c r="U91" s="464"/>
      <c r="V91" s="464"/>
      <c r="W91" s="464"/>
      <c r="X91" s="464"/>
      <c r="Y91" s="464"/>
      <c r="Z91" s="464"/>
      <c r="AA91" s="464"/>
      <c r="AB91" s="464"/>
      <c r="AC91" s="464"/>
      <c r="AD91" s="464"/>
      <c r="AE91" s="464"/>
      <c r="AF91" s="464"/>
    </row>
    <row r="92" spans="1:32" ht="15.75" customHeight="1">
      <c r="A92" s="463"/>
      <c r="B92" s="464"/>
      <c r="C92" s="464"/>
      <c r="D92" s="464"/>
      <c r="E92" s="464"/>
      <c r="F92" s="464"/>
      <c r="G92" s="464"/>
      <c r="H92" s="464"/>
      <c r="I92" s="464"/>
      <c r="J92" s="464"/>
      <c r="K92" s="464"/>
      <c r="L92" s="464"/>
      <c r="M92" s="464"/>
      <c r="N92" s="464"/>
      <c r="O92" s="464"/>
      <c r="P92" s="464"/>
      <c r="Q92" s="464"/>
      <c r="R92" s="464"/>
      <c r="S92" s="464"/>
      <c r="T92" s="464"/>
      <c r="U92" s="464"/>
      <c r="V92" s="464"/>
      <c r="W92" s="464"/>
      <c r="X92" s="464"/>
      <c r="Y92" s="464"/>
      <c r="Z92" s="464"/>
      <c r="AA92" s="464"/>
      <c r="AB92" s="464"/>
      <c r="AC92" s="464"/>
      <c r="AD92" s="464"/>
      <c r="AE92" s="464"/>
      <c r="AF92" s="464"/>
    </row>
    <row r="93" spans="1:32" ht="15.75" customHeight="1">
      <c r="A93" s="463"/>
      <c r="B93" s="464"/>
      <c r="C93" s="464"/>
      <c r="D93" s="464"/>
      <c r="E93" s="464"/>
      <c r="F93" s="464"/>
      <c r="G93" s="464"/>
      <c r="H93" s="464"/>
      <c r="I93" s="464"/>
      <c r="J93" s="464"/>
      <c r="K93" s="464"/>
      <c r="L93" s="464"/>
      <c r="M93" s="464"/>
      <c r="N93" s="464"/>
      <c r="O93" s="464"/>
      <c r="P93" s="464"/>
      <c r="Q93" s="464"/>
      <c r="R93" s="464"/>
      <c r="S93" s="464"/>
      <c r="T93" s="464"/>
      <c r="U93" s="464"/>
      <c r="V93" s="464"/>
      <c r="W93" s="464"/>
      <c r="X93" s="464"/>
      <c r="Y93" s="464"/>
      <c r="Z93" s="464"/>
      <c r="AA93" s="464"/>
      <c r="AB93" s="464"/>
      <c r="AC93" s="464"/>
      <c r="AD93" s="464"/>
      <c r="AE93" s="464"/>
      <c r="AF93" s="464"/>
    </row>
    <row r="94" spans="1:32" ht="15.75" customHeight="1">
      <c r="A94" s="463"/>
      <c r="B94" s="464"/>
      <c r="C94" s="464"/>
      <c r="D94" s="464"/>
      <c r="E94" s="464"/>
      <c r="F94" s="464"/>
      <c r="G94" s="464"/>
      <c r="H94" s="464"/>
      <c r="I94" s="464"/>
      <c r="J94" s="464"/>
      <c r="K94" s="464"/>
      <c r="L94" s="464"/>
      <c r="M94" s="464"/>
      <c r="N94" s="464"/>
      <c r="O94" s="464"/>
      <c r="P94" s="464"/>
      <c r="Q94" s="464"/>
      <c r="R94" s="464"/>
      <c r="S94" s="464"/>
      <c r="T94" s="464"/>
      <c r="U94" s="464"/>
      <c r="V94" s="464"/>
      <c r="W94" s="464"/>
      <c r="X94" s="464"/>
      <c r="Y94" s="464"/>
      <c r="Z94" s="464"/>
      <c r="AA94" s="464"/>
      <c r="AB94" s="464"/>
      <c r="AC94" s="464"/>
      <c r="AD94" s="464"/>
      <c r="AE94" s="464"/>
      <c r="AF94" s="464"/>
    </row>
    <row r="95" spans="1:32" ht="15.75" customHeight="1">
      <c r="A95" s="463"/>
      <c r="B95" s="464"/>
      <c r="C95" s="464"/>
      <c r="D95" s="464"/>
      <c r="E95" s="464"/>
      <c r="F95" s="464"/>
      <c r="G95" s="464"/>
      <c r="H95" s="464"/>
      <c r="I95" s="464"/>
      <c r="J95" s="464"/>
      <c r="K95" s="464"/>
      <c r="L95" s="464"/>
      <c r="M95" s="464"/>
      <c r="N95" s="464"/>
      <c r="O95" s="464"/>
      <c r="P95" s="464"/>
      <c r="Q95" s="464"/>
      <c r="R95" s="464"/>
      <c r="S95" s="464"/>
      <c r="T95" s="464"/>
      <c r="U95" s="464"/>
      <c r="V95" s="464"/>
      <c r="W95" s="464"/>
      <c r="X95" s="464"/>
      <c r="Y95" s="464"/>
      <c r="Z95" s="464"/>
      <c r="AA95" s="464"/>
      <c r="AB95" s="464"/>
      <c r="AC95" s="464"/>
      <c r="AD95" s="464"/>
      <c r="AE95" s="464"/>
      <c r="AF95" s="464"/>
    </row>
    <row r="96" spans="1:32" ht="15.75" customHeight="1">
      <c r="A96" s="463"/>
      <c r="B96" s="464"/>
      <c r="C96" s="464"/>
      <c r="D96" s="464"/>
      <c r="E96" s="464"/>
      <c r="F96" s="464"/>
      <c r="G96" s="464"/>
      <c r="H96" s="464"/>
      <c r="I96" s="464"/>
      <c r="J96" s="464"/>
      <c r="K96" s="464"/>
      <c r="L96" s="464"/>
      <c r="M96" s="464"/>
      <c r="N96" s="464"/>
      <c r="O96" s="464"/>
      <c r="P96" s="464"/>
      <c r="Q96" s="464"/>
      <c r="R96" s="464"/>
      <c r="S96" s="464"/>
      <c r="T96" s="464"/>
      <c r="U96" s="464"/>
      <c r="V96" s="464"/>
      <c r="W96" s="464"/>
      <c r="X96" s="464"/>
      <c r="Y96" s="464"/>
      <c r="Z96" s="464"/>
      <c r="AA96" s="464"/>
      <c r="AB96" s="464"/>
      <c r="AC96" s="464"/>
      <c r="AD96" s="464"/>
      <c r="AE96" s="464"/>
      <c r="AF96" s="464"/>
    </row>
    <row r="97" spans="1:32" ht="15.75" customHeight="1">
      <c r="A97" s="463"/>
      <c r="B97" s="464"/>
      <c r="C97" s="464"/>
      <c r="D97" s="464"/>
      <c r="E97" s="464"/>
      <c r="F97" s="464"/>
      <c r="G97" s="464"/>
      <c r="H97" s="464"/>
      <c r="I97" s="464"/>
      <c r="J97" s="464"/>
      <c r="K97" s="464"/>
      <c r="L97" s="464"/>
      <c r="M97" s="464"/>
      <c r="N97" s="464"/>
      <c r="O97" s="464"/>
      <c r="P97" s="464"/>
      <c r="Q97" s="464"/>
      <c r="R97" s="464"/>
      <c r="S97" s="464"/>
      <c r="T97" s="464"/>
      <c r="U97" s="464"/>
      <c r="V97" s="464"/>
      <c r="W97" s="464"/>
      <c r="X97" s="464"/>
      <c r="Y97" s="464"/>
      <c r="Z97" s="464"/>
      <c r="AA97" s="464"/>
      <c r="AB97" s="464"/>
      <c r="AC97" s="464"/>
      <c r="AD97" s="464"/>
      <c r="AE97" s="464"/>
      <c r="AF97" s="464"/>
    </row>
    <row r="98" spans="1:32" ht="15.75" customHeight="1">
      <c r="A98" s="463"/>
      <c r="B98" s="464"/>
      <c r="C98" s="464"/>
      <c r="D98" s="464"/>
      <c r="E98" s="464"/>
      <c r="F98" s="464"/>
      <c r="G98" s="464"/>
      <c r="H98" s="464"/>
      <c r="I98" s="464"/>
      <c r="J98" s="464"/>
      <c r="K98" s="464"/>
      <c r="L98" s="464"/>
      <c r="M98" s="464"/>
      <c r="N98" s="464"/>
      <c r="O98" s="464"/>
      <c r="P98" s="464"/>
      <c r="Q98" s="464"/>
      <c r="R98" s="464"/>
      <c r="S98" s="464"/>
      <c r="T98" s="464"/>
      <c r="U98" s="464"/>
      <c r="V98" s="464"/>
      <c r="W98" s="464"/>
      <c r="X98" s="464"/>
      <c r="Y98" s="464"/>
      <c r="Z98" s="464"/>
      <c r="AA98" s="464"/>
      <c r="AB98" s="464"/>
      <c r="AC98" s="464"/>
      <c r="AD98" s="464"/>
      <c r="AE98" s="464"/>
      <c r="AF98" s="464"/>
    </row>
    <row r="99" spans="1:32" ht="15.75" customHeight="1">
      <c r="A99" s="463"/>
      <c r="B99" s="464"/>
      <c r="C99" s="464"/>
      <c r="D99" s="464"/>
      <c r="E99" s="464"/>
      <c r="F99" s="464"/>
      <c r="G99" s="464"/>
      <c r="H99" s="464"/>
      <c r="I99" s="464"/>
      <c r="J99" s="464"/>
      <c r="K99" s="464"/>
      <c r="L99" s="464"/>
      <c r="M99" s="464"/>
      <c r="N99" s="464"/>
      <c r="O99" s="464"/>
      <c r="P99" s="464"/>
      <c r="Q99" s="464"/>
      <c r="R99" s="464"/>
      <c r="S99" s="464"/>
      <c r="T99" s="464"/>
      <c r="U99" s="464"/>
      <c r="V99" s="464"/>
      <c r="W99" s="464"/>
      <c r="X99" s="464"/>
      <c r="Y99" s="464"/>
      <c r="Z99" s="464"/>
      <c r="AA99" s="464"/>
      <c r="AB99" s="464"/>
      <c r="AC99" s="464"/>
      <c r="AD99" s="464"/>
      <c r="AE99" s="464"/>
      <c r="AF99" s="464"/>
    </row>
    <row r="100" spans="1:32" ht="15.75" customHeight="1">
      <c r="A100" s="463"/>
      <c r="B100" s="464"/>
      <c r="C100" s="464"/>
      <c r="D100" s="464"/>
      <c r="E100" s="464"/>
      <c r="F100" s="464"/>
      <c r="G100" s="464"/>
      <c r="H100" s="464"/>
      <c r="I100" s="464"/>
      <c r="J100" s="464"/>
      <c r="K100" s="464"/>
      <c r="L100" s="464"/>
      <c r="M100" s="464"/>
      <c r="N100" s="464"/>
      <c r="O100" s="464"/>
      <c r="P100" s="464"/>
      <c r="Q100" s="464"/>
      <c r="R100" s="464"/>
      <c r="S100" s="464"/>
      <c r="T100" s="464"/>
      <c r="U100" s="464"/>
      <c r="V100" s="464"/>
      <c r="W100" s="464"/>
      <c r="X100" s="464"/>
      <c r="Y100" s="464"/>
      <c r="Z100" s="464"/>
      <c r="AA100" s="464"/>
      <c r="AB100" s="464"/>
      <c r="AC100" s="464"/>
      <c r="AD100" s="464"/>
      <c r="AE100" s="464"/>
      <c r="AF100" s="464"/>
    </row>
    <row r="101" spans="1:32" ht="15.75" customHeight="1">
      <c r="A101" s="463"/>
      <c r="B101" s="464"/>
      <c r="C101" s="464"/>
      <c r="D101" s="464"/>
      <c r="E101" s="464"/>
      <c r="F101" s="464"/>
      <c r="G101" s="464"/>
      <c r="H101" s="464"/>
      <c r="I101" s="464"/>
      <c r="J101" s="464"/>
      <c r="K101" s="464"/>
      <c r="L101" s="464"/>
      <c r="M101" s="464"/>
      <c r="N101" s="464"/>
      <c r="O101" s="464"/>
      <c r="P101" s="464"/>
      <c r="Q101" s="464"/>
      <c r="R101" s="464"/>
      <c r="S101" s="464"/>
      <c r="T101" s="464"/>
      <c r="U101" s="464"/>
      <c r="V101" s="464"/>
      <c r="W101" s="464"/>
      <c r="X101" s="464"/>
      <c r="Y101" s="464"/>
      <c r="Z101" s="464"/>
      <c r="AA101" s="464"/>
      <c r="AB101" s="464"/>
      <c r="AC101" s="464"/>
      <c r="AD101" s="464"/>
      <c r="AE101" s="464"/>
      <c r="AF101" s="464"/>
    </row>
    <row r="102" spans="1:32" ht="15.75" customHeight="1">
      <c r="A102" s="463"/>
      <c r="B102" s="464"/>
      <c r="C102" s="464"/>
      <c r="D102" s="464"/>
      <c r="E102" s="464"/>
      <c r="F102" s="464"/>
      <c r="G102" s="464"/>
      <c r="H102" s="464"/>
      <c r="I102" s="464"/>
      <c r="J102" s="464"/>
      <c r="K102" s="464"/>
      <c r="L102" s="464"/>
      <c r="M102" s="464"/>
      <c r="N102" s="464"/>
      <c r="O102" s="464"/>
      <c r="P102" s="464"/>
      <c r="Q102" s="464"/>
      <c r="R102" s="464"/>
      <c r="S102" s="464"/>
      <c r="T102" s="464"/>
      <c r="U102" s="464"/>
      <c r="V102" s="464"/>
      <c r="W102" s="464"/>
      <c r="X102" s="464"/>
      <c r="Y102" s="464"/>
      <c r="Z102" s="464"/>
      <c r="AA102" s="464"/>
      <c r="AB102" s="464"/>
      <c r="AC102" s="464"/>
      <c r="AD102" s="464"/>
      <c r="AE102" s="464"/>
      <c r="AF102" s="464"/>
    </row>
    <row r="103" spans="1:32" ht="15.75" customHeight="1">
      <c r="A103" s="463"/>
      <c r="B103" s="464"/>
      <c r="C103" s="464"/>
      <c r="D103" s="464"/>
      <c r="E103" s="464"/>
      <c r="F103" s="464"/>
      <c r="G103" s="464"/>
      <c r="H103" s="464"/>
      <c r="I103" s="464"/>
      <c r="J103" s="464"/>
      <c r="K103" s="464"/>
      <c r="L103" s="464"/>
      <c r="M103" s="464"/>
      <c r="N103" s="464"/>
      <c r="O103" s="464"/>
      <c r="P103" s="464"/>
      <c r="Q103" s="464"/>
      <c r="R103" s="464"/>
      <c r="S103" s="464"/>
      <c r="T103" s="464"/>
      <c r="U103" s="464"/>
      <c r="V103" s="464"/>
      <c r="W103" s="464"/>
      <c r="X103" s="464"/>
      <c r="Y103" s="464"/>
      <c r="Z103" s="464"/>
      <c r="AA103" s="464"/>
      <c r="AB103" s="464"/>
      <c r="AC103" s="464"/>
      <c r="AD103" s="464"/>
      <c r="AE103" s="464"/>
      <c r="AF103" s="464"/>
    </row>
    <row r="104" spans="1:32" ht="15.75" customHeight="1">
      <c r="A104" s="463"/>
      <c r="B104" s="464"/>
      <c r="C104" s="464"/>
      <c r="D104" s="464"/>
      <c r="E104" s="464"/>
      <c r="F104" s="464"/>
      <c r="G104" s="464"/>
      <c r="H104" s="464"/>
      <c r="I104" s="464"/>
      <c r="J104" s="464"/>
      <c r="K104" s="464"/>
      <c r="L104" s="464"/>
      <c r="M104" s="464"/>
      <c r="N104" s="464"/>
      <c r="O104" s="464"/>
      <c r="P104" s="464"/>
      <c r="Q104" s="464"/>
      <c r="R104" s="464"/>
      <c r="S104" s="464"/>
      <c r="T104" s="464"/>
      <c r="U104" s="464"/>
      <c r="V104" s="464"/>
      <c r="W104" s="464"/>
      <c r="X104" s="464"/>
      <c r="Y104" s="464"/>
      <c r="Z104" s="464"/>
      <c r="AA104" s="464"/>
      <c r="AB104" s="464"/>
      <c r="AC104" s="464"/>
      <c r="AD104" s="464"/>
      <c r="AE104" s="464"/>
      <c r="AF104" s="464"/>
    </row>
    <row r="105" spans="1:32" ht="15.75" customHeight="1">
      <c r="A105" s="463"/>
      <c r="B105" s="464"/>
      <c r="C105" s="464"/>
      <c r="D105" s="464"/>
      <c r="E105" s="464"/>
      <c r="F105" s="464"/>
      <c r="G105" s="464"/>
      <c r="H105" s="464"/>
      <c r="I105" s="464"/>
      <c r="J105" s="464"/>
      <c r="K105" s="464"/>
      <c r="L105" s="464"/>
      <c r="M105" s="464"/>
      <c r="N105" s="464"/>
      <c r="O105" s="464"/>
      <c r="P105" s="464"/>
      <c r="Q105" s="464"/>
      <c r="R105" s="464"/>
      <c r="S105" s="464"/>
      <c r="T105" s="464"/>
      <c r="U105" s="464"/>
      <c r="V105" s="464"/>
      <c r="W105" s="464"/>
      <c r="X105" s="464"/>
      <c r="Y105" s="464"/>
      <c r="Z105" s="464"/>
      <c r="AA105" s="464"/>
      <c r="AB105" s="464"/>
      <c r="AC105" s="464"/>
      <c r="AD105" s="464"/>
      <c r="AE105" s="464"/>
      <c r="AF105" s="464"/>
    </row>
    <row r="106" spans="1:32" ht="15.75" customHeight="1">
      <c r="A106" s="463"/>
      <c r="B106" s="464"/>
      <c r="C106" s="464"/>
      <c r="D106" s="464"/>
      <c r="E106" s="464"/>
      <c r="F106" s="464"/>
      <c r="G106" s="464"/>
      <c r="H106" s="464"/>
      <c r="I106" s="464"/>
      <c r="J106" s="464"/>
      <c r="K106" s="464"/>
      <c r="L106" s="464"/>
      <c r="M106" s="464"/>
      <c r="N106" s="464"/>
      <c r="O106" s="464"/>
      <c r="P106" s="464"/>
      <c r="Q106" s="464"/>
      <c r="R106" s="464"/>
      <c r="S106" s="464"/>
      <c r="T106" s="464"/>
      <c r="U106" s="464"/>
      <c r="V106" s="464"/>
      <c r="W106" s="464"/>
      <c r="X106" s="464"/>
      <c r="Y106" s="464"/>
      <c r="Z106" s="464"/>
      <c r="AA106" s="464"/>
      <c r="AB106" s="464"/>
      <c r="AC106" s="464"/>
      <c r="AD106" s="464"/>
      <c r="AE106" s="464"/>
      <c r="AF106" s="464"/>
    </row>
    <row r="107" spans="1:32" ht="15.75" customHeight="1">
      <c r="A107" s="463"/>
      <c r="B107" s="464"/>
      <c r="C107" s="464"/>
      <c r="D107" s="464"/>
      <c r="E107" s="464"/>
      <c r="F107" s="464"/>
      <c r="G107" s="464"/>
      <c r="H107" s="464"/>
      <c r="I107" s="464"/>
      <c r="J107" s="464"/>
      <c r="K107" s="464"/>
      <c r="L107" s="464"/>
      <c r="M107" s="464"/>
      <c r="N107" s="464"/>
      <c r="O107" s="464"/>
      <c r="P107" s="464"/>
      <c r="Q107" s="464"/>
      <c r="R107" s="464"/>
      <c r="S107" s="464"/>
      <c r="T107" s="464"/>
      <c r="U107" s="464"/>
      <c r="V107" s="464"/>
      <c r="W107" s="464"/>
      <c r="X107" s="464"/>
      <c r="Y107" s="464"/>
      <c r="Z107" s="464"/>
      <c r="AA107" s="464"/>
      <c r="AB107" s="464"/>
      <c r="AC107" s="464"/>
      <c r="AD107" s="464"/>
      <c r="AE107" s="464"/>
      <c r="AF107" s="464"/>
    </row>
    <row r="108" spans="1:32" ht="15.75" customHeight="1">
      <c r="A108" s="463"/>
      <c r="B108" s="464"/>
      <c r="C108" s="464"/>
      <c r="D108" s="464"/>
      <c r="E108" s="464"/>
      <c r="F108" s="464"/>
      <c r="G108" s="464"/>
      <c r="H108" s="464"/>
      <c r="I108" s="464"/>
      <c r="J108" s="464"/>
      <c r="K108" s="464"/>
      <c r="L108" s="464"/>
      <c r="M108" s="464"/>
      <c r="N108" s="464"/>
      <c r="O108" s="464"/>
      <c r="P108" s="464"/>
      <c r="Q108" s="464"/>
      <c r="R108" s="464"/>
      <c r="S108" s="464"/>
      <c r="T108" s="464"/>
      <c r="U108" s="464"/>
      <c r="V108" s="464"/>
      <c r="W108" s="464"/>
      <c r="X108" s="464"/>
      <c r="Y108" s="464"/>
      <c r="Z108" s="464"/>
      <c r="AA108" s="464"/>
      <c r="AB108" s="464"/>
      <c r="AC108" s="464"/>
      <c r="AD108" s="464"/>
      <c r="AE108" s="464"/>
      <c r="AF108" s="464"/>
    </row>
    <row r="109" spans="1:32" ht="15.75" customHeight="1">
      <c r="A109" s="463"/>
      <c r="B109" s="464"/>
      <c r="C109" s="464"/>
      <c r="D109" s="464"/>
      <c r="E109" s="464"/>
      <c r="F109" s="464"/>
      <c r="G109" s="464"/>
      <c r="H109" s="464"/>
      <c r="I109" s="464"/>
      <c r="J109" s="464"/>
      <c r="K109" s="464"/>
      <c r="L109" s="464"/>
      <c r="M109" s="464"/>
      <c r="N109" s="464"/>
      <c r="O109" s="464"/>
      <c r="P109" s="464"/>
      <c r="Q109" s="464"/>
      <c r="R109" s="464"/>
      <c r="S109" s="464"/>
      <c r="T109" s="464"/>
      <c r="U109" s="464"/>
      <c r="V109" s="464"/>
      <c r="W109" s="464"/>
      <c r="X109" s="464"/>
      <c r="Y109" s="464"/>
      <c r="Z109" s="464"/>
      <c r="AA109" s="464"/>
      <c r="AB109" s="464"/>
      <c r="AC109" s="464"/>
      <c r="AD109" s="464"/>
      <c r="AE109" s="464"/>
      <c r="AF109" s="464"/>
    </row>
    <row r="110" spans="1:32" ht="15.75" customHeight="1">
      <c r="A110" s="463"/>
      <c r="B110" s="464"/>
      <c r="C110" s="464"/>
      <c r="D110" s="464"/>
      <c r="E110" s="464"/>
      <c r="F110" s="464"/>
      <c r="G110" s="464"/>
      <c r="H110" s="464"/>
      <c r="I110" s="464"/>
      <c r="J110" s="464"/>
      <c r="K110" s="464"/>
      <c r="L110" s="464"/>
      <c r="M110" s="464"/>
      <c r="N110" s="464"/>
      <c r="O110" s="464"/>
      <c r="P110" s="464"/>
      <c r="Q110" s="464"/>
      <c r="R110" s="464"/>
      <c r="S110" s="464"/>
      <c r="T110" s="464"/>
      <c r="U110" s="464"/>
      <c r="V110" s="464"/>
      <c r="W110" s="464"/>
      <c r="X110" s="464"/>
      <c r="Y110" s="464"/>
      <c r="Z110" s="464"/>
      <c r="AA110" s="464"/>
      <c r="AB110" s="464"/>
      <c r="AC110" s="464"/>
      <c r="AD110" s="464"/>
      <c r="AE110" s="464"/>
      <c r="AF110" s="464"/>
    </row>
    <row r="111" spans="1:32" ht="15.75" customHeight="1">
      <c r="A111" s="463"/>
      <c r="B111" s="464"/>
      <c r="C111" s="464"/>
      <c r="D111" s="464"/>
      <c r="E111" s="464"/>
      <c r="F111" s="464"/>
      <c r="G111" s="464"/>
      <c r="H111" s="464"/>
      <c r="I111" s="464"/>
      <c r="J111" s="464"/>
      <c r="K111" s="464"/>
      <c r="L111" s="464"/>
      <c r="M111" s="464"/>
      <c r="N111" s="464"/>
      <c r="O111" s="464"/>
      <c r="P111" s="464"/>
      <c r="Q111" s="464"/>
      <c r="R111" s="464"/>
      <c r="S111" s="464"/>
      <c r="T111" s="464"/>
      <c r="U111" s="464"/>
      <c r="V111" s="464"/>
      <c r="W111" s="464"/>
      <c r="X111" s="464"/>
      <c r="Y111" s="464"/>
      <c r="Z111" s="464"/>
      <c r="AA111" s="464"/>
      <c r="AB111" s="464"/>
      <c r="AC111" s="464"/>
      <c r="AD111" s="464"/>
      <c r="AE111" s="464"/>
      <c r="AF111" s="464"/>
    </row>
    <row r="112" spans="1:32" ht="15.75" customHeight="1">
      <c r="A112" s="463"/>
      <c r="B112" s="464"/>
      <c r="C112" s="464"/>
      <c r="D112" s="464"/>
      <c r="E112" s="464"/>
      <c r="F112" s="464"/>
      <c r="G112" s="464"/>
      <c r="H112" s="464"/>
      <c r="I112" s="464"/>
      <c r="J112" s="464"/>
      <c r="K112" s="464"/>
      <c r="L112" s="464"/>
      <c r="M112" s="464"/>
      <c r="N112" s="464"/>
      <c r="O112" s="464"/>
      <c r="P112" s="464"/>
      <c r="Q112" s="464"/>
      <c r="R112" s="464"/>
      <c r="S112" s="464"/>
      <c r="T112" s="464"/>
      <c r="U112" s="464"/>
      <c r="V112" s="464"/>
      <c r="W112" s="464"/>
      <c r="X112" s="464"/>
      <c r="Y112" s="464"/>
      <c r="Z112" s="464"/>
      <c r="AA112" s="464"/>
      <c r="AB112" s="464"/>
      <c r="AC112" s="464"/>
      <c r="AD112" s="464"/>
      <c r="AE112" s="464"/>
      <c r="AF112" s="464"/>
    </row>
    <row r="113" spans="1:32" ht="15.75" customHeight="1">
      <c r="A113" s="463"/>
      <c r="B113" s="464"/>
      <c r="C113" s="464"/>
      <c r="D113" s="464"/>
      <c r="E113" s="464"/>
      <c r="F113" s="464"/>
      <c r="G113" s="464"/>
      <c r="H113" s="464"/>
      <c r="I113" s="464"/>
      <c r="J113" s="464"/>
      <c r="K113" s="464"/>
      <c r="L113" s="464"/>
      <c r="M113" s="464"/>
      <c r="N113" s="464"/>
      <c r="O113" s="464"/>
      <c r="P113" s="464"/>
      <c r="Q113" s="464"/>
      <c r="R113" s="464"/>
      <c r="S113" s="464"/>
      <c r="T113" s="464"/>
      <c r="U113" s="464"/>
      <c r="V113" s="464"/>
      <c r="W113" s="464"/>
      <c r="X113" s="464"/>
      <c r="Y113" s="464"/>
      <c r="Z113" s="464"/>
      <c r="AA113" s="464"/>
      <c r="AB113" s="464"/>
      <c r="AC113" s="464"/>
      <c r="AD113" s="464"/>
      <c r="AE113" s="464"/>
      <c r="AF113" s="464"/>
    </row>
    <row r="114" spans="1:32" ht="15.75" customHeight="1">
      <c r="A114" s="463"/>
      <c r="B114" s="464"/>
      <c r="C114" s="464"/>
      <c r="D114" s="464"/>
      <c r="E114" s="464"/>
      <c r="F114" s="464"/>
      <c r="G114" s="464"/>
      <c r="H114" s="464"/>
      <c r="I114" s="464"/>
      <c r="J114" s="464"/>
      <c r="K114" s="464"/>
      <c r="L114" s="464"/>
      <c r="M114" s="464"/>
      <c r="N114" s="464"/>
      <c r="O114" s="464"/>
      <c r="P114" s="464"/>
      <c r="Q114" s="464"/>
      <c r="R114" s="464"/>
      <c r="S114" s="464"/>
      <c r="T114" s="464"/>
      <c r="U114" s="464"/>
      <c r="V114" s="464"/>
      <c r="W114" s="464"/>
      <c r="X114" s="464"/>
      <c r="Y114" s="464"/>
      <c r="Z114" s="464"/>
      <c r="AA114" s="464"/>
      <c r="AB114" s="464"/>
      <c r="AC114" s="464"/>
      <c r="AD114" s="464"/>
      <c r="AE114" s="464"/>
      <c r="AF114" s="464"/>
    </row>
    <row r="115" spans="1:32" ht="15.75" customHeight="1">
      <c r="A115" s="463"/>
      <c r="B115" s="464"/>
      <c r="C115" s="464"/>
      <c r="D115" s="464"/>
      <c r="E115" s="464"/>
      <c r="F115" s="464"/>
      <c r="G115" s="464"/>
      <c r="H115" s="464"/>
      <c r="I115" s="464"/>
      <c r="J115" s="464"/>
      <c r="K115" s="464"/>
      <c r="L115" s="464"/>
      <c r="M115" s="464"/>
      <c r="N115" s="464"/>
      <c r="O115" s="464"/>
      <c r="P115" s="464"/>
      <c r="Q115" s="464"/>
      <c r="R115" s="464"/>
      <c r="S115" s="464"/>
      <c r="T115" s="464"/>
      <c r="U115" s="464"/>
      <c r="V115" s="464"/>
      <c r="W115" s="464"/>
      <c r="X115" s="464"/>
      <c r="Y115" s="464"/>
      <c r="Z115" s="464"/>
      <c r="AA115" s="464"/>
      <c r="AB115" s="464"/>
      <c r="AC115" s="464"/>
      <c r="AD115" s="464"/>
      <c r="AE115" s="464"/>
      <c r="AF115" s="464"/>
    </row>
    <row r="116" spans="1:32" ht="15.75" customHeight="1">
      <c r="A116" s="463"/>
      <c r="B116" s="464"/>
      <c r="C116" s="464"/>
      <c r="D116" s="464"/>
      <c r="E116" s="464"/>
      <c r="F116" s="464"/>
      <c r="G116" s="464"/>
      <c r="H116" s="464"/>
      <c r="I116" s="464"/>
      <c r="J116" s="464"/>
      <c r="K116" s="464"/>
      <c r="L116" s="464"/>
      <c r="M116" s="464"/>
      <c r="N116" s="464"/>
      <c r="O116" s="464"/>
      <c r="P116" s="464"/>
      <c r="Q116" s="464"/>
      <c r="R116" s="464"/>
      <c r="S116" s="464"/>
      <c r="T116" s="464"/>
      <c r="U116" s="464"/>
      <c r="V116" s="464"/>
      <c r="W116" s="464"/>
      <c r="X116" s="464"/>
      <c r="Y116" s="464"/>
      <c r="Z116" s="464"/>
      <c r="AA116" s="464"/>
      <c r="AB116" s="464"/>
      <c r="AC116" s="464"/>
      <c r="AD116" s="464"/>
      <c r="AE116" s="464"/>
      <c r="AF116" s="464"/>
    </row>
    <row r="117" spans="1:32" ht="15.75" customHeight="1">
      <c r="A117" s="463"/>
      <c r="B117" s="464"/>
      <c r="C117" s="464"/>
      <c r="D117" s="464"/>
      <c r="E117" s="464"/>
      <c r="F117" s="464"/>
      <c r="G117" s="464"/>
      <c r="H117" s="464"/>
      <c r="I117" s="464"/>
      <c r="J117" s="464"/>
      <c r="K117" s="464"/>
      <c r="L117" s="464"/>
      <c r="M117" s="464"/>
      <c r="N117" s="464"/>
      <c r="O117" s="464"/>
      <c r="P117" s="464"/>
      <c r="Q117" s="464"/>
      <c r="R117" s="464"/>
      <c r="S117" s="464"/>
      <c r="T117" s="464"/>
      <c r="U117" s="464"/>
      <c r="V117" s="464"/>
      <c r="W117" s="464"/>
      <c r="X117" s="464"/>
      <c r="Y117" s="464"/>
      <c r="Z117" s="464"/>
      <c r="AA117" s="464"/>
      <c r="AB117" s="464"/>
      <c r="AC117" s="464"/>
      <c r="AD117" s="464"/>
      <c r="AE117" s="464"/>
      <c r="AF117" s="464"/>
    </row>
    <row r="118" spans="1:32" ht="15.75" customHeight="1">
      <c r="A118" s="463"/>
      <c r="B118" s="464"/>
      <c r="C118" s="464"/>
      <c r="D118" s="464"/>
      <c r="E118" s="464"/>
      <c r="F118" s="464"/>
      <c r="G118" s="464"/>
      <c r="H118" s="464"/>
      <c r="I118" s="464"/>
      <c r="J118" s="464"/>
      <c r="K118" s="464"/>
      <c r="L118" s="464"/>
      <c r="M118" s="464"/>
      <c r="N118" s="464"/>
      <c r="O118" s="464"/>
      <c r="P118" s="464"/>
      <c r="Q118" s="464"/>
      <c r="R118" s="464"/>
      <c r="S118" s="464"/>
      <c r="T118" s="464"/>
      <c r="U118" s="464"/>
      <c r="V118" s="464"/>
      <c r="W118" s="464"/>
      <c r="X118" s="464"/>
      <c r="Y118" s="464"/>
      <c r="Z118" s="464"/>
      <c r="AA118" s="464"/>
      <c r="AB118" s="464"/>
      <c r="AC118" s="464"/>
      <c r="AD118" s="464"/>
      <c r="AE118" s="464"/>
      <c r="AF118" s="464"/>
    </row>
    <row r="119" spans="1:32" ht="15.75" customHeight="1">
      <c r="A119" s="463"/>
      <c r="B119" s="464"/>
      <c r="C119" s="464"/>
      <c r="D119" s="464"/>
      <c r="E119" s="464"/>
      <c r="F119" s="464"/>
      <c r="G119" s="464"/>
      <c r="H119" s="464"/>
      <c r="I119" s="464"/>
      <c r="J119" s="464"/>
      <c r="K119" s="464"/>
      <c r="L119" s="464"/>
      <c r="M119" s="464"/>
      <c r="N119" s="464"/>
      <c r="O119" s="464"/>
      <c r="P119" s="464"/>
      <c r="Q119" s="464"/>
      <c r="R119" s="464"/>
      <c r="S119" s="464"/>
      <c r="T119" s="464"/>
      <c r="U119" s="464"/>
      <c r="V119" s="464"/>
      <c r="W119" s="464"/>
      <c r="X119" s="464"/>
      <c r="Y119" s="464"/>
      <c r="Z119" s="464"/>
      <c r="AA119" s="464"/>
      <c r="AB119" s="464"/>
      <c r="AC119" s="464"/>
      <c r="AD119" s="464"/>
      <c r="AE119" s="464"/>
      <c r="AF119" s="464"/>
    </row>
    <row r="120" spans="1:32" ht="15.75" customHeight="1">
      <c r="A120" s="463"/>
      <c r="B120" s="464"/>
      <c r="C120" s="464"/>
      <c r="D120" s="464"/>
      <c r="E120" s="464"/>
      <c r="F120" s="464"/>
      <c r="G120" s="464"/>
      <c r="H120" s="464"/>
      <c r="I120" s="464"/>
      <c r="J120" s="464"/>
      <c r="K120" s="464"/>
      <c r="L120" s="464"/>
      <c r="M120" s="464"/>
      <c r="N120" s="464"/>
      <c r="O120" s="464"/>
      <c r="P120" s="464"/>
      <c r="Q120" s="464"/>
      <c r="R120" s="464"/>
      <c r="S120" s="464"/>
      <c r="T120" s="464"/>
      <c r="U120" s="464"/>
      <c r="V120" s="464"/>
      <c r="W120" s="464"/>
      <c r="X120" s="464"/>
      <c r="Y120" s="464"/>
      <c r="Z120" s="464"/>
      <c r="AA120" s="464"/>
      <c r="AB120" s="464"/>
      <c r="AC120" s="464"/>
      <c r="AD120" s="464"/>
      <c r="AE120" s="464"/>
      <c r="AF120" s="464"/>
    </row>
    <row r="121" spans="1:32" ht="15.75" customHeight="1">
      <c r="A121" s="463"/>
      <c r="B121" s="464"/>
      <c r="C121" s="464"/>
      <c r="D121" s="464"/>
      <c r="E121" s="464"/>
      <c r="F121" s="464"/>
      <c r="G121" s="464"/>
      <c r="H121" s="464"/>
      <c r="I121" s="464"/>
      <c r="J121" s="464"/>
      <c r="K121" s="464"/>
      <c r="L121" s="464"/>
      <c r="M121" s="464"/>
      <c r="N121" s="464"/>
      <c r="O121" s="464"/>
      <c r="P121" s="464"/>
      <c r="Q121" s="464"/>
      <c r="R121" s="464"/>
      <c r="S121" s="464"/>
      <c r="T121" s="464"/>
      <c r="U121" s="464"/>
      <c r="V121" s="464"/>
      <c r="W121" s="464"/>
      <c r="X121" s="464"/>
      <c r="Y121" s="464"/>
      <c r="Z121" s="464"/>
      <c r="AA121" s="464"/>
      <c r="AB121" s="464"/>
      <c r="AC121" s="464"/>
      <c r="AD121" s="464"/>
      <c r="AE121" s="464"/>
      <c r="AF121" s="464"/>
    </row>
    <row r="122" spans="1:32" ht="15.75" customHeight="1">
      <c r="A122" s="463"/>
      <c r="B122" s="464"/>
      <c r="C122" s="464"/>
      <c r="D122" s="464"/>
      <c r="E122" s="464"/>
      <c r="F122" s="464"/>
      <c r="G122" s="464"/>
      <c r="H122" s="464"/>
      <c r="I122" s="464"/>
      <c r="J122" s="464"/>
      <c r="K122" s="464"/>
      <c r="L122" s="464"/>
      <c r="M122" s="464"/>
      <c r="N122" s="464"/>
      <c r="O122" s="464"/>
      <c r="P122" s="464"/>
      <c r="Q122" s="464"/>
      <c r="R122" s="464"/>
      <c r="S122" s="464"/>
      <c r="T122" s="464"/>
      <c r="U122" s="464"/>
      <c r="V122" s="464"/>
      <c r="W122" s="464"/>
      <c r="X122" s="464"/>
      <c r="Y122" s="464"/>
      <c r="Z122" s="464"/>
      <c r="AA122" s="464"/>
      <c r="AB122" s="464"/>
      <c r="AC122" s="464"/>
      <c r="AD122" s="464"/>
      <c r="AE122" s="464"/>
      <c r="AF122" s="464"/>
    </row>
    <row r="123" spans="1:32" ht="15.75" customHeight="1">
      <c r="A123" s="463"/>
      <c r="B123" s="464"/>
      <c r="C123" s="464"/>
      <c r="D123" s="464"/>
      <c r="E123" s="464"/>
      <c r="F123" s="464"/>
      <c r="G123" s="464"/>
      <c r="H123" s="464"/>
      <c r="I123" s="464"/>
      <c r="J123" s="464"/>
      <c r="K123" s="464"/>
      <c r="L123" s="464"/>
      <c r="M123" s="464"/>
      <c r="N123" s="464"/>
      <c r="O123" s="464"/>
      <c r="P123" s="464"/>
      <c r="Q123" s="464"/>
      <c r="R123" s="464"/>
      <c r="S123" s="464"/>
      <c r="T123" s="464"/>
      <c r="U123" s="464"/>
      <c r="V123" s="464"/>
      <c r="W123" s="464"/>
      <c r="X123" s="464"/>
      <c r="Y123" s="464"/>
      <c r="Z123" s="464"/>
      <c r="AA123" s="464"/>
      <c r="AB123" s="464"/>
      <c r="AC123" s="464"/>
      <c r="AD123" s="464"/>
      <c r="AE123" s="464"/>
      <c r="AF123" s="464"/>
    </row>
    <row r="124" spans="1:32" ht="15.75" customHeight="1">
      <c r="A124" s="463"/>
      <c r="B124" s="464"/>
      <c r="C124" s="464"/>
      <c r="D124" s="464"/>
      <c r="E124" s="464"/>
      <c r="F124" s="464"/>
      <c r="G124" s="464"/>
      <c r="H124" s="464"/>
      <c r="I124" s="464"/>
      <c r="J124" s="464"/>
      <c r="K124" s="464"/>
      <c r="L124" s="464"/>
      <c r="M124" s="464"/>
      <c r="N124" s="464"/>
      <c r="O124" s="464"/>
      <c r="P124" s="464"/>
      <c r="Q124" s="464"/>
      <c r="R124" s="464"/>
      <c r="S124" s="464"/>
      <c r="T124" s="464"/>
      <c r="U124" s="464"/>
      <c r="V124" s="464"/>
      <c r="W124" s="464"/>
      <c r="X124" s="464"/>
      <c r="Y124" s="464"/>
      <c r="Z124" s="464"/>
      <c r="AA124" s="464"/>
      <c r="AB124" s="464"/>
      <c r="AC124" s="464"/>
      <c r="AD124" s="464"/>
      <c r="AE124" s="464"/>
      <c r="AF124" s="464"/>
    </row>
    <row r="125" spans="1:32" ht="15.75" customHeight="1">
      <c r="A125" s="463"/>
      <c r="B125" s="464"/>
      <c r="C125" s="464"/>
      <c r="D125" s="464"/>
      <c r="E125" s="464"/>
      <c r="F125" s="464"/>
      <c r="G125" s="464"/>
      <c r="H125" s="464"/>
      <c r="I125" s="464"/>
      <c r="J125" s="464"/>
      <c r="K125" s="464"/>
      <c r="L125" s="464"/>
      <c r="M125" s="464"/>
      <c r="N125" s="464"/>
      <c r="O125" s="464"/>
      <c r="P125" s="464"/>
      <c r="Q125" s="464"/>
      <c r="R125" s="464"/>
      <c r="S125" s="464"/>
      <c r="T125" s="464"/>
      <c r="U125" s="464"/>
      <c r="V125" s="464"/>
      <c r="W125" s="464"/>
      <c r="X125" s="464"/>
      <c r="Y125" s="464"/>
      <c r="Z125" s="464"/>
      <c r="AA125" s="464"/>
      <c r="AB125" s="464"/>
      <c r="AC125" s="464"/>
      <c r="AD125" s="464"/>
      <c r="AE125" s="464"/>
      <c r="AF125" s="464"/>
    </row>
    <row r="126" spans="1:32" ht="15.75" customHeight="1">
      <c r="A126" s="463"/>
      <c r="B126" s="464"/>
      <c r="C126" s="464"/>
      <c r="D126" s="464"/>
      <c r="E126" s="464"/>
      <c r="F126" s="464"/>
      <c r="G126" s="464"/>
      <c r="H126" s="464"/>
      <c r="I126" s="464"/>
      <c r="J126" s="464"/>
      <c r="K126" s="464"/>
      <c r="L126" s="464"/>
      <c r="M126" s="464"/>
      <c r="N126" s="464"/>
      <c r="O126" s="464"/>
      <c r="P126" s="464"/>
      <c r="Q126" s="464"/>
      <c r="R126" s="464"/>
      <c r="S126" s="464"/>
      <c r="T126" s="464"/>
      <c r="U126" s="464"/>
      <c r="V126" s="464"/>
      <c r="W126" s="464"/>
      <c r="X126" s="464"/>
      <c r="Y126" s="464"/>
      <c r="Z126" s="464"/>
      <c r="AA126" s="464"/>
      <c r="AB126" s="464"/>
      <c r="AC126" s="464"/>
      <c r="AD126" s="464"/>
      <c r="AE126" s="464"/>
      <c r="AF126" s="464"/>
    </row>
    <row r="127" spans="1:32" ht="15.75" customHeight="1">
      <c r="A127" s="463"/>
      <c r="B127" s="464"/>
      <c r="C127" s="464"/>
      <c r="D127" s="464"/>
      <c r="E127" s="464"/>
      <c r="F127" s="464"/>
      <c r="G127" s="464"/>
      <c r="H127" s="464"/>
      <c r="I127" s="464"/>
      <c r="J127" s="464"/>
      <c r="K127" s="464"/>
      <c r="L127" s="464"/>
      <c r="M127" s="464"/>
      <c r="N127" s="464"/>
      <c r="O127" s="464"/>
      <c r="P127" s="464"/>
      <c r="Q127" s="464"/>
      <c r="R127" s="464"/>
      <c r="S127" s="464"/>
      <c r="T127" s="464"/>
      <c r="U127" s="464"/>
      <c r="V127" s="464"/>
      <c r="W127" s="464"/>
      <c r="X127" s="464"/>
      <c r="Y127" s="464"/>
      <c r="Z127" s="464"/>
      <c r="AA127" s="464"/>
      <c r="AB127" s="464"/>
      <c r="AC127" s="464"/>
      <c r="AD127" s="464"/>
      <c r="AE127" s="464"/>
      <c r="AF127" s="464"/>
    </row>
    <row r="128" spans="1:32" ht="15.75" customHeight="1">
      <c r="A128" s="463"/>
      <c r="B128" s="464"/>
      <c r="C128" s="464"/>
      <c r="D128" s="464"/>
      <c r="E128" s="464"/>
      <c r="F128" s="464"/>
      <c r="G128" s="464"/>
      <c r="H128" s="464"/>
      <c r="I128" s="464"/>
      <c r="J128" s="464"/>
      <c r="K128" s="464"/>
      <c r="L128" s="464"/>
      <c r="M128" s="464"/>
      <c r="N128" s="464"/>
      <c r="O128" s="464"/>
      <c r="P128" s="464"/>
      <c r="Q128" s="464"/>
      <c r="R128" s="464"/>
      <c r="S128" s="464"/>
      <c r="T128" s="464"/>
      <c r="U128" s="464"/>
      <c r="V128" s="464"/>
      <c r="W128" s="464"/>
      <c r="X128" s="464"/>
      <c r="Y128" s="464"/>
      <c r="Z128" s="464"/>
      <c r="AA128" s="464"/>
      <c r="AB128" s="464"/>
      <c r="AC128" s="464"/>
      <c r="AD128" s="464"/>
      <c r="AE128" s="464"/>
      <c r="AF128" s="464"/>
    </row>
    <row r="129" spans="1:32" ht="15.75" customHeight="1">
      <c r="A129" s="463"/>
      <c r="B129" s="464"/>
      <c r="C129" s="464"/>
      <c r="D129" s="464"/>
      <c r="E129" s="464"/>
      <c r="F129" s="464"/>
      <c r="G129" s="464"/>
      <c r="H129" s="464"/>
      <c r="I129" s="464"/>
      <c r="J129" s="464"/>
      <c r="K129" s="464"/>
      <c r="L129" s="464"/>
      <c r="M129" s="464"/>
      <c r="N129" s="464"/>
      <c r="O129" s="464"/>
      <c r="P129" s="464"/>
      <c r="Q129" s="464"/>
      <c r="R129" s="464"/>
      <c r="S129" s="464"/>
      <c r="T129" s="464"/>
      <c r="U129" s="464"/>
      <c r="V129" s="464"/>
      <c r="W129" s="464"/>
      <c r="X129" s="464"/>
      <c r="Y129" s="464"/>
      <c r="Z129" s="464"/>
      <c r="AA129" s="464"/>
      <c r="AB129" s="464"/>
      <c r="AC129" s="464"/>
      <c r="AD129" s="464"/>
      <c r="AE129" s="464"/>
      <c r="AF129" s="464"/>
    </row>
    <row r="130" spans="1:32" ht="15.75" customHeight="1">
      <c r="A130" s="463"/>
      <c r="B130" s="464"/>
      <c r="C130" s="464"/>
      <c r="D130" s="464"/>
      <c r="E130" s="464"/>
      <c r="F130" s="464"/>
      <c r="G130" s="464"/>
      <c r="H130" s="464"/>
      <c r="I130" s="464"/>
      <c r="J130" s="464"/>
      <c r="K130" s="464"/>
      <c r="L130" s="464"/>
      <c r="M130" s="464"/>
      <c r="N130" s="464"/>
      <c r="O130" s="464"/>
      <c r="P130" s="464"/>
      <c r="Q130" s="464"/>
      <c r="R130" s="464"/>
      <c r="S130" s="464"/>
      <c r="T130" s="464"/>
      <c r="U130" s="464"/>
      <c r="V130" s="464"/>
      <c r="W130" s="464"/>
      <c r="X130" s="464"/>
      <c r="Y130" s="464"/>
      <c r="Z130" s="464"/>
      <c r="AA130" s="464"/>
      <c r="AB130" s="464"/>
      <c r="AC130" s="464"/>
      <c r="AD130" s="464"/>
      <c r="AE130" s="464"/>
      <c r="AF130" s="464"/>
    </row>
    <row r="131" spans="1:32" ht="15.75" customHeight="1">
      <c r="A131" s="463"/>
      <c r="B131" s="464"/>
      <c r="C131" s="464"/>
      <c r="D131" s="464"/>
      <c r="E131" s="464"/>
      <c r="F131" s="464"/>
      <c r="G131" s="464"/>
      <c r="H131" s="464"/>
      <c r="I131" s="464"/>
      <c r="J131" s="464"/>
      <c r="K131" s="464"/>
      <c r="L131" s="464"/>
      <c r="M131" s="464"/>
      <c r="N131" s="464"/>
      <c r="O131" s="464"/>
      <c r="P131" s="464"/>
      <c r="Q131" s="464"/>
      <c r="R131" s="464"/>
      <c r="S131" s="464"/>
      <c r="T131" s="464"/>
      <c r="U131" s="464"/>
      <c r="V131" s="464"/>
      <c r="W131" s="464"/>
      <c r="X131" s="464"/>
      <c r="Y131" s="464"/>
      <c r="Z131" s="464"/>
      <c r="AA131" s="464"/>
      <c r="AB131" s="464"/>
      <c r="AC131" s="464"/>
      <c r="AD131" s="464"/>
      <c r="AE131" s="464"/>
      <c r="AF131" s="464"/>
    </row>
    <row r="132" spans="1:32" ht="15.75" customHeight="1">
      <c r="A132" s="463"/>
      <c r="B132" s="464"/>
      <c r="C132" s="464"/>
      <c r="D132" s="464"/>
      <c r="E132" s="464"/>
      <c r="F132" s="464"/>
      <c r="G132" s="464"/>
      <c r="H132" s="464"/>
      <c r="I132" s="464"/>
      <c r="J132" s="464"/>
      <c r="K132" s="464"/>
      <c r="L132" s="464"/>
      <c r="M132" s="464"/>
      <c r="N132" s="464"/>
      <c r="O132" s="464"/>
      <c r="P132" s="464"/>
      <c r="Q132" s="464"/>
      <c r="R132" s="464"/>
      <c r="S132" s="464"/>
      <c r="T132" s="464"/>
      <c r="U132" s="464"/>
      <c r="V132" s="464"/>
      <c r="W132" s="464"/>
      <c r="X132" s="464"/>
      <c r="Y132" s="464"/>
      <c r="Z132" s="464"/>
      <c r="AA132" s="464"/>
      <c r="AB132" s="464"/>
      <c r="AC132" s="464"/>
      <c r="AD132" s="464"/>
      <c r="AE132" s="464"/>
      <c r="AF132" s="464"/>
    </row>
    <row r="133" spans="1:32" ht="15.75" customHeight="1">
      <c r="A133" s="463"/>
      <c r="B133" s="464"/>
      <c r="C133" s="464"/>
      <c r="D133" s="464"/>
      <c r="E133" s="464"/>
      <c r="F133" s="464"/>
      <c r="G133" s="464"/>
      <c r="H133" s="464"/>
      <c r="I133" s="464"/>
      <c r="J133" s="464"/>
      <c r="K133" s="464"/>
      <c r="L133" s="464"/>
      <c r="M133" s="464"/>
      <c r="N133" s="464"/>
      <c r="O133" s="464"/>
      <c r="P133" s="464"/>
      <c r="Q133" s="464"/>
      <c r="R133" s="464"/>
      <c r="S133" s="464"/>
      <c r="T133" s="464"/>
      <c r="U133" s="464"/>
      <c r="V133" s="464"/>
      <c r="W133" s="464"/>
      <c r="X133" s="464"/>
      <c r="Y133" s="464"/>
      <c r="Z133" s="464"/>
      <c r="AA133" s="464"/>
      <c r="AB133" s="464"/>
      <c r="AC133" s="464"/>
      <c r="AD133" s="464"/>
      <c r="AE133" s="464"/>
      <c r="AF133" s="464"/>
    </row>
    <row r="134" spans="1:32" ht="15.75" customHeight="1">
      <c r="A134" s="463"/>
      <c r="B134" s="464"/>
      <c r="C134" s="464"/>
      <c r="D134" s="464"/>
      <c r="E134" s="464"/>
      <c r="F134" s="464"/>
      <c r="G134" s="464"/>
      <c r="H134" s="464"/>
      <c r="I134" s="464"/>
      <c r="J134" s="464"/>
      <c r="K134" s="464"/>
      <c r="L134" s="464"/>
      <c r="M134" s="464"/>
      <c r="N134" s="464"/>
      <c r="O134" s="464"/>
      <c r="P134" s="464"/>
      <c r="Q134" s="464"/>
      <c r="R134" s="464"/>
      <c r="S134" s="464"/>
      <c r="T134" s="464"/>
      <c r="U134" s="464"/>
      <c r="V134" s="464"/>
      <c r="W134" s="464"/>
      <c r="X134" s="464"/>
      <c r="Y134" s="464"/>
      <c r="Z134" s="464"/>
      <c r="AA134" s="464"/>
      <c r="AB134" s="464"/>
      <c r="AC134" s="464"/>
      <c r="AD134" s="464"/>
      <c r="AE134" s="464"/>
      <c r="AF134" s="464"/>
    </row>
    <row r="135" spans="1:32" ht="15.75" customHeight="1">
      <c r="A135" s="463"/>
      <c r="B135" s="464"/>
      <c r="C135" s="464"/>
      <c r="D135" s="464"/>
      <c r="E135" s="464"/>
      <c r="F135" s="464"/>
      <c r="G135" s="464"/>
      <c r="H135" s="464"/>
      <c r="I135" s="464"/>
      <c r="J135" s="464"/>
      <c r="K135" s="464"/>
      <c r="L135" s="464"/>
      <c r="M135" s="464"/>
      <c r="N135" s="464"/>
      <c r="O135" s="464"/>
      <c r="P135" s="464"/>
      <c r="Q135" s="464"/>
      <c r="R135" s="464"/>
      <c r="S135" s="464"/>
      <c r="T135" s="464"/>
      <c r="U135" s="464"/>
      <c r="V135" s="464"/>
      <c r="W135" s="464"/>
      <c r="X135" s="464"/>
      <c r="Y135" s="464"/>
      <c r="Z135" s="464"/>
      <c r="AA135" s="464"/>
      <c r="AB135" s="464"/>
      <c r="AC135" s="464"/>
      <c r="AD135" s="464"/>
      <c r="AE135" s="464"/>
      <c r="AF135" s="464"/>
    </row>
    <row r="136" spans="1:32" ht="15.75" customHeight="1">
      <c r="A136" s="463"/>
      <c r="B136" s="464"/>
      <c r="C136" s="464"/>
      <c r="D136" s="464"/>
      <c r="E136" s="464"/>
      <c r="F136" s="464"/>
      <c r="G136" s="464"/>
      <c r="H136" s="464"/>
      <c r="I136" s="464"/>
      <c r="J136" s="464"/>
      <c r="K136" s="464"/>
      <c r="L136" s="464"/>
      <c r="M136" s="464"/>
      <c r="N136" s="464"/>
      <c r="O136" s="464"/>
      <c r="P136" s="464"/>
      <c r="Q136" s="464"/>
      <c r="R136" s="464"/>
      <c r="S136" s="464"/>
      <c r="T136" s="464"/>
      <c r="U136" s="464"/>
      <c r="V136" s="464"/>
      <c r="W136" s="464"/>
      <c r="X136" s="464"/>
      <c r="Y136" s="464"/>
      <c r="Z136" s="464"/>
      <c r="AA136" s="464"/>
      <c r="AB136" s="464"/>
      <c r="AC136" s="464"/>
      <c r="AD136" s="464"/>
      <c r="AE136" s="464"/>
      <c r="AF136" s="464"/>
    </row>
    <row r="137" spans="1:32" ht="15.75" customHeight="1">
      <c r="A137" s="463"/>
      <c r="B137" s="464"/>
      <c r="C137" s="464"/>
      <c r="D137" s="464"/>
      <c r="E137" s="464"/>
      <c r="F137" s="464"/>
      <c r="G137" s="464"/>
      <c r="H137" s="464"/>
      <c r="I137" s="464"/>
      <c r="J137" s="464"/>
      <c r="K137" s="464"/>
      <c r="L137" s="464"/>
      <c r="M137" s="464"/>
      <c r="N137" s="464"/>
      <c r="O137" s="464"/>
      <c r="P137" s="464"/>
      <c r="Q137" s="464"/>
      <c r="R137" s="464"/>
      <c r="S137" s="464"/>
      <c r="T137" s="464"/>
      <c r="U137" s="464"/>
      <c r="V137" s="464"/>
      <c r="W137" s="464"/>
      <c r="X137" s="464"/>
      <c r="Y137" s="464"/>
      <c r="Z137" s="464"/>
      <c r="AA137" s="464"/>
      <c r="AB137" s="464"/>
      <c r="AC137" s="464"/>
      <c r="AD137" s="464"/>
      <c r="AE137" s="464"/>
      <c r="AF137" s="464"/>
    </row>
    <row r="138" spans="1:32" ht="15.75" customHeight="1">
      <c r="A138" s="463"/>
      <c r="B138" s="464"/>
      <c r="C138" s="464"/>
      <c r="D138" s="464"/>
      <c r="E138" s="464"/>
      <c r="F138" s="464"/>
      <c r="G138" s="464"/>
      <c r="H138" s="464"/>
      <c r="I138" s="464"/>
      <c r="J138" s="464"/>
      <c r="K138" s="464"/>
      <c r="L138" s="464"/>
      <c r="M138" s="464"/>
      <c r="N138" s="464"/>
      <c r="O138" s="464"/>
      <c r="P138" s="464"/>
      <c r="Q138" s="464"/>
      <c r="R138" s="464"/>
      <c r="S138" s="464"/>
      <c r="T138" s="464"/>
      <c r="U138" s="464"/>
      <c r="V138" s="464"/>
      <c r="W138" s="464"/>
      <c r="X138" s="464"/>
      <c r="Y138" s="464"/>
      <c r="Z138" s="464"/>
      <c r="AA138" s="464"/>
      <c r="AB138" s="464"/>
      <c r="AC138" s="464"/>
      <c r="AD138" s="464"/>
      <c r="AE138" s="464"/>
      <c r="AF138" s="464"/>
    </row>
    <row r="139" spans="1:32" ht="15.75" customHeight="1">
      <c r="A139" s="463"/>
      <c r="B139" s="464"/>
      <c r="C139" s="464"/>
      <c r="D139" s="464"/>
      <c r="E139" s="464"/>
      <c r="F139" s="464"/>
      <c r="G139" s="464"/>
      <c r="H139" s="464"/>
      <c r="I139" s="464"/>
      <c r="J139" s="464"/>
      <c r="K139" s="464"/>
      <c r="L139" s="464"/>
      <c r="M139" s="464"/>
      <c r="N139" s="464"/>
      <c r="O139" s="464"/>
      <c r="P139" s="464"/>
      <c r="Q139" s="464"/>
      <c r="R139" s="464"/>
      <c r="S139" s="464"/>
      <c r="T139" s="464"/>
      <c r="U139" s="464"/>
      <c r="V139" s="464"/>
      <c r="W139" s="464"/>
      <c r="X139" s="464"/>
      <c r="Y139" s="464"/>
      <c r="Z139" s="464"/>
      <c r="AA139" s="464"/>
      <c r="AB139" s="464"/>
      <c r="AC139" s="464"/>
      <c r="AD139" s="464"/>
      <c r="AE139" s="464"/>
      <c r="AF139" s="464"/>
    </row>
    <row r="140" spans="1:32" ht="15.75" customHeight="1">
      <c r="A140" s="463"/>
      <c r="B140" s="464"/>
      <c r="C140" s="464"/>
      <c r="D140" s="464"/>
      <c r="E140" s="464"/>
      <c r="F140" s="464"/>
      <c r="G140" s="464"/>
      <c r="H140" s="464"/>
      <c r="I140" s="464"/>
      <c r="J140" s="464"/>
      <c r="K140" s="464"/>
      <c r="L140" s="464"/>
      <c r="M140" s="464"/>
      <c r="N140" s="464"/>
      <c r="O140" s="464"/>
      <c r="P140" s="464"/>
      <c r="Q140" s="464"/>
      <c r="R140" s="464"/>
      <c r="S140" s="464"/>
      <c r="T140" s="464"/>
      <c r="U140" s="464"/>
      <c r="V140" s="464"/>
      <c r="W140" s="464"/>
      <c r="X140" s="464"/>
      <c r="Y140" s="464"/>
      <c r="Z140" s="464"/>
      <c r="AA140" s="464"/>
      <c r="AB140" s="464"/>
      <c r="AC140" s="464"/>
      <c r="AD140" s="464"/>
      <c r="AE140" s="464"/>
      <c r="AF140" s="464"/>
    </row>
    <row r="141" spans="1:32" ht="15.75" customHeight="1">
      <c r="A141" s="463"/>
      <c r="B141" s="464"/>
      <c r="C141" s="464"/>
      <c r="D141" s="464"/>
      <c r="E141" s="464"/>
      <c r="F141" s="464"/>
      <c r="G141" s="464"/>
      <c r="H141" s="464"/>
      <c r="I141" s="464"/>
      <c r="J141" s="464"/>
      <c r="K141" s="464"/>
      <c r="L141" s="464"/>
      <c r="M141" s="464"/>
      <c r="N141" s="464"/>
      <c r="O141" s="464"/>
      <c r="P141" s="464"/>
      <c r="Q141" s="464"/>
      <c r="R141" s="464"/>
      <c r="S141" s="464"/>
      <c r="T141" s="464"/>
      <c r="U141" s="464"/>
      <c r="V141" s="464"/>
      <c r="W141" s="464"/>
      <c r="X141" s="464"/>
      <c r="Y141" s="464"/>
      <c r="Z141" s="464"/>
      <c r="AA141" s="464"/>
      <c r="AB141" s="464"/>
      <c r="AC141" s="464"/>
      <c r="AD141" s="464"/>
      <c r="AE141" s="464"/>
      <c r="AF141" s="464"/>
    </row>
    <row r="142" spans="1:32" ht="15.75" customHeight="1">
      <c r="A142" s="463"/>
      <c r="B142" s="464"/>
      <c r="C142" s="464"/>
      <c r="D142" s="464"/>
      <c r="E142" s="464"/>
      <c r="F142" s="464"/>
      <c r="G142" s="464"/>
      <c r="H142" s="464"/>
      <c r="I142" s="464"/>
      <c r="J142" s="464"/>
      <c r="K142" s="464"/>
      <c r="L142" s="464"/>
      <c r="M142" s="464"/>
      <c r="N142" s="464"/>
      <c r="O142" s="464"/>
      <c r="P142" s="464"/>
      <c r="Q142" s="464"/>
      <c r="R142" s="464"/>
      <c r="S142" s="464"/>
      <c r="T142" s="464"/>
      <c r="U142" s="464"/>
      <c r="V142" s="464"/>
      <c r="W142" s="464"/>
      <c r="X142" s="464"/>
      <c r="Y142" s="464"/>
      <c r="Z142" s="464"/>
      <c r="AA142" s="464"/>
      <c r="AB142" s="464"/>
      <c r="AC142" s="464"/>
      <c r="AD142" s="464"/>
      <c r="AE142" s="464"/>
      <c r="AF142" s="464"/>
    </row>
    <row r="143" spans="1:32" ht="15.75" customHeight="1">
      <c r="A143" s="463"/>
      <c r="B143" s="464"/>
      <c r="C143" s="464"/>
      <c r="D143" s="464"/>
      <c r="E143" s="464"/>
      <c r="F143" s="464"/>
      <c r="G143" s="464"/>
      <c r="H143" s="464"/>
      <c r="I143" s="464"/>
      <c r="J143" s="464"/>
      <c r="K143" s="464"/>
      <c r="L143" s="464"/>
      <c r="M143" s="464"/>
      <c r="N143" s="464"/>
      <c r="O143" s="464"/>
      <c r="P143" s="464"/>
      <c r="Q143" s="464"/>
      <c r="R143" s="464"/>
      <c r="S143" s="464"/>
      <c r="T143" s="464"/>
      <c r="U143" s="464"/>
      <c r="V143" s="464"/>
      <c r="W143" s="464"/>
      <c r="X143" s="464"/>
      <c r="Y143" s="464"/>
      <c r="Z143" s="464"/>
      <c r="AA143" s="464"/>
      <c r="AB143" s="464"/>
      <c r="AC143" s="464"/>
      <c r="AD143" s="464"/>
      <c r="AE143" s="464"/>
      <c r="AF143" s="464"/>
    </row>
    <row r="144" spans="1:32" ht="15.75" customHeight="1">
      <c r="A144" s="463"/>
      <c r="B144" s="464"/>
      <c r="C144" s="464"/>
      <c r="D144" s="464"/>
      <c r="E144" s="464"/>
      <c r="F144" s="464"/>
      <c r="G144" s="464"/>
      <c r="H144" s="464"/>
      <c r="I144" s="464"/>
      <c r="J144" s="464"/>
      <c r="K144" s="464"/>
      <c r="L144" s="464"/>
      <c r="M144" s="464"/>
      <c r="N144" s="464"/>
      <c r="O144" s="464"/>
      <c r="P144" s="464"/>
      <c r="Q144" s="464"/>
      <c r="R144" s="464"/>
      <c r="S144" s="464"/>
      <c r="T144" s="464"/>
      <c r="U144" s="464"/>
      <c r="V144" s="464"/>
      <c r="W144" s="464"/>
      <c r="X144" s="464"/>
      <c r="Y144" s="464"/>
      <c r="Z144" s="464"/>
      <c r="AA144" s="464"/>
      <c r="AB144" s="464"/>
      <c r="AC144" s="464"/>
      <c r="AD144" s="464"/>
      <c r="AE144" s="464"/>
      <c r="AF144" s="464"/>
    </row>
    <row r="145" spans="1:32" ht="15.75" customHeight="1">
      <c r="A145" s="463"/>
      <c r="B145" s="464"/>
      <c r="C145" s="464"/>
      <c r="D145" s="464"/>
      <c r="E145" s="464"/>
      <c r="F145" s="464"/>
      <c r="G145" s="464"/>
      <c r="H145" s="464"/>
      <c r="I145" s="464"/>
      <c r="J145" s="464"/>
      <c r="K145" s="464"/>
      <c r="L145" s="464"/>
      <c r="M145" s="464"/>
      <c r="N145" s="464"/>
      <c r="O145" s="464"/>
      <c r="P145" s="464"/>
      <c r="Q145" s="464"/>
      <c r="R145" s="464"/>
      <c r="S145" s="464"/>
      <c r="T145" s="464"/>
      <c r="U145" s="464"/>
      <c r="V145" s="464"/>
      <c r="W145" s="464"/>
      <c r="X145" s="464"/>
      <c r="Y145" s="464"/>
      <c r="Z145" s="464"/>
      <c r="AA145" s="464"/>
      <c r="AB145" s="464"/>
      <c r="AC145" s="464"/>
      <c r="AD145" s="464"/>
      <c r="AE145" s="464"/>
      <c r="AF145" s="464"/>
    </row>
    <row r="146" spans="1:32" ht="15.75" customHeight="1">
      <c r="A146" s="463"/>
      <c r="B146" s="464"/>
      <c r="C146" s="464"/>
      <c r="D146" s="464"/>
      <c r="E146" s="464"/>
      <c r="F146" s="464"/>
      <c r="G146" s="464"/>
      <c r="H146" s="464"/>
      <c r="I146" s="464"/>
      <c r="J146" s="464"/>
      <c r="K146" s="464"/>
      <c r="L146" s="464"/>
      <c r="M146" s="464"/>
      <c r="N146" s="464"/>
      <c r="O146" s="464"/>
      <c r="P146" s="464"/>
      <c r="Q146" s="464"/>
      <c r="R146" s="464"/>
      <c r="S146" s="464"/>
      <c r="T146" s="464"/>
      <c r="U146" s="464"/>
      <c r="V146" s="464"/>
      <c r="W146" s="464"/>
      <c r="X146" s="464"/>
      <c r="Y146" s="464"/>
      <c r="Z146" s="464"/>
      <c r="AA146" s="464"/>
      <c r="AB146" s="464"/>
      <c r="AC146" s="464"/>
      <c r="AD146" s="464"/>
      <c r="AE146" s="464"/>
      <c r="AF146" s="464"/>
    </row>
    <row r="147" spans="1:32" ht="15.75" customHeight="1">
      <c r="A147" s="463"/>
      <c r="B147" s="464"/>
      <c r="C147" s="464"/>
      <c r="D147" s="464"/>
      <c r="E147" s="464"/>
      <c r="F147" s="464"/>
      <c r="G147" s="464"/>
      <c r="H147" s="464"/>
      <c r="I147" s="464"/>
      <c r="J147" s="464"/>
      <c r="K147" s="464"/>
      <c r="L147" s="464"/>
      <c r="M147" s="464"/>
      <c r="N147" s="464"/>
      <c r="O147" s="464"/>
      <c r="P147" s="464"/>
      <c r="Q147" s="464"/>
      <c r="R147" s="464"/>
      <c r="S147" s="464"/>
      <c r="T147" s="464"/>
      <c r="U147" s="464"/>
      <c r="V147" s="464"/>
      <c r="W147" s="464"/>
      <c r="X147" s="464"/>
      <c r="Y147" s="464"/>
      <c r="Z147" s="464"/>
      <c r="AA147" s="464"/>
      <c r="AB147" s="464"/>
      <c r="AC147" s="464"/>
      <c r="AD147" s="464"/>
      <c r="AE147" s="464"/>
      <c r="AF147" s="464"/>
    </row>
    <row r="148" spans="1:32" ht="15.75" customHeight="1">
      <c r="A148" s="463"/>
      <c r="B148" s="464"/>
      <c r="C148" s="464"/>
      <c r="D148" s="464"/>
      <c r="E148" s="464"/>
      <c r="F148" s="464"/>
      <c r="G148" s="464"/>
      <c r="H148" s="464"/>
      <c r="I148" s="464"/>
      <c r="J148" s="464"/>
      <c r="K148" s="464"/>
      <c r="L148" s="464"/>
      <c r="M148" s="464"/>
      <c r="N148" s="464"/>
      <c r="O148" s="464"/>
      <c r="P148" s="464"/>
      <c r="Q148" s="464"/>
      <c r="R148" s="464"/>
      <c r="S148" s="464"/>
      <c r="T148" s="464"/>
      <c r="U148" s="464"/>
      <c r="V148" s="464"/>
      <c r="W148" s="464"/>
      <c r="X148" s="464"/>
      <c r="Y148" s="464"/>
      <c r="Z148" s="464"/>
      <c r="AA148" s="464"/>
      <c r="AB148" s="464"/>
      <c r="AC148" s="464"/>
      <c r="AD148" s="464"/>
      <c r="AE148" s="464"/>
      <c r="AF148" s="464"/>
    </row>
    <row r="149" spans="1:32" ht="15.75" customHeight="1">
      <c r="A149" s="463"/>
      <c r="B149" s="464"/>
      <c r="C149" s="464"/>
      <c r="D149" s="464"/>
      <c r="E149" s="464"/>
      <c r="F149" s="464"/>
      <c r="G149" s="464"/>
      <c r="H149" s="464"/>
      <c r="I149" s="464"/>
      <c r="J149" s="464"/>
      <c r="K149" s="464"/>
      <c r="L149" s="464"/>
      <c r="M149" s="464"/>
      <c r="N149" s="464"/>
      <c r="O149" s="464"/>
      <c r="P149" s="464"/>
      <c r="Q149" s="464"/>
      <c r="R149" s="464"/>
      <c r="S149" s="464"/>
      <c r="T149" s="464"/>
      <c r="U149" s="464"/>
      <c r="V149" s="464"/>
      <c r="W149" s="464"/>
      <c r="X149" s="464"/>
      <c r="Y149" s="464"/>
      <c r="Z149" s="464"/>
      <c r="AA149" s="464"/>
      <c r="AB149" s="464"/>
      <c r="AC149" s="464"/>
      <c r="AD149" s="464"/>
      <c r="AE149" s="464"/>
      <c r="AF149" s="464"/>
    </row>
    <row r="150" spans="1:32" ht="15.75" customHeight="1">
      <c r="A150" s="463"/>
      <c r="B150" s="464"/>
      <c r="C150" s="464"/>
      <c r="D150" s="464"/>
      <c r="E150" s="464"/>
      <c r="F150" s="464"/>
      <c r="G150" s="464"/>
      <c r="H150" s="464"/>
      <c r="I150" s="464"/>
      <c r="J150" s="464"/>
      <c r="K150" s="464"/>
      <c r="L150" s="464"/>
      <c r="M150" s="464"/>
      <c r="N150" s="464"/>
      <c r="O150" s="464"/>
      <c r="P150" s="464"/>
      <c r="Q150" s="464"/>
      <c r="R150" s="464"/>
      <c r="S150" s="464"/>
      <c r="T150" s="464"/>
      <c r="U150" s="464"/>
      <c r="V150" s="464"/>
      <c r="W150" s="464"/>
      <c r="X150" s="464"/>
      <c r="Y150" s="464"/>
      <c r="Z150" s="464"/>
      <c r="AA150" s="464"/>
      <c r="AB150" s="464"/>
      <c r="AC150" s="464"/>
      <c r="AD150" s="464"/>
      <c r="AE150" s="464"/>
      <c r="AF150" s="464"/>
    </row>
    <row r="151" spans="1:32" ht="15.75" customHeight="1">
      <c r="A151" s="463"/>
      <c r="B151" s="464"/>
      <c r="C151" s="464"/>
      <c r="D151" s="464"/>
      <c r="E151" s="464"/>
      <c r="F151" s="464"/>
      <c r="G151" s="464"/>
      <c r="H151" s="464"/>
      <c r="I151" s="464"/>
      <c r="J151" s="464"/>
      <c r="K151" s="464"/>
      <c r="L151" s="464"/>
      <c r="M151" s="464"/>
      <c r="N151" s="464"/>
      <c r="O151" s="464"/>
      <c r="P151" s="464"/>
      <c r="Q151" s="464"/>
      <c r="R151" s="464"/>
      <c r="S151" s="464"/>
      <c r="T151" s="464"/>
      <c r="U151" s="464"/>
      <c r="V151" s="464"/>
      <c r="W151" s="464"/>
      <c r="X151" s="464"/>
      <c r="Y151" s="464"/>
      <c r="Z151" s="464"/>
      <c r="AA151" s="464"/>
      <c r="AB151" s="464"/>
      <c r="AC151" s="464"/>
      <c r="AD151" s="464"/>
      <c r="AE151" s="464"/>
      <c r="AF151" s="464"/>
    </row>
    <row r="152" spans="1:32" ht="15.75" customHeight="1">
      <c r="A152" s="463"/>
      <c r="B152" s="464"/>
      <c r="C152" s="464"/>
      <c r="D152" s="464"/>
      <c r="E152" s="464"/>
      <c r="F152" s="464"/>
      <c r="G152" s="464"/>
      <c r="H152" s="464"/>
      <c r="I152" s="464"/>
      <c r="J152" s="464"/>
      <c r="K152" s="464"/>
      <c r="L152" s="464"/>
      <c r="M152" s="464"/>
      <c r="N152" s="464"/>
      <c r="O152" s="464"/>
      <c r="P152" s="464"/>
      <c r="Q152" s="464"/>
      <c r="R152" s="464"/>
      <c r="S152" s="464"/>
      <c r="T152" s="464"/>
      <c r="U152" s="464"/>
      <c r="V152" s="464"/>
      <c r="W152" s="464"/>
      <c r="X152" s="464"/>
      <c r="Y152" s="464"/>
      <c r="Z152" s="464"/>
      <c r="AA152" s="464"/>
      <c r="AB152" s="464"/>
      <c r="AC152" s="464"/>
      <c r="AD152" s="464"/>
      <c r="AE152" s="464"/>
      <c r="AF152" s="464"/>
    </row>
    <row r="153" spans="1:32" ht="15.75" customHeight="1">
      <c r="A153" s="463"/>
      <c r="B153" s="464"/>
      <c r="C153" s="464"/>
      <c r="D153" s="464"/>
      <c r="E153" s="464"/>
      <c r="F153" s="464"/>
      <c r="G153" s="464"/>
      <c r="H153" s="464"/>
      <c r="I153" s="464"/>
      <c r="J153" s="464"/>
      <c r="K153" s="464"/>
      <c r="L153" s="464"/>
      <c r="M153" s="464"/>
      <c r="N153" s="464"/>
      <c r="O153" s="464"/>
      <c r="P153" s="464"/>
      <c r="Q153" s="464"/>
      <c r="R153" s="464"/>
      <c r="S153" s="464"/>
      <c r="T153" s="464"/>
      <c r="U153" s="464"/>
      <c r="V153" s="464"/>
      <c r="W153" s="464"/>
      <c r="X153" s="464"/>
      <c r="Y153" s="464"/>
      <c r="Z153" s="464"/>
      <c r="AA153" s="464"/>
      <c r="AB153" s="464"/>
      <c r="AC153" s="464"/>
      <c r="AD153" s="464"/>
      <c r="AE153" s="464"/>
      <c r="AF153" s="464"/>
    </row>
    <row r="154" spans="1:32" ht="15.75" customHeight="1">
      <c r="A154" s="463"/>
      <c r="B154" s="464"/>
      <c r="C154" s="464"/>
      <c r="D154" s="464"/>
      <c r="E154" s="464"/>
      <c r="F154" s="464"/>
      <c r="G154" s="464"/>
      <c r="H154" s="464"/>
      <c r="I154" s="464"/>
      <c r="J154" s="464"/>
      <c r="K154" s="464"/>
      <c r="L154" s="464"/>
      <c r="M154" s="464"/>
      <c r="N154" s="464"/>
      <c r="O154" s="464"/>
      <c r="P154" s="464"/>
      <c r="Q154" s="464"/>
      <c r="R154" s="464"/>
      <c r="S154" s="464"/>
      <c r="T154" s="464"/>
      <c r="U154" s="464"/>
      <c r="V154" s="464"/>
      <c r="W154" s="464"/>
      <c r="X154" s="464"/>
      <c r="Y154" s="464"/>
      <c r="Z154" s="464"/>
      <c r="AA154" s="464"/>
      <c r="AB154" s="464"/>
      <c r="AC154" s="464"/>
      <c r="AD154" s="464"/>
      <c r="AE154" s="464"/>
      <c r="AF154" s="464"/>
    </row>
    <row r="155" spans="1:32" ht="15.75" customHeight="1">
      <c r="A155" s="463"/>
      <c r="B155" s="464"/>
      <c r="C155" s="464"/>
      <c r="D155" s="464"/>
      <c r="E155" s="464"/>
      <c r="F155" s="464"/>
      <c r="G155" s="464"/>
      <c r="H155" s="464"/>
      <c r="I155" s="464"/>
      <c r="J155" s="464"/>
      <c r="K155" s="464"/>
      <c r="L155" s="464"/>
      <c r="M155" s="464"/>
      <c r="N155" s="464"/>
      <c r="O155" s="464"/>
      <c r="P155" s="464"/>
      <c r="Q155" s="464"/>
      <c r="R155" s="464"/>
      <c r="S155" s="464"/>
      <c r="T155" s="464"/>
      <c r="U155" s="464"/>
      <c r="V155" s="464"/>
      <c r="W155" s="464"/>
      <c r="X155" s="464"/>
      <c r="Y155" s="464"/>
      <c r="Z155" s="464"/>
      <c r="AA155" s="464"/>
      <c r="AB155" s="464"/>
      <c r="AC155" s="464"/>
      <c r="AD155" s="464"/>
      <c r="AE155" s="464"/>
      <c r="AF155" s="464"/>
    </row>
    <row r="156" spans="1:32" ht="15.75" customHeight="1">
      <c r="A156" s="463"/>
      <c r="B156" s="464"/>
      <c r="C156" s="464"/>
      <c r="D156" s="464"/>
      <c r="E156" s="464"/>
      <c r="F156" s="464"/>
      <c r="G156" s="464"/>
      <c r="H156" s="464"/>
      <c r="I156" s="464"/>
      <c r="J156" s="464"/>
      <c r="K156" s="464"/>
      <c r="L156" s="464"/>
      <c r="M156" s="464"/>
      <c r="N156" s="464"/>
      <c r="O156" s="464"/>
      <c r="P156" s="464"/>
      <c r="Q156" s="464"/>
      <c r="R156" s="464"/>
      <c r="S156" s="464"/>
      <c r="T156" s="464"/>
      <c r="U156" s="464"/>
      <c r="V156" s="464"/>
      <c r="W156" s="464"/>
      <c r="X156" s="464"/>
      <c r="Y156" s="464"/>
      <c r="Z156" s="464"/>
      <c r="AA156" s="464"/>
      <c r="AB156" s="464"/>
      <c r="AC156" s="464"/>
      <c r="AD156" s="464"/>
      <c r="AE156" s="464"/>
      <c r="AF156" s="464"/>
    </row>
    <row r="157" spans="1:32" ht="15.75" customHeight="1">
      <c r="A157" s="463"/>
      <c r="B157" s="464"/>
      <c r="C157" s="464"/>
      <c r="D157" s="464"/>
      <c r="E157" s="464"/>
      <c r="F157" s="464"/>
      <c r="G157" s="464"/>
      <c r="H157" s="464"/>
      <c r="I157" s="464"/>
      <c r="J157" s="464"/>
      <c r="K157" s="464"/>
      <c r="L157" s="464"/>
      <c r="M157" s="464"/>
      <c r="N157" s="464"/>
      <c r="O157" s="464"/>
      <c r="P157" s="464"/>
      <c r="Q157" s="464"/>
      <c r="R157" s="464"/>
      <c r="S157" s="464"/>
      <c r="T157" s="464"/>
      <c r="U157" s="464"/>
      <c r="V157" s="464"/>
      <c r="W157" s="464"/>
      <c r="X157" s="464"/>
      <c r="Y157" s="464"/>
      <c r="Z157" s="464"/>
      <c r="AA157" s="464"/>
      <c r="AB157" s="464"/>
      <c r="AC157" s="464"/>
      <c r="AD157" s="464"/>
      <c r="AE157" s="464"/>
      <c r="AF157" s="464"/>
    </row>
    <row r="158" spans="1:32" ht="15.75" customHeight="1">
      <c r="A158" s="463"/>
      <c r="B158" s="464"/>
      <c r="C158" s="464"/>
      <c r="D158" s="464"/>
      <c r="E158" s="464"/>
      <c r="F158" s="464"/>
      <c r="G158" s="464"/>
      <c r="H158" s="464"/>
      <c r="I158" s="464"/>
      <c r="J158" s="464"/>
      <c r="K158" s="464"/>
      <c r="L158" s="464"/>
      <c r="M158" s="464"/>
      <c r="N158" s="464"/>
      <c r="O158" s="464"/>
      <c r="P158" s="464"/>
      <c r="Q158" s="464"/>
      <c r="R158" s="464"/>
      <c r="S158" s="464"/>
      <c r="T158" s="464"/>
      <c r="U158" s="464"/>
      <c r="V158" s="464"/>
      <c r="W158" s="464"/>
      <c r="X158" s="464"/>
      <c r="Y158" s="464"/>
      <c r="Z158" s="464"/>
      <c r="AA158" s="464"/>
      <c r="AB158" s="464"/>
      <c r="AC158" s="464"/>
      <c r="AD158" s="464"/>
      <c r="AE158" s="464"/>
      <c r="AF158" s="464"/>
    </row>
    <row r="159" spans="1:32" ht="15.75" customHeight="1">
      <c r="A159" s="463"/>
      <c r="B159" s="464"/>
      <c r="C159" s="464"/>
      <c r="D159" s="464"/>
      <c r="E159" s="464"/>
      <c r="F159" s="464"/>
      <c r="G159" s="464"/>
      <c r="H159" s="464"/>
      <c r="I159" s="464"/>
      <c r="J159" s="464"/>
      <c r="K159" s="464"/>
      <c r="L159" s="464"/>
      <c r="M159" s="464"/>
      <c r="N159" s="464"/>
      <c r="O159" s="464"/>
      <c r="P159" s="464"/>
      <c r="Q159" s="464"/>
      <c r="R159" s="464"/>
      <c r="S159" s="464"/>
      <c r="T159" s="464"/>
      <c r="U159" s="464"/>
      <c r="V159" s="464"/>
      <c r="W159" s="464"/>
      <c r="X159" s="464"/>
      <c r="Y159" s="464"/>
      <c r="Z159" s="464"/>
      <c r="AA159" s="464"/>
      <c r="AB159" s="464"/>
      <c r="AC159" s="464"/>
      <c r="AD159" s="464"/>
      <c r="AE159" s="464"/>
      <c r="AF159" s="464"/>
    </row>
    <row r="160" spans="1:32" ht="15.75" customHeight="1">
      <c r="A160" s="463"/>
      <c r="B160" s="464"/>
      <c r="C160" s="464"/>
      <c r="D160" s="464"/>
      <c r="E160" s="464"/>
      <c r="F160" s="464"/>
      <c r="G160" s="464"/>
      <c r="H160" s="464"/>
      <c r="I160" s="464"/>
      <c r="J160" s="464"/>
      <c r="K160" s="464"/>
      <c r="L160" s="464"/>
      <c r="M160" s="464"/>
      <c r="N160" s="464"/>
      <c r="O160" s="464"/>
      <c r="P160" s="464"/>
      <c r="Q160" s="464"/>
      <c r="R160" s="464"/>
      <c r="S160" s="464"/>
      <c r="T160" s="464"/>
      <c r="U160" s="464"/>
      <c r="V160" s="464"/>
      <c r="W160" s="464"/>
      <c r="X160" s="464"/>
      <c r="Y160" s="464"/>
      <c r="Z160" s="464"/>
      <c r="AA160" s="464"/>
      <c r="AB160" s="464"/>
      <c r="AC160" s="464"/>
      <c r="AD160" s="464"/>
      <c r="AE160" s="464"/>
      <c r="AF160" s="464"/>
    </row>
    <row r="161" spans="1:32" ht="15.75" customHeight="1">
      <c r="A161" s="463"/>
      <c r="B161" s="464"/>
      <c r="C161" s="464"/>
      <c r="D161" s="464"/>
      <c r="E161" s="464"/>
      <c r="F161" s="464"/>
      <c r="G161" s="464"/>
      <c r="H161" s="464"/>
      <c r="I161" s="464"/>
      <c r="J161" s="464"/>
      <c r="K161" s="464"/>
      <c r="L161" s="464"/>
      <c r="M161" s="464"/>
      <c r="N161" s="464"/>
      <c r="O161" s="464"/>
      <c r="P161" s="464"/>
      <c r="Q161" s="464"/>
      <c r="R161" s="464"/>
      <c r="S161" s="464"/>
      <c r="T161" s="464"/>
      <c r="U161" s="464"/>
      <c r="V161" s="464"/>
      <c r="W161" s="464"/>
      <c r="X161" s="464"/>
      <c r="Y161" s="464"/>
      <c r="Z161" s="464"/>
      <c r="AA161" s="464"/>
      <c r="AB161" s="464"/>
      <c r="AC161" s="464"/>
      <c r="AD161" s="464"/>
      <c r="AE161" s="464"/>
      <c r="AF161" s="464"/>
    </row>
    <row r="162" spans="1:32" ht="15.75" customHeight="1">
      <c r="A162" s="463"/>
      <c r="B162" s="464"/>
      <c r="C162" s="464"/>
      <c r="D162" s="464"/>
      <c r="E162" s="464"/>
      <c r="F162" s="464"/>
      <c r="G162" s="464"/>
      <c r="H162" s="464"/>
      <c r="I162" s="464"/>
      <c r="J162" s="464"/>
      <c r="K162" s="464"/>
      <c r="L162" s="464"/>
      <c r="M162" s="464"/>
      <c r="N162" s="464"/>
      <c r="O162" s="464"/>
      <c r="P162" s="464"/>
      <c r="Q162" s="464"/>
      <c r="R162" s="464"/>
      <c r="S162" s="464"/>
      <c r="T162" s="464"/>
      <c r="U162" s="464"/>
      <c r="V162" s="464"/>
      <c r="W162" s="464"/>
      <c r="X162" s="464"/>
      <c r="Y162" s="464"/>
      <c r="Z162" s="464"/>
      <c r="AA162" s="464"/>
      <c r="AB162" s="464"/>
      <c r="AC162" s="464"/>
      <c r="AD162" s="464"/>
      <c r="AE162" s="464"/>
      <c r="AF162" s="464"/>
    </row>
    <row r="163" spans="1:32" ht="15.75" customHeight="1">
      <c r="A163" s="463"/>
      <c r="B163" s="464"/>
      <c r="C163" s="464"/>
      <c r="D163" s="464"/>
      <c r="E163" s="464"/>
      <c r="F163" s="464"/>
      <c r="G163" s="464"/>
      <c r="H163" s="464"/>
      <c r="I163" s="464"/>
      <c r="J163" s="464"/>
      <c r="K163" s="464"/>
      <c r="L163" s="464"/>
      <c r="M163" s="464"/>
      <c r="N163" s="464"/>
      <c r="O163" s="464"/>
      <c r="P163" s="464"/>
      <c r="Q163" s="464"/>
      <c r="R163" s="464"/>
      <c r="S163" s="464"/>
      <c r="T163" s="464"/>
      <c r="U163" s="464"/>
      <c r="V163" s="464"/>
      <c r="W163" s="464"/>
      <c r="X163" s="464"/>
      <c r="Y163" s="464"/>
      <c r="Z163" s="464"/>
      <c r="AA163" s="464"/>
      <c r="AB163" s="464"/>
      <c r="AC163" s="464"/>
      <c r="AD163" s="464"/>
      <c r="AE163" s="464"/>
      <c r="AF163" s="464"/>
    </row>
    <row r="164" spans="1:32" ht="15.75" customHeight="1">
      <c r="A164" s="463"/>
      <c r="B164" s="464"/>
      <c r="C164" s="464"/>
      <c r="D164" s="464"/>
      <c r="E164" s="464"/>
      <c r="F164" s="464"/>
      <c r="G164" s="464"/>
      <c r="H164" s="464"/>
      <c r="I164" s="464"/>
      <c r="J164" s="464"/>
      <c r="K164" s="464"/>
      <c r="L164" s="464"/>
      <c r="M164" s="464"/>
      <c r="N164" s="464"/>
      <c r="O164" s="464"/>
      <c r="P164" s="464"/>
      <c r="Q164" s="464"/>
      <c r="R164" s="464"/>
      <c r="S164" s="464"/>
      <c r="T164" s="464"/>
      <c r="U164" s="464"/>
      <c r="V164" s="464"/>
      <c r="W164" s="464"/>
      <c r="X164" s="464"/>
      <c r="Y164" s="464"/>
      <c r="Z164" s="464"/>
      <c r="AA164" s="464"/>
      <c r="AB164" s="464"/>
      <c r="AC164" s="464"/>
      <c r="AD164" s="464"/>
      <c r="AE164" s="464"/>
      <c r="AF164" s="464"/>
    </row>
    <row r="165" spans="1:32" ht="15.75" customHeight="1">
      <c r="A165" s="463"/>
      <c r="B165" s="464"/>
      <c r="C165" s="464"/>
      <c r="D165" s="464"/>
      <c r="E165" s="464"/>
      <c r="F165" s="464"/>
      <c r="G165" s="464"/>
      <c r="H165" s="464"/>
      <c r="I165" s="464"/>
      <c r="J165" s="464"/>
      <c r="K165" s="464"/>
      <c r="L165" s="464"/>
      <c r="M165" s="464"/>
      <c r="N165" s="464"/>
      <c r="O165" s="464"/>
      <c r="P165" s="464"/>
      <c r="Q165" s="464"/>
      <c r="R165" s="464"/>
      <c r="S165" s="464"/>
      <c r="T165" s="464"/>
      <c r="U165" s="464"/>
      <c r="V165" s="464"/>
      <c r="W165" s="464"/>
      <c r="X165" s="464"/>
      <c r="Y165" s="464"/>
      <c r="Z165" s="464"/>
      <c r="AA165" s="464"/>
      <c r="AB165" s="464"/>
      <c r="AC165" s="464"/>
      <c r="AD165" s="464"/>
      <c r="AE165" s="464"/>
      <c r="AF165" s="464"/>
    </row>
    <row r="166" spans="1:32" ht="15.75" customHeight="1">
      <c r="A166" s="463"/>
      <c r="B166" s="464"/>
      <c r="C166" s="464"/>
      <c r="D166" s="464"/>
      <c r="E166" s="464"/>
      <c r="F166" s="464"/>
      <c r="G166" s="464"/>
      <c r="H166" s="464"/>
      <c r="I166" s="464"/>
      <c r="J166" s="464"/>
      <c r="K166" s="464"/>
      <c r="L166" s="464"/>
      <c r="M166" s="464"/>
      <c r="N166" s="464"/>
      <c r="O166" s="464"/>
      <c r="P166" s="464"/>
      <c r="Q166" s="464"/>
      <c r="R166" s="464"/>
      <c r="S166" s="464"/>
      <c r="T166" s="464"/>
      <c r="U166" s="464"/>
      <c r="V166" s="464"/>
      <c r="W166" s="464"/>
      <c r="X166" s="464"/>
      <c r="Y166" s="464"/>
      <c r="Z166" s="464"/>
      <c r="AA166" s="464"/>
      <c r="AB166" s="464"/>
      <c r="AC166" s="464"/>
      <c r="AD166" s="464"/>
      <c r="AE166" s="464"/>
      <c r="AF166" s="464"/>
    </row>
    <row r="167" spans="1:32" ht="15.75" customHeight="1">
      <c r="A167" s="463"/>
      <c r="B167" s="464"/>
      <c r="C167" s="464"/>
      <c r="D167" s="464"/>
      <c r="E167" s="464"/>
      <c r="F167" s="464"/>
      <c r="G167" s="464"/>
      <c r="H167" s="464"/>
      <c r="I167" s="464"/>
      <c r="J167" s="464"/>
      <c r="K167" s="464"/>
      <c r="L167" s="464"/>
      <c r="M167" s="464"/>
      <c r="N167" s="464"/>
      <c r="O167" s="464"/>
      <c r="P167" s="464"/>
      <c r="Q167" s="464"/>
      <c r="R167" s="464"/>
      <c r="S167" s="464"/>
      <c r="T167" s="464"/>
      <c r="U167" s="464"/>
      <c r="V167" s="464"/>
      <c r="W167" s="464"/>
      <c r="X167" s="464"/>
      <c r="Y167" s="464"/>
      <c r="Z167" s="464"/>
      <c r="AA167" s="464"/>
      <c r="AB167" s="464"/>
      <c r="AC167" s="464"/>
      <c r="AD167" s="464"/>
      <c r="AE167" s="464"/>
      <c r="AF167" s="464"/>
    </row>
    <row r="168" spans="1:32" ht="15.75" customHeight="1">
      <c r="A168" s="463"/>
      <c r="B168" s="464"/>
      <c r="C168" s="464"/>
      <c r="D168" s="464"/>
      <c r="E168" s="464"/>
      <c r="F168" s="464"/>
      <c r="G168" s="464"/>
      <c r="H168" s="464"/>
      <c r="I168" s="464"/>
      <c r="J168" s="464"/>
      <c r="K168" s="464"/>
      <c r="L168" s="464"/>
      <c r="M168" s="464"/>
      <c r="N168" s="464"/>
      <c r="O168" s="464"/>
      <c r="P168" s="464"/>
      <c r="Q168" s="464"/>
      <c r="R168" s="464"/>
      <c r="S168" s="464"/>
      <c r="T168" s="464"/>
      <c r="U168" s="464"/>
      <c r="V168" s="464"/>
      <c r="W168" s="464"/>
      <c r="X168" s="464"/>
      <c r="Y168" s="464"/>
      <c r="Z168" s="464"/>
      <c r="AA168" s="464"/>
      <c r="AB168" s="464"/>
      <c r="AC168" s="464"/>
      <c r="AD168" s="464"/>
      <c r="AE168" s="464"/>
      <c r="AF168" s="464"/>
    </row>
    <row r="169" spans="1:32" ht="15.75" customHeight="1">
      <c r="A169" s="463"/>
      <c r="B169" s="464"/>
      <c r="C169" s="464"/>
      <c r="D169" s="464"/>
      <c r="E169" s="464"/>
      <c r="F169" s="464"/>
      <c r="G169" s="464"/>
      <c r="H169" s="464"/>
      <c r="I169" s="464"/>
      <c r="J169" s="464"/>
      <c r="K169" s="464"/>
      <c r="L169" s="464"/>
      <c r="M169" s="464"/>
      <c r="N169" s="464"/>
      <c r="O169" s="464"/>
      <c r="P169" s="464"/>
      <c r="Q169" s="464"/>
      <c r="R169" s="464"/>
      <c r="S169" s="464"/>
      <c r="T169" s="464"/>
      <c r="U169" s="464"/>
      <c r="V169" s="464"/>
      <c r="W169" s="464"/>
      <c r="X169" s="464"/>
      <c r="Y169" s="464"/>
      <c r="Z169" s="464"/>
      <c r="AA169" s="464"/>
      <c r="AB169" s="464"/>
      <c r="AC169" s="464"/>
      <c r="AD169" s="464"/>
      <c r="AE169" s="464"/>
      <c r="AF169" s="464"/>
    </row>
    <row r="170" spans="1:32" ht="15.75" customHeight="1">
      <c r="A170" s="463"/>
      <c r="B170" s="464"/>
      <c r="C170" s="464"/>
      <c r="D170" s="464"/>
      <c r="E170" s="464"/>
      <c r="F170" s="464"/>
      <c r="G170" s="464"/>
      <c r="H170" s="464"/>
      <c r="I170" s="464"/>
      <c r="J170" s="464"/>
      <c r="K170" s="464"/>
      <c r="L170" s="464"/>
      <c r="M170" s="464"/>
      <c r="N170" s="464"/>
      <c r="O170" s="464"/>
      <c r="P170" s="464"/>
      <c r="Q170" s="464"/>
      <c r="R170" s="464"/>
      <c r="S170" s="464"/>
      <c r="T170" s="464"/>
      <c r="U170" s="464"/>
      <c r="V170" s="464"/>
      <c r="W170" s="464"/>
      <c r="X170" s="464"/>
      <c r="Y170" s="464"/>
      <c r="Z170" s="464"/>
      <c r="AA170" s="464"/>
      <c r="AB170" s="464"/>
      <c r="AC170" s="464"/>
      <c r="AD170" s="464"/>
      <c r="AE170" s="464"/>
      <c r="AF170" s="464"/>
    </row>
    <row r="171" spans="1:32" ht="15.75" customHeight="1">
      <c r="A171" s="463"/>
      <c r="B171" s="464"/>
      <c r="C171" s="464"/>
      <c r="D171" s="464"/>
      <c r="E171" s="464"/>
      <c r="F171" s="464"/>
      <c r="G171" s="464"/>
      <c r="H171" s="464"/>
      <c r="I171" s="464"/>
      <c r="J171" s="464"/>
      <c r="K171" s="464"/>
      <c r="L171" s="464"/>
      <c r="M171" s="464"/>
      <c r="N171" s="464"/>
      <c r="O171" s="464"/>
      <c r="P171" s="464"/>
      <c r="Q171" s="464"/>
      <c r="R171" s="464"/>
      <c r="S171" s="464"/>
      <c r="T171" s="464"/>
      <c r="U171" s="464"/>
      <c r="V171" s="464"/>
      <c r="W171" s="464"/>
      <c r="X171" s="464"/>
      <c r="Y171" s="464"/>
      <c r="Z171" s="464"/>
      <c r="AA171" s="464"/>
      <c r="AB171" s="464"/>
      <c r="AC171" s="464"/>
      <c r="AD171" s="464"/>
      <c r="AE171" s="464"/>
      <c r="AF171" s="464"/>
    </row>
    <row r="172" spans="1:32" ht="15.75" customHeight="1">
      <c r="A172" s="463"/>
      <c r="B172" s="464"/>
      <c r="C172" s="464"/>
      <c r="D172" s="464"/>
      <c r="E172" s="464"/>
      <c r="F172" s="464"/>
      <c r="G172" s="464"/>
      <c r="H172" s="464"/>
      <c r="I172" s="464"/>
      <c r="J172" s="464"/>
      <c r="K172" s="464"/>
      <c r="L172" s="464"/>
      <c r="M172" s="464"/>
      <c r="N172" s="464"/>
      <c r="O172" s="464"/>
      <c r="P172" s="464"/>
      <c r="Q172" s="464"/>
      <c r="R172" s="464"/>
      <c r="S172" s="464"/>
      <c r="T172" s="464"/>
      <c r="U172" s="464"/>
      <c r="V172" s="464"/>
      <c r="W172" s="464"/>
      <c r="X172" s="464"/>
      <c r="Y172" s="464"/>
      <c r="Z172" s="464"/>
      <c r="AA172" s="464"/>
      <c r="AB172" s="464"/>
      <c r="AC172" s="464"/>
      <c r="AD172" s="464"/>
      <c r="AE172" s="464"/>
      <c r="AF172" s="464"/>
    </row>
    <row r="173" spans="1:32" ht="15.75" customHeight="1">
      <c r="A173" s="463"/>
      <c r="B173" s="464"/>
      <c r="C173" s="464"/>
      <c r="D173" s="464"/>
      <c r="E173" s="464"/>
      <c r="F173" s="464"/>
      <c r="G173" s="464"/>
      <c r="H173" s="464"/>
      <c r="I173" s="464"/>
      <c r="J173" s="464"/>
      <c r="K173" s="464"/>
      <c r="L173" s="464"/>
      <c r="M173" s="464"/>
      <c r="N173" s="464"/>
      <c r="O173" s="464"/>
      <c r="P173" s="464"/>
      <c r="Q173" s="464"/>
      <c r="R173" s="464"/>
      <c r="S173" s="464"/>
      <c r="T173" s="464"/>
      <c r="U173" s="464"/>
      <c r="V173" s="464"/>
      <c r="W173" s="464"/>
      <c r="X173" s="464"/>
      <c r="Y173" s="464"/>
      <c r="Z173" s="464"/>
      <c r="AA173" s="464"/>
      <c r="AB173" s="464"/>
      <c r="AC173" s="464"/>
      <c r="AD173" s="464"/>
      <c r="AE173" s="464"/>
      <c r="AF173" s="464"/>
    </row>
    <row r="174" spans="1:32" ht="15.75" customHeight="1">
      <c r="A174" s="463"/>
      <c r="B174" s="464"/>
      <c r="C174" s="464"/>
      <c r="D174" s="464"/>
      <c r="E174" s="464"/>
      <c r="F174" s="464"/>
      <c r="G174" s="464"/>
      <c r="H174" s="464"/>
      <c r="I174" s="464"/>
      <c r="J174" s="464"/>
      <c r="K174" s="464"/>
      <c r="L174" s="464"/>
      <c r="M174" s="464"/>
      <c r="N174" s="464"/>
      <c r="O174" s="464"/>
      <c r="P174" s="464"/>
      <c r="Q174" s="464"/>
      <c r="R174" s="464"/>
      <c r="S174" s="464"/>
      <c r="T174" s="464"/>
      <c r="U174" s="464"/>
      <c r="V174" s="464"/>
      <c r="W174" s="464"/>
      <c r="X174" s="464"/>
      <c r="Y174" s="464"/>
      <c r="Z174" s="464"/>
      <c r="AA174" s="464"/>
      <c r="AB174" s="464"/>
      <c r="AC174" s="464"/>
      <c r="AD174" s="464"/>
      <c r="AE174" s="464"/>
      <c r="AF174" s="464"/>
    </row>
    <row r="175" spans="1:32" ht="15.75" customHeight="1">
      <c r="A175" s="463"/>
      <c r="B175" s="464"/>
      <c r="C175" s="464"/>
      <c r="D175" s="464"/>
      <c r="E175" s="464"/>
      <c r="F175" s="464"/>
      <c r="G175" s="464"/>
      <c r="H175" s="464"/>
      <c r="I175" s="464"/>
      <c r="J175" s="464"/>
      <c r="K175" s="464"/>
      <c r="L175" s="464"/>
      <c r="M175" s="464"/>
      <c r="N175" s="464"/>
      <c r="O175" s="464"/>
      <c r="P175" s="464"/>
      <c r="Q175" s="464"/>
      <c r="R175" s="464"/>
      <c r="S175" s="464"/>
      <c r="T175" s="464"/>
      <c r="U175" s="464"/>
      <c r="V175" s="464"/>
      <c r="W175" s="464"/>
      <c r="X175" s="464"/>
      <c r="Y175" s="464"/>
      <c r="Z175" s="464"/>
      <c r="AA175" s="464"/>
      <c r="AB175" s="464"/>
      <c r="AC175" s="464"/>
      <c r="AD175" s="464"/>
      <c r="AE175" s="464"/>
      <c r="AF175" s="464"/>
    </row>
    <row r="176" spans="1:32" ht="15.75" customHeight="1">
      <c r="A176" s="463"/>
      <c r="B176" s="464"/>
      <c r="C176" s="464"/>
      <c r="D176" s="464"/>
      <c r="E176" s="464"/>
      <c r="F176" s="464"/>
      <c r="G176" s="464"/>
      <c r="H176" s="464"/>
      <c r="I176" s="464"/>
      <c r="J176" s="464"/>
      <c r="K176" s="464"/>
      <c r="L176" s="464"/>
      <c r="M176" s="464"/>
      <c r="N176" s="464"/>
      <c r="O176" s="464"/>
      <c r="P176" s="464"/>
      <c r="Q176" s="464"/>
      <c r="R176" s="464"/>
      <c r="S176" s="464"/>
      <c r="T176" s="464"/>
      <c r="U176" s="464"/>
      <c r="V176" s="464"/>
      <c r="W176" s="464"/>
      <c r="X176" s="464"/>
      <c r="Y176" s="464"/>
      <c r="Z176" s="464"/>
      <c r="AA176" s="464"/>
      <c r="AB176" s="464"/>
      <c r="AC176" s="464"/>
      <c r="AD176" s="464"/>
      <c r="AE176" s="464"/>
      <c r="AF176" s="464"/>
    </row>
    <row r="177" spans="1:32" ht="15.75" customHeight="1">
      <c r="A177" s="463"/>
      <c r="B177" s="464"/>
      <c r="C177" s="464"/>
      <c r="D177" s="464"/>
      <c r="E177" s="464"/>
      <c r="F177" s="464"/>
      <c r="G177" s="464"/>
      <c r="H177" s="464"/>
      <c r="I177" s="464"/>
      <c r="J177" s="464"/>
      <c r="K177" s="464"/>
      <c r="L177" s="464"/>
      <c r="M177" s="464"/>
      <c r="N177" s="464"/>
      <c r="O177" s="464"/>
      <c r="P177" s="464"/>
      <c r="Q177" s="464"/>
      <c r="R177" s="464"/>
      <c r="S177" s="464"/>
      <c r="T177" s="464"/>
      <c r="U177" s="464"/>
      <c r="V177" s="464"/>
      <c r="W177" s="464"/>
      <c r="X177" s="464"/>
      <c r="Y177" s="464"/>
      <c r="Z177" s="464"/>
      <c r="AA177" s="464"/>
      <c r="AB177" s="464"/>
      <c r="AC177" s="464"/>
      <c r="AD177" s="464"/>
      <c r="AE177" s="464"/>
      <c r="AF177" s="464"/>
    </row>
    <row r="178" spans="1:32" ht="15.75" customHeight="1">
      <c r="A178" s="463"/>
      <c r="B178" s="464"/>
      <c r="C178" s="464"/>
      <c r="D178" s="464"/>
      <c r="E178" s="464"/>
      <c r="F178" s="464"/>
      <c r="G178" s="464"/>
      <c r="H178" s="464"/>
      <c r="I178" s="464"/>
      <c r="J178" s="464"/>
      <c r="K178" s="464"/>
      <c r="L178" s="464"/>
      <c r="M178" s="464"/>
      <c r="N178" s="464"/>
      <c r="O178" s="464"/>
      <c r="P178" s="464"/>
      <c r="Q178" s="464"/>
      <c r="R178" s="464"/>
      <c r="S178" s="464"/>
      <c r="T178" s="464"/>
      <c r="U178" s="464"/>
      <c r="V178" s="464"/>
      <c r="W178" s="464"/>
      <c r="X178" s="464"/>
      <c r="Y178" s="464"/>
      <c r="Z178" s="464"/>
      <c r="AA178" s="464"/>
      <c r="AB178" s="464"/>
      <c r="AC178" s="464"/>
      <c r="AD178" s="464"/>
      <c r="AE178" s="464"/>
      <c r="AF178" s="464"/>
    </row>
    <row r="179" spans="1:32" ht="15.75" customHeight="1">
      <c r="A179" s="463"/>
      <c r="B179" s="464"/>
      <c r="C179" s="464"/>
      <c r="D179" s="464"/>
      <c r="E179" s="464"/>
      <c r="F179" s="464"/>
      <c r="G179" s="464"/>
      <c r="H179" s="464"/>
      <c r="I179" s="464"/>
      <c r="J179" s="464"/>
      <c r="K179" s="464"/>
      <c r="L179" s="464"/>
      <c r="M179" s="464"/>
      <c r="N179" s="464"/>
      <c r="O179" s="464"/>
      <c r="P179" s="464"/>
      <c r="Q179" s="464"/>
      <c r="R179" s="464"/>
      <c r="S179" s="464"/>
      <c r="T179" s="464"/>
      <c r="U179" s="464"/>
      <c r="V179" s="464"/>
      <c r="W179" s="464"/>
      <c r="X179" s="464"/>
      <c r="Y179" s="464"/>
      <c r="Z179" s="464"/>
      <c r="AA179" s="464"/>
      <c r="AB179" s="464"/>
      <c r="AC179" s="464"/>
      <c r="AD179" s="464"/>
      <c r="AE179" s="464"/>
      <c r="AF179" s="464"/>
    </row>
    <row r="180" spans="1:32" ht="15.75" customHeight="1">
      <c r="A180" s="463"/>
      <c r="B180" s="464"/>
      <c r="C180" s="464"/>
      <c r="D180" s="464"/>
      <c r="E180" s="464"/>
      <c r="F180" s="464"/>
      <c r="G180" s="464"/>
      <c r="H180" s="464"/>
      <c r="I180" s="464"/>
      <c r="J180" s="464"/>
      <c r="K180" s="464"/>
      <c r="L180" s="464"/>
      <c r="M180" s="464"/>
      <c r="N180" s="464"/>
      <c r="O180" s="464"/>
      <c r="P180" s="464"/>
      <c r="Q180" s="464"/>
      <c r="R180" s="464"/>
      <c r="S180" s="464"/>
      <c r="T180" s="464"/>
      <c r="U180" s="464"/>
      <c r="V180" s="464"/>
      <c r="W180" s="464"/>
      <c r="X180" s="464"/>
      <c r="Y180" s="464"/>
      <c r="Z180" s="464"/>
      <c r="AA180" s="464"/>
      <c r="AB180" s="464"/>
      <c r="AC180" s="464"/>
      <c r="AD180" s="464"/>
      <c r="AE180" s="464"/>
      <c r="AF180" s="464"/>
    </row>
    <row r="181" spans="1:32" ht="15.75" customHeight="1">
      <c r="A181" s="463"/>
      <c r="B181" s="464"/>
      <c r="C181" s="464"/>
      <c r="D181" s="464"/>
      <c r="E181" s="464"/>
      <c r="F181" s="464"/>
      <c r="G181" s="464"/>
      <c r="H181" s="464"/>
      <c r="I181" s="464"/>
      <c r="J181" s="464"/>
      <c r="K181" s="464"/>
      <c r="L181" s="464"/>
      <c r="M181" s="464"/>
      <c r="N181" s="464"/>
      <c r="O181" s="464"/>
      <c r="P181" s="464"/>
      <c r="Q181" s="464"/>
      <c r="R181" s="464"/>
      <c r="S181" s="464"/>
      <c r="T181" s="464"/>
      <c r="U181" s="464"/>
      <c r="V181" s="464"/>
      <c r="W181" s="464"/>
      <c r="X181" s="464"/>
      <c r="Y181" s="464"/>
      <c r="Z181" s="464"/>
      <c r="AA181" s="464"/>
      <c r="AB181" s="464"/>
      <c r="AC181" s="464"/>
      <c r="AD181" s="464"/>
      <c r="AE181" s="464"/>
      <c r="AF181" s="464"/>
    </row>
    <row r="182" spans="1:32" ht="15.75" customHeight="1">
      <c r="A182" s="463"/>
      <c r="B182" s="464"/>
      <c r="C182" s="464"/>
      <c r="D182" s="464"/>
      <c r="E182" s="464"/>
      <c r="F182" s="464"/>
      <c r="G182" s="464"/>
      <c r="H182" s="464"/>
      <c r="I182" s="464"/>
      <c r="J182" s="464"/>
      <c r="K182" s="464"/>
      <c r="L182" s="464"/>
      <c r="M182" s="464"/>
      <c r="N182" s="464"/>
      <c r="O182" s="464"/>
      <c r="P182" s="464"/>
      <c r="Q182" s="464"/>
      <c r="R182" s="464"/>
      <c r="S182" s="464"/>
      <c r="T182" s="464"/>
      <c r="U182" s="464"/>
      <c r="V182" s="464"/>
      <c r="W182" s="464"/>
      <c r="X182" s="464"/>
      <c r="Y182" s="464"/>
      <c r="Z182" s="464"/>
      <c r="AA182" s="464"/>
      <c r="AB182" s="464"/>
      <c r="AC182" s="464"/>
      <c r="AD182" s="464"/>
      <c r="AE182" s="464"/>
      <c r="AF182" s="464"/>
    </row>
    <row r="183" spans="1:32" ht="15.75" customHeight="1">
      <c r="A183" s="463"/>
      <c r="B183" s="464"/>
      <c r="C183" s="464"/>
      <c r="D183" s="464"/>
      <c r="E183" s="464"/>
      <c r="F183" s="464"/>
      <c r="G183" s="464"/>
      <c r="H183" s="464"/>
      <c r="I183" s="464"/>
      <c r="J183" s="464"/>
      <c r="K183" s="464"/>
      <c r="L183" s="464"/>
      <c r="M183" s="464"/>
      <c r="N183" s="464"/>
      <c r="O183" s="464"/>
      <c r="P183" s="464"/>
      <c r="Q183" s="464"/>
      <c r="R183" s="464"/>
      <c r="S183" s="464"/>
      <c r="T183" s="464"/>
      <c r="U183" s="464"/>
      <c r="V183" s="464"/>
      <c r="W183" s="464"/>
      <c r="X183" s="464"/>
      <c r="Y183" s="464"/>
      <c r="Z183" s="464"/>
      <c r="AA183" s="464"/>
      <c r="AB183" s="464"/>
      <c r="AC183" s="464"/>
      <c r="AD183" s="464"/>
      <c r="AE183" s="464"/>
      <c r="AF183" s="464"/>
    </row>
    <row r="184" spans="1:32" ht="15.75" customHeight="1">
      <c r="A184" s="463"/>
      <c r="B184" s="464"/>
      <c r="C184" s="464"/>
      <c r="D184" s="464"/>
      <c r="E184" s="464"/>
      <c r="F184" s="464"/>
      <c r="G184" s="464"/>
      <c r="H184" s="464"/>
      <c r="I184" s="464"/>
      <c r="J184" s="464"/>
      <c r="K184" s="464"/>
      <c r="L184" s="464"/>
      <c r="M184" s="464"/>
      <c r="N184" s="464"/>
      <c r="O184" s="464"/>
      <c r="P184" s="464"/>
      <c r="Q184" s="464"/>
      <c r="R184" s="464"/>
      <c r="S184" s="464"/>
      <c r="T184" s="464"/>
      <c r="U184" s="464"/>
      <c r="V184" s="464"/>
      <c r="W184" s="464"/>
      <c r="X184" s="464"/>
      <c r="Y184" s="464"/>
      <c r="Z184" s="464"/>
      <c r="AA184" s="464"/>
      <c r="AB184" s="464"/>
      <c r="AC184" s="464"/>
      <c r="AD184" s="464"/>
      <c r="AE184" s="464"/>
      <c r="AF184" s="464"/>
    </row>
    <row r="185" spans="1:32" ht="15.75" customHeight="1">
      <c r="A185" s="463"/>
      <c r="B185" s="464"/>
      <c r="C185" s="464"/>
      <c r="D185" s="464"/>
      <c r="E185" s="464"/>
      <c r="F185" s="464"/>
      <c r="G185" s="464"/>
      <c r="H185" s="464"/>
      <c r="I185" s="464"/>
      <c r="J185" s="464"/>
      <c r="K185" s="464"/>
      <c r="L185" s="464"/>
      <c r="M185" s="464"/>
      <c r="N185" s="464"/>
      <c r="O185" s="464"/>
      <c r="P185" s="464"/>
      <c r="Q185" s="464"/>
      <c r="R185" s="464"/>
      <c r="S185" s="464"/>
      <c r="T185" s="464"/>
      <c r="U185" s="464"/>
      <c r="V185" s="464"/>
      <c r="W185" s="464"/>
      <c r="X185" s="464"/>
      <c r="Y185" s="464"/>
      <c r="Z185" s="464"/>
      <c r="AA185" s="464"/>
      <c r="AB185" s="464"/>
      <c r="AC185" s="464"/>
      <c r="AD185" s="464"/>
      <c r="AE185" s="464"/>
      <c r="AF185" s="464"/>
    </row>
    <row r="186" spans="1:32" ht="15.75" customHeight="1">
      <c r="A186" s="463"/>
      <c r="B186" s="464"/>
      <c r="C186" s="464"/>
      <c r="D186" s="464"/>
      <c r="E186" s="464"/>
      <c r="F186" s="464"/>
      <c r="G186" s="464"/>
      <c r="H186" s="464"/>
      <c r="I186" s="464"/>
      <c r="J186" s="464"/>
      <c r="K186" s="464"/>
      <c r="L186" s="464"/>
      <c r="M186" s="464"/>
      <c r="N186" s="464"/>
      <c r="O186" s="464"/>
      <c r="P186" s="464"/>
      <c r="Q186" s="464"/>
      <c r="R186" s="464"/>
      <c r="S186" s="464"/>
      <c r="T186" s="464"/>
      <c r="U186" s="464"/>
      <c r="V186" s="464"/>
      <c r="W186" s="464"/>
      <c r="X186" s="464"/>
      <c r="Y186" s="464"/>
      <c r="Z186" s="464"/>
      <c r="AA186" s="464"/>
      <c r="AB186" s="464"/>
      <c r="AC186" s="464"/>
      <c r="AD186" s="464"/>
      <c r="AE186" s="464"/>
      <c r="AF186" s="464"/>
    </row>
    <row r="187" spans="1:32" ht="15.75" customHeight="1">
      <c r="A187" s="463"/>
      <c r="B187" s="464"/>
      <c r="C187" s="464"/>
      <c r="D187" s="464"/>
      <c r="E187" s="464"/>
      <c r="F187" s="464"/>
      <c r="G187" s="464"/>
      <c r="H187" s="464"/>
      <c r="I187" s="464"/>
      <c r="J187" s="464"/>
      <c r="K187" s="464"/>
      <c r="L187" s="464"/>
      <c r="M187" s="464"/>
      <c r="N187" s="464"/>
      <c r="O187" s="464"/>
      <c r="P187" s="464"/>
      <c r="Q187" s="464"/>
      <c r="R187" s="464"/>
      <c r="S187" s="464"/>
      <c r="T187" s="464"/>
      <c r="U187" s="464"/>
      <c r="V187" s="464"/>
      <c r="W187" s="464"/>
      <c r="X187" s="464"/>
      <c r="Y187" s="464"/>
      <c r="Z187" s="464"/>
      <c r="AA187" s="464"/>
      <c r="AB187" s="464"/>
      <c r="AC187" s="464"/>
      <c r="AD187" s="464"/>
      <c r="AE187" s="464"/>
      <c r="AF187" s="464"/>
    </row>
    <row r="188" spans="1:32" ht="15.75" customHeight="1">
      <c r="A188" s="463"/>
      <c r="B188" s="464"/>
      <c r="C188" s="464"/>
      <c r="D188" s="464"/>
      <c r="E188" s="464"/>
      <c r="F188" s="464"/>
      <c r="G188" s="464"/>
      <c r="H188" s="464"/>
      <c r="I188" s="464"/>
      <c r="J188" s="464"/>
      <c r="K188" s="464"/>
      <c r="L188" s="464"/>
      <c r="M188" s="464"/>
      <c r="N188" s="464"/>
      <c r="O188" s="464"/>
      <c r="P188" s="464"/>
      <c r="Q188" s="464"/>
      <c r="R188" s="464"/>
      <c r="S188" s="464"/>
      <c r="T188" s="464"/>
      <c r="U188" s="464"/>
      <c r="V188" s="464"/>
      <c r="W188" s="464"/>
      <c r="X188" s="464"/>
      <c r="Y188" s="464"/>
      <c r="Z188" s="464"/>
      <c r="AA188" s="464"/>
      <c r="AB188" s="464"/>
      <c r="AC188" s="464"/>
      <c r="AD188" s="464"/>
      <c r="AE188" s="464"/>
      <c r="AF188" s="464"/>
    </row>
    <row r="189" spans="1:32" ht="15.75" customHeight="1">
      <c r="A189" s="463"/>
      <c r="B189" s="464"/>
      <c r="C189" s="464"/>
      <c r="D189" s="464"/>
      <c r="E189" s="464"/>
      <c r="F189" s="464"/>
      <c r="G189" s="464"/>
      <c r="H189" s="464"/>
      <c r="I189" s="464"/>
      <c r="J189" s="464"/>
      <c r="K189" s="464"/>
      <c r="L189" s="464"/>
      <c r="M189" s="464"/>
      <c r="N189" s="464"/>
      <c r="O189" s="464"/>
      <c r="P189" s="464"/>
      <c r="Q189" s="464"/>
      <c r="R189" s="464"/>
      <c r="S189" s="464"/>
      <c r="T189" s="464"/>
      <c r="U189" s="464"/>
      <c r="V189" s="464"/>
      <c r="W189" s="464"/>
      <c r="X189" s="464"/>
      <c r="Y189" s="464"/>
      <c r="Z189" s="464"/>
      <c r="AA189" s="464"/>
      <c r="AB189" s="464"/>
      <c r="AC189" s="464"/>
      <c r="AD189" s="464"/>
      <c r="AE189" s="464"/>
      <c r="AF189" s="464"/>
    </row>
    <row r="190" spans="1:32" ht="15.75" customHeight="1">
      <c r="A190" s="463"/>
      <c r="B190" s="464"/>
      <c r="C190" s="464"/>
      <c r="D190" s="464"/>
      <c r="E190" s="464"/>
      <c r="F190" s="464"/>
      <c r="G190" s="464"/>
      <c r="H190" s="464"/>
      <c r="I190" s="464"/>
      <c r="J190" s="464"/>
      <c r="K190" s="464"/>
      <c r="L190" s="464"/>
      <c r="M190" s="464"/>
      <c r="N190" s="464"/>
      <c r="O190" s="464"/>
      <c r="P190" s="464"/>
      <c r="Q190" s="464"/>
      <c r="R190" s="464"/>
      <c r="S190" s="464"/>
      <c r="T190" s="464"/>
      <c r="U190" s="464"/>
      <c r="V190" s="464"/>
      <c r="W190" s="464"/>
      <c r="X190" s="464"/>
      <c r="Y190" s="464"/>
      <c r="Z190" s="464"/>
      <c r="AA190" s="464"/>
      <c r="AB190" s="464"/>
      <c r="AC190" s="464"/>
      <c r="AD190" s="464"/>
      <c r="AE190" s="464"/>
      <c r="AF190" s="464"/>
    </row>
    <row r="191" spans="1:32" ht="15.75" customHeight="1">
      <c r="A191" s="463"/>
      <c r="B191" s="464"/>
      <c r="C191" s="464"/>
      <c r="D191" s="464"/>
      <c r="E191" s="464"/>
      <c r="F191" s="464"/>
      <c r="G191" s="464"/>
      <c r="H191" s="464"/>
      <c r="I191" s="464"/>
      <c r="J191" s="464"/>
      <c r="K191" s="464"/>
      <c r="L191" s="464"/>
      <c r="M191" s="464"/>
      <c r="N191" s="464"/>
      <c r="O191" s="464"/>
      <c r="P191" s="464"/>
      <c r="Q191" s="464"/>
      <c r="R191" s="464"/>
      <c r="S191" s="464"/>
      <c r="T191" s="464"/>
      <c r="U191" s="464"/>
      <c r="V191" s="464"/>
      <c r="W191" s="464"/>
      <c r="X191" s="464"/>
      <c r="Y191" s="464"/>
      <c r="Z191" s="464"/>
      <c r="AA191" s="464"/>
      <c r="AB191" s="464"/>
      <c r="AC191" s="464"/>
      <c r="AD191" s="464"/>
      <c r="AE191" s="464"/>
      <c r="AF191" s="464"/>
    </row>
    <row r="192" spans="1:32" ht="15.75" customHeight="1">
      <c r="A192" s="463"/>
      <c r="B192" s="464"/>
      <c r="C192" s="464"/>
      <c r="D192" s="464"/>
      <c r="E192" s="464"/>
      <c r="F192" s="464"/>
      <c r="G192" s="464"/>
      <c r="H192" s="464"/>
      <c r="I192" s="464"/>
      <c r="J192" s="464"/>
      <c r="K192" s="464"/>
      <c r="L192" s="464"/>
      <c r="M192" s="464"/>
      <c r="N192" s="464"/>
      <c r="O192" s="464"/>
      <c r="P192" s="464"/>
      <c r="Q192" s="464"/>
      <c r="R192" s="464"/>
      <c r="S192" s="464"/>
      <c r="T192" s="464"/>
      <c r="U192" s="464"/>
      <c r="V192" s="464"/>
      <c r="W192" s="464"/>
      <c r="X192" s="464"/>
      <c r="Y192" s="464"/>
      <c r="Z192" s="464"/>
      <c r="AA192" s="464"/>
      <c r="AB192" s="464"/>
      <c r="AC192" s="464"/>
      <c r="AD192" s="464"/>
      <c r="AE192" s="464"/>
      <c r="AF192" s="464"/>
    </row>
    <row r="193" spans="1:32" ht="15.75" customHeight="1">
      <c r="A193" s="463"/>
      <c r="B193" s="464"/>
      <c r="C193" s="464"/>
      <c r="D193" s="464"/>
      <c r="E193" s="464"/>
      <c r="F193" s="464"/>
      <c r="G193" s="464"/>
      <c r="H193" s="464"/>
      <c r="I193" s="464"/>
      <c r="J193" s="464"/>
      <c r="K193" s="464"/>
      <c r="L193" s="464"/>
      <c r="M193" s="464"/>
      <c r="N193" s="464"/>
      <c r="O193" s="464"/>
      <c r="P193" s="464"/>
      <c r="Q193" s="464"/>
      <c r="R193" s="464"/>
      <c r="S193" s="464"/>
      <c r="T193" s="464"/>
      <c r="U193" s="464"/>
      <c r="V193" s="464"/>
      <c r="W193" s="464"/>
      <c r="X193" s="464"/>
      <c r="Y193" s="464"/>
      <c r="Z193" s="464"/>
      <c r="AA193" s="464"/>
      <c r="AB193" s="464"/>
      <c r="AC193" s="464"/>
      <c r="AD193" s="464"/>
      <c r="AE193" s="464"/>
      <c r="AF193" s="464"/>
    </row>
    <row r="194" spans="1:32" ht="15.75" customHeight="1">
      <c r="A194" s="463"/>
      <c r="B194" s="464"/>
      <c r="C194" s="464"/>
      <c r="D194" s="464"/>
      <c r="E194" s="464"/>
      <c r="F194" s="464"/>
      <c r="G194" s="464"/>
      <c r="H194" s="464"/>
      <c r="I194" s="464"/>
      <c r="J194" s="464"/>
      <c r="K194" s="464"/>
      <c r="L194" s="464"/>
      <c r="M194" s="464"/>
      <c r="N194" s="464"/>
      <c r="O194" s="464"/>
      <c r="P194" s="464"/>
      <c r="Q194" s="464"/>
      <c r="R194" s="464"/>
      <c r="S194" s="464"/>
      <c r="T194" s="464"/>
      <c r="U194" s="464"/>
      <c r="V194" s="464"/>
      <c r="W194" s="464"/>
      <c r="X194" s="464"/>
      <c r="Y194" s="464"/>
      <c r="Z194" s="464"/>
      <c r="AA194" s="464"/>
      <c r="AB194" s="464"/>
      <c r="AC194" s="464"/>
      <c r="AD194" s="464"/>
      <c r="AE194" s="464"/>
      <c r="AF194" s="464"/>
    </row>
    <row r="195" spans="1:32" ht="15.75" customHeight="1">
      <c r="A195" s="463"/>
      <c r="B195" s="464"/>
      <c r="C195" s="464"/>
      <c r="D195" s="464"/>
      <c r="E195" s="464"/>
      <c r="F195" s="464"/>
      <c r="G195" s="464"/>
      <c r="H195" s="464"/>
      <c r="I195" s="464"/>
      <c r="J195" s="464"/>
      <c r="K195" s="464"/>
      <c r="L195" s="464"/>
      <c r="M195" s="464"/>
      <c r="N195" s="464"/>
      <c r="O195" s="464"/>
      <c r="P195" s="464"/>
      <c r="Q195" s="464"/>
      <c r="R195" s="464"/>
      <c r="S195" s="464"/>
      <c r="T195" s="464"/>
      <c r="U195" s="464"/>
      <c r="V195" s="464"/>
      <c r="W195" s="464"/>
      <c r="X195" s="464"/>
      <c r="Y195" s="464"/>
      <c r="Z195" s="464"/>
      <c r="AA195" s="464"/>
      <c r="AB195" s="464"/>
      <c r="AC195" s="464"/>
      <c r="AD195" s="464"/>
      <c r="AE195" s="464"/>
      <c r="AF195" s="464"/>
    </row>
    <row r="196" spans="1:32" ht="15.75" customHeight="1">
      <c r="A196" s="463"/>
      <c r="B196" s="464"/>
      <c r="C196" s="464"/>
      <c r="D196" s="464"/>
      <c r="E196" s="464"/>
      <c r="F196" s="464"/>
      <c r="G196" s="464"/>
      <c r="H196" s="464"/>
      <c r="I196" s="464"/>
      <c r="J196" s="464"/>
      <c r="K196" s="464"/>
      <c r="L196" s="464"/>
      <c r="M196" s="464"/>
      <c r="N196" s="464"/>
      <c r="O196" s="464"/>
      <c r="P196" s="464"/>
      <c r="Q196" s="464"/>
      <c r="R196" s="464"/>
      <c r="S196" s="464"/>
      <c r="T196" s="464"/>
      <c r="U196" s="464"/>
      <c r="V196" s="464"/>
      <c r="W196" s="464"/>
      <c r="X196" s="464"/>
      <c r="Y196" s="464"/>
      <c r="Z196" s="464"/>
      <c r="AA196" s="464"/>
      <c r="AB196" s="464"/>
      <c r="AC196" s="464"/>
      <c r="AD196" s="464"/>
      <c r="AE196" s="464"/>
      <c r="AF196" s="464"/>
    </row>
    <row r="197" spans="1:32" ht="15.75" customHeight="1">
      <c r="A197" s="463"/>
      <c r="B197" s="464"/>
      <c r="C197" s="464"/>
      <c r="D197" s="464"/>
      <c r="E197" s="464"/>
      <c r="F197" s="464"/>
      <c r="G197" s="464"/>
      <c r="H197" s="464"/>
      <c r="I197" s="464"/>
      <c r="J197" s="464"/>
      <c r="K197" s="464"/>
      <c r="L197" s="464"/>
      <c r="M197" s="464"/>
      <c r="N197" s="464"/>
      <c r="O197" s="464"/>
      <c r="P197" s="464"/>
      <c r="Q197" s="464"/>
      <c r="R197" s="464"/>
      <c r="S197" s="464"/>
      <c r="T197" s="464"/>
      <c r="U197" s="464"/>
      <c r="V197" s="464"/>
      <c r="W197" s="464"/>
      <c r="X197" s="464"/>
      <c r="Y197" s="464"/>
      <c r="Z197" s="464"/>
      <c r="AA197" s="464"/>
      <c r="AB197" s="464"/>
      <c r="AC197" s="464"/>
      <c r="AD197" s="464"/>
      <c r="AE197" s="464"/>
      <c r="AF197" s="464"/>
    </row>
    <row r="198" spans="1:32" ht="15.75" customHeight="1">
      <c r="A198" s="463"/>
      <c r="B198" s="464"/>
      <c r="C198" s="464"/>
      <c r="D198" s="464"/>
      <c r="E198" s="464"/>
      <c r="F198" s="464"/>
      <c r="G198" s="464"/>
      <c r="H198" s="464"/>
      <c r="I198" s="464"/>
      <c r="J198" s="464"/>
      <c r="K198" s="464"/>
      <c r="L198" s="464"/>
      <c r="M198" s="464"/>
      <c r="N198" s="464"/>
      <c r="O198" s="464"/>
      <c r="P198" s="464"/>
      <c r="Q198" s="464"/>
      <c r="R198" s="464"/>
      <c r="S198" s="464"/>
      <c r="T198" s="464"/>
      <c r="U198" s="464"/>
      <c r="V198" s="464"/>
      <c r="W198" s="464"/>
      <c r="X198" s="464"/>
      <c r="Y198" s="464"/>
      <c r="Z198" s="464"/>
      <c r="AA198" s="464"/>
      <c r="AB198" s="464"/>
      <c r="AC198" s="464"/>
      <c r="AD198" s="464"/>
      <c r="AE198" s="464"/>
      <c r="AF198" s="464"/>
    </row>
    <row r="199" spans="1:32" ht="15.75" customHeight="1">
      <c r="A199" s="463"/>
      <c r="B199" s="464"/>
      <c r="C199" s="464"/>
      <c r="D199" s="464"/>
      <c r="E199" s="464"/>
      <c r="F199" s="464"/>
      <c r="G199" s="464"/>
      <c r="H199" s="464"/>
      <c r="I199" s="464"/>
      <c r="J199" s="464"/>
      <c r="K199" s="464"/>
      <c r="L199" s="464"/>
      <c r="M199" s="464"/>
      <c r="N199" s="464"/>
      <c r="O199" s="464"/>
      <c r="P199" s="464"/>
      <c r="Q199" s="464"/>
      <c r="R199" s="464"/>
      <c r="S199" s="464"/>
      <c r="T199" s="464"/>
      <c r="U199" s="464"/>
      <c r="V199" s="464"/>
      <c r="W199" s="464"/>
      <c r="X199" s="464"/>
      <c r="Y199" s="464"/>
      <c r="Z199" s="464"/>
      <c r="AA199" s="464"/>
      <c r="AB199" s="464"/>
      <c r="AC199" s="464"/>
      <c r="AD199" s="464"/>
      <c r="AE199" s="464"/>
      <c r="AF199" s="464"/>
    </row>
    <row r="200" spans="1:32" ht="15.75" customHeight="1">
      <c r="A200" s="463"/>
      <c r="B200" s="464"/>
      <c r="C200" s="464"/>
      <c r="D200" s="464"/>
      <c r="E200" s="464"/>
      <c r="F200" s="464"/>
      <c r="G200" s="464"/>
      <c r="H200" s="464"/>
      <c r="I200" s="464"/>
      <c r="J200" s="464"/>
      <c r="K200" s="464"/>
      <c r="L200" s="464"/>
      <c r="M200" s="464"/>
      <c r="N200" s="464"/>
      <c r="O200" s="464"/>
      <c r="P200" s="464"/>
      <c r="Q200" s="464"/>
      <c r="R200" s="464"/>
      <c r="S200" s="464"/>
      <c r="T200" s="464"/>
      <c r="U200" s="464"/>
      <c r="V200" s="464"/>
      <c r="W200" s="464"/>
      <c r="X200" s="464"/>
      <c r="Y200" s="464"/>
      <c r="Z200" s="464"/>
      <c r="AA200" s="464"/>
      <c r="AB200" s="464"/>
      <c r="AC200" s="464"/>
      <c r="AD200" s="464"/>
      <c r="AE200" s="464"/>
      <c r="AF200" s="464"/>
    </row>
    <row r="201" spans="1:32" ht="15.75" customHeight="1">
      <c r="A201" s="463"/>
      <c r="B201" s="464"/>
      <c r="C201" s="464"/>
      <c r="D201" s="464"/>
      <c r="E201" s="464"/>
      <c r="F201" s="464"/>
      <c r="G201" s="464"/>
      <c r="H201" s="464"/>
      <c r="I201" s="464"/>
      <c r="J201" s="464"/>
      <c r="K201" s="464"/>
      <c r="L201" s="464"/>
      <c r="M201" s="464"/>
      <c r="N201" s="464"/>
      <c r="O201" s="464"/>
      <c r="P201" s="464"/>
      <c r="Q201" s="464"/>
      <c r="R201" s="464"/>
      <c r="S201" s="464"/>
      <c r="T201" s="464"/>
      <c r="U201" s="464"/>
      <c r="V201" s="464"/>
      <c r="W201" s="464"/>
      <c r="X201" s="464"/>
      <c r="Y201" s="464"/>
      <c r="Z201" s="464"/>
      <c r="AA201" s="464"/>
      <c r="AB201" s="464"/>
      <c r="AC201" s="464"/>
      <c r="AD201" s="464"/>
      <c r="AE201" s="464"/>
      <c r="AF201" s="464"/>
    </row>
    <row r="202" spans="1:32" ht="15.75" customHeight="1">
      <c r="A202" s="463"/>
      <c r="B202" s="464"/>
      <c r="C202" s="464"/>
      <c r="D202" s="464"/>
      <c r="E202" s="464"/>
      <c r="F202" s="464"/>
      <c r="G202" s="464"/>
      <c r="H202" s="464"/>
      <c r="I202" s="464"/>
      <c r="J202" s="464"/>
      <c r="K202" s="464"/>
      <c r="L202" s="464"/>
      <c r="M202" s="464"/>
      <c r="N202" s="464"/>
      <c r="O202" s="464"/>
      <c r="P202" s="464"/>
      <c r="Q202" s="464"/>
      <c r="R202" s="464"/>
      <c r="S202" s="464"/>
      <c r="T202" s="464"/>
      <c r="U202" s="464"/>
      <c r="V202" s="464"/>
      <c r="W202" s="464"/>
      <c r="X202" s="464"/>
      <c r="Y202" s="464"/>
      <c r="Z202" s="464"/>
      <c r="AA202" s="464"/>
      <c r="AB202" s="464"/>
      <c r="AC202" s="464"/>
      <c r="AD202" s="464"/>
      <c r="AE202" s="464"/>
      <c r="AF202" s="464"/>
    </row>
    <row r="203" spans="1:32" ht="15.75" customHeight="1">
      <c r="A203" s="463"/>
      <c r="B203" s="464"/>
      <c r="C203" s="464"/>
      <c r="D203" s="464"/>
      <c r="E203" s="464"/>
      <c r="F203" s="464"/>
      <c r="G203" s="464"/>
      <c r="H203" s="464"/>
      <c r="I203" s="464"/>
      <c r="J203" s="464"/>
      <c r="K203" s="464"/>
      <c r="L203" s="464"/>
      <c r="M203" s="464"/>
      <c r="N203" s="464"/>
      <c r="O203" s="464"/>
      <c r="P203" s="464"/>
      <c r="Q203" s="464"/>
      <c r="R203" s="464"/>
      <c r="S203" s="464"/>
      <c r="T203" s="464"/>
      <c r="U203" s="464"/>
      <c r="V203" s="464"/>
      <c r="W203" s="464"/>
      <c r="X203" s="464"/>
      <c r="Y203" s="464"/>
      <c r="Z203" s="464"/>
      <c r="AA203" s="464"/>
      <c r="AB203" s="464"/>
      <c r="AC203" s="464"/>
      <c r="AD203" s="464"/>
      <c r="AE203" s="464"/>
      <c r="AF203" s="464"/>
    </row>
    <row r="204" spans="1:32" ht="15.75" customHeight="1">
      <c r="A204" s="463"/>
      <c r="B204" s="464"/>
      <c r="C204" s="464"/>
      <c r="D204" s="464"/>
      <c r="E204" s="464"/>
      <c r="F204" s="464"/>
      <c r="G204" s="464"/>
      <c r="H204" s="464"/>
      <c r="I204" s="464"/>
      <c r="J204" s="464"/>
      <c r="K204" s="464"/>
      <c r="L204" s="464"/>
      <c r="M204" s="464"/>
      <c r="N204" s="464"/>
      <c r="O204" s="464"/>
      <c r="P204" s="464"/>
      <c r="Q204" s="464"/>
      <c r="R204" s="464"/>
      <c r="S204" s="464"/>
      <c r="T204" s="464"/>
      <c r="U204" s="464"/>
      <c r="V204" s="464"/>
      <c r="W204" s="464"/>
      <c r="X204" s="464"/>
      <c r="Y204" s="464"/>
      <c r="Z204" s="464"/>
      <c r="AA204" s="464"/>
      <c r="AB204" s="464"/>
      <c r="AC204" s="464"/>
      <c r="AD204" s="464"/>
      <c r="AE204" s="464"/>
      <c r="AF204" s="464"/>
    </row>
    <row r="205" spans="1:32" ht="15.75" customHeight="1">
      <c r="A205" s="463"/>
      <c r="B205" s="464"/>
      <c r="C205" s="464"/>
      <c r="D205" s="464"/>
      <c r="E205" s="464"/>
      <c r="F205" s="464"/>
      <c r="G205" s="464"/>
      <c r="H205" s="464"/>
      <c r="I205" s="464"/>
      <c r="J205" s="464"/>
      <c r="K205" s="464"/>
      <c r="L205" s="464"/>
      <c r="M205" s="464"/>
      <c r="N205" s="464"/>
      <c r="O205" s="464"/>
      <c r="P205" s="464"/>
      <c r="Q205" s="464"/>
      <c r="R205" s="464"/>
      <c r="S205" s="464"/>
      <c r="T205" s="464"/>
      <c r="U205" s="464"/>
      <c r="V205" s="464"/>
      <c r="W205" s="464"/>
      <c r="X205" s="464"/>
      <c r="Y205" s="464"/>
      <c r="Z205" s="464"/>
      <c r="AA205" s="464"/>
      <c r="AB205" s="464"/>
      <c r="AC205" s="464"/>
      <c r="AD205" s="464"/>
      <c r="AE205" s="464"/>
      <c r="AF205" s="464"/>
    </row>
    <row r="206" spans="1:32" ht="15.75" customHeight="1">
      <c r="A206" s="463"/>
      <c r="B206" s="464"/>
      <c r="C206" s="464"/>
      <c r="D206" s="464"/>
      <c r="E206" s="464"/>
      <c r="F206" s="464"/>
      <c r="G206" s="464"/>
      <c r="H206" s="464"/>
      <c r="I206" s="464"/>
      <c r="J206" s="464"/>
      <c r="K206" s="464"/>
      <c r="L206" s="464"/>
      <c r="M206" s="464"/>
      <c r="N206" s="464"/>
      <c r="O206" s="464"/>
      <c r="P206" s="464"/>
      <c r="Q206" s="464"/>
      <c r="R206" s="464"/>
      <c r="S206" s="464"/>
      <c r="T206" s="464"/>
      <c r="U206" s="464"/>
      <c r="V206" s="464"/>
      <c r="W206" s="464"/>
      <c r="X206" s="464"/>
      <c r="Y206" s="464"/>
      <c r="Z206" s="464"/>
      <c r="AA206" s="464"/>
      <c r="AB206" s="464"/>
      <c r="AC206" s="464"/>
      <c r="AD206" s="464"/>
      <c r="AE206" s="464"/>
      <c r="AF206" s="464"/>
    </row>
    <row r="207" spans="1:32" ht="15.75" customHeight="1">
      <c r="A207" s="463"/>
      <c r="B207" s="464"/>
      <c r="C207" s="464"/>
      <c r="D207" s="464"/>
      <c r="E207" s="464"/>
      <c r="F207" s="464"/>
      <c r="G207" s="464"/>
      <c r="H207" s="464"/>
      <c r="I207" s="464"/>
      <c r="J207" s="464"/>
      <c r="K207" s="464"/>
      <c r="L207" s="464"/>
      <c r="M207" s="464"/>
      <c r="N207" s="464"/>
      <c r="O207" s="464"/>
      <c r="P207" s="464"/>
      <c r="Q207" s="464"/>
      <c r="R207" s="464"/>
      <c r="S207" s="464"/>
      <c r="T207" s="464"/>
      <c r="U207" s="464"/>
      <c r="V207" s="464"/>
      <c r="W207" s="464"/>
      <c r="X207" s="464"/>
      <c r="Y207" s="464"/>
      <c r="Z207" s="464"/>
      <c r="AA207" s="464"/>
      <c r="AB207" s="464"/>
      <c r="AC207" s="464"/>
      <c r="AD207" s="464"/>
      <c r="AE207" s="464"/>
      <c r="AF207" s="464"/>
    </row>
    <row r="208" spans="1:32" ht="15.75" customHeight="1">
      <c r="A208" s="463"/>
      <c r="B208" s="464"/>
      <c r="C208" s="464"/>
      <c r="D208" s="464"/>
      <c r="E208" s="464"/>
      <c r="F208" s="464"/>
      <c r="G208" s="464"/>
      <c r="H208" s="464"/>
      <c r="I208" s="464"/>
      <c r="J208" s="464"/>
      <c r="K208" s="464"/>
      <c r="L208" s="464"/>
      <c r="M208" s="464"/>
      <c r="N208" s="464"/>
      <c r="O208" s="464"/>
      <c r="P208" s="464"/>
      <c r="Q208" s="464"/>
      <c r="R208" s="464"/>
      <c r="S208" s="464"/>
      <c r="T208" s="464"/>
      <c r="U208" s="464"/>
      <c r="V208" s="464"/>
      <c r="W208" s="464"/>
      <c r="X208" s="464"/>
      <c r="Y208" s="464"/>
      <c r="Z208" s="464"/>
      <c r="AA208" s="464"/>
      <c r="AB208" s="464"/>
      <c r="AC208" s="464"/>
      <c r="AD208" s="464"/>
      <c r="AE208" s="464"/>
      <c r="AF208" s="464"/>
    </row>
    <row r="209" spans="1:32" ht="15.75" customHeight="1">
      <c r="A209" s="463"/>
      <c r="B209" s="464"/>
      <c r="C209" s="464"/>
      <c r="D209" s="464"/>
      <c r="E209" s="464"/>
      <c r="F209" s="464"/>
      <c r="G209" s="464"/>
      <c r="H209" s="464"/>
      <c r="I209" s="464"/>
      <c r="J209" s="464"/>
      <c r="K209" s="464"/>
      <c r="L209" s="464"/>
      <c r="M209" s="464"/>
      <c r="N209" s="464"/>
      <c r="O209" s="464"/>
      <c r="P209" s="464"/>
      <c r="Q209" s="464"/>
      <c r="R209" s="464"/>
      <c r="S209" s="464"/>
      <c r="T209" s="464"/>
      <c r="U209" s="464"/>
      <c r="V209" s="464"/>
      <c r="W209" s="464"/>
      <c r="X209" s="464"/>
      <c r="Y209" s="464"/>
      <c r="Z209" s="464"/>
      <c r="AA209" s="464"/>
      <c r="AB209" s="464"/>
      <c r="AC209" s="464"/>
      <c r="AD209" s="464"/>
      <c r="AE209" s="464"/>
      <c r="AF209" s="464"/>
    </row>
    <row r="210" spans="1:32" ht="15.75" customHeight="1">
      <c r="A210" s="463"/>
      <c r="B210" s="464"/>
      <c r="C210" s="464"/>
      <c r="D210" s="464"/>
      <c r="E210" s="464"/>
      <c r="F210" s="464"/>
      <c r="G210" s="464"/>
      <c r="H210" s="464"/>
      <c r="I210" s="464"/>
      <c r="J210" s="464"/>
      <c r="K210" s="464"/>
      <c r="L210" s="464"/>
      <c r="M210" s="464"/>
      <c r="N210" s="464"/>
      <c r="O210" s="464"/>
      <c r="P210" s="464"/>
      <c r="Q210" s="464"/>
      <c r="R210" s="464"/>
      <c r="S210" s="464"/>
      <c r="T210" s="464"/>
      <c r="U210" s="464"/>
      <c r="V210" s="464"/>
      <c r="W210" s="464"/>
      <c r="X210" s="464"/>
      <c r="Y210" s="464"/>
      <c r="Z210" s="464"/>
      <c r="AA210" s="464"/>
      <c r="AB210" s="464"/>
      <c r="AC210" s="464"/>
      <c r="AD210" s="464"/>
      <c r="AE210" s="464"/>
      <c r="AF210" s="464"/>
    </row>
    <row r="211" spans="1:32" ht="15.75" customHeight="1">
      <c r="A211" s="463"/>
      <c r="B211" s="464"/>
      <c r="C211" s="464"/>
      <c r="D211" s="464"/>
      <c r="E211" s="464"/>
      <c r="F211" s="464"/>
      <c r="G211" s="464"/>
      <c r="H211" s="464"/>
      <c r="I211" s="464"/>
      <c r="J211" s="464"/>
      <c r="K211" s="464"/>
      <c r="L211" s="464"/>
      <c r="M211" s="464"/>
      <c r="N211" s="464"/>
      <c r="O211" s="464"/>
      <c r="P211" s="464"/>
      <c r="Q211" s="464"/>
      <c r="R211" s="464"/>
      <c r="S211" s="464"/>
      <c r="T211" s="464"/>
      <c r="U211" s="464"/>
      <c r="V211" s="464"/>
      <c r="W211" s="464"/>
      <c r="X211" s="464"/>
      <c r="Y211" s="464"/>
      <c r="Z211" s="464"/>
      <c r="AA211" s="464"/>
      <c r="AB211" s="464"/>
      <c r="AC211" s="464"/>
      <c r="AD211" s="464"/>
      <c r="AE211" s="464"/>
      <c r="AF211" s="464"/>
    </row>
    <row r="212" spans="1:32" ht="15.75" customHeight="1">
      <c r="A212" s="463"/>
      <c r="B212" s="464"/>
      <c r="C212" s="464"/>
      <c r="D212" s="464"/>
      <c r="E212" s="464"/>
      <c r="F212" s="464"/>
      <c r="G212" s="464"/>
      <c r="H212" s="464"/>
      <c r="I212" s="464"/>
      <c r="J212" s="464"/>
      <c r="K212" s="464"/>
      <c r="L212" s="464"/>
      <c r="M212" s="464"/>
      <c r="N212" s="464"/>
      <c r="O212" s="464"/>
      <c r="P212" s="464"/>
      <c r="Q212" s="464"/>
      <c r="R212" s="464"/>
      <c r="S212" s="464"/>
      <c r="T212" s="464"/>
      <c r="U212" s="464"/>
      <c r="V212" s="464"/>
      <c r="W212" s="464"/>
      <c r="X212" s="464"/>
      <c r="Y212" s="464"/>
      <c r="Z212" s="464"/>
      <c r="AA212" s="464"/>
      <c r="AB212" s="464"/>
      <c r="AC212" s="464"/>
      <c r="AD212" s="464"/>
      <c r="AE212" s="464"/>
      <c r="AF212" s="464"/>
    </row>
    <row r="213" spans="1:32" ht="15.75" customHeight="1">
      <c r="A213" s="463"/>
      <c r="B213" s="464"/>
      <c r="C213" s="464"/>
      <c r="D213" s="464"/>
      <c r="E213" s="464"/>
      <c r="F213" s="464"/>
      <c r="G213" s="464"/>
      <c r="H213" s="464"/>
      <c r="I213" s="464"/>
      <c r="J213" s="464"/>
      <c r="K213" s="464"/>
      <c r="L213" s="464"/>
      <c r="M213" s="464"/>
      <c r="N213" s="464"/>
      <c r="O213" s="464"/>
      <c r="P213" s="464"/>
      <c r="Q213" s="464"/>
      <c r="R213" s="464"/>
      <c r="S213" s="464"/>
      <c r="T213" s="464"/>
      <c r="U213" s="464"/>
      <c r="V213" s="464"/>
      <c r="W213" s="464"/>
      <c r="X213" s="464"/>
      <c r="Y213" s="464"/>
      <c r="Z213" s="464"/>
      <c r="AA213" s="464"/>
      <c r="AB213" s="464"/>
      <c r="AC213" s="464"/>
      <c r="AD213" s="464"/>
      <c r="AE213" s="464"/>
      <c r="AF213" s="464"/>
    </row>
    <row r="214" spans="1:32" ht="15.75" customHeight="1">
      <c r="A214" s="463"/>
      <c r="B214" s="464"/>
      <c r="C214" s="464"/>
      <c r="D214" s="464"/>
      <c r="E214" s="464"/>
      <c r="F214" s="464"/>
      <c r="G214" s="464"/>
      <c r="H214" s="464"/>
      <c r="I214" s="464"/>
      <c r="J214" s="464"/>
      <c r="K214" s="464"/>
      <c r="L214" s="464"/>
      <c r="M214" s="464"/>
      <c r="N214" s="464"/>
      <c r="O214" s="464"/>
      <c r="P214" s="464"/>
      <c r="Q214" s="464"/>
      <c r="R214" s="464"/>
      <c r="S214" s="464"/>
      <c r="T214" s="464"/>
      <c r="U214" s="464"/>
      <c r="V214" s="464"/>
      <c r="W214" s="464"/>
      <c r="X214" s="464"/>
      <c r="Y214" s="464"/>
      <c r="Z214" s="464"/>
      <c r="AA214" s="464"/>
      <c r="AB214" s="464"/>
      <c r="AC214" s="464"/>
      <c r="AD214" s="464"/>
      <c r="AE214" s="464"/>
      <c r="AF214" s="464"/>
    </row>
    <row r="215" spans="1:32" ht="15.75" customHeight="1">
      <c r="A215" s="463"/>
      <c r="B215" s="464"/>
      <c r="C215" s="464"/>
      <c r="D215" s="464"/>
      <c r="E215" s="464"/>
      <c r="F215" s="464"/>
      <c r="G215" s="464"/>
      <c r="H215" s="464"/>
      <c r="I215" s="464"/>
      <c r="J215" s="464"/>
      <c r="K215" s="464"/>
      <c r="L215" s="464"/>
      <c r="M215" s="464"/>
      <c r="N215" s="464"/>
      <c r="O215" s="464"/>
      <c r="P215" s="464"/>
      <c r="Q215" s="464"/>
      <c r="R215" s="464"/>
      <c r="S215" s="464"/>
      <c r="T215" s="464"/>
      <c r="U215" s="464"/>
      <c r="V215" s="464"/>
      <c r="W215" s="464"/>
      <c r="X215" s="464"/>
      <c r="Y215" s="464"/>
      <c r="Z215" s="464"/>
      <c r="AA215" s="464"/>
      <c r="AB215" s="464"/>
      <c r="AC215" s="464"/>
      <c r="AD215" s="464"/>
      <c r="AE215" s="464"/>
      <c r="AF215" s="464"/>
    </row>
    <row r="216" spans="1:32" ht="15.75" customHeight="1">
      <c r="A216" s="463"/>
      <c r="B216" s="464"/>
      <c r="C216" s="464"/>
      <c r="D216" s="464"/>
      <c r="E216" s="464"/>
      <c r="F216" s="464"/>
      <c r="G216" s="464"/>
      <c r="H216" s="464"/>
      <c r="I216" s="464"/>
      <c r="J216" s="464"/>
      <c r="K216" s="464"/>
      <c r="L216" s="464"/>
      <c r="M216" s="464"/>
      <c r="N216" s="464"/>
      <c r="O216" s="464"/>
      <c r="P216" s="464"/>
      <c r="Q216" s="464"/>
      <c r="R216" s="464"/>
      <c r="S216" s="464"/>
      <c r="T216" s="464"/>
      <c r="U216" s="464"/>
      <c r="V216" s="464"/>
      <c r="W216" s="464"/>
      <c r="X216" s="464"/>
      <c r="Y216" s="464"/>
      <c r="Z216" s="464"/>
      <c r="AA216" s="464"/>
      <c r="AB216" s="464"/>
      <c r="AC216" s="464"/>
      <c r="AD216" s="464"/>
      <c r="AE216" s="464"/>
      <c r="AF216" s="464"/>
    </row>
    <row r="217" spans="1:32" ht="15.75" customHeight="1">
      <c r="A217" s="463"/>
      <c r="B217" s="464"/>
      <c r="C217" s="464"/>
      <c r="D217" s="464"/>
      <c r="E217" s="464"/>
      <c r="F217" s="464"/>
      <c r="G217" s="464"/>
      <c r="H217" s="464"/>
      <c r="I217" s="464"/>
      <c r="J217" s="464"/>
      <c r="K217" s="464"/>
      <c r="L217" s="464"/>
      <c r="M217" s="464"/>
      <c r="N217" s="464"/>
      <c r="O217" s="464"/>
      <c r="P217" s="464"/>
      <c r="Q217" s="464"/>
      <c r="R217" s="464"/>
      <c r="S217" s="464"/>
      <c r="T217" s="464"/>
      <c r="U217" s="464"/>
      <c r="V217" s="464"/>
      <c r="W217" s="464"/>
      <c r="X217" s="464"/>
      <c r="Y217" s="464"/>
      <c r="Z217" s="464"/>
      <c r="AA217" s="464"/>
      <c r="AB217" s="464"/>
      <c r="AC217" s="464"/>
      <c r="AD217" s="464"/>
      <c r="AE217" s="464"/>
      <c r="AF217" s="464"/>
    </row>
    <row r="218" spans="1:32" ht="15.75" customHeight="1">
      <c r="A218" s="463"/>
      <c r="B218" s="464"/>
      <c r="C218" s="464"/>
      <c r="D218" s="464"/>
      <c r="E218" s="464"/>
      <c r="F218" s="464"/>
      <c r="G218" s="464"/>
      <c r="H218" s="464"/>
      <c r="I218" s="464"/>
      <c r="J218" s="464"/>
      <c r="K218" s="464"/>
      <c r="L218" s="464"/>
      <c r="M218" s="464"/>
      <c r="N218" s="464"/>
      <c r="O218" s="464"/>
      <c r="P218" s="464"/>
      <c r="Q218" s="464"/>
      <c r="R218" s="464"/>
      <c r="S218" s="464"/>
      <c r="T218" s="464"/>
      <c r="U218" s="464"/>
      <c r="V218" s="464"/>
      <c r="W218" s="464"/>
      <c r="X218" s="464"/>
      <c r="Y218" s="464"/>
      <c r="Z218" s="464"/>
      <c r="AA218" s="464"/>
      <c r="AB218" s="464"/>
      <c r="AC218" s="464"/>
      <c r="AD218" s="464"/>
      <c r="AE218" s="464"/>
      <c r="AF218" s="464"/>
    </row>
    <row r="219" spans="1:32" ht="15.75" customHeight="1">
      <c r="A219" s="463"/>
      <c r="B219" s="464"/>
      <c r="C219" s="464"/>
      <c r="D219" s="464"/>
      <c r="E219" s="464"/>
      <c r="F219" s="464"/>
      <c r="G219" s="464"/>
      <c r="H219" s="464"/>
      <c r="I219" s="464"/>
      <c r="J219" s="464"/>
      <c r="K219" s="464"/>
      <c r="L219" s="464"/>
      <c r="M219" s="464"/>
      <c r="N219" s="464"/>
      <c r="O219" s="464"/>
      <c r="P219" s="464"/>
      <c r="Q219" s="464"/>
      <c r="R219" s="464"/>
      <c r="S219" s="464"/>
      <c r="T219" s="464"/>
      <c r="U219" s="464"/>
      <c r="V219" s="464"/>
      <c r="W219" s="464"/>
      <c r="X219" s="464"/>
      <c r="Y219" s="464"/>
      <c r="Z219" s="464"/>
      <c r="AA219" s="464"/>
      <c r="AB219" s="464"/>
      <c r="AC219" s="464"/>
      <c r="AD219" s="464"/>
      <c r="AE219" s="464"/>
      <c r="AF219" s="464"/>
    </row>
    <row r="220" spans="1:32" ht="15.75" customHeight="1">
      <c r="A220" s="463"/>
      <c r="B220" s="464"/>
      <c r="C220" s="464"/>
      <c r="D220" s="464"/>
      <c r="E220" s="464"/>
      <c r="F220" s="464"/>
      <c r="G220" s="464"/>
      <c r="H220" s="464"/>
      <c r="I220" s="464"/>
      <c r="J220" s="464"/>
      <c r="K220" s="464"/>
      <c r="L220" s="464"/>
      <c r="M220" s="464"/>
      <c r="N220" s="464"/>
      <c r="O220" s="464"/>
      <c r="P220" s="464"/>
      <c r="Q220" s="464"/>
      <c r="R220" s="464"/>
      <c r="S220" s="464"/>
      <c r="T220" s="464"/>
      <c r="U220" s="464"/>
      <c r="V220" s="464"/>
      <c r="W220" s="464"/>
      <c r="X220" s="464"/>
      <c r="Y220" s="464"/>
      <c r="Z220" s="464"/>
      <c r="AA220" s="464"/>
      <c r="AB220" s="464"/>
      <c r="AC220" s="464"/>
      <c r="AD220" s="464"/>
      <c r="AE220" s="464"/>
      <c r="AF220" s="464"/>
    </row>
    <row r="221" spans="1:32" ht="15.75" customHeight="1">
      <c r="A221" s="463"/>
      <c r="B221" s="464"/>
      <c r="C221" s="464"/>
      <c r="D221" s="464"/>
      <c r="E221" s="464"/>
      <c r="F221" s="464"/>
      <c r="G221" s="464"/>
      <c r="H221" s="464"/>
      <c r="I221" s="464"/>
      <c r="J221" s="464"/>
      <c r="K221" s="464"/>
      <c r="L221" s="464"/>
      <c r="M221" s="464"/>
      <c r="N221" s="464"/>
      <c r="O221" s="464"/>
      <c r="P221" s="464"/>
      <c r="Q221" s="464"/>
      <c r="R221" s="464"/>
      <c r="S221" s="464"/>
      <c r="T221" s="464"/>
      <c r="U221" s="464"/>
      <c r="V221" s="464"/>
      <c r="W221" s="464"/>
      <c r="X221" s="464"/>
      <c r="Y221" s="464"/>
      <c r="Z221" s="464"/>
      <c r="AA221" s="464"/>
      <c r="AB221" s="464"/>
      <c r="AC221" s="464"/>
      <c r="AD221" s="464"/>
      <c r="AE221" s="464"/>
      <c r="AF221" s="464"/>
    </row>
    <row r="222" spans="1:32" ht="15.75" customHeight="1">
      <c r="A222" s="463"/>
      <c r="B222" s="464"/>
      <c r="C222" s="464"/>
      <c r="D222" s="464"/>
      <c r="E222" s="464"/>
      <c r="F222" s="464"/>
      <c r="G222" s="464"/>
      <c r="H222" s="464"/>
      <c r="I222" s="464"/>
      <c r="J222" s="464"/>
      <c r="K222" s="464"/>
      <c r="L222" s="464"/>
      <c r="M222" s="464"/>
      <c r="N222" s="464"/>
      <c r="O222" s="464"/>
      <c r="P222" s="464"/>
      <c r="Q222" s="464"/>
      <c r="R222" s="464"/>
      <c r="S222" s="464"/>
      <c r="T222" s="464"/>
      <c r="U222" s="464"/>
      <c r="V222" s="464"/>
      <c r="W222" s="464"/>
      <c r="X222" s="464"/>
      <c r="Y222" s="464"/>
      <c r="Z222" s="464"/>
      <c r="AA222" s="464"/>
      <c r="AB222" s="464"/>
      <c r="AC222" s="464"/>
      <c r="AD222" s="464"/>
      <c r="AE222" s="464"/>
      <c r="AF222" s="464"/>
    </row>
    <row r="223" spans="1:32" ht="15.75" customHeight="1">
      <c r="A223" s="463"/>
      <c r="B223" s="464"/>
      <c r="C223" s="464"/>
      <c r="D223" s="464"/>
      <c r="E223" s="464"/>
      <c r="F223" s="464"/>
      <c r="G223" s="464"/>
      <c r="H223" s="464"/>
      <c r="I223" s="464"/>
      <c r="J223" s="464"/>
      <c r="K223" s="464"/>
      <c r="L223" s="464"/>
      <c r="M223" s="464"/>
      <c r="N223" s="464"/>
      <c r="O223" s="464"/>
      <c r="P223" s="464"/>
      <c r="Q223" s="464"/>
      <c r="R223" s="464"/>
      <c r="S223" s="464"/>
      <c r="T223" s="464"/>
      <c r="U223" s="464"/>
      <c r="V223" s="464"/>
      <c r="W223" s="464"/>
      <c r="X223" s="464"/>
      <c r="Y223" s="464"/>
      <c r="Z223" s="464"/>
      <c r="AA223" s="464"/>
      <c r="AB223" s="464"/>
      <c r="AC223" s="464"/>
      <c r="AD223" s="464"/>
      <c r="AE223" s="464"/>
      <c r="AF223" s="464"/>
    </row>
    <row r="224" spans="1:32" ht="15.75" customHeight="1">
      <c r="A224" s="463"/>
      <c r="B224" s="464"/>
      <c r="C224" s="464"/>
      <c r="D224" s="464"/>
      <c r="E224" s="464"/>
      <c r="F224" s="464"/>
      <c r="G224" s="464"/>
      <c r="H224" s="464"/>
      <c r="I224" s="464"/>
      <c r="J224" s="464"/>
      <c r="K224" s="464"/>
      <c r="L224" s="464"/>
      <c r="M224" s="464"/>
      <c r="N224" s="464"/>
      <c r="O224" s="464"/>
      <c r="P224" s="464"/>
      <c r="Q224" s="464"/>
      <c r="R224" s="464"/>
      <c r="S224" s="464"/>
      <c r="T224" s="464"/>
      <c r="U224" s="464"/>
      <c r="V224" s="464"/>
      <c r="W224" s="464"/>
      <c r="X224" s="464"/>
      <c r="Y224" s="464"/>
      <c r="Z224" s="464"/>
      <c r="AA224" s="464"/>
      <c r="AB224" s="464"/>
      <c r="AC224" s="464"/>
      <c r="AD224" s="464"/>
      <c r="AE224" s="464"/>
      <c r="AF224" s="464"/>
    </row>
    <row r="225" spans="1:32" ht="15.75" customHeight="1">
      <c r="A225" s="463"/>
      <c r="B225" s="464"/>
      <c r="C225" s="464"/>
      <c r="D225" s="464"/>
      <c r="E225" s="464"/>
      <c r="F225" s="464"/>
      <c r="G225" s="464"/>
      <c r="H225" s="464"/>
      <c r="I225" s="464"/>
      <c r="J225" s="464"/>
      <c r="K225" s="464"/>
      <c r="L225" s="464"/>
      <c r="M225" s="464"/>
      <c r="N225" s="464"/>
      <c r="O225" s="464"/>
      <c r="P225" s="464"/>
      <c r="Q225" s="464"/>
      <c r="R225" s="464"/>
      <c r="S225" s="464"/>
      <c r="T225" s="464"/>
      <c r="U225" s="464"/>
      <c r="V225" s="464"/>
      <c r="W225" s="464"/>
      <c r="X225" s="464"/>
      <c r="Y225" s="464"/>
      <c r="Z225" s="464"/>
      <c r="AA225" s="464"/>
      <c r="AB225" s="464"/>
      <c r="AC225" s="464"/>
      <c r="AD225" s="464"/>
      <c r="AE225" s="464"/>
      <c r="AF225" s="464"/>
    </row>
    <row r="226" spans="1:32" ht="15.75" customHeight="1">
      <c r="A226" s="463"/>
      <c r="B226" s="464"/>
      <c r="C226" s="464"/>
      <c r="D226" s="464"/>
      <c r="E226" s="464"/>
      <c r="F226" s="464"/>
      <c r="G226" s="464"/>
      <c r="H226" s="464"/>
      <c r="I226" s="464"/>
      <c r="J226" s="464"/>
      <c r="K226" s="464"/>
      <c r="L226" s="464"/>
      <c r="M226" s="464"/>
      <c r="N226" s="464"/>
      <c r="O226" s="464"/>
      <c r="P226" s="464"/>
      <c r="Q226" s="464"/>
      <c r="R226" s="464"/>
      <c r="S226" s="464"/>
      <c r="T226" s="464"/>
      <c r="U226" s="464"/>
      <c r="V226" s="464"/>
      <c r="W226" s="464"/>
      <c r="X226" s="464"/>
      <c r="Y226" s="464"/>
      <c r="Z226" s="464"/>
      <c r="AA226" s="464"/>
      <c r="AB226" s="464"/>
      <c r="AC226" s="464"/>
      <c r="AD226" s="464"/>
      <c r="AE226" s="464"/>
      <c r="AF226" s="464"/>
    </row>
    <row r="227" spans="1:32" ht="15.75" customHeight="1">
      <c r="A227" s="463"/>
      <c r="B227" s="464"/>
      <c r="C227" s="464"/>
      <c r="D227" s="464"/>
      <c r="E227" s="464"/>
      <c r="F227" s="464"/>
      <c r="G227" s="464"/>
      <c r="H227" s="464"/>
      <c r="I227" s="464"/>
      <c r="J227" s="464"/>
      <c r="K227" s="464"/>
      <c r="L227" s="464"/>
      <c r="M227" s="464"/>
      <c r="N227" s="464"/>
      <c r="O227" s="464"/>
      <c r="P227" s="464"/>
      <c r="Q227" s="464"/>
      <c r="R227" s="464"/>
      <c r="S227" s="464"/>
      <c r="T227" s="464"/>
      <c r="U227" s="464"/>
      <c r="V227" s="464"/>
      <c r="W227" s="464"/>
      <c r="X227" s="464"/>
      <c r="Y227" s="464"/>
      <c r="Z227" s="464"/>
      <c r="AA227" s="464"/>
      <c r="AB227" s="464"/>
      <c r="AC227" s="464"/>
      <c r="AD227" s="464"/>
      <c r="AE227" s="464"/>
      <c r="AF227" s="464"/>
    </row>
    <row r="228" spans="1:32" ht="15.75" customHeight="1">
      <c r="A228" s="463"/>
      <c r="B228" s="464"/>
      <c r="C228" s="464"/>
      <c r="D228" s="464"/>
      <c r="E228" s="464"/>
      <c r="F228" s="464"/>
      <c r="G228" s="464"/>
      <c r="H228" s="464"/>
      <c r="I228" s="464"/>
      <c r="J228" s="464"/>
      <c r="K228" s="464"/>
      <c r="L228" s="464"/>
      <c r="M228" s="464"/>
      <c r="N228" s="464"/>
      <c r="O228" s="464"/>
      <c r="P228" s="464"/>
      <c r="Q228" s="464"/>
      <c r="R228" s="464"/>
      <c r="S228" s="464"/>
      <c r="T228" s="464"/>
      <c r="U228" s="464"/>
      <c r="V228" s="464"/>
      <c r="W228" s="464"/>
      <c r="X228" s="464"/>
      <c r="Y228" s="464"/>
      <c r="Z228" s="464"/>
      <c r="AA228" s="464"/>
      <c r="AB228" s="464"/>
      <c r="AC228" s="464"/>
      <c r="AD228" s="464"/>
      <c r="AE228" s="464"/>
      <c r="AF228" s="464"/>
    </row>
    <row r="229" spans="1:32" ht="15.75" customHeight="1">
      <c r="A229" s="463"/>
      <c r="B229" s="464"/>
      <c r="C229" s="464"/>
      <c r="D229" s="464"/>
      <c r="E229" s="464"/>
      <c r="F229" s="464"/>
      <c r="G229" s="464"/>
      <c r="H229" s="464"/>
      <c r="I229" s="464"/>
      <c r="J229" s="464"/>
      <c r="K229" s="464"/>
      <c r="L229" s="464"/>
      <c r="M229" s="464"/>
      <c r="N229" s="464"/>
      <c r="O229" s="464"/>
      <c r="P229" s="464"/>
      <c r="Q229" s="464"/>
      <c r="R229" s="464"/>
      <c r="S229" s="464"/>
      <c r="T229" s="464"/>
      <c r="U229" s="464"/>
      <c r="V229" s="464"/>
      <c r="W229" s="464"/>
      <c r="X229" s="464"/>
      <c r="Y229" s="464"/>
      <c r="Z229" s="464"/>
      <c r="AA229" s="464"/>
      <c r="AB229" s="464"/>
      <c r="AC229" s="464"/>
      <c r="AD229" s="464"/>
      <c r="AE229" s="464"/>
      <c r="AF229" s="464"/>
    </row>
    <row r="230" spans="1:32" ht="15.75" customHeight="1">
      <c r="A230" s="463"/>
      <c r="B230" s="464"/>
      <c r="C230" s="464"/>
      <c r="D230" s="464"/>
      <c r="E230" s="464"/>
      <c r="F230" s="464"/>
      <c r="G230" s="464"/>
      <c r="H230" s="464"/>
      <c r="I230" s="464"/>
      <c r="J230" s="464"/>
      <c r="K230" s="464"/>
      <c r="L230" s="464"/>
      <c r="M230" s="464"/>
      <c r="N230" s="464"/>
      <c r="O230" s="464"/>
      <c r="P230" s="464"/>
      <c r="Q230" s="464"/>
      <c r="R230" s="464"/>
      <c r="S230" s="464"/>
      <c r="T230" s="464"/>
      <c r="U230" s="464"/>
      <c r="V230" s="464"/>
      <c r="W230" s="464"/>
      <c r="X230" s="464"/>
      <c r="Y230" s="464"/>
      <c r="Z230" s="464"/>
      <c r="AA230" s="464"/>
      <c r="AB230" s="464"/>
      <c r="AC230" s="464"/>
      <c r="AD230" s="464"/>
      <c r="AE230" s="464"/>
      <c r="AF230" s="464"/>
    </row>
    <row r="231" spans="1:32" ht="15.75" customHeight="1">
      <c r="A231" s="463"/>
      <c r="B231" s="464"/>
      <c r="C231" s="464"/>
      <c r="D231" s="464"/>
      <c r="E231" s="464"/>
      <c r="F231" s="464"/>
      <c r="G231" s="464"/>
      <c r="H231" s="464"/>
      <c r="I231" s="464"/>
      <c r="J231" s="464"/>
      <c r="K231" s="464"/>
      <c r="L231" s="464"/>
      <c r="M231" s="464"/>
      <c r="N231" s="464"/>
      <c r="O231" s="464"/>
      <c r="P231" s="464"/>
      <c r="Q231" s="464"/>
      <c r="R231" s="464"/>
      <c r="S231" s="464"/>
      <c r="T231" s="464"/>
      <c r="U231" s="464"/>
      <c r="V231" s="464"/>
      <c r="W231" s="464"/>
      <c r="X231" s="464"/>
      <c r="Y231" s="464"/>
      <c r="Z231" s="464"/>
      <c r="AA231" s="464"/>
      <c r="AB231" s="464"/>
      <c r="AC231" s="464"/>
      <c r="AD231" s="464"/>
      <c r="AE231" s="464"/>
      <c r="AF231" s="464"/>
    </row>
    <row r="232" spans="1:32" ht="15.75" customHeight="1">
      <c r="A232" s="463"/>
      <c r="B232" s="464"/>
      <c r="C232" s="464"/>
      <c r="D232" s="464"/>
      <c r="E232" s="464"/>
      <c r="F232" s="464"/>
      <c r="G232" s="464"/>
      <c r="H232" s="464"/>
      <c r="I232" s="464"/>
      <c r="J232" s="464"/>
      <c r="K232" s="464"/>
      <c r="L232" s="464"/>
      <c r="M232" s="464"/>
      <c r="N232" s="464"/>
      <c r="O232" s="464"/>
      <c r="P232" s="464"/>
      <c r="Q232" s="464"/>
      <c r="R232" s="464"/>
      <c r="S232" s="464"/>
      <c r="T232" s="464"/>
      <c r="U232" s="464"/>
      <c r="V232" s="464"/>
      <c r="W232" s="464"/>
      <c r="X232" s="464"/>
      <c r="Y232" s="464"/>
      <c r="Z232" s="464"/>
      <c r="AA232" s="464"/>
      <c r="AB232" s="464"/>
      <c r="AC232" s="464"/>
      <c r="AD232" s="464"/>
      <c r="AE232" s="464"/>
      <c r="AF232" s="464"/>
    </row>
    <row r="233" spans="1:32" ht="15.75" customHeight="1">
      <c r="A233" s="463"/>
      <c r="B233" s="464"/>
      <c r="C233" s="464"/>
      <c r="D233" s="464"/>
      <c r="E233" s="464"/>
      <c r="F233" s="464"/>
      <c r="G233" s="464"/>
      <c r="H233" s="464"/>
      <c r="I233" s="464"/>
      <c r="J233" s="464"/>
      <c r="K233" s="464"/>
      <c r="L233" s="464"/>
      <c r="M233" s="464"/>
      <c r="N233" s="464"/>
      <c r="O233" s="464"/>
      <c r="P233" s="464"/>
      <c r="Q233" s="464"/>
      <c r="R233" s="464"/>
      <c r="S233" s="464"/>
      <c r="T233" s="464"/>
      <c r="U233" s="464"/>
      <c r="V233" s="464"/>
      <c r="W233" s="464"/>
      <c r="X233" s="464"/>
      <c r="Y233" s="464"/>
      <c r="Z233" s="464"/>
      <c r="AA233" s="464"/>
      <c r="AB233" s="464"/>
      <c r="AC233" s="464"/>
      <c r="AD233" s="464"/>
      <c r="AE233" s="464"/>
      <c r="AF233" s="464"/>
    </row>
    <row r="234" spans="1:32" ht="15.75" customHeight="1">
      <c r="A234" s="463"/>
      <c r="B234" s="464"/>
      <c r="C234" s="464"/>
      <c r="D234" s="464"/>
      <c r="E234" s="464"/>
      <c r="F234" s="464"/>
      <c r="G234" s="464"/>
      <c r="H234" s="464"/>
      <c r="I234" s="464"/>
      <c r="J234" s="464"/>
      <c r="K234" s="464"/>
      <c r="L234" s="464"/>
      <c r="M234" s="464"/>
      <c r="N234" s="464"/>
      <c r="O234" s="464"/>
      <c r="P234" s="464"/>
      <c r="Q234" s="464"/>
      <c r="R234" s="464"/>
      <c r="S234" s="464"/>
      <c r="T234" s="464"/>
      <c r="U234" s="464"/>
      <c r="V234" s="464"/>
      <c r="W234" s="464"/>
      <c r="X234" s="464"/>
      <c r="Y234" s="464"/>
      <c r="Z234" s="464"/>
      <c r="AA234" s="464"/>
      <c r="AB234" s="464"/>
      <c r="AC234" s="464"/>
      <c r="AD234" s="464"/>
      <c r="AE234" s="464"/>
      <c r="AF234" s="464"/>
    </row>
    <row r="235" spans="1:32" ht="15.75" customHeight="1">
      <c r="A235" s="463"/>
      <c r="B235" s="464"/>
      <c r="C235" s="464"/>
      <c r="D235" s="464"/>
      <c r="E235" s="464"/>
      <c r="F235" s="464"/>
      <c r="G235" s="464"/>
      <c r="H235" s="464"/>
      <c r="I235" s="464"/>
      <c r="J235" s="464"/>
      <c r="K235" s="464"/>
      <c r="L235" s="464"/>
      <c r="M235" s="464"/>
      <c r="N235" s="464"/>
      <c r="O235" s="464"/>
      <c r="P235" s="464"/>
      <c r="Q235" s="464"/>
      <c r="R235" s="464"/>
      <c r="S235" s="464"/>
      <c r="T235" s="464"/>
      <c r="U235" s="464"/>
      <c r="V235" s="464"/>
      <c r="W235" s="464"/>
      <c r="X235" s="464"/>
      <c r="Y235" s="464"/>
      <c r="Z235" s="464"/>
      <c r="AA235" s="464"/>
      <c r="AB235" s="464"/>
      <c r="AC235" s="464"/>
      <c r="AD235" s="464"/>
      <c r="AE235" s="464"/>
      <c r="AF235" s="464"/>
    </row>
    <row r="236" spans="1:32" ht="15.75" customHeight="1">
      <c r="A236" s="463"/>
      <c r="B236" s="464"/>
      <c r="C236" s="464"/>
      <c r="D236" s="464"/>
      <c r="E236" s="464"/>
      <c r="F236" s="464"/>
      <c r="G236" s="464"/>
      <c r="H236" s="464"/>
      <c r="I236" s="464"/>
      <c r="J236" s="464"/>
      <c r="K236" s="464"/>
      <c r="L236" s="464"/>
      <c r="M236" s="464"/>
      <c r="N236" s="464"/>
      <c r="O236" s="464"/>
      <c r="P236" s="464"/>
      <c r="Q236" s="464"/>
      <c r="R236" s="464"/>
      <c r="S236" s="464"/>
      <c r="T236" s="464"/>
      <c r="U236" s="464"/>
      <c r="V236" s="464"/>
      <c r="W236" s="464"/>
      <c r="X236" s="464"/>
      <c r="Y236" s="464"/>
      <c r="Z236" s="464"/>
      <c r="AA236" s="464"/>
      <c r="AB236" s="464"/>
      <c r="AC236" s="464"/>
      <c r="AD236" s="464"/>
      <c r="AE236" s="464"/>
      <c r="AF236" s="464"/>
    </row>
    <row r="237" spans="1:32" ht="15.75" customHeight="1">
      <c r="A237" s="463"/>
      <c r="B237" s="464"/>
      <c r="C237" s="464"/>
      <c r="D237" s="464"/>
      <c r="E237" s="464"/>
      <c r="F237" s="464"/>
      <c r="G237" s="464"/>
      <c r="H237" s="464"/>
      <c r="I237" s="464"/>
      <c r="J237" s="464"/>
      <c r="K237" s="464"/>
      <c r="L237" s="464"/>
      <c r="M237" s="464"/>
      <c r="N237" s="464"/>
      <c r="O237" s="464"/>
      <c r="P237" s="464"/>
      <c r="Q237" s="464"/>
      <c r="R237" s="464"/>
      <c r="S237" s="464"/>
      <c r="T237" s="464"/>
      <c r="U237" s="464"/>
      <c r="V237" s="464"/>
      <c r="W237" s="464"/>
      <c r="X237" s="464"/>
      <c r="Y237" s="464"/>
      <c r="Z237" s="464"/>
      <c r="AA237" s="464"/>
      <c r="AB237" s="464"/>
      <c r="AC237" s="464"/>
      <c r="AD237" s="464"/>
      <c r="AE237" s="464"/>
      <c r="AF237" s="464"/>
    </row>
    <row r="238" spans="1:32" ht="15.75" customHeight="1">
      <c r="A238" s="463"/>
      <c r="B238" s="464"/>
      <c r="C238" s="464"/>
      <c r="D238" s="464"/>
      <c r="E238" s="464"/>
      <c r="F238" s="464"/>
      <c r="G238" s="464"/>
      <c r="H238" s="464"/>
      <c r="I238" s="464"/>
      <c r="J238" s="464"/>
      <c r="K238" s="464"/>
      <c r="L238" s="464"/>
      <c r="M238" s="464"/>
      <c r="N238" s="464"/>
      <c r="O238" s="464"/>
      <c r="P238" s="464"/>
      <c r="Q238" s="464"/>
      <c r="R238" s="464"/>
      <c r="S238" s="464"/>
      <c r="T238" s="464"/>
      <c r="U238" s="464"/>
      <c r="V238" s="464"/>
      <c r="W238" s="464"/>
      <c r="X238" s="464"/>
      <c r="Y238" s="464"/>
      <c r="Z238" s="464"/>
      <c r="AA238" s="464"/>
      <c r="AB238" s="464"/>
      <c r="AC238" s="464"/>
      <c r="AD238" s="464"/>
      <c r="AE238" s="464"/>
      <c r="AF238" s="464"/>
    </row>
    <row r="239" spans="1:32" ht="15.75" customHeight="1">
      <c r="A239" s="463"/>
      <c r="B239" s="464"/>
      <c r="C239" s="464"/>
      <c r="D239" s="464"/>
      <c r="E239" s="464"/>
      <c r="F239" s="464"/>
      <c r="G239" s="464"/>
      <c r="H239" s="464"/>
      <c r="I239" s="464"/>
      <c r="J239" s="464"/>
      <c r="K239" s="464"/>
      <c r="L239" s="464"/>
      <c r="M239" s="464"/>
      <c r="N239" s="464"/>
      <c r="O239" s="464"/>
      <c r="P239" s="464"/>
      <c r="Q239" s="464"/>
      <c r="R239" s="464"/>
      <c r="S239" s="464"/>
      <c r="T239" s="464"/>
      <c r="U239" s="464"/>
      <c r="V239" s="464"/>
      <c r="W239" s="464"/>
      <c r="X239" s="464"/>
      <c r="Y239" s="464"/>
      <c r="Z239" s="464"/>
      <c r="AA239" s="464"/>
      <c r="AB239" s="464"/>
      <c r="AC239" s="464"/>
      <c r="AD239" s="464"/>
      <c r="AE239" s="464"/>
      <c r="AF239" s="464"/>
    </row>
    <row r="240" spans="1:32" ht="15.75" customHeight="1">
      <c r="A240" s="463"/>
      <c r="B240" s="464"/>
      <c r="C240" s="464"/>
      <c r="D240" s="464"/>
      <c r="E240" s="464"/>
      <c r="F240" s="464"/>
      <c r="G240" s="464"/>
      <c r="H240" s="464"/>
      <c r="I240" s="464"/>
      <c r="J240" s="464"/>
      <c r="K240" s="464"/>
      <c r="L240" s="464"/>
      <c r="M240" s="464"/>
      <c r="N240" s="464"/>
      <c r="O240" s="464"/>
      <c r="P240" s="464"/>
      <c r="Q240" s="464"/>
      <c r="R240" s="464"/>
      <c r="S240" s="464"/>
      <c r="T240" s="464"/>
      <c r="U240" s="464"/>
      <c r="V240" s="464"/>
      <c r="W240" s="464"/>
      <c r="X240" s="464"/>
      <c r="Y240" s="464"/>
      <c r="Z240" s="464"/>
      <c r="AA240" s="464"/>
      <c r="AB240" s="464"/>
      <c r="AC240" s="464"/>
      <c r="AD240" s="464"/>
      <c r="AE240" s="464"/>
      <c r="AF240" s="464"/>
    </row>
    <row r="241" spans="1:32" ht="15.75" customHeight="1">
      <c r="A241" s="463"/>
      <c r="B241" s="464"/>
      <c r="C241" s="464"/>
      <c r="D241" s="464"/>
      <c r="E241" s="464"/>
      <c r="F241" s="464"/>
      <c r="G241" s="464"/>
      <c r="H241" s="464"/>
      <c r="I241" s="464"/>
      <c r="J241" s="464"/>
      <c r="K241" s="464"/>
      <c r="L241" s="464"/>
      <c r="M241" s="464"/>
      <c r="N241" s="464"/>
      <c r="O241" s="464"/>
      <c r="P241" s="464"/>
      <c r="Q241" s="464"/>
      <c r="R241" s="464"/>
      <c r="S241" s="464"/>
      <c r="T241" s="464"/>
      <c r="U241" s="464"/>
      <c r="V241" s="464"/>
      <c r="W241" s="464"/>
      <c r="X241" s="464"/>
      <c r="Y241" s="464"/>
      <c r="Z241" s="464"/>
      <c r="AA241" s="464"/>
      <c r="AB241" s="464"/>
      <c r="AC241" s="464"/>
      <c r="AD241" s="464"/>
      <c r="AE241" s="464"/>
      <c r="AF241" s="464"/>
    </row>
    <row r="242" spans="1:32" ht="15.75" customHeight="1"/>
    <row r="243" spans="1:32" ht="15.75" customHeight="1"/>
    <row r="244" spans="1:32" ht="15.75" customHeight="1"/>
    <row r="245" spans="1:32" ht="15.75" customHeight="1"/>
    <row r="246" spans="1:32" ht="15.75" customHeight="1"/>
    <row r="247" spans="1:32" ht="15.75" customHeight="1"/>
    <row r="248" spans="1:32" ht="15.75" customHeight="1"/>
    <row r="249" spans="1:32" ht="15.75" customHeight="1"/>
    <row r="250" spans="1:32" ht="15.75" customHeight="1"/>
    <row r="251" spans="1:32" ht="15.75" customHeight="1"/>
    <row r="252" spans="1:32" ht="15.75" customHeight="1"/>
    <row r="253" spans="1:32" ht="15.75" customHeight="1"/>
    <row r="254" spans="1:32" ht="15.75" customHeight="1"/>
    <row r="255" spans="1:32" ht="15.75" customHeight="1"/>
    <row r="256" spans="1:32"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8">
    <mergeCell ref="K28:L28"/>
    <mergeCell ref="M28:N28"/>
    <mergeCell ref="C18:E18"/>
    <mergeCell ref="F18:H18"/>
    <mergeCell ref="C28:D28"/>
    <mergeCell ref="E28:F28"/>
    <mergeCell ref="G28:H28"/>
    <mergeCell ref="I28:J28"/>
  </mergeCells>
  <pageMargins left="0.70866141732283472" right="0.70866141732283472" top="0.78740157480314965" bottom="0.78740157480314965" header="0" footer="0"/>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R1000"/>
  <sheetViews>
    <sheetView topLeftCell="C1" zoomScale="130" zoomScaleNormal="130" workbookViewId="0">
      <selection activeCell="L18" sqref="L18"/>
    </sheetView>
  </sheetViews>
  <sheetFormatPr baseColWidth="10" defaultColWidth="14.33203125" defaultRowHeight="15" customHeight="1"/>
  <cols>
    <col min="1" max="1" width="24.5546875" customWidth="1"/>
    <col min="2" max="2" width="45.33203125" customWidth="1"/>
    <col min="3" max="3" width="27.6640625" customWidth="1"/>
    <col min="4" max="10" width="14" customWidth="1"/>
    <col min="11" max="11" width="26.5546875" customWidth="1"/>
    <col min="12" max="12" width="14.88671875" bestFit="1" customWidth="1"/>
    <col min="13" max="15" width="14" customWidth="1"/>
    <col min="16" max="17" width="11.33203125" customWidth="1"/>
    <col min="18" max="18" width="23.33203125" customWidth="1"/>
    <col min="19" max="26" width="11.33203125" customWidth="1"/>
  </cols>
  <sheetData>
    <row r="1" spans="1:18" ht="14.4">
      <c r="A1" s="954" t="s">
        <v>4113</v>
      </c>
      <c r="P1" s="643" t="s">
        <v>2560</v>
      </c>
      <c r="Q1" s="643" t="s">
        <v>3741</v>
      </c>
      <c r="R1" s="643" t="s">
        <v>3742</v>
      </c>
    </row>
    <row r="2" spans="1:18" ht="14.25" customHeight="1">
      <c r="C2" s="492" t="s">
        <v>3653</v>
      </c>
      <c r="P2" s="641">
        <f>Fragenkatalog!K53</f>
        <v>0</v>
      </c>
      <c r="Q2" s="641">
        <f>Bilanzsumme</f>
        <v>0</v>
      </c>
      <c r="R2" s="642">
        <f>IF(Q2&gt;0,P2/Q2,0)</f>
        <v>0</v>
      </c>
    </row>
    <row r="3" spans="1:18" ht="14.25" customHeight="1">
      <c r="A3" s="493" t="s">
        <v>3654</v>
      </c>
      <c r="B3" s="494" t="s">
        <v>3633</v>
      </c>
      <c r="C3" s="495">
        <v>500000</v>
      </c>
      <c r="D3" s="495">
        <v>1000000</v>
      </c>
      <c r="E3" s="495">
        <v>1500000</v>
      </c>
      <c r="F3" s="495">
        <v>2000000</v>
      </c>
      <c r="G3" s="495">
        <v>2500000</v>
      </c>
      <c r="H3" s="495">
        <v>3000000</v>
      </c>
      <c r="I3" s="495">
        <v>4000000</v>
      </c>
      <c r="J3" s="495">
        <v>5000000</v>
      </c>
      <c r="K3" s="495">
        <v>7500000</v>
      </c>
      <c r="L3" s="495">
        <v>10000000</v>
      </c>
      <c r="M3" s="495">
        <v>12500000</v>
      </c>
      <c r="N3" s="496">
        <v>15000000</v>
      </c>
    </row>
    <row r="4" spans="1:18" ht="14.25" customHeight="1">
      <c r="A4" s="497">
        <v>0</v>
      </c>
      <c r="B4" s="498"/>
      <c r="C4" s="499"/>
      <c r="D4" s="499"/>
      <c r="E4" s="499"/>
      <c r="F4" s="499"/>
      <c r="G4" s="499"/>
      <c r="H4" s="499"/>
      <c r="I4" s="499"/>
      <c r="J4" s="499"/>
      <c r="K4" s="499"/>
      <c r="L4" s="499"/>
      <c r="M4" s="499"/>
      <c r="N4" s="500"/>
    </row>
    <row r="5" spans="1:18" ht="14.25" customHeight="1">
      <c r="A5" s="501">
        <v>5000001</v>
      </c>
      <c r="B5" s="502" t="s">
        <v>3655</v>
      </c>
      <c r="C5" s="255">
        <v>1000</v>
      </c>
      <c r="D5" s="255">
        <v>1200</v>
      </c>
      <c r="E5" s="255">
        <v>1500</v>
      </c>
      <c r="F5" s="255">
        <v>2000</v>
      </c>
      <c r="G5" s="255">
        <v>2500</v>
      </c>
      <c r="H5" s="255">
        <v>3000</v>
      </c>
      <c r="I5" s="255">
        <v>4000</v>
      </c>
      <c r="J5" s="255">
        <v>5000</v>
      </c>
      <c r="K5" s="255"/>
      <c r="L5" s="255"/>
      <c r="M5" s="255"/>
      <c r="N5" s="503"/>
    </row>
    <row r="6" spans="1:18" ht="14.25" customHeight="1">
      <c r="A6" s="501">
        <v>10000001</v>
      </c>
      <c r="B6" s="502" t="s">
        <v>3656</v>
      </c>
      <c r="C6" s="255">
        <v>1000</v>
      </c>
      <c r="D6" s="255">
        <v>1200</v>
      </c>
      <c r="E6" s="255">
        <v>1500</v>
      </c>
      <c r="F6" s="255">
        <v>2000</v>
      </c>
      <c r="G6" s="255">
        <v>2500</v>
      </c>
      <c r="H6" s="255">
        <v>3000</v>
      </c>
      <c r="I6" s="255">
        <v>4000</v>
      </c>
      <c r="J6" s="255">
        <v>5000</v>
      </c>
      <c r="K6" s="255"/>
      <c r="L6" s="255"/>
      <c r="M6" s="255"/>
      <c r="N6" s="503"/>
    </row>
    <row r="7" spans="1:18" ht="14.25" customHeight="1">
      <c r="A7" s="501">
        <v>25000001</v>
      </c>
      <c r="B7" s="502" t="s">
        <v>3657</v>
      </c>
      <c r="C7" s="255">
        <v>1130</v>
      </c>
      <c r="D7" s="255">
        <v>1356</v>
      </c>
      <c r="E7" s="255">
        <v>1695</v>
      </c>
      <c r="F7" s="255">
        <v>2260</v>
      </c>
      <c r="G7" s="255">
        <v>2825</v>
      </c>
      <c r="H7" s="255">
        <v>3390</v>
      </c>
      <c r="I7" s="255">
        <v>4520</v>
      </c>
      <c r="J7" s="255">
        <v>5650</v>
      </c>
      <c r="K7" s="255"/>
      <c r="L7" s="255"/>
      <c r="M7" s="255"/>
      <c r="N7" s="503"/>
    </row>
    <row r="8" spans="1:18" ht="14.25" customHeight="1">
      <c r="A8" s="501">
        <v>50000001</v>
      </c>
      <c r="B8" s="502" t="s">
        <v>3658</v>
      </c>
      <c r="C8" s="255">
        <v>1200</v>
      </c>
      <c r="D8" s="255">
        <v>1440</v>
      </c>
      <c r="E8" s="255">
        <v>1800</v>
      </c>
      <c r="F8" s="255">
        <v>2400</v>
      </c>
      <c r="G8" s="255">
        <v>3000</v>
      </c>
      <c r="H8" s="255">
        <v>3600</v>
      </c>
      <c r="I8" s="255">
        <v>4800</v>
      </c>
      <c r="J8" s="255">
        <v>6000</v>
      </c>
      <c r="K8" s="255"/>
      <c r="L8" s="255"/>
      <c r="M8" s="255"/>
      <c r="N8" s="503"/>
    </row>
    <row r="9" spans="1:18" ht="14.25" customHeight="1">
      <c r="A9" s="501">
        <v>75000001</v>
      </c>
      <c r="B9" s="502" t="s">
        <v>3659</v>
      </c>
      <c r="C9" s="255">
        <v>1300</v>
      </c>
      <c r="D9" s="255">
        <v>1560</v>
      </c>
      <c r="E9" s="255">
        <v>1950</v>
      </c>
      <c r="F9" s="255">
        <v>2600</v>
      </c>
      <c r="G9" s="255">
        <v>3250</v>
      </c>
      <c r="H9" s="255">
        <v>3900</v>
      </c>
      <c r="I9" s="255">
        <v>5200</v>
      </c>
      <c r="J9" s="255">
        <v>6500</v>
      </c>
      <c r="K9" s="255"/>
      <c r="L9" s="255"/>
      <c r="M9" s="255"/>
      <c r="N9" s="503"/>
    </row>
    <row r="10" spans="1:18" ht="14.25" customHeight="1">
      <c r="A10" s="501">
        <v>100000001</v>
      </c>
      <c r="B10" s="502" t="s">
        <v>3660</v>
      </c>
      <c r="C10" s="255">
        <v>1350</v>
      </c>
      <c r="D10" s="255">
        <v>1620</v>
      </c>
      <c r="E10" s="255">
        <v>2025</v>
      </c>
      <c r="F10" s="255">
        <v>2700</v>
      </c>
      <c r="G10" s="255">
        <v>3375</v>
      </c>
      <c r="H10" s="255">
        <v>4050</v>
      </c>
      <c r="I10" s="255">
        <v>5400</v>
      </c>
      <c r="J10" s="255">
        <v>6750</v>
      </c>
      <c r="K10" s="255">
        <v>10125</v>
      </c>
      <c r="L10" s="255">
        <v>13500</v>
      </c>
      <c r="M10" s="255"/>
      <c r="N10" s="503"/>
    </row>
    <row r="11" spans="1:18" ht="14.25" customHeight="1">
      <c r="A11" s="501">
        <v>200000001</v>
      </c>
      <c r="B11" s="502" t="s">
        <v>3661</v>
      </c>
      <c r="C11" s="255">
        <v>1450</v>
      </c>
      <c r="D11" s="255">
        <v>1740</v>
      </c>
      <c r="E11" s="255">
        <v>2175</v>
      </c>
      <c r="F11" s="255">
        <v>2900</v>
      </c>
      <c r="G11" s="255">
        <v>3625</v>
      </c>
      <c r="H11" s="255">
        <v>4350</v>
      </c>
      <c r="I11" s="255">
        <v>5800</v>
      </c>
      <c r="J11" s="255">
        <v>7250</v>
      </c>
      <c r="K11" s="255">
        <v>10875</v>
      </c>
      <c r="L11" s="255">
        <v>14500</v>
      </c>
      <c r="M11" s="255"/>
      <c r="N11" s="503"/>
    </row>
    <row r="12" spans="1:18" ht="14.25" customHeight="1">
      <c r="A12" s="501">
        <v>300000001</v>
      </c>
      <c r="B12" s="502" t="s">
        <v>3662</v>
      </c>
      <c r="C12" s="255">
        <v>1500</v>
      </c>
      <c r="D12" s="255">
        <v>1800</v>
      </c>
      <c r="E12" s="255">
        <v>2250</v>
      </c>
      <c r="F12" s="255">
        <v>3000</v>
      </c>
      <c r="G12" s="255">
        <v>3750</v>
      </c>
      <c r="H12" s="255">
        <v>4500</v>
      </c>
      <c r="I12" s="255">
        <v>6000</v>
      </c>
      <c r="J12" s="255">
        <v>7500</v>
      </c>
      <c r="K12" s="255">
        <v>11250</v>
      </c>
      <c r="L12" s="255">
        <v>15000</v>
      </c>
      <c r="M12" s="255"/>
      <c r="N12" s="503"/>
    </row>
    <row r="13" spans="1:18" ht="14.25" customHeight="1">
      <c r="A13" s="501">
        <v>400000001</v>
      </c>
      <c r="B13" s="502" t="s">
        <v>3663</v>
      </c>
      <c r="C13" s="255">
        <v>1600</v>
      </c>
      <c r="D13" s="255">
        <v>1900</v>
      </c>
      <c r="E13" s="255">
        <v>2350</v>
      </c>
      <c r="F13" s="255">
        <v>3100</v>
      </c>
      <c r="G13" s="255">
        <v>3850</v>
      </c>
      <c r="H13" s="255">
        <v>4600</v>
      </c>
      <c r="I13" s="255">
        <v>6200</v>
      </c>
      <c r="J13" s="255">
        <v>7750</v>
      </c>
      <c r="K13" s="255">
        <v>11625</v>
      </c>
      <c r="L13" s="255">
        <v>16000</v>
      </c>
      <c r="M13" s="255"/>
      <c r="N13" s="503"/>
    </row>
    <row r="14" spans="1:18" ht="14.25" customHeight="1">
      <c r="A14" s="504">
        <v>500000001</v>
      </c>
      <c r="B14" s="505" t="s">
        <v>3664</v>
      </c>
      <c r="C14" s="506">
        <v>1700</v>
      </c>
      <c r="D14" s="506">
        <v>2000</v>
      </c>
      <c r="E14" s="506">
        <v>2550</v>
      </c>
      <c r="F14" s="506">
        <v>3400</v>
      </c>
      <c r="G14" s="506">
        <v>4250</v>
      </c>
      <c r="H14" s="506">
        <v>5100</v>
      </c>
      <c r="I14" s="506">
        <v>6800</v>
      </c>
      <c r="J14" s="506">
        <v>8500</v>
      </c>
      <c r="K14" s="506">
        <v>12750</v>
      </c>
      <c r="L14" s="506">
        <v>17000</v>
      </c>
      <c r="M14" s="506"/>
      <c r="N14" s="507"/>
    </row>
    <row r="15" spans="1:18" ht="14.25" customHeight="1"/>
    <row r="16" spans="1:18" ht="14.25" customHeight="1">
      <c r="K16" s="168" t="s">
        <v>3646</v>
      </c>
      <c r="L16" s="472">
        <v>500000</v>
      </c>
    </row>
    <row r="17" spans="1:15" ht="15" customHeight="1">
      <c r="A17" s="508">
        <f t="shared" ref="A17:A26" si="0">A5+2</f>
        <v>5000003</v>
      </c>
      <c r="D17" s="1083" t="s">
        <v>2398</v>
      </c>
      <c r="E17" s="1085"/>
      <c r="F17" s="1084"/>
      <c r="G17" s="1086" t="s">
        <v>3111</v>
      </c>
      <c r="H17" s="1085"/>
      <c r="I17" s="1084"/>
      <c r="K17" s="168" t="s">
        <v>3647</v>
      </c>
      <c r="L17" s="472">
        <v>10000000</v>
      </c>
      <c r="M17" s="953" t="s">
        <v>4083</v>
      </c>
    </row>
    <row r="18" spans="1:15" ht="14.25" customHeight="1">
      <c r="A18" s="508">
        <f t="shared" si="0"/>
        <v>10000003</v>
      </c>
      <c r="D18" s="509" t="s">
        <v>3113</v>
      </c>
      <c r="E18" s="510" t="s">
        <v>3114</v>
      </c>
      <c r="F18" s="510" t="s">
        <v>3115</v>
      </c>
      <c r="G18" s="511" t="str">
        <f>'Preisrechner Alle Tarife'!B3</f>
        <v>DS 1</v>
      </c>
      <c r="H18" s="512" t="str">
        <f>'Preisrechner Alle Tarife'!C3</f>
        <v>DS 2</v>
      </c>
      <c r="I18" s="513" t="str">
        <f>'Preisrechner Alle Tarife'!D3</f>
        <v>DS 3</v>
      </c>
      <c r="K18" s="168" t="s">
        <v>3648</v>
      </c>
      <c r="L18" s="472">
        <v>500000000</v>
      </c>
    </row>
    <row r="19" spans="1:15" ht="14.25" customHeight="1">
      <c r="A19" s="508">
        <f t="shared" si="0"/>
        <v>25000003</v>
      </c>
      <c r="C19" s="476" t="s">
        <v>3117</v>
      </c>
      <c r="D19" s="477">
        <f>IF(Deckungssumme1GI&gt;L17,L17,Deckungssumme1GI)</f>
        <v>0</v>
      </c>
      <c r="E19" s="478">
        <f>IF(Deckungssumme2GI&gt;L17,L17,Deckungssumme2GI)</f>
        <v>0</v>
      </c>
      <c r="F19" s="478">
        <f>IF(Deckungssumme3GI&gt;L17,L17,Deckungssumme3GI)</f>
        <v>0</v>
      </c>
      <c r="G19" s="477">
        <f>IF(Deckungssumme1&gt;L17,L17,Deckungssumme1)</f>
        <v>0</v>
      </c>
      <c r="H19" s="478">
        <f>IF(Deckungssumme2&gt;L17,L17,Deckungssumme2)</f>
        <v>0</v>
      </c>
      <c r="I19" s="479">
        <f>IF(Deckungssumme3&gt;L17,L17,Deckungssumme3)</f>
        <v>0</v>
      </c>
    </row>
    <row r="20" spans="1:15" ht="14.25" customHeight="1">
      <c r="A20" s="508">
        <f t="shared" si="0"/>
        <v>50000003</v>
      </c>
      <c r="C20" s="480" t="s">
        <v>3119</v>
      </c>
      <c r="D20" s="477" t="str">
        <f>IF(Deckungssumme1GI=0,"",E41)</f>
        <v/>
      </c>
      <c r="E20" s="478" t="str">
        <f>IF(Deckungssumme2GI=0,"",G41)</f>
        <v/>
      </c>
      <c r="F20" s="478" t="str">
        <f>IF(Deckungssumme3GI=0,"",I41)</f>
        <v/>
      </c>
      <c r="G20" s="477" t="str">
        <f>IF(Deckungssumme1=0,"",K41)</f>
        <v/>
      </c>
      <c r="H20" s="478" t="str">
        <f>IF(Deckungssumme2=0,"",M41)</f>
        <v/>
      </c>
      <c r="I20" s="479" t="str">
        <f>IF(Deckungssumme3=0,"",O41)</f>
        <v/>
      </c>
      <c r="K20" s="625" t="s">
        <v>4088</v>
      </c>
      <c r="L20" s="626">
        <v>3500</v>
      </c>
      <c r="M20" s="953" t="s">
        <v>4089</v>
      </c>
    </row>
    <row r="21" spans="1:15" ht="14.25" customHeight="1">
      <c r="A21" s="508">
        <f t="shared" si="0"/>
        <v>75000003</v>
      </c>
      <c r="C21" s="480" t="s">
        <v>3665</v>
      </c>
      <c r="D21" s="477">
        <f>IF(MAX(AußenumsatzGI,VereinsvermögenGI,BilanzsummeGI)&gt;newline_MaxUmsatz,"Umsatz zu groß!",MAX(AußenumsatzGI,VereinsvermögenGI,BilanzsummeGI))</f>
        <v>0</v>
      </c>
      <c r="E21" s="478">
        <f>IF(MAX(AußenumsatzGI,VereinsvermögenGI,BilanzsummeGI)&gt;newline_MaxUmsatz,"Umsatz zu groß!",MAX(AußenumsatzGI,VereinsvermögenGI,BilanzsummeGI))</f>
        <v>0</v>
      </c>
      <c r="F21" s="478">
        <f>IF(MAX(AußenumsatzGI,VereinsvermögenGI,BilanzsummeGI)&gt;newline_MaxUmsatz,"Umsatz zu groß!",MAX(AußenumsatzGI,VereinsvermögenGI,BilanzsummeGI))</f>
        <v>0</v>
      </c>
      <c r="G21" s="477">
        <f>IF(MAX(Außenumsatz,Vereinsvermögen,Bilanzsumme)&gt;newline_MaxUmsatz,"Umsatz zu groß!",MAX(Außenumsatz,Vereinsvermögen,Bilanzsumme))</f>
        <v>0</v>
      </c>
      <c r="H21" s="478">
        <f>IF(MAX(Außenumsatz,Vereinsvermögen,Bilanzsumme)&gt;newline_MaxUmsatz,"Umsatz zu groß!",MAX(Außenumsatz,Vereinsvermögen,Bilanzsumme))</f>
        <v>0</v>
      </c>
      <c r="I21" s="479">
        <f>IF(MAX(Außenumsatz,Vereinsvermögen,Bilanzsumme)&gt;newline_MaxUmsatz,"Umsatz zu groß!",MAX(Außenumsatz,Vereinsvermögen,Bilanzsumme))</f>
        <v>0</v>
      </c>
    </row>
    <row r="22" spans="1:15" ht="14.25" customHeight="1">
      <c r="A22" s="508">
        <f t="shared" si="0"/>
        <v>100000003</v>
      </c>
      <c r="C22" s="480" t="s">
        <v>3650</v>
      </c>
      <c r="D22" s="477" t="e">
        <f t="shared" ref="D22:I22" si="1">MATCH(D20,$C$3:$N$3,1)</f>
        <v>#N/A</v>
      </c>
      <c r="E22" s="478" t="e">
        <f t="shared" si="1"/>
        <v>#N/A</v>
      </c>
      <c r="F22" s="478" t="e">
        <f t="shared" si="1"/>
        <v>#N/A</v>
      </c>
      <c r="G22" s="477" t="e">
        <f t="shared" si="1"/>
        <v>#N/A</v>
      </c>
      <c r="H22" s="478" t="e">
        <f t="shared" si="1"/>
        <v>#N/A</v>
      </c>
      <c r="I22" s="479" t="e">
        <f t="shared" si="1"/>
        <v>#N/A</v>
      </c>
    </row>
    <row r="23" spans="1:15" ht="14.25" customHeight="1">
      <c r="A23" s="508">
        <f t="shared" si="0"/>
        <v>200000003</v>
      </c>
      <c r="C23" s="480" t="s">
        <v>3666</v>
      </c>
      <c r="D23" s="477">
        <f t="shared" ref="D23:I23" si="2">MATCH(D21,$A$4:$A$14,1)</f>
        <v>1</v>
      </c>
      <c r="E23" s="478">
        <f t="shared" si="2"/>
        <v>1</v>
      </c>
      <c r="F23" s="479">
        <f t="shared" si="2"/>
        <v>1</v>
      </c>
      <c r="G23" s="477">
        <f t="shared" si="2"/>
        <v>1</v>
      </c>
      <c r="H23" s="478">
        <f t="shared" si="2"/>
        <v>1</v>
      </c>
      <c r="I23" s="479">
        <f t="shared" si="2"/>
        <v>1</v>
      </c>
    </row>
    <row r="24" spans="1:15" ht="14.25" customHeight="1">
      <c r="A24" s="508">
        <f t="shared" si="0"/>
        <v>300000003</v>
      </c>
      <c r="C24" s="481" t="s">
        <v>3118</v>
      </c>
      <c r="D24" s="483" t="str">
        <f t="shared" ref="D24:H24" si="3">IFERROR(INDEX($C$5:$N$14,D23,D22),"")</f>
        <v/>
      </c>
      <c r="E24" s="483" t="str">
        <f t="shared" si="3"/>
        <v/>
      </c>
      <c r="F24" s="483" t="str">
        <f t="shared" si="3"/>
        <v/>
      </c>
      <c r="G24" s="482" t="str">
        <f t="shared" si="3"/>
        <v/>
      </c>
      <c r="H24" s="483" t="str">
        <f t="shared" si="3"/>
        <v/>
      </c>
      <c r="I24" s="484" t="str">
        <f>IFERROR(INDEX($C$5:$N$14,I23,I22),"")</f>
        <v/>
      </c>
    </row>
    <row r="25" spans="1:15" ht="14.25" customHeight="1">
      <c r="A25" s="508">
        <f t="shared" si="0"/>
        <v>400000003</v>
      </c>
    </row>
    <row r="26" spans="1:15" ht="14.25" customHeight="1">
      <c r="A26" s="508">
        <f t="shared" si="0"/>
        <v>500000003</v>
      </c>
    </row>
    <row r="27" spans="1:15" ht="14.25" customHeight="1">
      <c r="A27" s="508"/>
      <c r="C27" s="485" t="s">
        <v>3667</v>
      </c>
      <c r="D27" s="1083" t="s">
        <v>3113</v>
      </c>
      <c r="E27" s="1084"/>
      <c r="F27" s="1083" t="s">
        <v>3114</v>
      </c>
      <c r="G27" s="1085"/>
      <c r="H27" s="1086" t="s">
        <v>3115</v>
      </c>
      <c r="I27" s="1084"/>
      <c r="J27" s="1083" t="s">
        <v>3113</v>
      </c>
      <c r="K27" s="1084"/>
      <c r="L27" s="1083" t="s">
        <v>3114</v>
      </c>
      <c r="M27" s="1084"/>
      <c r="N27" s="514" t="s">
        <v>3115</v>
      </c>
      <c r="O27" s="515"/>
    </row>
    <row r="28" spans="1:15" ht="14.25" customHeight="1">
      <c r="C28" s="486">
        <v>500000</v>
      </c>
      <c r="D28" s="487">
        <f t="shared" ref="D28:D39" si="4">$D$19</f>
        <v>0</v>
      </c>
      <c r="E28" s="488">
        <f t="shared" ref="E28:E35" si="5">IF(D28&lt;=C28,C28,"")</f>
        <v>500000</v>
      </c>
      <c r="F28" s="487">
        <f t="shared" ref="F28:F39" si="6">$E$19</f>
        <v>0</v>
      </c>
      <c r="G28" s="488">
        <f t="shared" ref="G28:G35" si="7">IF(F28&lt;=C28,C28,"")</f>
        <v>500000</v>
      </c>
      <c r="H28" s="487">
        <f t="shared" ref="H28:H39" si="8">$F$19</f>
        <v>0</v>
      </c>
      <c r="I28" s="488">
        <f t="shared" ref="I28:I35" si="9">IF(H28&lt;=C28,C28,"")</f>
        <v>500000</v>
      </c>
      <c r="J28" s="487">
        <f t="shared" ref="J28:J39" si="10">$G$19</f>
        <v>0</v>
      </c>
      <c r="K28" s="488">
        <f t="shared" ref="K28:K35" si="11">IF(J28&lt;=C28,C28,"")</f>
        <v>500000</v>
      </c>
      <c r="L28" s="487">
        <f t="shared" ref="L28:L39" si="12">$H$19</f>
        <v>0</v>
      </c>
      <c r="M28" s="488">
        <f t="shared" ref="M28:M35" si="13">IF(L28&lt;=C28,C28,"")</f>
        <v>500000</v>
      </c>
      <c r="N28" s="487">
        <f t="shared" ref="N28:N39" si="14">$I$19</f>
        <v>0</v>
      </c>
      <c r="O28" s="488">
        <f t="shared" ref="O28:O35" si="15">IF(N28&lt;=C28,C28,"")</f>
        <v>500000</v>
      </c>
    </row>
    <row r="29" spans="1:15" ht="14.25" customHeight="1">
      <c r="C29" s="486">
        <f>C28+500000</f>
        <v>1000000</v>
      </c>
      <c r="D29" s="487">
        <f t="shared" si="4"/>
        <v>0</v>
      </c>
      <c r="E29" s="488">
        <f t="shared" si="5"/>
        <v>1000000</v>
      </c>
      <c r="F29" s="487">
        <f t="shared" si="6"/>
        <v>0</v>
      </c>
      <c r="G29" s="488">
        <f t="shared" si="7"/>
        <v>1000000</v>
      </c>
      <c r="H29" s="487">
        <f t="shared" si="8"/>
        <v>0</v>
      </c>
      <c r="I29" s="488">
        <f t="shared" si="9"/>
        <v>1000000</v>
      </c>
      <c r="J29" s="487">
        <f t="shared" si="10"/>
        <v>0</v>
      </c>
      <c r="K29" s="488">
        <f t="shared" si="11"/>
        <v>1000000</v>
      </c>
      <c r="L29" s="487">
        <f t="shared" si="12"/>
        <v>0</v>
      </c>
      <c r="M29" s="488">
        <f t="shared" si="13"/>
        <v>1000000</v>
      </c>
      <c r="N29" s="487">
        <f t="shared" si="14"/>
        <v>0</v>
      </c>
      <c r="O29" s="488">
        <f t="shared" si="15"/>
        <v>1000000</v>
      </c>
    </row>
    <row r="30" spans="1:15" ht="14.25" customHeight="1">
      <c r="C30" s="486">
        <f>C29+500000</f>
        <v>1500000</v>
      </c>
      <c r="D30" s="487">
        <f t="shared" si="4"/>
        <v>0</v>
      </c>
      <c r="E30" s="488">
        <f t="shared" si="5"/>
        <v>1500000</v>
      </c>
      <c r="F30" s="487">
        <f t="shared" si="6"/>
        <v>0</v>
      </c>
      <c r="G30" s="488">
        <f t="shared" si="7"/>
        <v>1500000</v>
      </c>
      <c r="H30" s="487">
        <f t="shared" si="8"/>
        <v>0</v>
      </c>
      <c r="I30" s="488">
        <f t="shared" si="9"/>
        <v>1500000</v>
      </c>
      <c r="J30" s="487">
        <f t="shared" si="10"/>
        <v>0</v>
      </c>
      <c r="K30" s="488">
        <f t="shared" si="11"/>
        <v>1500000</v>
      </c>
      <c r="L30" s="487">
        <f t="shared" si="12"/>
        <v>0</v>
      </c>
      <c r="M30" s="488">
        <f t="shared" si="13"/>
        <v>1500000</v>
      </c>
      <c r="N30" s="487">
        <f t="shared" si="14"/>
        <v>0</v>
      </c>
      <c r="O30" s="488">
        <f t="shared" si="15"/>
        <v>1500000</v>
      </c>
    </row>
    <row r="31" spans="1:15" ht="14.25" customHeight="1">
      <c r="C31" s="486">
        <f>C30+500000</f>
        <v>2000000</v>
      </c>
      <c r="D31" s="487">
        <f t="shared" si="4"/>
        <v>0</v>
      </c>
      <c r="E31" s="488">
        <f t="shared" si="5"/>
        <v>2000000</v>
      </c>
      <c r="F31" s="487">
        <f t="shared" si="6"/>
        <v>0</v>
      </c>
      <c r="G31" s="488">
        <f t="shared" si="7"/>
        <v>2000000</v>
      </c>
      <c r="H31" s="487">
        <f t="shared" si="8"/>
        <v>0</v>
      </c>
      <c r="I31" s="488">
        <f t="shared" si="9"/>
        <v>2000000</v>
      </c>
      <c r="J31" s="487">
        <f t="shared" si="10"/>
        <v>0</v>
      </c>
      <c r="K31" s="488">
        <f t="shared" si="11"/>
        <v>2000000</v>
      </c>
      <c r="L31" s="487">
        <f t="shared" si="12"/>
        <v>0</v>
      </c>
      <c r="M31" s="488">
        <f t="shared" si="13"/>
        <v>2000000</v>
      </c>
      <c r="N31" s="487">
        <f t="shared" si="14"/>
        <v>0</v>
      </c>
      <c r="O31" s="488">
        <f t="shared" si="15"/>
        <v>2000000</v>
      </c>
    </row>
    <row r="32" spans="1:15" ht="14.25" customHeight="1">
      <c r="C32" s="486">
        <f>C31+500000</f>
        <v>2500000</v>
      </c>
      <c r="D32" s="487">
        <f t="shared" si="4"/>
        <v>0</v>
      </c>
      <c r="E32" s="488">
        <f t="shared" si="5"/>
        <v>2500000</v>
      </c>
      <c r="F32" s="487">
        <f t="shared" si="6"/>
        <v>0</v>
      </c>
      <c r="G32" s="488">
        <f t="shared" si="7"/>
        <v>2500000</v>
      </c>
      <c r="H32" s="487">
        <f t="shared" si="8"/>
        <v>0</v>
      </c>
      <c r="I32" s="488">
        <f t="shared" si="9"/>
        <v>2500000</v>
      </c>
      <c r="J32" s="487">
        <f t="shared" si="10"/>
        <v>0</v>
      </c>
      <c r="K32" s="488">
        <f t="shared" si="11"/>
        <v>2500000</v>
      </c>
      <c r="L32" s="487">
        <f t="shared" si="12"/>
        <v>0</v>
      </c>
      <c r="M32" s="488">
        <f t="shared" si="13"/>
        <v>2500000</v>
      </c>
      <c r="N32" s="487">
        <f t="shared" si="14"/>
        <v>0</v>
      </c>
      <c r="O32" s="488">
        <f t="shared" si="15"/>
        <v>2500000</v>
      </c>
    </row>
    <row r="33" spans="3:15" ht="14.25" customHeight="1">
      <c r="C33" s="486">
        <f>C32+500000</f>
        <v>3000000</v>
      </c>
      <c r="D33" s="487">
        <f t="shared" si="4"/>
        <v>0</v>
      </c>
      <c r="E33" s="488">
        <f t="shared" si="5"/>
        <v>3000000</v>
      </c>
      <c r="F33" s="487">
        <f t="shared" si="6"/>
        <v>0</v>
      </c>
      <c r="G33" s="488">
        <f t="shared" si="7"/>
        <v>3000000</v>
      </c>
      <c r="H33" s="487">
        <f t="shared" si="8"/>
        <v>0</v>
      </c>
      <c r="I33" s="488">
        <f t="shared" si="9"/>
        <v>3000000</v>
      </c>
      <c r="J33" s="487">
        <f t="shared" si="10"/>
        <v>0</v>
      </c>
      <c r="K33" s="488">
        <f t="shared" si="11"/>
        <v>3000000</v>
      </c>
      <c r="L33" s="487">
        <f t="shared" si="12"/>
        <v>0</v>
      </c>
      <c r="M33" s="488">
        <f t="shared" si="13"/>
        <v>3000000</v>
      </c>
      <c r="N33" s="487">
        <f t="shared" si="14"/>
        <v>0</v>
      </c>
      <c r="O33" s="488">
        <f t="shared" si="15"/>
        <v>3000000</v>
      </c>
    </row>
    <row r="34" spans="3:15" ht="14.25" customHeight="1">
      <c r="C34" s="486">
        <f>C33+1000000</f>
        <v>4000000</v>
      </c>
      <c r="D34" s="487">
        <f t="shared" si="4"/>
        <v>0</v>
      </c>
      <c r="E34" s="488">
        <f t="shared" si="5"/>
        <v>4000000</v>
      </c>
      <c r="F34" s="487">
        <f t="shared" si="6"/>
        <v>0</v>
      </c>
      <c r="G34" s="488">
        <f t="shared" si="7"/>
        <v>4000000</v>
      </c>
      <c r="H34" s="487">
        <f t="shared" si="8"/>
        <v>0</v>
      </c>
      <c r="I34" s="488">
        <f t="shared" si="9"/>
        <v>4000000</v>
      </c>
      <c r="J34" s="487">
        <f t="shared" si="10"/>
        <v>0</v>
      </c>
      <c r="K34" s="488">
        <f t="shared" si="11"/>
        <v>4000000</v>
      </c>
      <c r="L34" s="487">
        <f t="shared" si="12"/>
        <v>0</v>
      </c>
      <c r="M34" s="488">
        <f t="shared" si="13"/>
        <v>4000000</v>
      </c>
      <c r="N34" s="487">
        <f t="shared" si="14"/>
        <v>0</v>
      </c>
      <c r="O34" s="488">
        <f t="shared" si="15"/>
        <v>4000000</v>
      </c>
    </row>
    <row r="35" spans="3:15" ht="14.25" customHeight="1">
      <c r="C35" s="486">
        <f>C34+1000000</f>
        <v>5000000</v>
      </c>
      <c r="D35" s="487">
        <f t="shared" si="4"/>
        <v>0</v>
      </c>
      <c r="E35" s="488">
        <f t="shared" si="5"/>
        <v>5000000</v>
      </c>
      <c r="F35" s="487">
        <f t="shared" si="6"/>
        <v>0</v>
      </c>
      <c r="G35" s="488">
        <f t="shared" si="7"/>
        <v>5000000</v>
      </c>
      <c r="H35" s="487">
        <f t="shared" si="8"/>
        <v>0</v>
      </c>
      <c r="I35" s="488">
        <f t="shared" si="9"/>
        <v>5000000</v>
      </c>
      <c r="J35" s="487">
        <f t="shared" si="10"/>
        <v>0</v>
      </c>
      <c r="K35" s="488">
        <f t="shared" si="11"/>
        <v>5000000</v>
      </c>
      <c r="L35" s="487">
        <f t="shared" si="12"/>
        <v>0</v>
      </c>
      <c r="M35" s="488">
        <f t="shared" si="13"/>
        <v>5000000</v>
      </c>
      <c r="N35" s="487">
        <f t="shared" si="14"/>
        <v>0</v>
      </c>
      <c r="O35" s="488">
        <f t="shared" si="15"/>
        <v>5000000</v>
      </c>
    </row>
    <row r="36" spans="3:15" ht="14.25" customHeight="1">
      <c r="C36" s="486">
        <v>7500000</v>
      </c>
      <c r="D36" s="487">
        <f t="shared" si="4"/>
        <v>0</v>
      </c>
      <c r="E36" s="488" t="str">
        <f>IF(AND(D36&lt;=C36,D21&gt;25000000),C36,"")</f>
        <v/>
      </c>
      <c r="F36" s="487">
        <f t="shared" si="6"/>
        <v>0</v>
      </c>
      <c r="G36" s="488" t="str">
        <f>IF(AND(F36&lt;=C36,E21&gt;25000000),C36,"")</f>
        <v/>
      </c>
      <c r="H36" s="487">
        <f t="shared" si="8"/>
        <v>0</v>
      </c>
      <c r="I36" s="488" t="str">
        <f>IF(AND(H36&lt;=C36,F21&gt;25000000),C36,"")</f>
        <v/>
      </c>
      <c r="J36" s="487">
        <f t="shared" si="10"/>
        <v>0</v>
      </c>
      <c r="K36" s="488" t="str">
        <f>IF(AND(J36&lt;=C36,G21&gt;25000000),C36,"")</f>
        <v/>
      </c>
      <c r="L36" s="487">
        <f t="shared" si="12"/>
        <v>0</v>
      </c>
      <c r="M36" s="488" t="str">
        <f>IF(AND(L36&lt;=C36,H21&gt;25000000),C36,"")</f>
        <v/>
      </c>
      <c r="N36" s="487">
        <f t="shared" si="14"/>
        <v>0</v>
      </c>
      <c r="O36" s="488" t="str">
        <f>IF(AND(N36&lt;=C36,I21&gt;25000000),C36,"")</f>
        <v/>
      </c>
    </row>
    <row r="37" spans="3:15" ht="14.25" customHeight="1">
      <c r="C37" s="486">
        <v>10000000</v>
      </c>
      <c r="D37" s="487">
        <f t="shared" si="4"/>
        <v>0</v>
      </c>
      <c r="E37" s="488" t="str">
        <f>IF(AND(D37&lt;=C37,D21&gt;25000000),C37,"")</f>
        <v/>
      </c>
      <c r="F37" s="487">
        <f t="shared" si="6"/>
        <v>0</v>
      </c>
      <c r="G37" s="488" t="str">
        <f>IF(AND(F37&lt;=C37,E21&gt;25000000),C37,"")</f>
        <v/>
      </c>
      <c r="H37" s="487">
        <f t="shared" si="8"/>
        <v>0</v>
      </c>
      <c r="I37" s="488" t="str">
        <f>IF(AND(H37&lt;=C37,F21&gt;25000000),C37,"")</f>
        <v/>
      </c>
      <c r="J37" s="487">
        <f t="shared" si="10"/>
        <v>0</v>
      </c>
      <c r="K37" s="488" t="str">
        <f>IF(AND(J37&lt;=C37,G21&gt;25000000),C37,"")</f>
        <v/>
      </c>
      <c r="L37" s="487">
        <f t="shared" si="12"/>
        <v>0</v>
      </c>
      <c r="M37" s="488" t="str">
        <f>IF(AND(L37&lt;=C37,H21&gt;25000000),C37,"")</f>
        <v/>
      </c>
      <c r="N37" s="487">
        <f t="shared" si="14"/>
        <v>0</v>
      </c>
      <c r="O37" s="488" t="str">
        <f>IF(AND(N37&lt;=C37,I21&gt;25000000),C37,"")</f>
        <v/>
      </c>
    </row>
    <row r="38" spans="3:15" ht="14.25" customHeight="1">
      <c r="C38" s="486"/>
      <c r="D38" s="487">
        <f t="shared" si="4"/>
        <v>0</v>
      </c>
      <c r="E38" s="488"/>
      <c r="F38" s="487">
        <f t="shared" si="6"/>
        <v>0</v>
      </c>
      <c r="G38" s="488"/>
      <c r="H38" s="487">
        <f t="shared" si="8"/>
        <v>0</v>
      </c>
      <c r="I38" s="488"/>
      <c r="J38" s="487">
        <f t="shared" si="10"/>
        <v>0</v>
      </c>
      <c r="K38" s="488"/>
      <c r="L38" s="487">
        <f t="shared" si="12"/>
        <v>0</v>
      </c>
      <c r="M38" s="488"/>
      <c r="N38" s="487">
        <f t="shared" si="14"/>
        <v>0</v>
      </c>
      <c r="O38" s="488"/>
    </row>
    <row r="39" spans="3:15" ht="14.25" customHeight="1">
      <c r="C39" s="516"/>
      <c r="D39" s="487">
        <f t="shared" si="4"/>
        <v>0</v>
      </c>
      <c r="E39" s="488"/>
      <c r="F39" s="487">
        <f t="shared" si="6"/>
        <v>0</v>
      </c>
      <c r="G39" s="488"/>
      <c r="H39" s="487">
        <f t="shared" si="8"/>
        <v>0</v>
      </c>
      <c r="I39" s="488"/>
      <c r="J39" s="487">
        <f t="shared" si="10"/>
        <v>0</v>
      </c>
      <c r="K39" s="488"/>
      <c r="L39" s="487">
        <f t="shared" si="12"/>
        <v>0</v>
      </c>
      <c r="M39" s="488"/>
      <c r="N39" s="487">
        <f t="shared" si="14"/>
        <v>0</v>
      </c>
      <c r="O39" s="488"/>
    </row>
    <row r="40" spans="3:15" ht="14.25" customHeight="1">
      <c r="D40" s="487"/>
      <c r="E40" s="488"/>
      <c r="F40" s="487"/>
      <c r="G40" s="488"/>
      <c r="H40" s="487"/>
      <c r="I40" s="488"/>
      <c r="J40" s="487"/>
      <c r="K40" s="488"/>
      <c r="L40" s="487"/>
      <c r="M40" s="488"/>
      <c r="N40" s="487"/>
      <c r="O40" s="488"/>
    </row>
    <row r="41" spans="3:15" ht="14.25" customHeight="1">
      <c r="D41" s="490"/>
      <c r="E41" s="491">
        <f>MIN(E28:E39)</f>
        <v>500000</v>
      </c>
      <c r="F41" s="490"/>
      <c r="G41" s="491">
        <f>MIN(G28:G39)</f>
        <v>500000</v>
      </c>
      <c r="H41" s="490"/>
      <c r="I41" s="491">
        <f>MIN(I28:I39)</f>
        <v>500000</v>
      </c>
      <c r="J41" s="490"/>
      <c r="K41" s="491">
        <f>MIN(K28:K39)</f>
        <v>500000</v>
      </c>
      <c r="L41" s="490"/>
      <c r="M41" s="491">
        <f>MIN(M28:M39)</f>
        <v>500000</v>
      </c>
      <c r="N41" s="490"/>
      <c r="O41" s="491">
        <f>MIN(O28:O39)</f>
        <v>500000</v>
      </c>
    </row>
    <row r="42" spans="3:15" ht="14.25" customHeight="1"/>
    <row r="43" spans="3:15" ht="14.25" customHeight="1"/>
    <row r="44" spans="3:15" ht="14.25" customHeight="1"/>
    <row r="45" spans="3:15" ht="14.25" customHeight="1"/>
    <row r="46" spans="3:15" ht="14.25" customHeight="1"/>
    <row r="47" spans="3:15" ht="14.25" customHeight="1"/>
    <row r="48" spans="3: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J27:K27"/>
    <mergeCell ref="L27:M27"/>
    <mergeCell ref="D17:F17"/>
    <mergeCell ref="G17:I17"/>
    <mergeCell ref="D27:E27"/>
    <mergeCell ref="F27:G27"/>
    <mergeCell ref="H27:I27"/>
  </mergeCells>
  <pageMargins left="0.7" right="0.7" top="0.78740157499999996" bottom="0.78740157499999996" header="0" footer="0"/>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M1000"/>
  <sheetViews>
    <sheetView workbookViewId="0"/>
  </sheetViews>
  <sheetFormatPr baseColWidth="10" defaultColWidth="14.33203125" defaultRowHeight="15" customHeight="1"/>
  <cols>
    <col min="1" max="1" width="29.6640625" customWidth="1"/>
    <col min="2" max="7" width="17.33203125" customWidth="1"/>
    <col min="8" max="8" width="12" customWidth="1"/>
    <col min="9" max="9" width="13" customWidth="1"/>
    <col min="10" max="10" width="12" customWidth="1"/>
    <col min="11" max="13" width="13" customWidth="1"/>
    <col min="14" max="26" width="11.33203125" customWidth="1"/>
  </cols>
  <sheetData>
    <row r="1" spans="1:13" ht="14.25" customHeight="1">
      <c r="B1" s="1091" t="s">
        <v>2398</v>
      </c>
      <c r="C1" s="1041"/>
      <c r="D1" s="1042"/>
      <c r="E1" s="1091" t="s">
        <v>3111</v>
      </c>
      <c r="F1" s="1041"/>
      <c r="G1" s="1042"/>
    </row>
    <row r="2" spans="1:13" ht="14.25" customHeight="1">
      <c r="B2" s="517" t="s">
        <v>3668</v>
      </c>
      <c r="C2" s="518" t="s">
        <v>3669</v>
      </c>
      <c r="D2" s="519" t="s">
        <v>3670</v>
      </c>
      <c r="E2" s="517" t="s">
        <v>3668</v>
      </c>
      <c r="F2" s="518" t="s">
        <v>3669</v>
      </c>
      <c r="G2" s="519" t="s">
        <v>3670</v>
      </c>
    </row>
    <row r="3" spans="1:13" ht="14.25" customHeight="1">
      <c r="A3" s="520" t="s">
        <v>3671</v>
      </c>
      <c r="B3" s="477"/>
      <c r="C3" s="478"/>
      <c r="D3" s="479"/>
      <c r="E3" s="477">
        <f>IF(OR(Fragenkatalog!AA6="",Fragenkatalog!AA6=0),B27,Fragenkatalog!AA6)</f>
        <v>10000000</v>
      </c>
      <c r="F3" s="478">
        <f>E3</f>
        <v>10000000</v>
      </c>
      <c r="G3" s="479">
        <f>F3</f>
        <v>10000000</v>
      </c>
    </row>
    <row r="4" spans="1:13" ht="14.25" customHeight="1">
      <c r="A4" s="520" t="s">
        <v>3117</v>
      </c>
      <c r="B4" s="477">
        <f>IF(Deckungssumme1GI&gt;B27,B27,Deckungssumme1GI)</f>
        <v>0</v>
      </c>
      <c r="C4" s="478">
        <f>IF(Deckungssumme2GI&gt;B27,B27,Deckungssumme2GI)</f>
        <v>0</v>
      </c>
      <c r="D4" s="479">
        <f>IF(Deckungssumme3GI&gt;B27,B27,Deckungssumme3GI)</f>
        <v>0</v>
      </c>
      <c r="E4" s="477">
        <f>IF(Deckungssumme1&gt;B27,B27,Deckungssumme1)</f>
        <v>0</v>
      </c>
      <c r="F4" s="478">
        <f>IF(Deckungssumme2&gt;B27,B27,Deckungssumme2)</f>
        <v>0</v>
      </c>
      <c r="G4" s="479">
        <f>IF(Deckungssumme3&gt;B27,B27,Deckungssumme3)</f>
        <v>0</v>
      </c>
    </row>
    <row r="5" spans="1:13" ht="14.25" customHeight="1">
      <c r="A5" s="520" t="s">
        <v>3119</v>
      </c>
      <c r="B5" s="477">
        <f>IF(Deckungssumme1GI=0,0,C24)</f>
        <v>0</v>
      </c>
      <c r="C5" s="478">
        <f>IF(Deckungssumme2GI=0,0,E24)</f>
        <v>0</v>
      </c>
      <c r="D5" s="479">
        <f>IF(Deckungssumme3GI=0,0,G24)</f>
        <v>0</v>
      </c>
      <c r="E5" s="477" t="str">
        <f>IF(OR(Deckungssumme1="",Deckungssumme1=0),"",MIN(I24,E3))</f>
        <v/>
      </c>
      <c r="F5" s="478" t="str">
        <f>IF(OR(Deckungssumme2="",Deckungssumme2=0),"",MIN(K24,F3))</f>
        <v/>
      </c>
      <c r="G5" s="479" t="str">
        <f>IF(OR(Deckungssumme3="",Deckungssumme3=0),"",MIN(M24,G3))</f>
        <v/>
      </c>
    </row>
    <row r="6" spans="1:13" ht="14.25" customHeight="1">
      <c r="A6" s="22" t="s">
        <v>3672</v>
      </c>
      <c r="B6" s="521">
        <f>IF(MAX(AußenumsatzGI,VereinsvermögenGI)&gt;B28,"Umsatz zu groß!",MAX(AußenumsatzGI,VereinsvermögenGI))</f>
        <v>0</v>
      </c>
      <c r="C6" s="522">
        <f>IF(MAX(AußenumsatzGI,VereinsvermögenGI)&gt;B28,"Umsatz zu groß!",MAX(AußenumsatzGI,VereinsvermögenGI))</f>
        <v>0</v>
      </c>
      <c r="D6" s="523">
        <f>IF(MAX(AußenumsatzGI,VereinsvermögenGI)&gt;B28,"Umsatz zu groß!",MAX(AußenumsatzGI,VereinsvermögenGI))</f>
        <v>0</v>
      </c>
      <c r="E6" s="521">
        <f>IF(MAX(Außenumsatz,Vereinsvermögen)&gt;B28,"Umsatz zu groß!",MAX(Außenumsatz,Vereinsvermögen))</f>
        <v>0</v>
      </c>
      <c r="F6" s="522">
        <f>IF(MAX(Außenumsatz,Vereinsvermögen)&gt;B28,"Umsatz zu groß!",MAX(Außenumsatz,Vereinsvermögen))</f>
        <v>0</v>
      </c>
      <c r="G6" s="523">
        <f>IF(MAX(Außenumsatz,Vereinsvermögen)&gt;B28,"Umsatz zu groß!",MAX(Außenumsatz,Vereinsvermögen))</f>
        <v>0</v>
      </c>
    </row>
    <row r="7" spans="1:13" ht="14.25" customHeight="1">
      <c r="B7" s="524"/>
      <c r="C7" s="525"/>
      <c r="D7" s="526"/>
      <c r="E7" s="189"/>
      <c r="G7" s="527"/>
    </row>
    <row r="8" spans="1:13" ht="14.25" customHeight="1">
      <c r="A8" s="528" t="s">
        <v>3118</v>
      </c>
      <c r="B8" s="529" t="str">
        <f>IF(B6&gt;B28,"",IFERROR(VLOOKUP(TRUE,'AIG Facility - Tarif'!G2:M29,7,FALSE),""))</f>
        <v/>
      </c>
      <c r="C8" s="530" t="str">
        <f>IF(C6&gt;B28,"",IFERROR(VLOOKUP(TRUE,'AIG Facility - Tarif'!H2:M29,6,FALSE),""))</f>
        <v/>
      </c>
      <c r="D8" s="531" t="str">
        <f>IF(B6&gt;B28,"",IFERROR(VLOOKUP(TRUE,'AIG Facility - Tarif'!I2:M29,5,FALSE),""))</f>
        <v/>
      </c>
      <c r="E8" s="529" t="str">
        <f>IF(E6&gt;B28,"",IFERROR(VLOOKUP(TRUE,'AIG Facility - Tarif'!J2:M29,4,FALSE),""))</f>
        <v/>
      </c>
      <c r="F8" s="530" t="str">
        <f>IF(F6&gt;B28,"",IFERROR(VLOOKUP(TRUE,'AIG Facility - Tarif'!K2:M29,3,FALSE),""))</f>
        <v/>
      </c>
      <c r="G8" s="531" t="str">
        <f>IF(G6&gt;B28,"",IFERROR(VLOOKUP(TRUE,'AIG Facility - Tarif'!L2:M29,2,FALSE),""))</f>
        <v/>
      </c>
    </row>
    <row r="9" spans="1:13" ht="14.25" customHeight="1"/>
    <row r="10" spans="1:13" ht="14.25" customHeight="1"/>
    <row r="11" spans="1:13" ht="14.25" customHeight="1">
      <c r="B11" s="1092" t="s">
        <v>2398</v>
      </c>
      <c r="C11" s="1085"/>
      <c r="D11" s="1085"/>
      <c r="E11" s="1085"/>
      <c r="F11" s="1085"/>
      <c r="G11" s="1093"/>
      <c r="H11" s="1094" t="s">
        <v>3111</v>
      </c>
      <c r="I11" s="1085"/>
      <c r="J11" s="1085"/>
      <c r="K11" s="1085"/>
      <c r="L11" s="1085"/>
      <c r="M11" s="1084"/>
    </row>
    <row r="12" spans="1:13" ht="14.25" customHeight="1">
      <c r="A12" s="532" t="s">
        <v>3673</v>
      </c>
      <c r="B12" s="1089" t="s">
        <v>3113</v>
      </c>
      <c r="C12" s="1090"/>
      <c r="D12" s="1089" t="s">
        <v>3114</v>
      </c>
      <c r="E12" s="1090"/>
      <c r="F12" s="1089" t="s">
        <v>3115</v>
      </c>
      <c r="G12" s="1090"/>
      <c r="H12" s="1089" t="s">
        <v>3113</v>
      </c>
      <c r="I12" s="1090"/>
      <c r="J12" s="1089" t="s">
        <v>3114</v>
      </c>
      <c r="K12" s="1090"/>
      <c r="L12" s="184" t="s">
        <v>3115</v>
      </c>
      <c r="M12" s="533"/>
    </row>
    <row r="13" spans="1:13" ht="14.25" customHeight="1">
      <c r="A13" s="534">
        <v>250000</v>
      </c>
      <c r="B13" s="487">
        <f t="shared" ref="B13:B22" si="0">$B$4</f>
        <v>0</v>
      </c>
      <c r="C13" s="488">
        <f t="shared" ref="C13:C22" si="1">IF(B13&lt;=$A13,$A13,"")</f>
        <v>250000</v>
      </c>
      <c r="D13" s="487">
        <f t="shared" ref="D13:D22" si="2">$C$4</f>
        <v>0</v>
      </c>
      <c r="E13" s="488">
        <f t="shared" ref="E13:E22" si="3">IF(D13&lt;=$A13,$A13,"")</f>
        <v>250000</v>
      </c>
      <c r="F13" s="487">
        <f t="shared" ref="F13:F22" si="4">$D$4</f>
        <v>0</v>
      </c>
      <c r="G13" s="488">
        <f t="shared" ref="G13:G22" si="5">IF(F13&lt;=$A13,$A13,"")</f>
        <v>250000</v>
      </c>
      <c r="H13" s="487">
        <f t="shared" ref="H13:H22" si="6">$E$4</f>
        <v>0</v>
      </c>
      <c r="I13" s="488">
        <f t="shared" ref="I13:I22" si="7">IF(H13&lt;=$A13,$A13,"")</f>
        <v>250000</v>
      </c>
      <c r="J13" s="487">
        <f t="shared" ref="J13:J22" si="8">$F$4</f>
        <v>0</v>
      </c>
      <c r="K13" s="488">
        <f t="shared" ref="K13:K22" si="9">IF(J13&lt;=$A13,$A13,"")</f>
        <v>250000</v>
      </c>
      <c r="L13" s="487">
        <f t="shared" ref="L13:L22" si="10">$G$4</f>
        <v>0</v>
      </c>
      <c r="M13" s="488">
        <f t="shared" ref="M13:M22" si="11">IF(L13&lt;=$A13,$A13,"")</f>
        <v>250000</v>
      </c>
    </row>
    <row r="14" spans="1:13" ht="14.25" customHeight="1">
      <c r="A14" s="534">
        <v>500000</v>
      </c>
      <c r="B14" s="487">
        <f t="shared" si="0"/>
        <v>0</v>
      </c>
      <c r="C14" s="488">
        <f t="shared" si="1"/>
        <v>500000</v>
      </c>
      <c r="D14" s="487">
        <f t="shared" si="2"/>
        <v>0</v>
      </c>
      <c r="E14" s="488">
        <f t="shared" si="3"/>
        <v>500000</v>
      </c>
      <c r="F14" s="487">
        <f t="shared" si="4"/>
        <v>0</v>
      </c>
      <c r="G14" s="488">
        <f t="shared" si="5"/>
        <v>500000</v>
      </c>
      <c r="H14" s="487">
        <f t="shared" si="6"/>
        <v>0</v>
      </c>
      <c r="I14" s="488">
        <f t="shared" si="7"/>
        <v>500000</v>
      </c>
      <c r="J14" s="487">
        <f t="shared" si="8"/>
        <v>0</v>
      </c>
      <c r="K14" s="488">
        <f t="shared" si="9"/>
        <v>500000</v>
      </c>
      <c r="L14" s="487">
        <f t="shared" si="10"/>
        <v>0</v>
      </c>
      <c r="M14" s="488">
        <f t="shared" si="11"/>
        <v>500000</v>
      </c>
    </row>
    <row r="15" spans="1:13" ht="14.25" customHeight="1">
      <c r="A15" s="534">
        <v>1000000</v>
      </c>
      <c r="B15" s="487">
        <f t="shared" si="0"/>
        <v>0</v>
      </c>
      <c r="C15" s="488">
        <f t="shared" si="1"/>
        <v>1000000</v>
      </c>
      <c r="D15" s="487">
        <f t="shared" si="2"/>
        <v>0</v>
      </c>
      <c r="E15" s="488">
        <f t="shared" si="3"/>
        <v>1000000</v>
      </c>
      <c r="F15" s="487">
        <f t="shared" si="4"/>
        <v>0</v>
      </c>
      <c r="G15" s="488">
        <f t="shared" si="5"/>
        <v>1000000</v>
      </c>
      <c r="H15" s="487">
        <f t="shared" si="6"/>
        <v>0</v>
      </c>
      <c r="I15" s="488">
        <f t="shared" si="7"/>
        <v>1000000</v>
      </c>
      <c r="J15" s="487">
        <f t="shared" si="8"/>
        <v>0</v>
      </c>
      <c r="K15" s="488">
        <f t="shared" si="9"/>
        <v>1000000</v>
      </c>
      <c r="L15" s="487">
        <f t="shared" si="10"/>
        <v>0</v>
      </c>
      <c r="M15" s="488">
        <f t="shared" si="11"/>
        <v>1000000</v>
      </c>
    </row>
    <row r="16" spans="1:13" ht="14.25" customHeight="1">
      <c r="A16" s="534">
        <f>A15+500000</f>
        <v>1500000</v>
      </c>
      <c r="B16" s="487">
        <f t="shared" si="0"/>
        <v>0</v>
      </c>
      <c r="C16" s="488">
        <f t="shared" si="1"/>
        <v>1500000</v>
      </c>
      <c r="D16" s="487">
        <f t="shared" si="2"/>
        <v>0</v>
      </c>
      <c r="E16" s="488">
        <f t="shared" si="3"/>
        <v>1500000</v>
      </c>
      <c r="F16" s="487">
        <f t="shared" si="4"/>
        <v>0</v>
      </c>
      <c r="G16" s="488">
        <f t="shared" si="5"/>
        <v>1500000</v>
      </c>
      <c r="H16" s="487">
        <f t="shared" si="6"/>
        <v>0</v>
      </c>
      <c r="I16" s="488">
        <f t="shared" si="7"/>
        <v>1500000</v>
      </c>
      <c r="J16" s="487">
        <f t="shared" si="8"/>
        <v>0</v>
      </c>
      <c r="K16" s="488">
        <f t="shared" si="9"/>
        <v>1500000</v>
      </c>
      <c r="L16" s="487">
        <f t="shared" si="10"/>
        <v>0</v>
      </c>
      <c r="M16" s="488">
        <f t="shared" si="11"/>
        <v>1500000</v>
      </c>
    </row>
    <row r="17" spans="1:13" ht="14.25" customHeight="1">
      <c r="A17" s="534">
        <f>A16+500000</f>
        <v>2000000</v>
      </c>
      <c r="B17" s="487">
        <f t="shared" si="0"/>
        <v>0</v>
      </c>
      <c r="C17" s="488">
        <f t="shared" si="1"/>
        <v>2000000</v>
      </c>
      <c r="D17" s="487">
        <f t="shared" si="2"/>
        <v>0</v>
      </c>
      <c r="E17" s="488">
        <f t="shared" si="3"/>
        <v>2000000</v>
      </c>
      <c r="F17" s="487">
        <f t="shared" si="4"/>
        <v>0</v>
      </c>
      <c r="G17" s="488">
        <f t="shared" si="5"/>
        <v>2000000</v>
      </c>
      <c r="H17" s="487">
        <f t="shared" si="6"/>
        <v>0</v>
      </c>
      <c r="I17" s="488">
        <f t="shared" si="7"/>
        <v>2000000</v>
      </c>
      <c r="J17" s="487">
        <f t="shared" si="8"/>
        <v>0</v>
      </c>
      <c r="K17" s="488">
        <f t="shared" si="9"/>
        <v>2000000</v>
      </c>
      <c r="L17" s="487">
        <f t="shared" si="10"/>
        <v>0</v>
      </c>
      <c r="M17" s="488">
        <f t="shared" si="11"/>
        <v>2000000</v>
      </c>
    </row>
    <row r="18" spans="1:13" ht="14.25" customHeight="1">
      <c r="A18" s="534">
        <f>A17+500000</f>
        <v>2500000</v>
      </c>
      <c r="B18" s="487">
        <f t="shared" si="0"/>
        <v>0</v>
      </c>
      <c r="C18" s="488">
        <f t="shared" si="1"/>
        <v>2500000</v>
      </c>
      <c r="D18" s="487">
        <f t="shared" si="2"/>
        <v>0</v>
      </c>
      <c r="E18" s="488">
        <f t="shared" si="3"/>
        <v>2500000</v>
      </c>
      <c r="F18" s="487">
        <f t="shared" si="4"/>
        <v>0</v>
      </c>
      <c r="G18" s="488">
        <f t="shared" si="5"/>
        <v>2500000</v>
      </c>
      <c r="H18" s="487">
        <f t="shared" si="6"/>
        <v>0</v>
      </c>
      <c r="I18" s="488">
        <f t="shared" si="7"/>
        <v>2500000</v>
      </c>
      <c r="J18" s="487">
        <f t="shared" si="8"/>
        <v>0</v>
      </c>
      <c r="K18" s="488">
        <f t="shared" si="9"/>
        <v>2500000</v>
      </c>
      <c r="L18" s="487">
        <f t="shared" si="10"/>
        <v>0</v>
      </c>
      <c r="M18" s="488">
        <f t="shared" si="11"/>
        <v>2500000</v>
      </c>
    </row>
    <row r="19" spans="1:13" ht="14.25" customHeight="1">
      <c r="A19" s="534">
        <f>A18+500000</f>
        <v>3000000</v>
      </c>
      <c r="B19" s="487">
        <f t="shared" si="0"/>
        <v>0</v>
      </c>
      <c r="C19" s="488">
        <f t="shared" si="1"/>
        <v>3000000</v>
      </c>
      <c r="D19" s="487">
        <f t="shared" si="2"/>
        <v>0</v>
      </c>
      <c r="E19" s="488">
        <f t="shared" si="3"/>
        <v>3000000</v>
      </c>
      <c r="F19" s="487">
        <f t="shared" si="4"/>
        <v>0</v>
      </c>
      <c r="G19" s="488">
        <f t="shared" si="5"/>
        <v>3000000</v>
      </c>
      <c r="H19" s="487">
        <f t="shared" si="6"/>
        <v>0</v>
      </c>
      <c r="I19" s="488">
        <f t="shared" si="7"/>
        <v>3000000</v>
      </c>
      <c r="J19" s="487">
        <f t="shared" si="8"/>
        <v>0</v>
      </c>
      <c r="K19" s="488">
        <f t="shared" si="9"/>
        <v>3000000</v>
      </c>
      <c r="L19" s="487">
        <f t="shared" si="10"/>
        <v>0</v>
      </c>
      <c r="M19" s="488">
        <f t="shared" si="11"/>
        <v>3000000</v>
      </c>
    </row>
    <row r="20" spans="1:13" ht="14.25" customHeight="1">
      <c r="A20" s="534">
        <v>5000000</v>
      </c>
      <c r="B20" s="487">
        <f t="shared" si="0"/>
        <v>0</v>
      </c>
      <c r="C20" s="488">
        <f t="shared" si="1"/>
        <v>5000000</v>
      </c>
      <c r="D20" s="487">
        <f t="shared" si="2"/>
        <v>0</v>
      </c>
      <c r="E20" s="488">
        <f t="shared" si="3"/>
        <v>5000000</v>
      </c>
      <c r="F20" s="487">
        <f t="shared" si="4"/>
        <v>0</v>
      </c>
      <c r="G20" s="488">
        <f t="shared" si="5"/>
        <v>5000000</v>
      </c>
      <c r="H20" s="487">
        <f t="shared" si="6"/>
        <v>0</v>
      </c>
      <c r="I20" s="488">
        <f t="shared" si="7"/>
        <v>5000000</v>
      </c>
      <c r="J20" s="487">
        <f t="shared" si="8"/>
        <v>0</v>
      </c>
      <c r="K20" s="488">
        <f t="shared" si="9"/>
        <v>5000000</v>
      </c>
      <c r="L20" s="487">
        <f t="shared" si="10"/>
        <v>0</v>
      </c>
      <c r="M20" s="488">
        <f t="shared" si="11"/>
        <v>5000000</v>
      </c>
    </row>
    <row r="21" spans="1:13" ht="14.25" customHeight="1">
      <c r="A21" s="534">
        <v>7500000</v>
      </c>
      <c r="B21" s="487">
        <f t="shared" si="0"/>
        <v>0</v>
      </c>
      <c r="C21" s="488">
        <f t="shared" si="1"/>
        <v>7500000</v>
      </c>
      <c r="D21" s="487">
        <f t="shared" si="2"/>
        <v>0</v>
      </c>
      <c r="E21" s="488">
        <f t="shared" si="3"/>
        <v>7500000</v>
      </c>
      <c r="F21" s="487">
        <f t="shared" si="4"/>
        <v>0</v>
      </c>
      <c r="G21" s="488">
        <f t="shared" si="5"/>
        <v>7500000</v>
      </c>
      <c r="H21" s="487">
        <f t="shared" si="6"/>
        <v>0</v>
      </c>
      <c r="I21" s="488">
        <f t="shared" si="7"/>
        <v>7500000</v>
      </c>
      <c r="J21" s="487">
        <f t="shared" si="8"/>
        <v>0</v>
      </c>
      <c r="K21" s="488">
        <f t="shared" si="9"/>
        <v>7500000</v>
      </c>
      <c r="L21" s="487">
        <f t="shared" si="10"/>
        <v>0</v>
      </c>
      <c r="M21" s="488">
        <f t="shared" si="11"/>
        <v>7500000</v>
      </c>
    </row>
    <row r="22" spans="1:13" ht="14.25" customHeight="1">
      <c r="A22" s="535">
        <v>10000000</v>
      </c>
      <c r="B22" s="487">
        <f t="shared" si="0"/>
        <v>0</v>
      </c>
      <c r="C22" s="488">
        <f t="shared" si="1"/>
        <v>10000000</v>
      </c>
      <c r="D22" s="487">
        <f t="shared" si="2"/>
        <v>0</v>
      </c>
      <c r="E22" s="488">
        <f t="shared" si="3"/>
        <v>10000000</v>
      </c>
      <c r="F22" s="487">
        <f t="shared" si="4"/>
        <v>0</v>
      </c>
      <c r="G22" s="488">
        <f t="shared" si="5"/>
        <v>10000000</v>
      </c>
      <c r="H22" s="487">
        <f t="shared" si="6"/>
        <v>0</v>
      </c>
      <c r="I22" s="488">
        <f t="shared" si="7"/>
        <v>10000000</v>
      </c>
      <c r="J22" s="487">
        <f t="shared" si="8"/>
        <v>0</v>
      </c>
      <c r="K22" s="488">
        <f t="shared" si="9"/>
        <v>10000000</v>
      </c>
      <c r="L22" s="487">
        <f t="shared" si="10"/>
        <v>0</v>
      </c>
      <c r="M22" s="488">
        <f t="shared" si="11"/>
        <v>10000000</v>
      </c>
    </row>
    <row r="23" spans="1:13" ht="14.25" customHeight="1">
      <c r="B23" s="487"/>
      <c r="C23" s="488"/>
      <c r="D23" s="487"/>
      <c r="E23" s="488"/>
      <c r="F23" s="487"/>
      <c r="G23" s="488"/>
      <c r="H23" s="487"/>
      <c r="I23" s="488"/>
      <c r="J23" s="487"/>
      <c r="K23" s="488"/>
      <c r="L23" s="487"/>
      <c r="M23" s="488"/>
    </row>
    <row r="24" spans="1:13" ht="14.25" customHeight="1">
      <c r="B24" s="490"/>
      <c r="C24" s="491">
        <f>MIN(C13:C22)</f>
        <v>250000</v>
      </c>
      <c r="D24" s="490"/>
      <c r="E24" s="491">
        <f>MIN(E13:E22)</f>
        <v>250000</v>
      </c>
      <c r="F24" s="490"/>
      <c r="G24" s="491">
        <f>MIN(G13:G22)</f>
        <v>250000</v>
      </c>
      <c r="H24" s="490"/>
      <c r="I24" s="491" t="str">
        <f>IF(E4=0,"",MIN(I13:I22))</f>
        <v/>
      </c>
      <c r="J24" s="490"/>
      <c r="K24" s="491" t="str">
        <f>IF(F4=0,"",MIN(K13:K22))</f>
        <v/>
      </c>
      <c r="L24" s="490"/>
      <c r="M24" s="491" t="str">
        <f>IF(G4=0,"",MIN(M13:M22))</f>
        <v/>
      </c>
    </row>
    <row r="25" spans="1:13" ht="14.25" customHeight="1"/>
    <row r="26" spans="1:13" ht="14.25" customHeight="1">
      <c r="A26" s="168" t="s">
        <v>3646</v>
      </c>
      <c r="B26" s="472">
        <v>500000</v>
      </c>
    </row>
    <row r="27" spans="1:13" ht="14.25" customHeight="1">
      <c r="A27" s="168" t="s">
        <v>3647</v>
      </c>
      <c r="B27" s="472">
        <v>10000000</v>
      </c>
    </row>
    <row r="28" spans="1:13" ht="14.25" customHeight="1">
      <c r="A28" s="168" t="s">
        <v>3648</v>
      </c>
      <c r="B28" s="472">
        <v>150000000</v>
      </c>
    </row>
    <row r="29" spans="1:13" ht="14.25" customHeight="1"/>
    <row r="30" spans="1:13" ht="14.25" customHeight="1"/>
    <row r="31" spans="1:13" ht="14.25" customHeight="1"/>
    <row r="32" spans="1: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2:I12"/>
    <mergeCell ref="J12:K12"/>
    <mergeCell ref="B1:D1"/>
    <mergeCell ref="E1:G1"/>
    <mergeCell ref="B11:G11"/>
    <mergeCell ref="H11:M11"/>
    <mergeCell ref="B12:C12"/>
    <mergeCell ref="D12:E12"/>
    <mergeCell ref="F12:G12"/>
  </mergeCells>
  <pageMargins left="0.7" right="0.7" top="0.78740157499999996" bottom="0.78740157499999996" header="0" footer="0"/>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N1000"/>
  <sheetViews>
    <sheetView workbookViewId="0"/>
  </sheetViews>
  <sheetFormatPr baseColWidth="10" defaultColWidth="14.33203125" defaultRowHeight="15" customHeight="1"/>
  <cols>
    <col min="1" max="1" width="4.33203125" customWidth="1"/>
    <col min="2" max="4" width="22.33203125" customWidth="1"/>
    <col min="5" max="5" width="16.33203125" customWidth="1"/>
    <col min="6" max="6" width="22.5546875" hidden="1" customWidth="1"/>
    <col min="7" max="12" width="22.5546875" customWidth="1"/>
    <col min="13" max="13" width="18.6640625" customWidth="1"/>
    <col min="14" max="14" width="31.5546875" customWidth="1"/>
    <col min="15" max="26" width="25.33203125" customWidth="1"/>
  </cols>
  <sheetData>
    <row r="1" spans="2:14" ht="14.25" customHeight="1">
      <c r="B1" s="536" t="s">
        <v>3674</v>
      </c>
      <c r="C1" s="536" t="s">
        <v>3675</v>
      </c>
      <c r="D1" s="536" t="s">
        <v>3654</v>
      </c>
      <c r="E1" s="536" t="s">
        <v>3676</v>
      </c>
      <c r="F1" s="536" t="s">
        <v>3677</v>
      </c>
      <c r="G1" s="537" t="s">
        <v>3678</v>
      </c>
      <c r="H1" s="537" t="s">
        <v>3679</v>
      </c>
      <c r="I1" s="537" t="s">
        <v>3680</v>
      </c>
      <c r="J1" s="537" t="s">
        <v>3681</v>
      </c>
      <c r="K1" s="537" t="s">
        <v>3682</v>
      </c>
      <c r="L1" s="537" t="s">
        <v>3683</v>
      </c>
      <c r="M1" s="536" t="s">
        <v>3684</v>
      </c>
      <c r="N1" s="536" t="s">
        <v>3685</v>
      </c>
    </row>
    <row r="2" spans="2:14" ht="14.25" customHeight="1">
      <c r="B2" s="538">
        <v>250000</v>
      </c>
      <c r="C2" s="539">
        <v>0</v>
      </c>
      <c r="D2" s="539">
        <v>5000000</v>
      </c>
      <c r="E2" s="540" t="s">
        <v>3686</v>
      </c>
      <c r="F2" s="541"/>
      <c r="G2" s="542" t="b">
        <f>IF(AND('AIG Facility - Preisrechner'!B$5&gt;='AIG Facility - Tarif'!$B2,'AIG Facility - Preisrechner'!B$5&lt;'AIG Facility - Tarif'!$B3,'AIG Facility - Preisrechner'!B$6&gt;='AIG Facility - Tarif'!$C2,'AIG Facility - Preisrechner'!B$6&lt;='AIG Facility - Tarif'!$D2),TRUE,FALSE)</f>
        <v>0</v>
      </c>
      <c r="H2" s="542" t="b">
        <f>IF(AND('AIG Facility - Preisrechner'!C$5&gt;='AIG Facility - Tarif'!$B2,'AIG Facility - Preisrechner'!C$5&lt;'AIG Facility - Tarif'!$B3,'AIG Facility - Preisrechner'!C$6&gt;='AIG Facility - Tarif'!$C2,'AIG Facility - Preisrechner'!C$6&lt;='AIG Facility - Tarif'!$D2),TRUE,FALSE)</f>
        <v>0</v>
      </c>
      <c r="I2" s="542" t="b">
        <f>IF(AND('AIG Facility - Preisrechner'!D$5&gt;='AIG Facility - Tarif'!$B2,'AIG Facility - Preisrechner'!D$5&lt;'AIG Facility - Tarif'!$B3,'AIG Facility - Preisrechner'!D$6&gt;='AIG Facility - Tarif'!$C2,'AIG Facility - Preisrechner'!D$6&lt;='AIG Facility - Tarif'!$D2),TRUE,FALSE)</f>
        <v>0</v>
      </c>
      <c r="J2" s="542" t="b">
        <f>IF(AND('AIG Facility - Preisrechner'!E$5&gt;='AIG Facility - Tarif'!$B2,'AIG Facility - Preisrechner'!E$5&lt;'AIG Facility - Tarif'!$B3,'AIG Facility - Preisrechner'!E$6&gt;='AIG Facility - Tarif'!$C2,'AIG Facility - Preisrechner'!E$6&lt;='AIG Facility - Tarif'!$D2),TRUE,FALSE)</f>
        <v>0</v>
      </c>
      <c r="K2" s="542" t="b">
        <f>IF(AND('AIG Facility - Preisrechner'!F$5&gt;='AIG Facility - Tarif'!$B2,'AIG Facility - Preisrechner'!F$5&lt;'AIG Facility - Tarif'!$B3,'AIG Facility - Preisrechner'!F$6&gt;='AIG Facility - Tarif'!$C2,'AIG Facility - Preisrechner'!F$6&lt;='AIG Facility - Tarif'!$D2),TRUE,FALSE)</f>
        <v>0</v>
      </c>
      <c r="L2" s="542" t="b">
        <f>IF(AND('AIG Facility - Preisrechner'!G$5&gt;='AIG Facility - Tarif'!$B2,'AIG Facility - Preisrechner'!G$5&lt;'AIG Facility - Tarif'!$B3,'AIG Facility - Preisrechner'!G$6&gt;='AIG Facility - Tarif'!$C2,'AIG Facility - Preisrechner'!G$6&lt;='AIG Facility - Tarif'!$D2),TRUE,FALSE)</f>
        <v>0</v>
      </c>
      <c r="M2" s="543">
        <v>750</v>
      </c>
      <c r="N2" s="544">
        <v>892.5</v>
      </c>
    </row>
    <row r="3" spans="2:14" ht="14.25" customHeight="1">
      <c r="B3" s="545">
        <v>500000</v>
      </c>
      <c r="C3" s="546">
        <v>0</v>
      </c>
      <c r="D3" s="546">
        <v>50000000</v>
      </c>
      <c r="E3" s="547" t="s">
        <v>3687</v>
      </c>
      <c r="F3" s="547" t="s">
        <v>3688</v>
      </c>
      <c r="G3" s="548" t="b">
        <f>IF(AND('AIG Facility - Preisrechner'!B$5&gt;='AIG Facility - Tarif'!$B3,'AIG Facility - Preisrechner'!B$5&lt;='AIG Facility - Tarif'!$B4,'AIG Facility - Preisrechner'!B$6&gt;='AIG Facility - Tarif'!$C3,'AIG Facility - Preisrechner'!B$6&lt;='AIG Facility - Tarif'!$D3),TRUE,FALSE)</f>
        <v>0</v>
      </c>
      <c r="H3" s="548" t="b">
        <f>IF(AND('AIG Facility - Preisrechner'!C$5&gt;='AIG Facility - Tarif'!$B3,'AIG Facility - Preisrechner'!C$5&lt;='AIG Facility - Tarif'!$B4,'AIG Facility - Preisrechner'!C$6&gt;='AIG Facility - Tarif'!$C3,'AIG Facility - Preisrechner'!C$6&lt;='AIG Facility - Tarif'!$D3),TRUE,FALSE)</f>
        <v>0</v>
      </c>
      <c r="I3" s="548" t="b">
        <f>IF(AND('AIG Facility - Preisrechner'!D$5&gt;='AIG Facility - Tarif'!$B3,'AIG Facility - Preisrechner'!D$5&lt;='AIG Facility - Tarif'!$B4,'AIG Facility - Preisrechner'!D$6&gt;='AIG Facility - Tarif'!$C3,'AIG Facility - Preisrechner'!D$6&lt;='AIG Facility - Tarif'!$D3),TRUE,FALSE)</f>
        <v>0</v>
      </c>
      <c r="J3" s="548" t="b">
        <f>IF(AND('AIG Facility - Preisrechner'!E$5&gt;='AIG Facility - Tarif'!$B3,'AIG Facility - Preisrechner'!E$5&lt;='AIG Facility - Tarif'!$B4,'AIG Facility - Preisrechner'!E$6&gt;='AIG Facility - Tarif'!$C3,'AIG Facility - Preisrechner'!E$6&lt;='AIG Facility - Tarif'!$D3),TRUE,FALSE)</f>
        <v>0</v>
      </c>
      <c r="K3" s="548" t="b">
        <f>IF(AND('AIG Facility - Preisrechner'!F$5&gt;='AIG Facility - Tarif'!$B3,'AIG Facility - Preisrechner'!F$5&lt;='AIG Facility - Tarif'!$B4,'AIG Facility - Preisrechner'!F$6&gt;='AIG Facility - Tarif'!$C3,'AIG Facility - Preisrechner'!F$6&lt;='AIG Facility - Tarif'!$D3),TRUE,FALSE)</f>
        <v>0</v>
      </c>
      <c r="L3" s="548" t="b">
        <f>IF(AND('AIG Facility - Preisrechner'!G$5&gt;='AIG Facility - Tarif'!$B3,'AIG Facility - Preisrechner'!G$5&lt;='AIG Facility - Tarif'!$B4,'AIG Facility - Preisrechner'!G$6&gt;='AIG Facility - Tarif'!$C3,'AIG Facility - Preisrechner'!G$6&lt;='AIG Facility - Tarif'!$D3),TRUE,FALSE)</f>
        <v>0</v>
      </c>
      <c r="M3" s="549">
        <v>892.5</v>
      </c>
      <c r="N3" s="544">
        <v>1062.08</v>
      </c>
    </row>
    <row r="4" spans="2:14" ht="14.25" customHeight="1">
      <c r="B4" s="550">
        <v>500000</v>
      </c>
      <c r="C4" s="551">
        <v>50000001</v>
      </c>
      <c r="D4" s="551">
        <v>100000000</v>
      </c>
      <c r="E4" s="552" t="s">
        <v>3689</v>
      </c>
      <c r="F4" s="552" t="s">
        <v>3690</v>
      </c>
      <c r="G4" t="b">
        <f>IF(AND('AIG Facility - Preisrechner'!B$5&gt;='AIG Facility - Tarif'!$B4,'AIG Facility - Preisrechner'!B$5&lt;='AIG Facility - Tarif'!$B5,'AIG Facility - Preisrechner'!B$6&gt;='AIG Facility - Tarif'!$C4,'AIG Facility - Preisrechner'!B$6&lt;='AIG Facility - Tarif'!$D4),TRUE,FALSE)</f>
        <v>0</v>
      </c>
      <c r="H4" t="b">
        <f>IF(AND('AIG Facility - Preisrechner'!C$5&gt;='AIG Facility - Tarif'!$B4,'AIG Facility - Preisrechner'!C$5&lt;='AIG Facility - Tarif'!$B5,'AIG Facility - Preisrechner'!C$6&gt;='AIG Facility - Tarif'!$C4,'AIG Facility - Preisrechner'!C$6&lt;='AIG Facility - Tarif'!$D4),TRUE,FALSE)</f>
        <v>0</v>
      </c>
      <c r="I4" t="b">
        <f>IF(AND('AIG Facility - Preisrechner'!D$5&gt;='AIG Facility - Tarif'!$B4,'AIG Facility - Preisrechner'!D$5&lt;='AIG Facility - Tarif'!$B5,'AIG Facility - Preisrechner'!D$6&gt;='AIG Facility - Tarif'!$C4,'AIG Facility - Preisrechner'!D$6&lt;='AIG Facility - Tarif'!$D4),TRUE,FALSE)</f>
        <v>0</v>
      </c>
      <c r="J4" t="b">
        <f>IF(AND('AIG Facility - Preisrechner'!E$5&gt;='AIG Facility - Tarif'!$B4,'AIG Facility - Preisrechner'!E$5&lt;='AIG Facility - Tarif'!$B5,'AIG Facility - Preisrechner'!E$6&gt;='AIG Facility - Tarif'!$C4,'AIG Facility - Preisrechner'!E$6&lt;='AIG Facility - Tarif'!$D4),TRUE,FALSE)</f>
        <v>0</v>
      </c>
      <c r="K4" t="b">
        <f>IF(AND('AIG Facility - Preisrechner'!F$5&gt;='AIG Facility - Tarif'!$B4,'AIG Facility - Preisrechner'!F$5&lt;='AIG Facility - Tarif'!$B5,'AIG Facility - Preisrechner'!F$6&gt;='AIG Facility - Tarif'!$C4,'AIG Facility - Preisrechner'!F$6&lt;='AIG Facility - Tarif'!$D4),TRUE,FALSE)</f>
        <v>0</v>
      </c>
      <c r="L4" t="b">
        <f>IF(AND('AIG Facility - Preisrechner'!G$5&gt;='AIG Facility - Tarif'!$B4,'AIG Facility - Preisrechner'!G$5&lt;='AIG Facility - Tarif'!$B5,'AIG Facility - Preisrechner'!G$6&gt;='AIG Facility - Tarif'!$C4,'AIG Facility - Preisrechner'!G$6&lt;='AIG Facility - Tarif'!$D4),TRUE,FALSE)</f>
        <v>0</v>
      </c>
      <c r="M4" s="553">
        <v>997.5</v>
      </c>
      <c r="N4" s="544">
        <v>1187.03</v>
      </c>
    </row>
    <row r="5" spans="2:14" ht="14.25" customHeight="1">
      <c r="B5" s="554">
        <v>500000</v>
      </c>
      <c r="C5" s="555">
        <v>100000001</v>
      </c>
      <c r="D5" s="555">
        <v>150000000</v>
      </c>
      <c r="E5" s="556" t="s">
        <v>3691</v>
      </c>
      <c r="F5" s="556" t="s">
        <v>3692</v>
      </c>
      <c r="G5" s="557" t="b">
        <f>IF(AND('AIG Facility - Preisrechner'!B$5&gt;='AIG Facility - Tarif'!$B5,'AIG Facility - Preisrechner'!B$5&lt;='AIG Facility - Tarif'!$B6,'AIG Facility - Preisrechner'!B$6&gt;='AIG Facility - Tarif'!$C5,'AIG Facility - Preisrechner'!B$6&lt;='AIG Facility - Tarif'!$D5),TRUE,FALSE)</f>
        <v>0</v>
      </c>
      <c r="H5" s="557" t="b">
        <f>IF(AND('AIG Facility - Preisrechner'!C$5&gt;='AIG Facility - Tarif'!$B5,'AIG Facility - Preisrechner'!C$5&lt;='AIG Facility - Tarif'!$B6,'AIG Facility - Preisrechner'!C$6&gt;='AIG Facility - Tarif'!$C5,'AIG Facility - Preisrechner'!C$6&lt;='AIG Facility - Tarif'!$D5),TRUE,FALSE)</f>
        <v>0</v>
      </c>
      <c r="I5" s="557" t="b">
        <f>IF(AND('AIG Facility - Preisrechner'!D$5&gt;='AIG Facility - Tarif'!$B5,'AIG Facility - Preisrechner'!D$5&lt;='AIG Facility - Tarif'!$B6,'AIG Facility - Preisrechner'!D$6&gt;='AIG Facility - Tarif'!$C5,'AIG Facility - Preisrechner'!D$6&lt;='AIG Facility - Tarif'!$D5),TRUE,FALSE)</f>
        <v>0</v>
      </c>
      <c r="J5" s="557" t="b">
        <f>IF(AND('AIG Facility - Preisrechner'!E$5&gt;='AIG Facility - Tarif'!$B5,'AIG Facility - Preisrechner'!E$5&lt;='AIG Facility - Tarif'!$B6,'AIG Facility - Preisrechner'!E$6&gt;='AIG Facility - Tarif'!$C5,'AIG Facility - Preisrechner'!E$6&lt;='AIG Facility - Tarif'!$D5),TRUE,FALSE)</f>
        <v>0</v>
      </c>
      <c r="K5" s="557" t="b">
        <f>IF(AND('AIG Facility - Preisrechner'!F$5&gt;='AIG Facility - Tarif'!$B5,'AIG Facility - Preisrechner'!F$5&lt;='AIG Facility - Tarif'!$B6,'AIG Facility - Preisrechner'!F$6&gt;='AIG Facility - Tarif'!$C5,'AIG Facility - Preisrechner'!F$6&lt;='AIG Facility - Tarif'!$D5),TRUE,FALSE)</f>
        <v>0</v>
      </c>
      <c r="L5" s="557" t="b">
        <f>IF(AND('AIG Facility - Preisrechner'!G$5&gt;='AIG Facility - Tarif'!$B5,'AIG Facility - Preisrechner'!G$5&lt;='AIG Facility - Tarif'!$B6,'AIG Facility - Preisrechner'!G$6&gt;='AIG Facility - Tarif'!$C5,'AIG Facility - Preisrechner'!G$6&lt;='AIG Facility - Tarif'!$D5),TRUE,FALSE)</f>
        <v>0</v>
      </c>
      <c r="M5" s="558">
        <v>1244.25</v>
      </c>
      <c r="N5" s="544">
        <v>1480.66</v>
      </c>
    </row>
    <row r="6" spans="2:14" ht="14.25" customHeight="1">
      <c r="B6" s="545">
        <v>1000000</v>
      </c>
      <c r="C6" s="546">
        <v>0</v>
      </c>
      <c r="D6" s="546">
        <v>50000000</v>
      </c>
      <c r="E6" s="547" t="s">
        <v>3687</v>
      </c>
      <c r="F6" s="547" t="s">
        <v>3693</v>
      </c>
      <c r="G6" s="548" t="b">
        <f>IF(AND('AIG Facility - Preisrechner'!B$5&gt;='AIG Facility - Tarif'!$B6,'AIG Facility - Preisrechner'!B$5&lt;='AIG Facility - Tarif'!$B7,'AIG Facility - Preisrechner'!B$6&gt;='AIG Facility - Tarif'!$C6,'AIG Facility - Preisrechner'!B$6&lt;='AIG Facility - Tarif'!$D6),TRUE,FALSE)</f>
        <v>0</v>
      </c>
      <c r="H6" s="548" t="b">
        <f>IF(AND('AIG Facility - Preisrechner'!C$5&gt;='AIG Facility - Tarif'!$B6,'AIG Facility - Preisrechner'!C$5&lt;='AIG Facility - Tarif'!$B7,'AIG Facility - Preisrechner'!C$6&gt;='AIG Facility - Tarif'!$C6,'AIG Facility - Preisrechner'!C$6&lt;='AIG Facility - Tarif'!$D6),TRUE,FALSE)</f>
        <v>0</v>
      </c>
      <c r="I6" s="548" t="b">
        <f>IF(AND('AIG Facility - Preisrechner'!D$5&gt;='AIG Facility - Tarif'!$B6,'AIG Facility - Preisrechner'!D$5&lt;='AIG Facility - Tarif'!$B7,'AIG Facility - Preisrechner'!D$6&gt;='AIG Facility - Tarif'!$C6,'AIG Facility - Preisrechner'!D$6&lt;='AIG Facility - Tarif'!$D6),TRUE,FALSE)</f>
        <v>0</v>
      </c>
      <c r="J6" s="548" t="b">
        <f>IF(AND('AIG Facility - Preisrechner'!E$5&gt;='AIG Facility - Tarif'!$B6,'AIG Facility - Preisrechner'!E$5&lt;='AIG Facility - Tarif'!$B7,'AIG Facility - Preisrechner'!E$6&gt;='AIG Facility - Tarif'!$C6,'AIG Facility - Preisrechner'!E$6&lt;='AIG Facility - Tarif'!$D6),TRUE,FALSE)</f>
        <v>0</v>
      </c>
      <c r="K6" s="548" t="b">
        <f>IF(AND('AIG Facility - Preisrechner'!F$5&gt;='AIG Facility - Tarif'!$B6,'AIG Facility - Preisrechner'!F$5&lt;='AIG Facility - Tarif'!$B7,'AIG Facility - Preisrechner'!F$6&gt;='AIG Facility - Tarif'!$C6,'AIG Facility - Preisrechner'!F$6&lt;='AIG Facility - Tarif'!$D6),TRUE,FALSE)</f>
        <v>0</v>
      </c>
      <c r="L6" s="548" t="b">
        <f>IF(AND('AIG Facility - Preisrechner'!G$5&gt;='AIG Facility - Tarif'!$B6,'AIG Facility - Preisrechner'!G$5&lt;='AIG Facility - Tarif'!$B7,'AIG Facility - Preisrechner'!G$6&gt;='AIG Facility - Tarif'!$C6,'AIG Facility - Preisrechner'!G$6&lt;='AIG Facility - Tarif'!$D6),TRUE,FALSE)</f>
        <v>0</v>
      </c>
      <c r="M6" s="549">
        <v>1170.75</v>
      </c>
      <c r="N6" s="544">
        <v>1393.19</v>
      </c>
    </row>
    <row r="7" spans="2:14" ht="14.25" customHeight="1">
      <c r="B7" s="550">
        <v>1000000</v>
      </c>
      <c r="C7" s="551">
        <v>50000001</v>
      </c>
      <c r="D7" s="551">
        <v>100000000</v>
      </c>
      <c r="E7" s="552" t="s">
        <v>3689</v>
      </c>
      <c r="F7" s="552" t="s">
        <v>3694</v>
      </c>
      <c r="G7" t="b">
        <f>IF(AND('AIG Facility - Preisrechner'!B$5&gt;='AIG Facility - Tarif'!$B7,'AIG Facility - Preisrechner'!B$5&lt;='AIG Facility - Tarif'!$B8,'AIG Facility - Preisrechner'!B$6&gt;='AIG Facility - Tarif'!$C7,'AIG Facility - Preisrechner'!B$6&lt;='AIG Facility - Tarif'!$D7),TRUE,FALSE)</f>
        <v>0</v>
      </c>
      <c r="H7" t="b">
        <f>IF(AND('AIG Facility - Preisrechner'!C$5&gt;='AIG Facility - Tarif'!$B7,'AIG Facility - Preisrechner'!C$5&lt;='AIG Facility - Tarif'!$B8,'AIG Facility - Preisrechner'!C$6&gt;='AIG Facility - Tarif'!$C7,'AIG Facility - Preisrechner'!C$6&lt;='AIG Facility - Tarif'!$D7),TRUE,FALSE)</f>
        <v>0</v>
      </c>
      <c r="I7" t="b">
        <f>IF(AND('AIG Facility - Preisrechner'!D$5&gt;='AIG Facility - Tarif'!$B7,'AIG Facility - Preisrechner'!D$5&lt;='AIG Facility - Tarif'!$B8,'AIG Facility - Preisrechner'!D$6&gt;='AIG Facility - Tarif'!$C7,'AIG Facility - Preisrechner'!D$6&lt;='AIG Facility - Tarif'!$D7),TRUE,FALSE)</f>
        <v>0</v>
      </c>
      <c r="J7" t="b">
        <f>IF(AND('AIG Facility - Preisrechner'!E$5&gt;='AIG Facility - Tarif'!$B7,'AIG Facility - Preisrechner'!E$5&lt;='AIG Facility - Tarif'!$B8,'AIG Facility - Preisrechner'!E$6&gt;='AIG Facility - Tarif'!$C7,'AIG Facility - Preisrechner'!E$6&lt;='AIG Facility - Tarif'!$D7),TRUE,FALSE)</f>
        <v>0</v>
      </c>
      <c r="K7" t="b">
        <f>IF(AND('AIG Facility - Preisrechner'!F$5&gt;='AIG Facility - Tarif'!$B7,'AIG Facility - Preisrechner'!F$5&lt;='AIG Facility - Tarif'!$B8,'AIG Facility - Preisrechner'!F$6&gt;='AIG Facility - Tarif'!$C7,'AIG Facility - Preisrechner'!F$6&lt;='AIG Facility - Tarif'!$D7),TRUE,FALSE)</f>
        <v>0</v>
      </c>
      <c r="L7" t="b">
        <f>IF(AND('AIG Facility - Preisrechner'!G$5&gt;='AIG Facility - Tarif'!$B7,'AIG Facility - Preisrechner'!G$5&lt;='AIG Facility - Tarif'!$B8,'AIG Facility - Preisrechner'!G$6&gt;='AIG Facility - Tarif'!$C7,'AIG Facility - Preisrechner'!G$6&lt;='AIG Facility - Tarif'!$D7),TRUE,FALSE)</f>
        <v>0</v>
      </c>
      <c r="M7" s="553">
        <v>1380.75</v>
      </c>
      <c r="N7" s="544">
        <v>1643.09</v>
      </c>
    </row>
    <row r="8" spans="2:14" ht="14.25" customHeight="1">
      <c r="B8" s="554">
        <v>1000000</v>
      </c>
      <c r="C8" s="555">
        <v>100000001</v>
      </c>
      <c r="D8" s="555">
        <v>150000000</v>
      </c>
      <c r="E8" s="556" t="s">
        <v>3691</v>
      </c>
      <c r="F8" s="556" t="s">
        <v>3695</v>
      </c>
      <c r="G8" s="557" t="b">
        <f>IF(AND('AIG Facility - Preisrechner'!B$5&gt;='AIG Facility - Tarif'!$B8,'AIG Facility - Preisrechner'!B$5&lt;='AIG Facility - Tarif'!$B9,'AIG Facility - Preisrechner'!B$6&gt;='AIG Facility - Tarif'!$C8,'AIG Facility - Preisrechner'!B$6&lt;='AIG Facility - Tarif'!$D8),TRUE,FALSE)</f>
        <v>0</v>
      </c>
      <c r="H8" s="557" t="b">
        <f>IF(AND('AIG Facility - Preisrechner'!C$5&gt;='AIG Facility - Tarif'!$B8,'AIG Facility - Preisrechner'!C$5&lt;='AIG Facility - Tarif'!$B9,'AIG Facility - Preisrechner'!C$6&gt;='AIG Facility - Tarif'!$C8,'AIG Facility - Preisrechner'!C$6&lt;='AIG Facility - Tarif'!$D8),TRUE,FALSE)</f>
        <v>0</v>
      </c>
      <c r="I8" s="557" t="b">
        <f>IF(AND('AIG Facility - Preisrechner'!D$5&gt;='AIG Facility - Tarif'!$B8,'AIG Facility - Preisrechner'!D$5&lt;='AIG Facility - Tarif'!$B9,'AIG Facility - Preisrechner'!D$6&gt;='AIG Facility - Tarif'!$C8,'AIG Facility - Preisrechner'!D$6&lt;='AIG Facility - Tarif'!$D8),TRUE,FALSE)</f>
        <v>0</v>
      </c>
      <c r="J8" s="557" t="b">
        <f>IF(AND('AIG Facility - Preisrechner'!E$5&gt;='AIG Facility - Tarif'!$B8,'AIG Facility - Preisrechner'!E$5&lt;='AIG Facility - Tarif'!$B9,'AIG Facility - Preisrechner'!E$6&gt;='AIG Facility - Tarif'!$C8,'AIG Facility - Preisrechner'!E$6&lt;='AIG Facility - Tarif'!$D8),TRUE,FALSE)</f>
        <v>0</v>
      </c>
      <c r="K8" s="557" t="b">
        <f>IF(AND('AIG Facility - Preisrechner'!F$5&gt;='AIG Facility - Tarif'!$B8,'AIG Facility - Preisrechner'!F$5&lt;='AIG Facility - Tarif'!$B9,'AIG Facility - Preisrechner'!F$6&gt;='AIG Facility - Tarif'!$C8,'AIG Facility - Preisrechner'!F$6&lt;='AIG Facility - Tarif'!$D8),TRUE,FALSE)</f>
        <v>0</v>
      </c>
      <c r="L8" s="557" t="b">
        <f>IF(AND('AIG Facility - Preisrechner'!G$5&gt;='AIG Facility - Tarif'!$B8,'AIG Facility - Preisrechner'!G$5&lt;='AIG Facility - Tarif'!$B9,'AIG Facility - Preisrechner'!G$6&gt;='AIG Facility - Tarif'!$C8,'AIG Facility - Preisrechner'!G$6&lt;='AIG Facility - Tarif'!$D8),TRUE,FALSE)</f>
        <v>0</v>
      </c>
      <c r="M8" s="558">
        <v>1942.5</v>
      </c>
      <c r="N8" s="544">
        <v>2311.58</v>
      </c>
    </row>
    <row r="9" spans="2:14" ht="14.25" customHeight="1">
      <c r="B9" s="545">
        <v>1500000</v>
      </c>
      <c r="C9" s="546">
        <v>0</v>
      </c>
      <c r="D9" s="546">
        <v>50000000</v>
      </c>
      <c r="E9" s="547" t="s">
        <v>3687</v>
      </c>
      <c r="F9" s="547" t="s">
        <v>3696</v>
      </c>
      <c r="G9" s="548" t="b">
        <f>IF(AND('AIG Facility - Preisrechner'!B$5&gt;='AIG Facility - Tarif'!$B9,'AIG Facility - Preisrechner'!B$5&lt;='AIG Facility - Tarif'!$B10,'AIG Facility - Preisrechner'!B$6&gt;='AIG Facility - Tarif'!$C9,'AIG Facility - Preisrechner'!B$6&lt;='AIG Facility - Tarif'!$D9),TRUE,FALSE)</f>
        <v>0</v>
      </c>
      <c r="H9" s="548" t="b">
        <f>IF(AND('AIG Facility - Preisrechner'!C$5&gt;='AIG Facility - Tarif'!$B9,'AIG Facility - Preisrechner'!C$5&lt;='AIG Facility - Tarif'!$B10,'AIG Facility - Preisrechner'!C$6&gt;='AIG Facility - Tarif'!$C9,'AIG Facility - Preisrechner'!C$6&lt;='AIG Facility - Tarif'!$D9),TRUE,FALSE)</f>
        <v>0</v>
      </c>
      <c r="I9" s="548" t="b">
        <f>IF(AND('AIG Facility - Preisrechner'!D$5&gt;='AIG Facility - Tarif'!$B9,'AIG Facility - Preisrechner'!D$5&lt;='AIG Facility - Tarif'!$B10,'AIG Facility - Preisrechner'!D$6&gt;='AIG Facility - Tarif'!$C9,'AIG Facility - Preisrechner'!D$6&lt;='AIG Facility - Tarif'!$D9),TRUE,FALSE)</f>
        <v>0</v>
      </c>
      <c r="J9" s="548" t="b">
        <f>IF(AND('AIG Facility - Preisrechner'!E$5&gt;='AIG Facility - Tarif'!$B9,'AIG Facility - Preisrechner'!E$5&lt;='AIG Facility - Tarif'!$B10,'AIG Facility - Preisrechner'!E$6&gt;='AIG Facility - Tarif'!$C9,'AIG Facility - Preisrechner'!E$6&lt;='AIG Facility - Tarif'!$D9),TRUE,FALSE)</f>
        <v>0</v>
      </c>
      <c r="K9" s="548" t="b">
        <f>IF(AND('AIG Facility - Preisrechner'!F$5&gt;='AIG Facility - Tarif'!$B9,'AIG Facility - Preisrechner'!F$5&lt;='AIG Facility - Tarif'!$B10,'AIG Facility - Preisrechner'!F$6&gt;='AIG Facility - Tarif'!$C9,'AIG Facility - Preisrechner'!F$6&lt;='AIG Facility - Tarif'!$D9),TRUE,FALSE)</f>
        <v>0</v>
      </c>
      <c r="L9" s="548" t="b">
        <f>IF(AND('AIG Facility - Preisrechner'!G$5&gt;='AIG Facility - Tarif'!$B9,'AIG Facility - Preisrechner'!G$5&lt;='AIG Facility - Tarif'!$B10,'AIG Facility - Preisrechner'!G$6&gt;='AIG Facility - Tarif'!$C9,'AIG Facility - Preisrechner'!G$6&lt;='AIG Facility - Tarif'!$D9),TRUE,FALSE)</f>
        <v>0</v>
      </c>
      <c r="M9" s="549">
        <v>1758.75</v>
      </c>
      <c r="N9" s="544">
        <v>2092.91</v>
      </c>
    </row>
    <row r="10" spans="2:14" ht="14.25" customHeight="1">
      <c r="B10" s="550">
        <v>1500000</v>
      </c>
      <c r="C10" s="551">
        <v>50000001</v>
      </c>
      <c r="D10" s="551">
        <v>100000000</v>
      </c>
      <c r="E10" s="552" t="s">
        <v>3689</v>
      </c>
      <c r="F10" s="552" t="s">
        <v>3697</v>
      </c>
      <c r="G10" t="b">
        <f>IF(AND('AIG Facility - Preisrechner'!B$5&gt;='AIG Facility - Tarif'!$B10,'AIG Facility - Preisrechner'!B$5&lt;='AIG Facility - Tarif'!$B11,'AIG Facility - Preisrechner'!B$6&gt;='AIG Facility - Tarif'!$C10,'AIG Facility - Preisrechner'!B$6&lt;='AIG Facility - Tarif'!$D10),TRUE,FALSE)</f>
        <v>0</v>
      </c>
      <c r="H10" t="b">
        <f>IF(AND('AIG Facility - Preisrechner'!C$5&gt;='AIG Facility - Tarif'!$B10,'AIG Facility - Preisrechner'!C$5&lt;='AIG Facility - Tarif'!$B11,'AIG Facility - Preisrechner'!C$6&gt;='AIG Facility - Tarif'!$C10,'AIG Facility - Preisrechner'!C$6&lt;='AIG Facility - Tarif'!$D10),TRUE,FALSE)</f>
        <v>0</v>
      </c>
      <c r="I10" t="b">
        <f>IF(AND('AIG Facility - Preisrechner'!D$5&gt;='AIG Facility - Tarif'!$B10,'AIG Facility - Preisrechner'!D$5&lt;='AIG Facility - Tarif'!$B11,'AIG Facility - Preisrechner'!D$6&gt;='AIG Facility - Tarif'!$C10,'AIG Facility - Preisrechner'!D$6&lt;='AIG Facility - Tarif'!$D10),TRUE,FALSE)</f>
        <v>0</v>
      </c>
      <c r="J10" t="b">
        <f>IF(AND('AIG Facility - Preisrechner'!E$5&gt;='AIG Facility - Tarif'!$B10,'AIG Facility - Preisrechner'!E$5&lt;='AIG Facility - Tarif'!$B11,'AIG Facility - Preisrechner'!E$6&gt;='AIG Facility - Tarif'!$C10,'AIG Facility - Preisrechner'!E$6&lt;='AIG Facility - Tarif'!$D10),TRUE,FALSE)</f>
        <v>0</v>
      </c>
      <c r="K10" t="b">
        <f>IF(AND('AIG Facility - Preisrechner'!F$5&gt;='AIG Facility - Tarif'!$B10,'AIG Facility - Preisrechner'!F$5&lt;='AIG Facility - Tarif'!$B11,'AIG Facility - Preisrechner'!F$6&gt;='AIG Facility - Tarif'!$C10,'AIG Facility - Preisrechner'!F$6&lt;='AIG Facility - Tarif'!$D10),TRUE,FALSE)</f>
        <v>0</v>
      </c>
      <c r="L10" t="b">
        <f>IF(AND('AIG Facility - Preisrechner'!G$5&gt;='AIG Facility - Tarif'!$B10,'AIG Facility - Preisrechner'!G$5&lt;='AIG Facility - Tarif'!$B11,'AIG Facility - Preisrechner'!G$6&gt;='AIG Facility - Tarif'!$C10,'AIG Facility - Preisrechner'!G$6&lt;='AIG Facility - Tarif'!$D10),TRUE,FALSE)</f>
        <v>0</v>
      </c>
      <c r="M10" s="553">
        <v>2073.75</v>
      </c>
      <c r="N10" s="544">
        <v>2467.7600000000002</v>
      </c>
    </row>
    <row r="11" spans="2:14" ht="14.25" customHeight="1">
      <c r="B11" s="554">
        <v>1500000</v>
      </c>
      <c r="C11" s="555">
        <v>100000001</v>
      </c>
      <c r="D11" s="555">
        <v>150000000</v>
      </c>
      <c r="E11" s="556" t="s">
        <v>3691</v>
      </c>
      <c r="F11" s="556" t="s">
        <v>3698</v>
      </c>
      <c r="G11" s="557" t="b">
        <f>IF(AND('AIG Facility - Preisrechner'!B$5&gt;='AIG Facility - Tarif'!$B11,'AIG Facility - Preisrechner'!B$5&lt;='AIG Facility - Tarif'!$B12,'AIG Facility - Preisrechner'!B$6&gt;='AIG Facility - Tarif'!$C11,'AIG Facility - Preisrechner'!B$6&lt;='AIG Facility - Tarif'!$D11),TRUE,FALSE)</f>
        <v>0</v>
      </c>
      <c r="H11" s="557" t="b">
        <f>IF(AND('AIG Facility - Preisrechner'!C$5&gt;='AIG Facility - Tarif'!$B11,'AIG Facility - Preisrechner'!C$5&lt;='AIG Facility - Tarif'!$B12,'AIG Facility - Preisrechner'!C$6&gt;='AIG Facility - Tarif'!$C11,'AIG Facility - Preisrechner'!C$6&lt;='AIG Facility - Tarif'!$D11),TRUE,FALSE)</f>
        <v>0</v>
      </c>
      <c r="I11" s="557" t="b">
        <f>IF(AND('AIG Facility - Preisrechner'!D$5&gt;='AIG Facility - Tarif'!$B11,'AIG Facility - Preisrechner'!D$5&lt;='AIG Facility - Tarif'!$B12,'AIG Facility - Preisrechner'!D$6&gt;='AIG Facility - Tarif'!$C11,'AIG Facility - Preisrechner'!D$6&lt;='AIG Facility - Tarif'!$D11),TRUE,FALSE)</f>
        <v>0</v>
      </c>
      <c r="J11" s="557" t="b">
        <f>IF(AND('AIG Facility - Preisrechner'!E$5&gt;='AIG Facility - Tarif'!$B11,'AIG Facility - Preisrechner'!E$5&lt;='AIG Facility - Tarif'!$B12,'AIG Facility - Preisrechner'!E$6&gt;='AIG Facility - Tarif'!$C11,'AIG Facility - Preisrechner'!E$6&lt;='AIG Facility - Tarif'!$D11),TRUE,FALSE)</f>
        <v>0</v>
      </c>
      <c r="K11" s="557" t="b">
        <f>IF(AND('AIG Facility - Preisrechner'!F$5&gt;='AIG Facility - Tarif'!$B11,'AIG Facility - Preisrechner'!F$5&lt;='AIG Facility - Tarif'!$B12,'AIG Facility - Preisrechner'!F$6&gt;='AIG Facility - Tarif'!$C11,'AIG Facility - Preisrechner'!F$6&lt;='AIG Facility - Tarif'!$D11),TRUE,FALSE)</f>
        <v>0</v>
      </c>
      <c r="L11" s="557" t="b">
        <f>IF(AND('AIG Facility - Preisrechner'!G$5&gt;='AIG Facility - Tarif'!$B11,'AIG Facility - Preisrechner'!G$5&lt;='AIG Facility - Tarif'!$B12,'AIG Facility - Preisrechner'!G$6&gt;='AIG Facility - Tarif'!$C11,'AIG Facility - Preisrechner'!G$6&lt;='AIG Facility - Tarif'!$D11),TRUE,FALSE)</f>
        <v>0</v>
      </c>
      <c r="M11" s="558">
        <v>2898</v>
      </c>
      <c r="N11" s="544">
        <v>3448.62</v>
      </c>
    </row>
    <row r="12" spans="2:14" ht="14.25" customHeight="1">
      <c r="B12" s="545">
        <v>2000000</v>
      </c>
      <c r="C12" s="546">
        <v>0</v>
      </c>
      <c r="D12" s="546">
        <v>50000000</v>
      </c>
      <c r="E12" s="547" t="s">
        <v>3687</v>
      </c>
      <c r="F12" s="547" t="s">
        <v>3699</v>
      </c>
      <c r="G12" s="548" t="b">
        <f>IF(AND('AIG Facility - Preisrechner'!B$5&gt;='AIG Facility - Tarif'!$B12,'AIG Facility - Preisrechner'!B$5&lt;='AIG Facility - Tarif'!$B13,'AIG Facility - Preisrechner'!B$6&gt;='AIG Facility - Tarif'!$C12,'AIG Facility - Preisrechner'!B$6&lt;='AIG Facility - Tarif'!$D12),TRUE,FALSE)</f>
        <v>0</v>
      </c>
      <c r="H12" s="548" t="b">
        <f>IF(AND('AIG Facility - Preisrechner'!C$5&gt;='AIG Facility - Tarif'!$B12,'AIG Facility - Preisrechner'!C$5&lt;='AIG Facility - Tarif'!$B13,'AIG Facility - Preisrechner'!C$6&gt;='AIG Facility - Tarif'!$C12,'AIG Facility - Preisrechner'!C$6&lt;='AIG Facility - Tarif'!$D12),TRUE,FALSE)</f>
        <v>0</v>
      </c>
      <c r="I12" s="548" t="b">
        <f>IF(AND('AIG Facility - Preisrechner'!D$5&gt;='AIG Facility - Tarif'!$B12,'AIG Facility - Preisrechner'!D$5&lt;='AIG Facility - Tarif'!$B13,'AIG Facility - Preisrechner'!D$6&gt;='AIG Facility - Tarif'!$C12,'AIG Facility - Preisrechner'!D$6&lt;='AIG Facility - Tarif'!$D12),TRUE,FALSE)</f>
        <v>0</v>
      </c>
      <c r="J12" s="548" t="b">
        <f>IF(AND('AIG Facility - Preisrechner'!E$5&gt;='AIG Facility - Tarif'!$B12,'AIG Facility - Preisrechner'!E$5&lt;='AIG Facility - Tarif'!$B13,'AIG Facility - Preisrechner'!E$6&gt;='AIG Facility - Tarif'!$C12,'AIG Facility - Preisrechner'!E$6&lt;='AIG Facility - Tarif'!$D12),TRUE,FALSE)</f>
        <v>0</v>
      </c>
      <c r="K12" s="548" t="b">
        <f>IF(AND('AIG Facility - Preisrechner'!F$5&gt;='AIG Facility - Tarif'!$B12,'AIG Facility - Preisrechner'!F$5&lt;='AIG Facility - Tarif'!$B13,'AIG Facility - Preisrechner'!F$6&gt;='AIG Facility - Tarif'!$C12,'AIG Facility - Preisrechner'!F$6&lt;='AIG Facility - Tarif'!$D12),TRUE,FALSE)</f>
        <v>0</v>
      </c>
      <c r="L12" s="548" t="b">
        <f>IF(AND('AIG Facility - Preisrechner'!G$5&gt;='AIG Facility - Tarif'!$B12,'AIG Facility - Preisrechner'!G$5&lt;='AIG Facility - Tarif'!$B13,'AIG Facility - Preisrechner'!G$6&gt;='AIG Facility - Tarif'!$C12,'AIG Facility - Preisrechner'!G$6&lt;='AIG Facility - Tarif'!$D12),TRUE,FALSE)</f>
        <v>0</v>
      </c>
      <c r="M12" s="549">
        <v>2268</v>
      </c>
      <c r="N12" s="544">
        <v>2698.92</v>
      </c>
    </row>
    <row r="13" spans="2:14" ht="14.25" customHeight="1">
      <c r="B13" s="550">
        <v>2000000</v>
      </c>
      <c r="C13" s="551">
        <v>50000001</v>
      </c>
      <c r="D13" s="551">
        <v>100000000</v>
      </c>
      <c r="E13" s="552" t="s">
        <v>3689</v>
      </c>
      <c r="F13" s="552" t="s">
        <v>3700</v>
      </c>
      <c r="G13" t="b">
        <f>IF(AND('AIG Facility - Preisrechner'!B$5&gt;='AIG Facility - Tarif'!$B13,'AIG Facility - Preisrechner'!B$5&lt;='AIG Facility - Tarif'!$B14,'AIG Facility - Preisrechner'!B$6&gt;='AIG Facility - Tarif'!$C13,'AIG Facility - Preisrechner'!B$6&lt;='AIG Facility - Tarif'!$D13),TRUE,FALSE)</f>
        <v>0</v>
      </c>
      <c r="H13" t="b">
        <f>IF(AND('AIG Facility - Preisrechner'!C$5&gt;='AIG Facility - Tarif'!$B13,'AIG Facility - Preisrechner'!C$5&lt;='AIG Facility - Tarif'!$B14,'AIG Facility - Preisrechner'!C$6&gt;='AIG Facility - Tarif'!$C13,'AIG Facility - Preisrechner'!C$6&lt;='AIG Facility - Tarif'!$D13),TRUE,FALSE)</f>
        <v>0</v>
      </c>
      <c r="I13" t="b">
        <f>IF(AND('AIG Facility - Preisrechner'!D$5&gt;='AIG Facility - Tarif'!$B13,'AIG Facility - Preisrechner'!D$5&lt;='AIG Facility - Tarif'!$B14,'AIG Facility - Preisrechner'!D$6&gt;='AIG Facility - Tarif'!$C13,'AIG Facility - Preisrechner'!D$6&lt;='AIG Facility - Tarif'!$D13),TRUE,FALSE)</f>
        <v>0</v>
      </c>
      <c r="J13" t="b">
        <f>IF(AND('AIG Facility - Preisrechner'!E$5&gt;='AIG Facility - Tarif'!$B13,'AIG Facility - Preisrechner'!E$5&lt;='AIG Facility - Tarif'!$B14,'AIG Facility - Preisrechner'!E$6&gt;='AIG Facility - Tarif'!$C13,'AIG Facility - Preisrechner'!E$6&lt;='AIG Facility - Tarif'!$D13),TRUE,FALSE)</f>
        <v>0</v>
      </c>
      <c r="K13" t="b">
        <f>IF(AND('AIG Facility - Preisrechner'!F$5&gt;='AIG Facility - Tarif'!$B13,'AIG Facility - Preisrechner'!F$5&lt;='AIG Facility - Tarif'!$B14,'AIG Facility - Preisrechner'!F$6&gt;='AIG Facility - Tarif'!$C13,'AIG Facility - Preisrechner'!F$6&lt;='AIG Facility - Tarif'!$D13),TRUE,FALSE)</f>
        <v>0</v>
      </c>
      <c r="L13" t="b">
        <f>IF(AND('AIG Facility - Preisrechner'!G$5&gt;='AIG Facility - Tarif'!$B13,'AIG Facility - Preisrechner'!G$5&lt;='AIG Facility - Tarif'!$B14,'AIG Facility - Preisrechner'!G$6&gt;='AIG Facility - Tarif'!$C13,'AIG Facility - Preisrechner'!G$6&lt;='AIG Facility - Tarif'!$D13),TRUE,FALSE)</f>
        <v>0</v>
      </c>
      <c r="M13" s="553">
        <v>2488</v>
      </c>
      <c r="N13" s="544">
        <v>2961.32</v>
      </c>
    </row>
    <row r="14" spans="2:14" ht="14.25" customHeight="1">
      <c r="B14" s="554">
        <v>2000000</v>
      </c>
      <c r="C14" s="555">
        <v>100000001</v>
      </c>
      <c r="D14" s="555">
        <v>150000000</v>
      </c>
      <c r="E14" s="556" t="s">
        <v>3691</v>
      </c>
      <c r="F14" s="556" t="s">
        <v>3701</v>
      </c>
      <c r="G14" s="557" t="b">
        <f>IF(AND('AIG Facility - Preisrechner'!B$5&gt;='AIG Facility - Tarif'!$B14,'AIG Facility - Preisrechner'!B$5&lt;='AIG Facility - Tarif'!$B15,'AIG Facility - Preisrechner'!B$6&gt;='AIG Facility - Tarif'!$C14,'AIG Facility - Preisrechner'!B$6&lt;='AIG Facility - Tarif'!$D14),TRUE,FALSE)</f>
        <v>0</v>
      </c>
      <c r="H14" s="557" t="b">
        <f>IF(AND('AIG Facility - Preisrechner'!C$5&gt;='AIG Facility - Tarif'!$B14,'AIG Facility - Preisrechner'!C$5&lt;='AIG Facility - Tarif'!$B15,'AIG Facility - Preisrechner'!C$6&gt;='AIG Facility - Tarif'!$C14,'AIG Facility - Preisrechner'!C$6&lt;='AIG Facility - Tarif'!$D14),TRUE,FALSE)</f>
        <v>0</v>
      </c>
      <c r="I14" s="557" t="b">
        <f>IF(AND('AIG Facility - Preisrechner'!D$5&gt;='AIG Facility - Tarif'!$B14,'AIG Facility - Preisrechner'!D$5&lt;='AIG Facility - Tarif'!$B15,'AIG Facility - Preisrechner'!D$6&gt;='AIG Facility - Tarif'!$C14,'AIG Facility - Preisrechner'!D$6&lt;='AIG Facility - Tarif'!$D14),TRUE,FALSE)</f>
        <v>0</v>
      </c>
      <c r="J14" s="557" t="b">
        <f>IF(AND('AIG Facility - Preisrechner'!E$5&gt;='AIG Facility - Tarif'!$B14,'AIG Facility - Preisrechner'!E$5&lt;='AIG Facility - Tarif'!$B15,'AIG Facility - Preisrechner'!E$6&gt;='AIG Facility - Tarif'!$C14,'AIG Facility - Preisrechner'!E$6&lt;='AIG Facility - Tarif'!$D14),TRUE,FALSE)</f>
        <v>0</v>
      </c>
      <c r="K14" s="557" t="b">
        <f>IF(AND('AIG Facility - Preisrechner'!F$5&gt;='AIG Facility - Tarif'!$B14,'AIG Facility - Preisrechner'!F$5&lt;='AIG Facility - Tarif'!$B15,'AIG Facility - Preisrechner'!F$6&gt;='AIG Facility - Tarif'!$C14,'AIG Facility - Preisrechner'!F$6&lt;='AIG Facility - Tarif'!$D14),TRUE,FALSE)</f>
        <v>0</v>
      </c>
      <c r="L14" s="557" t="b">
        <f>IF(AND('AIG Facility - Preisrechner'!G$5&gt;='AIG Facility - Tarif'!$B14,'AIG Facility - Preisrechner'!G$5&lt;='AIG Facility - Tarif'!$B15,'AIG Facility - Preisrechner'!G$6&gt;='AIG Facility - Tarif'!$C14,'AIG Facility - Preisrechner'!G$6&lt;='AIG Facility - Tarif'!$D14),TRUE,FALSE)</f>
        <v>0</v>
      </c>
      <c r="M14" s="558">
        <v>3318</v>
      </c>
      <c r="N14" s="544">
        <v>3948.42</v>
      </c>
    </row>
    <row r="15" spans="2:14" ht="14.25" customHeight="1">
      <c r="B15" s="545">
        <v>2500000</v>
      </c>
      <c r="C15" s="546">
        <v>0</v>
      </c>
      <c r="D15" s="546">
        <v>50000000</v>
      </c>
      <c r="E15" s="547" t="s">
        <v>3687</v>
      </c>
      <c r="F15" s="547" t="s">
        <v>3702</v>
      </c>
      <c r="G15" s="548" t="b">
        <f>IF(AND('AIG Facility - Preisrechner'!B$5&gt;='AIG Facility - Tarif'!$B15,'AIG Facility - Preisrechner'!B$5&lt;='AIG Facility - Tarif'!$B16,'AIG Facility - Preisrechner'!B$6&gt;='AIG Facility - Tarif'!$C15,'AIG Facility - Preisrechner'!B$6&lt;='AIG Facility - Tarif'!$D15),TRUE,FALSE)</f>
        <v>0</v>
      </c>
      <c r="H15" s="548" t="b">
        <f>IF(AND('AIG Facility - Preisrechner'!C$5&gt;='AIG Facility - Tarif'!$B15,'AIG Facility - Preisrechner'!C$5&lt;='AIG Facility - Tarif'!$B16,'AIG Facility - Preisrechner'!C$6&gt;='AIG Facility - Tarif'!$C15,'AIG Facility - Preisrechner'!C$6&lt;='AIG Facility - Tarif'!$D15),TRUE,FALSE)</f>
        <v>0</v>
      </c>
      <c r="I15" s="548" t="b">
        <f>IF(AND('AIG Facility - Preisrechner'!D$5&gt;='AIG Facility - Tarif'!$B15,'AIG Facility - Preisrechner'!D$5&lt;='AIG Facility - Tarif'!$B16,'AIG Facility - Preisrechner'!D$6&gt;='AIG Facility - Tarif'!$C15,'AIG Facility - Preisrechner'!D$6&lt;='AIG Facility - Tarif'!$D15),TRUE,FALSE)</f>
        <v>0</v>
      </c>
      <c r="J15" s="548" t="b">
        <f>IF(AND('AIG Facility - Preisrechner'!E$5&gt;='AIG Facility - Tarif'!$B15,'AIG Facility - Preisrechner'!E$5&lt;='AIG Facility - Tarif'!$B16,'AIG Facility - Preisrechner'!E$6&gt;='AIG Facility - Tarif'!$C15,'AIG Facility - Preisrechner'!E$6&lt;='AIG Facility - Tarif'!$D15),TRUE,FALSE)</f>
        <v>0</v>
      </c>
      <c r="K15" s="548" t="b">
        <f>IF(AND('AIG Facility - Preisrechner'!F$5&gt;='AIG Facility - Tarif'!$B15,'AIG Facility - Preisrechner'!F$5&lt;='AIG Facility - Tarif'!$B16,'AIG Facility - Preisrechner'!F$6&gt;='AIG Facility - Tarif'!$C15,'AIG Facility - Preisrechner'!F$6&lt;='AIG Facility - Tarif'!$D15),TRUE,FALSE)</f>
        <v>0</v>
      </c>
      <c r="L15" s="548" t="b">
        <f>IF(AND('AIG Facility - Preisrechner'!G$5&gt;='AIG Facility - Tarif'!$B15,'AIG Facility - Preisrechner'!G$5&lt;='AIG Facility - Tarif'!$B16,'AIG Facility - Preisrechner'!G$6&gt;='AIG Facility - Tarif'!$C15,'AIG Facility - Preisrechner'!G$6&lt;='AIG Facility - Tarif'!$D15),TRUE,FALSE)</f>
        <v>0</v>
      </c>
      <c r="M15" s="549">
        <v>2919</v>
      </c>
      <c r="N15" s="544">
        <v>3473.61</v>
      </c>
    </row>
    <row r="16" spans="2:14" ht="14.25" customHeight="1">
      <c r="B16" s="550">
        <v>2500000</v>
      </c>
      <c r="C16" s="551">
        <v>50000001</v>
      </c>
      <c r="D16" s="551">
        <v>100000000</v>
      </c>
      <c r="E16" s="552" t="s">
        <v>3689</v>
      </c>
      <c r="F16" s="552" t="s">
        <v>3703</v>
      </c>
      <c r="G16" t="b">
        <f>IF(AND('AIG Facility - Preisrechner'!B$5&gt;='AIG Facility - Tarif'!$B16,'AIG Facility - Preisrechner'!B$5&lt;='AIG Facility - Tarif'!$B17,'AIG Facility - Preisrechner'!B$6&gt;='AIG Facility - Tarif'!$C16,'AIG Facility - Preisrechner'!B$6&lt;='AIG Facility - Tarif'!$D16),TRUE,FALSE)</f>
        <v>0</v>
      </c>
      <c r="H16" t="b">
        <f>IF(AND('AIG Facility - Preisrechner'!C$5&gt;='AIG Facility - Tarif'!$B16,'AIG Facility - Preisrechner'!C$5&lt;='AIG Facility - Tarif'!$B17,'AIG Facility - Preisrechner'!C$6&gt;='AIG Facility - Tarif'!$C16,'AIG Facility - Preisrechner'!C$6&lt;='AIG Facility - Tarif'!$D16),TRUE,FALSE)</f>
        <v>0</v>
      </c>
      <c r="I16" t="b">
        <f>IF(AND('AIG Facility - Preisrechner'!D$5&gt;='AIG Facility - Tarif'!$B16,'AIG Facility - Preisrechner'!D$5&lt;='AIG Facility - Tarif'!$B17,'AIG Facility - Preisrechner'!D$6&gt;='AIG Facility - Tarif'!$C16,'AIG Facility - Preisrechner'!D$6&lt;='AIG Facility - Tarif'!$D16),TRUE,FALSE)</f>
        <v>0</v>
      </c>
      <c r="J16" t="b">
        <f>IF(AND('AIG Facility - Preisrechner'!E$5&gt;='AIG Facility - Tarif'!$B16,'AIG Facility - Preisrechner'!E$5&lt;='AIG Facility - Tarif'!$B17,'AIG Facility - Preisrechner'!E$6&gt;='AIG Facility - Tarif'!$C16,'AIG Facility - Preisrechner'!E$6&lt;='AIG Facility - Tarif'!$D16),TRUE,FALSE)</f>
        <v>0</v>
      </c>
      <c r="K16" t="b">
        <f>IF(AND('AIG Facility - Preisrechner'!F$5&gt;='AIG Facility - Tarif'!$B16,'AIG Facility - Preisrechner'!F$5&lt;='AIG Facility - Tarif'!$B17,'AIG Facility - Preisrechner'!F$6&gt;='AIG Facility - Tarif'!$C16,'AIG Facility - Preisrechner'!F$6&lt;='AIG Facility - Tarif'!$D16),TRUE,FALSE)</f>
        <v>0</v>
      </c>
      <c r="L16" t="b">
        <f>IF(AND('AIG Facility - Preisrechner'!G$5&gt;='AIG Facility - Tarif'!$B16,'AIG Facility - Preisrechner'!G$5&lt;='AIG Facility - Tarif'!$B17,'AIG Facility - Preisrechner'!G$6&gt;='AIG Facility - Tarif'!$C16,'AIG Facility - Preisrechner'!G$6&lt;='AIG Facility - Tarif'!$D16),TRUE,FALSE)</f>
        <v>0</v>
      </c>
      <c r="M16" s="553">
        <v>3454.5</v>
      </c>
      <c r="N16" s="544">
        <v>4110.8599999999997</v>
      </c>
    </row>
    <row r="17" spans="2:14" ht="14.25" customHeight="1">
      <c r="B17" s="554">
        <v>2500000</v>
      </c>
      <c r="C17" s="555">
        <v>100000001</v>
      </c>
      <c r="D17" s="555">
        <v>150000000</v>
      </c>
      <c r="E17" s="556" t="s">
        <v>3691</v>
      </c>
      <c r="F17" s="556" t="s">
        <v>3704</v>
      </c>
      <c r="G17" s="557" t="b">
        <f>IF(AND('AIG Facility - Preisrechner'!B$5&gt;='AIG Facility - Tarif'!$B17,'AIG Facility - Preisrechner'!B$5&lt;='AIG Facility - Tarif'!$B18,'AIG Facility - Preisrechner'!B$6&gt;='AIG Facility - Tarif'!$C17,'AIG Facility - Preisrechner'!B$6&lt;='AIG Facility - Tarif'!$D17),TRUE,FALSE)</f>
        <v>0</v>
      </c>
      <c r="H17" s="557" t="b">
        <f>IF(AND('AIG Facility - Preisrechner'!C$5&gt;='AIG Facility - Tarif'!$B17,'AIG Facility - Preisrechner'!C$5&lt;='AIG Facility - Tarif'!$B18,'AIG Facility - Preisrechner'!C$6&gt;='AIG Facility - Tarif'!$C17,'AIG Facility - Preisrechner'!C$6&lt;='AIG Facility - Tarif'!$D17),TRUE,FALSE)</f>
        <v>0</v>
      </c>
      <c r="I17" s="557" t="b">
        <f>IF(AND('AIG Facility - Preisrechner'!D$5&gt;='AIG Facility - Tarif'!$B17,'AIG Facility - Preisrechner'!D$5&lt;='AIG Facility - Tarif'!$B18,'AIG Facility - Preisrechner'!D$6&gt;='AIG Facility - Tarif'!$C17,'AIG Facility - Preisrechner'!D$6&lt;='AIG Facility - Tarif'!$D17),TRUE,FALSE)</f>
        <v>0</v>
      </c>
      <c r="J17" s="557" t="b">
        <f>IF(AND('AIG Facility - Preisrechner'!E$5&gt;='AIG Facility - Tarif'!$B17,'AIG Facility - Preisrechner'!E$5&lt;='AIG Facility - Tarif'!$B18,'AIG Facility - Preisrechner'!E$6&gt;='AIG Facility - Tarif'!$C17,'AIG Facility - Preisrechner'!E$6&lt;='AIG Facility - Tarif'!$D17),TRUE,FALSE)</f>
        <v>0</v>
      </c>
      <c r="K17" s="557" t="b">
        <f>IF(AND('AIG Facility - Preisrechner'!F$5&gt;='AIG Facility - Tarif'!$B17,'AIG Facility - Preisrechner'!F$5&lt;='AIG Facility - Tarif'!$B18,'AIG Facility - Preisrechner'!F$6&gt;='AIG Facility - Tarif'!$C17,'AIG Facility - Preisrechner'!F$6&lt;='AIG Facility - Tarif'!$D17),TRUE,FALSE)</f>
        <v>0</v>
      </c>
      <c r="L17" s="557" t="b">
        <f>IF(AND('AIG Facility - Preisrechner'!G$5&gt;='AIG Facility - Tarif'!$B17,'AIG Facility - Preisrechner'!G$5&lt;='AIG Facility - Tarif'!$B18,'AIG Facility - Preisrechner'!G$6&gt;='AIG Facility - Tarif'!$C17,'AIG Facility - Preisrechner'!G$6&lt;='AIG Facility - Tarif'!$D17),TRUE,FALSE)</f>
        <v>0</v>
      </c>
      <c r="M17" s="558">
        <v>3974.25</v>
      </c>
      <c r="N17" s="544">
        <v>4729.3599999999997</v>
      </c>
    </row>
    <row r="18" spans="2:14" ht="14.25" customHeight="1">
      <c r="B18" s="545">
        <v>3000000</v>
      </c>
      <c r="C18" s="546">
        <v>0</v>
      </c>
      <c r="D18" s="546">
        <v>50000000</v>
      </c>
      <c r="E18" s="547" t="s">
        <v>3687</v>
      </c>
      <c r="F18" s="547" t="s">
        <v>3705</v>
      </c>
      <c r="G18" s="548" t="b">
        <f>IF(AND('AIG Facility - Preisrechner'!B$5&gt;='AIG Facility - Tarif'!$B18,'AIG Facility - Preisrechner'!B$5&lt;='AIG Facility - Tarif'!$B19,'AIG Facility - Preisrechner'!B$6&gt;='AIG Facility - Tarif'!$C18,'AIG Facility - Preisrechner'!B$6&lt;='AIG Facility - Tarif'!$D18),TRUE,FALSE)</f>
        <v>0</v>
      </c>
      <c r="H18" s="548" t="b">
        <f>IF(AND('AIG Facility - Preisrechner'!C$5&gt;='AIG Facility - Tarif'!$B18,'AIG Facility - Preisrechner'!C$5&lt;='AIG Facility - Tarif'!$B19,'AIG Facility - Preisrechner'!C$6&gt;='AIG Facility - Tarif'!$C18,'AIG Facility - Preisrechner'!C$6&lt;='AIG Facility - Tarif'!$D18),TRUE,FALSE)</f>
        <v>0</v>
      </c>
      <c r="I18" s="548" t="b">
        <f>IF(AND('AIG Facility - Preisrechner'!D$5&gt;='AIG Facility - Tarif'!$B18,'AIG Facility - Preisrechner'!D$5&lt;='AIG Facility - Tarif'!$B19,'AIG Facility - Preisrechner'!D$6&gt;='AIG Facility - Tarif'!$C18,'AIG Facility - Preisrechner'!D$6&lt;='AIG Facility - Tarif'!$D18),TRUE,FALSE)</f>
        <v>0</v>
      </c>
      <c r="J18" s="548" t="b">
        <f>IF(AND('AIG Facility - Preisrechner'!E$5&gt;='AIG Facility - Tarif'!$B18,'AIG Facility - Preisrechner'!E$5&lt;='AIG Facility - Tarif'!$B19,'AIG Facility - Preisrechner'!E$6&gt;='AIG Facility - Tarif'!$C18,'AIG Facility - Preisrechner'!E$6&lt;='AIG Facility - Tarif'!$D18),TRUE,FALSE)</f>
        <v>0</v>
      </c>
      <c r="K18" s="548" t="b">
        <f>IF(AND('AIG Facility - Preisrechner'!F$5&gt;='AIG Facility - Tarif'!$B18,'AIG Facility - Preisrechner'!F$5&lt;='AIG Facility - Tarif'!$B19,'AIG Facility - Preisrechner'!F$6&gt;='AIG Facility - Tarif'!$C18,'AIG Facility - Preisrechner'!F$6&lt;='AIG Facility - Tarif'!$D18),TRUE,FALSE)</f>
        <v>0</v>
      </c>
      <c r="L18" s="548" t="b">
        <f>IF(AND('AIG Facility - Preisrechner'!G$5&gt;='AIG Facility - Tarif'!$B18,'AIG Facility - Preisrechner'!G$5&lt;='AIG Facility - Tarif'!$B19,'AIG Facility - Preisrechner'!G$6&gt;='AIG Facility - Tarif'!$C18,'AIG Facility - Preisrechner'!G$6&lt;='AIG Facility - Tarif'!$D18),TRUE,FALSE)</f>
        <v>0</v>
      </c>
      <c r="M18" s="549">
        <v>3333.75</v>
      </c>
      <c r="N18" s="544">
        <v>3967.16</v>
      </c>
    </row>
    <row r="19" spans="2:14" ht="14.25" customHeight="1">
      <c r="B19" s="550">
        <v>3000000</v>
      </c>
      <c r="C19" s="551">
        <v>50000001</v>
      </c>
      <c r="D19" s="551">
        <v>100000000</v>
      </c>
      <c r="E19" s="552" t="s">
        <v>3689</v>
      </c>
      <c r="F19" s="552" t="s">
        <v>3706</v>
      </c>
      <c r="G19" t="b">
        <f>IF(AND('AIG Facility - Preisrechner'!B$5&gt;='AIG Facility - Tarif'!$B19,'AIG Facility - Preisrechner'!B$5&lt;='AIG Facility - Tarif'!$B20,'AIG Facility - Preisrechner'!B$6&gt;='AIG Facility - Tarif'!$C19,'AIG Facility - Preisrechner'!B$6&lt;='AIG Facility - Tarif'!$D19),TRUE,FALSE)</f>
        <v>0</v>
      </c>
      <c r="H19" t="b">
        <f>IF(AND('AIG Facility - Preisrechner'!C$5&gt;='AIG Facility - Tarif'!$B19,'AIG Facility - Preisrechner'!C$5&lt;='AIG Facility - Tarif'!$B20,'AIG Facility - Preisrechner'!C$6&gt;='AIG Facility - Tarif'!$C19,'AIG Facility - Preisrechner'!C$6&lt;='AIG Facility - Tarif'!$D19),TRUE,FALSE)</f>
        <v>0</v>
      </c>
      <c r="I19" t="b">
        <f>IF(AND('AIG Facility - Preisrechner'!D$5&gt;='AIG Facility - Tarif'!$B19,'AIG Facility - Preisrechner'!D$5&lt;='AIG Facility - Tarif'!$B20,'AIG Facility - Preisrechner'!D$6&gt;='AIG Facility - Tarif'!$C19,'AIG Facility - Preisrechner'!D$6&lt;='AIG Facility - Tarif'!$D19),TRUE,FALSE)</f>
        <v>0</v>
      </c>
      <c r="J19" t="b">
        <f>IF(AND('AIG Facility - Preisrechner'!E$5&gt;='AIG Facility - Tarif'!$B19,'AIG Facility - Preisrechner'!E$5&lt;='AIG Facility - Tarif'!$B20,'AIG Facility - Preisrechner'!E$6&gt;='AIG Facility - Tarif'!$C19,'AIG Facility - Preisrechner'!E$6&lt;='AIG Facility - Tarif'!$D19),TRUE,FALSE)</f>
        <v>0</v>
      </c>
      <c r="K19" t="b">
        <f>IF(AND('AIG Facility - Preisrechner'!F$5&gt;='AIG Facility - Tarif'!$B19,'AIG Facility - Preisrechner'!F$5&lt;='AIG Facility - Tarif'!$B20,'AIG Facility - Preisrechner'!F$6&gt;='AIG Facility - Tarif'!$C19,'AIG Facility - Preisrechner'!F$6&lt;='AIG Facility - Tarif'!$D19),TRUE,FALSE)</f>
        <v>0</v>
      </c>
      <c r="L19" t="b">
        <f>IF(AND('AIG Facility - Preisrechner'!G$5&gt;='AIG Facility - Tarif'!$B19,'AIG Facility - Preisrechner'!G$5&lt;='AIG Facility - Tarif'!$B20,'AIG Facility - Preisrechner'!G$6&gt;='AIG Facility - Tarif'!$C19,'AIG Facility - Preisrechner'!G$6&lt;='AIG Facility - Tarif'!$D19),TRUE,FALSE)</f>
        <v>0</v>
      </c>
      <c r="M19" s="553">
        <v>3937.5</v>
      </c>
      <c r="N19" s="544">
        <v>4685.63</v>
      </c>
    </row>
    <row r="20" spans="2:14" ht="14.25" customHeight="1">
      <c r="B20" s="554">
        <v>3000000</v>
      </c>
      <c r="C20" s="555">
        <v>100000001</v>
      </c>
      <c r="D20" s="555">
        <v>150000000</v>
      </c>
      <c r="E20" s="556" t="s">
        <v>3691</v>
      </c>
      <c r="F20" s="556" t="s">
        <v>3707</v>
      </c>
      <c r="G20" s="557" t="b">
        <f>IF(AND('AIG Facility - Preisrechner'!B$5&gt;='AIG Facility - Tarif'!$B20,'AIG Facility - Preisrechner'!B$5&lt;='AIG Facility - Tarif'!$B21,'AIG Facility - Preisrechner'!B$6&gt;='AIG Facility - Tarif'!$C20,'AIG Facility - Preisrechner'!B$6&lt;='AIG Facility - Tarif'!$D20),TRUE,FALSE)</f>
        <v>0</v>
      </c>
      <c r="H20" s="557" t="b">
        <f>IF(AND('AIG Facility - Preisrechner'!C$5&gt;='AIG Facility - Tarif'!$B20,'AIG Facility - Preisrechner'!C$5&lt;='AIG Facility - Tarif'!$B21,'AIG Facility - Preisrechner'!C$6&gt;='AIG Facility - Tarif'!$C20,'AIG Facility - Preisrechner'!C$6&lt;='AIG Facility - Tarif'!$D20),TRUE,FALSE)</f>
        <v>0</v>
      </c>
      <c r="I20" s="557" t="b">
        <f>IF(AND('AIG Facility - Preisrechner'!D$5&gt;='AIG Facility - Tarif'!$B20,'AIG Facility - Preisrechner'!D$5&lt;='AIG Facility - Tarif'!$B21,'AIG Facility - Preisrechner'!D$6&gt;='AIG Facility - Tarif'!$C20,'AIG Facility - Preisrechner'!D$6&lt;='AIG Facility - Tarif'!$D20),TRUE,FALSE)</f>
        <v>0</v>
      </c>
      <c r="J20" s="557" t="b">
        <f>IF(AND('AIG Facility - Preisrechner'!E$5&gt;='AIG Facility - Tarif'!$B20,'AIG Facility - Preisrechner'!E$5&lt;='AIG Facility - Tarif'!$B21,'AIG Facility - Preisrechner'!E$6&gt;='AIG Facility - Tarif'!$C20,'AIG Facility - Preisrechner'!E$6&lt;='AIG Facility - Tarif'!$D20),TRUE,FALSE)</f>
        <v>0</v>
      </c>
      <c r="K20" s="557" t="b">
        <f>IF(AND('AIG Facility - Preisrechner'!F$5&gt;='AIG Facility - Tarif'!$B20,'AIG Facility - Preisrechner'!F$5&lt;='AIG Facility - Tarif'!$B21,'AIG Facility - Preisrechner'!F$6&gt;='AIG Facility - Tarif'!$C20,'AIG Facility - Preisrechner'!F$6&lt;='AIG Facility - Tarif'!$D20),TRUE,FALSE)</f>
        <v>0</v>
      </c>
      <c r="L20" s="557" t="b">
        <f>IF(AND('AIG Facility - Preisrechner'!G$5&gt;='AIG Facility - Tarif'!$B20,'AIG Facility - Preisrechner'!G$5&lt;='AIG Facility - Tarif'!$B21,'AIG Facility - Preisrechner'!G$6&gt;='AIG Facility - Tarif'!$C20,'AIG Facility - Preisrechner'!G$6&lt;='AIG Facility - Tarif'!$D20),TRUE,FALSE)</f>
        <v>0</v>
      </c>
      <c r="M20" s="558">
        <v>4147.5</v>
      </c>
      <c r="N20" s="544">
        <v>4935.53</v>
      </c>
    </row>
    <row r="21" spans="2:14" ht="14.25" customHeight="1">
      <c r="B21" s="545">
        <v>5000000</v>
      </c>
      <c r="C21" s="546">
        <v>0</v>
      </c>
      <c r="D21" s="546">
        <v>50000000</v>
      </c>
      <c r="E21" s="547" t="s">
        <v>3687</v>
      </c>
      <c r="F21" s="547" t="s">
        <v>3708</v>
      </c>
      <c r="G21" s="548" t="b">
        <f>IF(AND('AIG Facility - Preisrechner'!B$5&gt;='AIG Facility - Tarif'!$B21,'AIG Facility - Preisrechner'!B$5&lt;='AIG Facility - Tarif'!$B22,'AIG Facility - Preisrechner'!B$6&gt;='AIG Facility - Tarif'!$C21,'AIG Facility - Preisrechner'!B$6&lt;='AIG Facility - Tarif'!$D21),TRUE,FALSE)</f>
        <v>0</v>
      </c>
      <c r="H21" s="548" t="b">
        <f>IF(AND('AIG Facility - Preisrechner'!C$5&gt;='AIG Facility - Tarif'!$B21,'AIG Facility - Preisrechner'!C$5&lt;='AIG Facility - Tarif'!$B22,'AIG Facility - Preisrechner'!C$6&gt;='AIG Facility - Tarif'!$C21,'AIG Facility - Preisrechner'!C$6&lt;='AIG Facility - Tarif'!$D21),TRUE,FALSE)</f>
        <v>0</v>
      </c>
      <c r="I21" s="548" t="b">
        <f>IF(AND('AIG Facility - Preisrechner'!D$5&gt;='AIG Facility - Tarif'!$B21,'AIG Facility - Preisrechner'!D$5&lt;='AIG Facility - Tarif'!$B22,'AIG Facility - Preisrechner'!D$6&gt;='AIG Facility - Tarif'!$C21,'AIG Facility - Preisrechner'!D$6&lt;='AIG Facility - Tarif'!$D21),TRUE,FALSE)</f>
        <v>0</v>
      </c>
      <c r="J21" s="548" t="b">
        <f>IF(AND('AIG Facility - Preisrechner'!E$5&gt;='AIG Facility - Tarif'!$B21,'AIG Facility - Preisrechner'!E$5&lt;='AIG Facility - Tarif'!$B22,'AIG Facility - Preisrechner'!E$6&gt;='AIG Facility - Tarif'!$C21,'AIG Facility - Preisrechner'!E$6&lt;='AIG Facility - Tarif'!$D21),TRUE,FALSE)</f>
        <v>0</v>
      </c>
      <c r="K21" s="548" t="b">
        <f>IF(AND('AIG Facility - Preisrechner'!F$5&gt;='AIG Facility - Tarif'!$B21,'AIG Facility - Preisrechner'!F$5&lt;='AIG Facility - Tarif'!$B22,'AIG Facility - Preisrechner'!F$6&gt;='AIG Facility - Tarif'!$C21,'AIG Facility - Preisrechner'!F$6&lt;='AIG Facility - Tarif'!$D21),TRUE,FALSE)</f>
        <v>0</v>
      </c>
      <c r="L21" s="548" t="b">
        <f>IF(AND('AIG Facility - Preisrechner'!G$5&gt;='AIG Facility - Tarif'!$B21,'AIG Facility - Preisrechner'!G$5&lt;='AIG Facility - Tarif'!$B22,'AIG Facility - Preisrechner'!G$6&gt;='AIG Facility - Tarif'!$C21,'AIG Facility - Preisrechner'!G$6&lt;='AIG Facility - Tarif'!$D21),TRUE,FALSE)</f>
        <v>0</v>
      </c>
      <c r="M21" s="549">
        <v>5060</v>
      </c>
      <c r="N21" s="544">
        <v>6021.4</v>
      </c>
    </row>
    <row r="22" spans="2:14" ht="14.25" customHeight="1">
      <c r="B22" s="550">
        <v>5000000</v>
      </c>
      <c r="C22" s="551">
        <v>50000001</v>
      </c>
      <c r="D22" s="551">
        <v>100000000</v>
      </c>
      <c r="E22" s="552" t="s">
        <v>3689</v>
      </c>
      <c r="F22" s="552" t="s">
        <v>3709</v>
      </c>
      <c r="G22" t="b">
        <f>IF(AND('AIG Facility - Preisrechner'!B$5&gt;='AIG Facility - Tarif'!$B22,'AIG Facility - Preisrechner'!B$5&lt;='AIG Facility - Tarif'!$B23,'AIG Facility - Preisrechner'!B$6&gt;='AIG Facility - Tarif'!$C22,'AIG Facility - Preisrechner'!B$6&lt;='AIG Facility - Tarif'!$D22),TRUE,FALSE)</f>
        <v>0</v>
      </c>
      <c r="H22" t="b">
        <f>IF(AND('AIG Facility - Preisrechner'!C$5&gt;='AIG Facility - Tarif'!$B22,'AIG Facility - Preisrechner'!C$5&lt;='AIG Facility - Tarif'!$B23,'AIG Facility - Preisrechner'!C$6&gt;='AIG Facility - Tarif'!$C22,'AIG Facility - Preisrechner'!C$6&lt;='AIG Facility - Tarif'!$D22),TRUE,FALSE)</f>
        <v>0</v>
      </c>
      <c r="I22" t="b">
        <f>IF(AND('AIG Facility - Preisrechner'!D$5&gt;='AIG Facility - Tarif'!$B22,'AIG Facility - Preisrechner'!D$5&lt;='AIG Facility - Tarif'!$B23,'AIG Facility - Preisrechner'!D$6&gt;='AIG Facility - Tarif'!$C22,'AIG Facility - Preisrechner'!D$6&lt;='AIG Facility - Tarif'!$D22),TRUE,FALSE)</f>
        <v>0</v>
      </c>
      <c r="J22" t="b">
        <f>IF(AND('AIG Facility - Preisrechner'!E$5&gt;='AIG Facility - Tarif'!$B22,'AIG Facility - Preisrechner'!E$5&lt;='AIG Facility - Tarif'!$B23,'AIG Facility - Preisrechner'!E$6&gt;='AIG Facility - Tarif'!$C22,'AIG Facility - Preisrechner'!E$6&lt;='AIG Facility - Tarif'!$D22),TRUE,FALSE)</f>
        <v>0</v>
      </c>
      <c r="K22" t="b">
        <f>IF(AND('AIG Facility - Preisrechner'!F$5&gt;='AIG Facility - Tarif'!$B22,'AIG Facility - Preisrechner'!F$5&lt;='AIG Facility - Tarif'!$B23,'AIG Facility - Preisrechner'!F$6&gt;='AIG Facility - Tarif'!$C22,'AIG Facility - Preisrechner'!F$6&lt;='AIG Facility - Tarif'!$D22),TRUE,FALSE)</f>
        <v>0</v>
      </c>
      <c r="L22" t="b">
        <f>IF(AND('AIG Facility - Preisrechner'!G$5&gt;='AIG Facility - Tarif'!$B22,'AIG Facility - Preisrechner'!G$5&lt;='AIG Facility - Tarif'!$B23,'AIG Facility - Preisrechner'!G$6&gt;='AIG Facility - Tarif'!$C22,'AIG Facility - Preisrechner'!G$6&lt;='AIG Facility - Tarif'!$D22),TRUE,FALSE)</f>
        <v>0</v>
      </c>
      <c r="M22" s="553">
        <v>5980</v>
      </c>
      <c r="N22" s="544">
        <v>7116.2</v>
      </c>
    </row>
    <row r="23" spans="2:14" ht="14.25" customHeight="1">
      <c r="B23" s="554">
        <v>5000000</v>
      </c>
      <c r="C23" s="555">
        <v>100000001</v>
      </c>
      <c r="D23" s="555">
        <v>150000000</v>
      </c>
      <c r="E23" s="556" t="s">
        <v>3691</v>
      </c>
      <c r="F23" s="556" t="s">
        <v>3710</v>
      </c>
      <c r="G23" s="557" t="b">
        <f>IF(AND('AIG Facility - Preisrechner'!B$5&gt;='AIG Facility - Tarif'!$B23,'AIG Facility - Preisrechner'!B$5&lt;='AIG Facility - Tarif'!$B24,'AIG Facility - Preisrechner'!B$6&gt;='AIG Facility - Tarif'!$C23,'AIG Facility - Preisrechner'!B$6&lt;='AIG Facility - Tarif'!$D23),TRUE,FALSE)</f>
        <v>0</v>
      </c>
      <c r="H23" s="557" t="b">
        <f>IF(AND('AIG Facility - Preisrechner'!C$5&gt;='AIG Facility - Tarif'!$B23,'AIG Facility - Preisrechner'!C$5&lt;='AIG Facility - Tarif'!$B24,'AIG Facility - Preisrechner'!C$6&gt;='AIG Facility - Tarif'!$C23,'AIG Facility - Preisrechner'!C$6&lt;='AIG Facility - Tarif'!$D23),TRUE,FALSE)</f>
        <v>0</v>
      </c>
      <c r="I23" s="557" t="b">
        <f>IF(AND('AIG Facility - Preisrechner'!D$5&gt;='AIG Facility - Tarif'!$B23,'AIG Facility - Preisrechner'!D$5&lt;='AIG Facility - Tarif'!$B24,'AIG Facility - Preisrechner'!D$6&gt;='AIG Facility - Tarif'!$C23,'AIG Facility - Preisrechner'!D$6&lt;='AIG Facility - Tarif'!$D23),TRUE,FALSE)</f>
        <v>0</v>
      </c>
      <c r="J23" s="557" t="b">
        <f>IF(AND('AIG Facility - Preisrechner'!E$5&gt;='AIG Facility - Tarif'!$B23,'AIG Facility - Preisrechner'!E$5&lt;='AIG Facility - Tarif'!$B24,'AIG Facility - Preisrechner'!E$6&gt;='AIG Facility - Tarif'!$C23,'AIG Facility - Preisrechner'!E$6&lt;='AIG Facility - Tarif'!$D23),TRUE,FALSE)</f>
        <v>0</v>
      </c>
      <c r="K23" s="557" t="b">
        <f>IF(AND('AIG Facility - Preisrechner'!F$5&gt;='AIG Facility - Tarif'!$B23,'AIG Facility - Preisrechner'!F$5&lt;='AIG Facility - Tarif'!$B24,'AIG Facility - Preisrechner'!F$6&gt;='AIG Facility - Tarif'!$C23,'AIG Facility - Preisrechner'!F$6&lt;='AIG Facility - Tarif'!$D23),TRUE,FALSE)</f>
        <v>0</v>
      </c>
      <c r="L23" s="557" t="b">
        <f>IF(AND('AIG Facility - Preisrechner'!G$5&gt;='AIG Facility - Tarif'!$B23,'AIG Facility - Preisrechner'!G$5&lt;='AIG Facility - Tarif'!$B24,'AIG Facility - Preisrechner'!G$6&gt;='AIG Facility - Tarif'!$C23,'AIG Facility - Preisrechner'!G$6&lt;='AIG Facility - Tarif'!$D23),TRUE,FALSE)</f>
        <v>0</v>
      </c>
      <c r="M23" s="558">
        <v>6652.75</v>
      </c>
      <c r="N23" s="544">
        <v>7916.77</v>
      </c>
    </row>
    <row r="24" spans="2:14" ht="14.25" customHeight="1">
      <c r="B24" s="545">
        <v>7500000</v>
      </c>
      <c r="C24" s="546">
        <v>0</v>
      </c>
      <c r="D24" s="546">
        <v>50000000</v>
      </c>
      <c r="E24" s="547" t="s">
        <v>3687</v>
      </c>
      <c r="F24" s="547" t="s">
        <v>3711</v>
      </c>
      <c r="G24" s="548" t="b">
        <f>IF(AND('AIG Facility - Preisrechner'!B$5&gt;='AIG Facility - Tarif'!$B24,'AIG Facility - Preisrechner'!B$5&lt;='AIG Facility - Tarif'!$B25,'AIG Facility - Preisrechner'!B$6&gt;='AIG Facility - Tarif'!$C24,'AIG Facility - Preisrechner'!B$6&lt;='AIG Facility - Tarif'!$D24),TRUE,FALSE)</f>
        <v>0</v>
      </c>
      <c r="H24" s="548" t="b">
        <f>IF(AND('AIG Facility - Preisrechner'!C$5&gt;='AIG Facility - Tarif'!$B24,'AIG Facility - Preisrechner'!C$5&lt;='AIG Facility - Tarif'!$B25,'AIG Facility - Preisrechner'!C$6&gt;='AIG Facility - Tarif'!$C24,'AIG Facility - Preisrechner'!C$6&lt;='AIG Facility - Tarif'!$D24),TRUE,FALSE)</f>
        <v>0</v>
      </c>
      <c r="I24" s="548" t="b">
        <f>IF(AND('AIG Facility - Preisrechner'!D$5&gt;='AIG Facility - Tarif'!$B24,'AIG Facility - Preisrechner'!D$5&lt;='AIG Facility - Tarif'!$B25,'AIG Facility - Preisrechner'!D$6&gt;='AIG Facility - Tarif'!$C24,'AIG Facility - Preisrechner'!D$6&lt;='AIG Facility - Tarif'!$D24),TRUE,FALSE)</f>
        <v>0</v>
      </c>
      <c r="J24" s="548" t="b">
        <f>IF(AND('AIG Facility - Preisrechner'!E$5&gt;='AIG Facility - Tarif'!$B24,'AIG Facility - Preisrechner'!E$5&lt;='AIG Facility - Tarif'!$B25,'AIG Facility - Preisrechner'!E$6&gt;='AIG Facility - Tarif'!$C24,'AIG Facility - Preisrechner'!E$6&lt;='AIG Facility - Tarif'!$D24),TRUE,FALSE)</f>
        <v>0</v>
      </c>
      <c r="K24" s="548" t="b">
        <f>IF(AND('AIG Facility - Preisrechner'!F$5&gt;='AIG Facility - Tarif'!$B24,'AIG Facility - Preisrechner'!F$5&lt;='AIG Facility - Tarif'!$B25,'AIG Facility - Preisrechner'!F$6&gt;='AIG Facility - Tarif'!$C24,'AIG Facility - Preisrechner'!F$6&lt;='AIG Facility - Tarif'!$D24),TRUE,FALSE)</f>
        <v>0</v>
      </c>
      <c r="L24" s="548" t="b">
        <f>IF(AND('AIG Facility - Preisrechner'!G$5&gt;='AIG Facility - Tarif'!$B24,'AIG Facility - Preisrechner'!G$5&lt;='AIG Facility - Tarif'!$B25,'AIG Facility - Preisrechner'!G$6&gt;='AIG Facility - Tarif'!$C24,'AIG Facility - Preisrechner'!G$6&lt;='AIG Facility - Tarif'!$D24),TRUE,FALSE)</f>
        <v>0</v>
      </c>
      <c r="M24" s="549">
        <v>6831</v>
      </c>
      <c r="N24" s="544">
        <v>8128.89</v>
      </c>
    </row>
    <row r="25" spans="2:14" ht="14.25" customHeight="1">
      <c r="B25" s="550">
        <v>7500000</v>
      </c>
      <c r="C25" s="551">
        <v>50000001</v>
      </c>
      <c r="D25" s="551">
        <v>100000000</v>
      </c>
      <c r="E25" s="552" t="s">
        <v>3689</v>
      </c>
      <c r="F25" s="552" t="s">
        <v>3712</v>
      </c>
      <c r="G25" t="b">
        <f>IF(AND('AIG Facility - Preisrechner'!B$5&gt;='AIG Facility - Tarif'!$B25,'AIG Facility - Preisrechner'!B$5&lt;='AIG Facility - Tarif'!$B26,'AIG Facility - Preisrechner'!B$6&gt;='AIG Facility - Tarif'!$C25,'AIG Facility - Preisrechner'!B$6&lt;='AIG Facility - Tarif'!$D25),TRUE,FALSE)</f>
        <v>0</v>
      </c>
      <c r="H25" t="b">
        <f>IF(AND('AIG Facility - Preisrechner'!C$5&gt;='AIG Facility - Tarif'!$B25,'AIG Facility - Preisrechner'!C$5&lt;='AIG Facility - Tarif'!$B26,'AIG Facility - Preisrechner'!C$6&gt;='AIG Facility - Tarif'!$C25,'AIG Facility - Preisrechner'!C$6&lt;='AIG Facility - Tarif'!$D25),TRUE,FALSE)</f>
        <v>0</v>
      </c>
      <c r="I25" t="b">
        <f>IF(AND('AIG Facility - Preisrechner'!D$5&gt;='AIG Facility - Tarif'!$B25,'AIG Facility - Preisrechner'!D$5&lt;='AIG Facility - Tarif'!$B26,'AIG Facility - Preisrechner'!D$6&gt;='AIG Facility - Tarif'!$C25,'AIG Facility - Preisrechner'!D$6&lt;='AIG Facility - Tarif'!$D25),TRUE,FALSE)</f>
        <v>0</v>
      </c>
      <c r="J25" t="b">
        <f>IF(AND('AIG Facility - Preisrechner'!E$5&gt;='AIG Facility - Tarif'!$B25,'AIG Facility - Preisrechner'!E$5&lt;='AIG Facility - Tarif'!$B26,'AIG Facility - Preisrechner'!E$6&gt;='AIG Facility - Tarif'!$C25,'AIG Facility - Preisrechner'!E$6&lt;='AIG Facility - Tarif'!$D25),TRUE,FALSE)</f>
        <v>0</v>
      </c>
      <c r="K25" t="b">
        <f>IF(AND('AIG Facility - Preisrechner'!F$5&gt;='AIG Facility - Tarif'!$B25,'AIG Facility - Preisrechner'!F$5&lt;='AIG Facility - Tarif'!$B26,'AIG Facility - Preisrechner'!F$6&gt;='AIG Facility - Tarif'!$C25,'AIG Facility - Preisrechner'!F$6&lt;='AIG Facility - Tarif'!$D25),TRUE,FALSE)</f>
        <v>0</v>
      </c>
      <c r="L25" t="b">
        <f>IF(AND('AIG Facility - Preisrechner'!G$5&gt;='AIG Facility - Tarif'!$B25,'AIG Facility - Preisrechner'!G$5&lt;='AIG Facility - Tarif'!$B26,'AIG Facility - Preisrechner'!G$6&gt;='AIG Facility - Tarif'!$C25,'AIG Facility - Preisrechner'!G$6&lt;='AIG Facility - Tarif'!$D25),TRUE,FALSE)</f>
        <v>0</v>
      </c>
      <c r="M25" s="553">
        <v>7737.2</v>
      </c>
      <c r="N25" s="544">
        <v>9207.27</v>
      </c>
    </row>
    <row r="26" spans="2:14" ht="14.25" customHeight="1">
      <c r="B26" s="554">
        <v>7500000</v>
      </c>
      <c r="C26" s="555">
        <v>100000001</v>
      </c>
      <c r="D26" s="555">
        <v>150000000</v>
      </c>
      <c r="E26" s="556" t="s">
        <v>3691</v>
      </c>
      <c r="F26" s="556" t="s">
        <v>3713</v>
      </c>
      <c r="G26" s="557" t="b">
        <f>IF(AND('AIG Facility - Preisrechner'!B$5&gt;='AIG Facility - Tarif'!$B26,'AIG Facility - Preisrechner'!B$5&lt;='AIG Facility - Tarif'!$B27,'AIG Facility - Preisrechner'!B$6&gt;='AIG Facility - Tarif'!$C26,'AIG Facility - Preisrechner'!B$6&lt;='AIG Facility - Tarif'!$D26),TRUE,FALSE)</f>
        <v>0</v>
      </c>
      <c r="H26" s="557" t="b">
        <f>IF(AND('AIG Facility - Preisrechner'!C$5&gt;='AIG Facility - Tarif'!$B26,'AIG Facility - Preisrechner'!C$5&lt;='AIG Facility - Tarif'!$B27,'AIG Facility - Preisrechner'!C$6&gt;='AIG Facility - Tarif'!$C26,'AIG Facility - Preisrechner'!C$6&lt;='AIG Facility - Tarif'!$D26),TRUE,FALSE)</f>
        <v>0</v>
      </c>
      <c r="I26" s="557" t="b">
        <f>IF(AND('AIG Facility - Preisrechner'!D$5&gt;='AIG Facility - Tarif'!$B26,'AIG Facility - Preisrechner'!D$5&lt;='AIG Facility - Tarif'!$B27,'AIG Facility - Preisrechner'!D$6&gt;='AIG Facility - Tarif'!$C26,'AIG Facility - Preisrechner'!D$6&lt;='AIG Facility - Tarif'!$D26),TRUE,FALSE)</f>
        <v>0</v>
      </c>
      <c r="J26" s="557" t="b">
        <f>IF(AND('AIG Facility - Preisrechner'!E$5&gt;='AIG Facility - Tarif'!$B26,'AIG Facility - Preisrechner'!E$5&lt;='AIG Facility - Tarif'!$B27,'AIG Facility - Preisrechner'!E$6&gt;='AIG Facility - Tarif'!$C26,'AIG Facility - Preisrechner'!E$6&lt;='AIG Facility - Tarif'!$D26),TRUE,FALSE)</f>
        <v>0</v>
      </c>
      <c r="K26" s="557" t="b">
        <f>IF(AND('AIG Facility - Preisrechner'!F$5&gt;='AIG Facility - Tarif'!$B26,'AIG Facility - Preisrechner'!F$5&lt;='AIG Facility - Tarif'!$B27,'AIG Facility - Preisrechner'!F$6&gt;='AIG Facility - Tarif'!$C26,'AIG Facility - Preisrechner'!F$6&lt;='AIG Facility - Tarif'!$D26),TRUE,FALSE)</f>
        <v>0</v>
      </c>
      <c r="L26" s="557" t="b">
        <f>IF(AND('AIG Facility - Preisrechner'!G$5&gt;='AIG Facility - Tarif'!$B26,'AIG Facility - Preisrechner'!G$5&lt;='AIG Facility - Tarif'!$B27,'AIG Facility - Preisrechner'!G$6&gt;='AIG Facility - Tarif'!$C26,'AIG Facility - Preisrechner'!G$6&lt;='AIG Facility - Tarif'!$D26),TRUE,FALSE)</f>
        <v>0</v>
      </c>
      <c r="M26" s="558">
        <v>8858.4500000000007</v>
      </c>
      <c r="N26" s="544">
        <v>10541.56</v>
      </c>
    </row>
    <row r="27" spans="2:14" ht="14.25" customHeight="1">
      <c r="B27" s="545">
        <v>10000000</v>
      </c>
      <c r="C27" s="546">
        <v>0</v>
      </c>
      <c r="D27" s="546">
        <v>50000000</v>
      </c>
      <c r="E27" s="547" t="s">
        <v>3687</v>
      </c>
      <c r="F27" s="547" t="s">
        <v>3714</v>
      </c>
      <c r="G27" s="548" t="b">
        <f>IF(AND('AIG Facility - Preisrechner'!B$5&gt;='AIG Facility - Tarif'!$B27,'AIG Facility - Preisrechner'!B$5&lt;='AIG Facility - Tarif'!$B28,'AIG Facility - Preisrechner'!B$6&gt;='AIG Facility - Tarif'!$C27,'AIG Facility - Preisrechner'!B$6&lt;='AIG Facility - Tarif'!$D27),TRUE,FALSE)</f>
        <v>0</v>
      </c>
      <c r="H27" s="548" t="b">
        <f>IF(AND('AIG Facility - Preisrechner'!C$5&gt;='AIG Facility - Tarif'!$B27,'AIG Facility - Preisrechner'!C$5&lt;='AIG Facility - Tarif'!$B28,'AIG Facility - Preisrechner'!C$6&gt;='AIG Facility - Tarif'!$C27,'AIG Facility - Preisrechner'!C$6&lt;='AIG Facility - Tarif'!$D27),TRUE,FALSE)</f>
        <v>0</v>
      </c>
      <c r="I27" s="548" t="b">
        <f>IF(AND('AIG Facility - Preisrechner'!D$5&gt;='AIG Facility - Tarif'!$B27,'AIG Facility - Preisrechner'!D$5&lt;='AIG Facility - Tarif'!$B28,'AIG Facility - Preisrechner'!D$6&gt;='AIG Facility - Tarif'!$C27,'AIG Facility - Preisrechner'!D$6&lt;='AIG Facility - Tarif'!$D27),TRUE,FALSE)</f>
        <v>0</v>
      </c>
      <c r="J27" s="548" t="b">
        <f>IF(AND('AIG Facility - Preisrechner'!E$5&gt;='AIG Facility - Tarif'!$B27,'AIG Facility - Preisrechner'!E$5&lt;='AIG Facility - Tarif'!$B28,'AIG Facility - Preisrechner'!E$6&gt;='AIG Facility - Tarif'!$C27,'AIG Facility - Preisrechner'!E$6&lt;='AIG Facility - Tarif'!$D27),TRUE,FALSE)</f>
        <v>0</v>
      </c>
      <c r="K27" s="548" t="b">
        <f>IF(AND('AIG Facility - Preisrechner'!F$5&gt;='AIG Facility - Tarif'!$B27,'AIG Facility - Preisrechner'!F$5&lt;='AIG Facility - Tarif'!$B28,'AIG Facility - Preisrechner'!F$6&gt;='AIG Facility - Tarif'!$C27,'AIG Facility - Preisrechner'!F$6&lt;='AIG Facility - Tarif'!$D27),TRUE,FALSE)</f>
        <v>0</v>
      </c>
      <c r="L27" s="548" t="b">
        <f>IF(AND('AIG Facility - Preisrechner'!G$5&gt;='AIG Facility - Tarif'!$B27,'AIG Facility - Preisrechner'!G$5&lt;='AIG Facility - Tarif'!$B28,'AIG Facility - Preisrechner'!G$6&gt;='AIG Facility - Tarif'!$C27,'AIG Facility - Preisrechner'!G$6&lt;='AIG Facility - Tarif'!$D27),TRUE,FALSE)</f>
        <v>0</v>
      </c>
      <c r="M27" s="549">
        <v>9266.4</v>
      </c>
      <c r="N27" s="544">
        <v>11027.02</v>
      </c>
    </row>
    <row r="28" spans="2:14" ht="14.25" customHeight="1">
      <c r="B28" s="550">
        <v>10000000</v>
      </c>
      <c r="C28" s="551">
        <v>50000001</v>
      </c>
      <c r="D28" s="551">
        <v>100000000</v>
      </c>
      <c r="E28" s="552" t="s">
        <v>3689</v>
      </c>
      <c r="F28" s="552" t="s">
        <v>3715</v>
      </c>
      <c r="G28" t="b">
        <f>IF(AND('AIG Facility - Preisrechner'!B$5&gt;='AIG Facility - Tarif'!$B28,'AIG Facility - Preisrechner'!B$5&lt;='AIG Facility - Tarif'!$B29,'AIG Facility - Preisrechner'!B$6&gt;='AIG Facility - Tarif'!$C28,'AIG Facility - Preisrechner'!B$6&lt;='AIG Facility - Tarif'!$D28),TRUE,FALSE)</f>
        <v>0</v>
      </c>
      <c r="H28" t="b">
        <f>IF(AND('AIG Facility - Preisrechner'!C$5&gt;='AIG Facility - Tarif'!$B28,'AIG Facility - Preisrechner'!C$5&lt;='AIG Facility - Tarif'!$B29,'AIG Facility - Preisrechner'!C$6&gt;='AIG Facility - Tarif'!$C28,'AIG Facility - Preisrechner'!C$6&lt;='AIG Facility - Tarif'!$D28),TRUE,FALSE)</f>
        <v>0</v>
      </c>
      <c r="I28" t="b">
        <f>IF(AND('AIG Facility - Preisrechner'!D$5&gt;='AIG Facility - Tarif'!$B28,'AIG Facility - Preisrechner'!D$5&lt;='AIG Facility - Tarif'!$B29,'AIG Facility - Preisrechner'!D$6&gt;='AIG Facility - Tarif'!$C28,'AIG Facility - Preisrechner'!D$6&lt;='AIG Facility - Tarif'!$D28),TRUE,FALSE)</f>
        <v>0</v>
      </c>
      <c r="J28" t="b">
        <f>IF(AND('AIG Facility - Preisrechner'!E$5&gt;='AIG Facility - Tarif'!$B28,'AIG Facility - Preisrechner'!E$5&lt;='AIG Facility - Tarif'!$B29,'AIG Facility - Preisrechner'!E$6&gt;='AIG Facility - Tarif'!$C28,'AIG Facility - Preisrechner'!E$6&lt;='AIG Facility - Tarif'!$D28),TRUE,FALSE)</f>
        <v>0</v>
      </c>
      <c r="K28" t="b">
        <f>IF(AND('AIG Facility - Preisrechner'!F$5&gt;='AIG Facility - Tarif'!$B28,'AIG Facility - Preisrechner'!F$5&lt;='AIG Facility - Tarif'!$B29,'AIG Facility - Preisrechner'!F$6&gt;='AIG Facility - Tarif'!$C28,'AIG Facility - Preisrechner'!F$6&lt;='AIG Facility - Tarif'!$D28),TRUE,FALSE)</f>
        <v>0</v>
      </c>
      <c r="L28" t="b">
        <f>IF(AND('AIG Facility - Preisrechner'!G$5&gt;='AIG Facility - Tarif'!$B28,'AIG Facility - Preisrechner'!G$5&lt;='AIG Facility - Tarif'!$B29,'AIG Facility - Preisrechner'!G$6&gt;='AIG Facility - Tarif'!$C28,'AIG Facility - Preisrechner'!G$6&lt;='AIG Facility - Tarif'!$D28),TRUE,FALSE)</f>
        <v>0</v>
      </c>
      <c r="M28" s="553">
        <v>10647</v>
      </c>
      <c r="N28" s="544">
        <v>12669.93</v>
      </c>
    </row>
    <row r="29" spans="2:14" ht="14.25" customHeight="1">
      <c r="B29" s="554">
        <v>10000000</v>
      </c>
      <c r="C29" s="555">
        <v>100000001</v>
      </c>
      <c r="D29" s="555">
        <v>150000000</v>
      </c>
      <c r="E29" s="556" t="s">
        <v>3691</v>
      </c>
      <c r="F29" s="556" t="s">
        <v>3716</v>
      </c>
      <c r="G29" s="557" t="b">
        <f>IF(AND('AIG Facility - Preisrechner'!B$5&gt;='AIG Facility - Tarif'!$B29,'AIG Facility - Preisrechner'!B$5&lt;='AIG Facility - Tarif'!$B30,'AIG Facility - Preisrechner'!B$6&gt;='AIG Facility - Tarif'!$C29,'AIG Facility - Preisrechner'!B$6&lt;='AIG Facility - Tarif'!$D29),TRUE,FALSE)</f>
        <v>0</v>
      </c>
      <c r="H29" s="557" t="b">
        <f>IF(AND('AIG Facility - Preisrechner'!C$5&gt;='AIG Facility - Tarif'!$B29,'AIG Facility - Preisrechner'!C$5&lt;='AIG Facility - Tarif'!$B30,'AIG Facility - Preisrechner'!C$6&gt;='AIG Facility - Tarif'!$C29,'AIG Facility - Preisrechner'!C$6&lt;='AIG Facility - Tarif'!$D29),TRUE,FALSE)</f>
        <v>0</v>
      </c>
      <c r="I29" s="557" t="b">
        <f>IF(AND('AIG Facility - Preisrechner'!D$5&gt;='AIG Facility - Tarif'!$B29,'AIG Facility - Preisrechner'!D$5&lt;='AIG Facility - Tarif'!$B30,'AIG Facility - Preisrechner'!D$6&gt;='AIG Facility - Tarif'!$C29,'AIG Facility - Preisrechner'!D$6&lt;='AIG Facility - Tarif'!$D29),TRUE,FALSE)</f>
        <v>0</v>
      </c>
      <c r="J29" s="557" t="b">
        <f>IF(AND('AIG Facility - Preisrechner'!E$5&gt;='AIG Facility - Tarif'!$B29,'AIG Facility - Preisrechner'!E$5&lt;='AIG Facility - Tarif'!$B30,'AIG Facility - Preisrechner'!E$6&gt;='AIG Facility - Tarif'!$C29,'AIG Facility - Preisrechner'!E$6&lt;='AIG Facility - Tarif'!$D29),TRUE,FALSE)</f>
        <v>0</v>
      </c>
      <c r="K29" s="557" t="b">
        <f>IF(AND('AIG Facility - Preisrechner'!F$5&gt;='AIG Facility - Tarif'!$B29,'AIG Facility - Preisrechner'!F$5&lt;='AIG Facility - Tarif'!$B30,'AIG Facility - Preisrechner'!F$6&gt;='AIG Facility - Tarif'!$C29,'AIG Facility - Preisrechner'!F$6&lt;='AIG Facility - Tarif'!$D29),TRUE,FALSE)</f>
        <v>0</v>
      </c>
      <c r="L29" s="557" t="b">
        <f>IF(AND('AIG Facility - Preisrechner'!G$5&gt;='AIG Facility - Tarif'!$B29,'AIG Facility - Preisrechner'!G$5&lt;='AIG Facility - Tarif'!$B30,'AIG Facility - Preisrechner'!G$6&gt;='AIG Facility - Tarif'!$C29,'AIG Facility - Preisrechner'!G$6&lt;='AIG Facility - Tarif'!$D29),TRUE,FALSE)</f>
        <v>0</v>
      </c>
      <c r="M29" s="558">
        <v>11407.5</v>
      </c>
      <c r="N29" s="544">
        <v>13574.93</v>
      </c>
    </row>
    <row r="30" spans="2:14" ht="14.25" customHeight="1"/>
    <row r="31" spans="2:14" ht="14.25" customHeight="1">
      <c r="B31" s="168" t="s">
        <v>3646</v>
      </c>
      <c r="C31" s="472">
        <v>500000</v>
      </c>
    </row>
    <row r="32" spans="2:14" ht="14.25" customHeight="1">
      <c r="B32" s="168" t="s">
        <v>3647</v>
      </c>
      <c r="C32" s="472">
        <v>10000000</v>
      </c>
    </row>
    <row r="33" spans="2:3" ht="14.25" customHeight="1">
      <c r="B33" s="168" t="s">
        <v>3648</v>
      </c>
      <c r="C33" s="472">
        <v>150000000</v>
      </c>
    </row>
    <row r="34" spans="2:3" ht="14.25" customHeight="1"/>
    <row r="35" spans="2:3" ht="14.25" customHeight="1"/>
    <row r="36" spans="2:3" ht="14.25" customHeight="1"/>
    <row r="37" spans="2:3" ht="14.25" customHeight="1"/>
    <row r="38" spans="2:3" ht="14.25" customHeight="1"/>
    <row r="39" spans="2:3" ht="14.25" customHeight="1"/>
    <row r="40" spans="2:3" ht="14.25" customHeight="1"/>
    <row r="41" spans="2:3" ht="14.25" customHeight="1"/>
    <row r="42" spans="2:3" ht="14.25" customHeight="1"/>
    <row r="43" spans="2:3" ht="14.25" customHeight="1"/>
    <row r="44" spans="2:3" ht="14.25" customHeight="1"/>
    <row r="45" spans="2:3" ht="14.25" customHeight="1"/>
    <row r="46" spans="2:3" ht="14.25" customHeight="1"/>
    <row r="47" spans="2:3" ht="14.25" customHeight="1"/>
    <row r="48" spans="2:3"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1:M29"/>
  <conditionalFormatting sqref="G2:L29">
    <cfRule type="cellIs" dxfId="75" priority="1" operator="equal">
      <formula>"TRUE"</formula>
    </cfRule>
  </conditionalFormatting>
  <pageMargins left="0.7" right="0.7" top="0.78740157499999996" bottom="0.78740157499999996" header="0" footer="0"/>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B1:P998"/>
  <sheetViews>
    <sheetView zoomScale="115" zoomScaleNormal="115" workbookViewId="0">
      <selection activeCell="K23" sqref="K23"/>
    </sheetView>
  </sheetViews>
  <sheetFormatPr baseColWidth="10" defaultColWidth="14.33203125" defaultRowHeight="15" customHeight="1"/>
  <cols>
    <col min="1" max="1" width="2.33203125" customWidth="1"/>
    <col min="2" max="2" width="25.33203125" customWidth="1"/>
    <col min="3" max="3" width="27.6640625" customWidth="1"/>
    <col min="4" max="9" width="17.33203125" customWidth="1"/>
    <col min="10" max="10" width="12" customWidth="1"/>
    <col min="11" max="11" width="29.6640625" customWidth="1"/>
    <col min="12" max="12" width="26.6640625" customWidth="1"/>
    <col min="13" max="15" width="13" customWidth="1"/>
    <col min="16" max="16" width="12" customWidth="1"/>
    <col min="17" max="26" width="11.33203125" customWidth="1"/>
  </cols>
  <sheetData>
    <row r="1" spans="2:16" ht="36.75" customHeight="1">
      <c r="D1" s="1095" t="s">
        <v>3128</v>
      </c>
      <c r="E1" s="1032"/>
      <c r="F1" s="1032"/>
      <c r="G1" s="1032"/>
      <c r="H1" s="1032"/>
      <c r="I1" s="1032"/>
      <c r="J1" s="1032"/>
      <c r="K1" s="1032"/>
      <c r="L1" s="1032"/>
      <c r="M1" s="1032"/>
      <c r="N1" s="1032"/>
      <c r="O1" s="1032"/>
      <c r="P1" s="1037"/>
    </row>
    <row r="2" spans="2:16" ht="14.25" customHeight="1">
      <c r="B2" s="1096" t="s">
        <v>3672</v>
      </c>
      <c r="C2" s="1097"/>
      <c r="D2" s="559">
        <v>250000</v>
      </c>
      <c r="E2" s="559">
        <v>500000</v>
      </c>
      <c r="F2" s="559">
        <v>750000</v>
      </c>
      <c r="G2" s="559">
        <v>1000000</v>
      </c>
      <c r="H2" s="559">
        <v>1500000</v>
      </c>
      <c r="I2" s="559">
        <v>2000000</v>
      </c>
      <c r="J2" s="559">
        <v>2500000</v>
      </c>
      <c r="K2" s="559">
        <v>3000000</v>
      </c>
      <c r="L2" s="559">
        <v>3500000</v>
      </c>
      <c r="M2" s="559">
        <v>4000000</v>
      </c>
      <c r="N2" s="559">
        <v>5000000</v>
      </c>
      <c r="O2" s="559">
        <v>7500000</v>
      </c>
      <c r="P2" s="559"/>
    </row>
    <row r="3" spans="2:16" ht="14.25" customHeight="1">
      <c r="B3" s="502" t="s">
        <v>3655</v>
      </c>
      <c r="C3" s="502">
        <v>0</v>
      </c>
      <c r="D3" s="582">
        <v>700</v>
      </c>
      <c r="E3" s="582">
        <v>900</v>
      </c>
      <c r="F3" s="582">
        <v>1000</v>
      </c>
      <c r="G3" s="582">
        <v>1100</v>
      </c>
      <c r="H3" s="582">
        <v>1500</v>
      </c>
      <c r="I3" s="582">
        <v>1900</v>
      </c>
      <c r="J3" s="582">
        <v>2350</v>
      </c>
      <c r="K3" s="582">
        <v>2750</v>
      </c>
      <c r="L3" s="582">
        <v>3250</v>
      </c>
      <c r="M3" s="582">
        <v>3600</v>
      </c>
      <c r="N3" s="582">
        <v>4350</v>
      </c>
      <c r="O3" s="955">
        <v>6500</v>
      </c>
      <c r="P3" s="560"/>
    </row>
    <row r="4" spans="2:16" ht="14.25" customHeight="1">
      <c r="B4" s="502" t="s">
        <v>3656</v>
      </c>
      <c r="C4" s="502">
        <v>5000001</v>
      </c>
      <c r="D4" s="582">
        <v>730</v>
      </c>
      <c r="E4" s="582">
        <v>915</v>
      </c>
      <c r="F4" s="582">
        <v>1025</v>
      </c>
      <c r="G4" s="582">
        <v>1130</v>
      </c>
      <c r="H4" s="582">
        <v>1525</v>
      </c>
      <c r="I4" s="582">
        <v>1930</v>
      </c>
      <c r="J4" s="582">
        <v>2410</v>
      </c>
      <c r="K4" s="582">
        <v>2805</v>
      </c>
      <c r="L4" s="582">
        <v>3305</v>
      </c>
      <c r="M4" s="582">
        <v>3685</v>
      </c>
      <c r="N4" s="582">
        <v>4430</v>
      </c>
      <c r="O4" s="955">
        <v>6500</v>
      </c>
      <c r="P4" s="560"/>
    </row>
    <row r="5" spans="2:16" ht="14.25" customHeight="1">
      <c r="B5" s="502" t="s">
        <v>3657</v>
      </c>
      <c r="C5" s="502">
        <v>10000001</v>
      </c>
      <c r="D5" s="582">
        <v>760</v>
      </c>
      <c r="E5" s="582">
        <v>950</v>
      </c>
      <c r="F5" s="582">
        <v>1080</v>
      </c>
      <c r="G5" s="582">
        <v>1190</v>
      </c>
      <c r="H5" s="582">
        <v>1610</v>
      </c>
      <c r="I5" s="582">
        <v>2010</v>
      </c>
      <c r="J5" s="582">
        <v>2525</v>
      </c>
      <c r="K5" s="582">
        <v>2975</v>
      </c>
      <c r="L5" s="582">
        <v>3375</v>
      </c>
      <c r="M5" s="582">
        <v>3885</v>
      </c>
      <c r="N5" s="582">
        <v>4675</v>
      </c>
      <c r="O5" s="955">
        <v>6865</v>
      </c>
      <c r="P5" s="255"/>
    </row>
    <row r="6" spans="2:16" ht="14.25" customHeight="1">
      <c r="B6" s="502" t="s">
        <v>3658</v>
      </c>
      <c r="C6" s="502">
        <v>25000001</v>
      </c>
      <c r="D6" s="582">
        <v>850</v>
      </c>
      <c r="E6" s="582">
        <v>1060</v>
      </c>
      <c r="F6" s="582">
        <v>1205</v>
      </c>
      <c r="G6" s="582">
        <v>1335</v>
      </c>
      <c r="H6" s="582">
        <v>1800</v>
      </c>
      <c r="I6" s="582">
        <v>2280</v>
      </c>
      <c r="J6" s="582">
        <v>2810</v>
      </c>
      <c r="K6" s="582">
        <v>3310</v>
      </c>
      <c r="L6" s="582">
        <v>3800</v>
      </c>
      <c r="M6" s="582">
        <v>4400</v>
      </c>
      <c r="N6" s="582">
        <v>5250</v>
      </c>
      <c r="O6" s="955">
        <v>7715</v>
      </c>
      <c r="P6" s="255"/>
    </row>
    <row r="7" spans="2:16" ht="14.25" customHeight="1">
      <c r="B7" s="502" t="s">
        <v>3659</v>
      </c>
      <c r="C7" s="502">
        <v>50000001</v>
      </c>
      <c r="D7" s="582"/>
      <c r="E7" s="582">
        <v>1260</v>
      </c>
      <c r="F7" s="582">
        <v>1395</v>
      </c>
      <c r="G7" s="582">
        <v>1500</v>
      </c>
      <c r="H7" s="582">
        <v>2050</v>
      </c>
      <c r="I7" s="582">
        <v>2600</v>
      </c>
      <c r="J7" s="582">
        <v>3210</v>
      </c>
      <c r="K7" s="582">
        <v>3760</v>
      </c>
      <c r="L7" s="582">
        <v>4350</v>
      </c>
      <c r="M7" s="582">
        <v>5000</v>
      </c>
      <c r="N7" s="582">
        <v>5990</v>
      </c>
      <c r="O7" s="955">
        <v>8800</v>
      </c>
      <c r="P7" s="255"/>
    </row>
    <row r="8" spans="2:16" ht="14.25" customHeight="1">
      <c r="B8" s="502" t="s">
        <v>3660</v>
      </c>
      <c r="C8" s="502">
        <v>75000001</v>
      </c>
      <c r="D8" s="582"/>
      <c r="E8" s="582">
        <v>1430</v>
      </c>
      <c r="F8" s="582">
        <v>1500</v>
      </c>
      <c r="G8" s="582">
        <v>1585</v>
      </c>
      <c r="H8" s="582">
        <v>2160</v>
      </c>
      <c r="I8" s="582">
        <v>2765</v>
      </c>
      <c r="J8" s="582">
        <v>3410</v>
      </c>
      <c r="K8" s="582">
        <v>3985</v>
      </c>
      <c r="L8" s="582">
        <v>4600</v>
      </c>
      <c r="M8" s="582">
        <v>5230</v>
      </c>
      <c r="N8" s="582">
        <v>6320</v>
      </c>
      <c r="O8" s="955">
        <v>9285</v>
      </c>
      <c r="P8" s="255"/>
    </row>
    <row r="9" spans="2:16" ht="14.25" customHeight="1">
      <c r="B9" s="502" t="s">
        <v>3661</v>
      </c>
      <c r="C9" s="502">
        <v>100000001</v>
      </c>
      <c r="D9" s="582"/>
      <c r="E9" s="582">
        <v>1830</v>
      </c>
      <c r="F9" s="582">
        <v>1875</v>
      </c>
      <c r="G9" s="582">
        <v>1960</v>
      </c>
      <c r="H9" s="582">
        <v>2760</v>
      </c>
      <c r="I9" s="582">
        <v>3535</v>
      </c>
      <c r="J9" s="582">
        <v>4355</v>
      </c>
      <c r="K9" s="582">
        <v>5100</v>
      </c>
      <c r="L9" s="582">
        <v>5900</v>
      </c>
      <c r="M9" s="582">
        <v>6710</v>
      </c>
      <c r="N9" s="582">
        <v>8110</v>
      </c>
      <c r="O9" s="955">
        <v>11915</v>
      </c>
      <c r="P9" s="255"/>
    </row>
    <row r="10" spans="2:16" ht="14.25" customHeight="1">
      <c r="B10" s="502" t="s">
        <v>3822</v>
      </c>
      <c r="C10" s="502">
        <v>200000001</v>
      </c>
      <c r="D10" s="582"/>
      <c r="E10" s="582">
        <v>2150</v>
      </c>
      <c r="F10" s="582">
        <v>2275</v>
      </c>
      <c r="G10" s="582">
        <v>2375</v>
      </c>
      <c r="H10" s="582">
        <v>3530</v>
      </c>
      <c r="I10" s="582">
        <v>4280</v>
      </c>
      <c r="J10" s="582">
        <v>5275</v>
      </c>
      <c r="K10" s="582">
        <v>6190</v>
      </c>
      <c r="L10" s="582">
        <v>7175</v>
      </c>
      <c r="M10" s="582">
        <v>8150</v>
      </c>
      <c r="N10" s="582">
        <v>9870</v>
      </c>
      <c r="O10" s="955">
        <v>14495</v>
      </c>
      <c r="P10" s="255"/>
    </row>
    <row r="11" spans="2:16" ht="14.25" customHeight="1">
      <c r="B11" s="502"/>
      <c r="C11" s="502"/>
      <c r="D11" s="560"/>
      <c r="E11" s="560"/>
      <c r="F11" s="255"/>
      <c r="G11" s="255"/>
      <c r="H11" s="255"/>
      <c r="I11" s="255"/>
      <c r="J11" s="255"/>
      <c r="K11" s="255"/>
      <c r="L11" s="255"/>
      <c r="M11" s="255"/>
      <c r="N11" s="255"/>
      <c r="O11" s="255"/>
      <c r="P11" s="255"/>
    </row>
    <row r="12" spans="2:16" ht="14.25" customHeight="1">
      <c r="B12" s="502"/>
      <c r="C12" s="502"/>
      <c r="D12" s="560"/>
      <c r="E12" s="560"/>
      <c r="F12" s="255"/>
      <c r="G12" s="255"/>
      <c r="H12" s="255"/>
      <c r="I12" s="255"/>
      <c r="J12" s="255"/>
      <c r="K12" s="255"/>
      <c r="L12" s="255"/>
      <c r="M12" s="255"/>
      <c r="N12" s="255"/>
      <c r="O12" s="255"/>
      <c r="P12" s="255"/>
    </row>
    <row r="13" spans="2:16" ht="14.25" customHeight="1"/>
    <row r="14" spans="2:16" ht="14.25" customHeight="1">
      <c r="K14" s="168" t="s">
        <v>3646</v>
      </c>
      <c r="L14" s="472">
        <v>250000</v>
      </c>
    </row>
    <row r="15" spans="2:16" ht="14.25" customHeight="1">
      <c r="D15" s="1083" t="s">
        <v>2398</v>
      </c>
      <c r="E15" s="1085"/>
      <c r="F15" s="1085"/>
      <c r="G15" s="1083" t="s">
        <v>3111</v>
      </c>
      <c r="H15" s="1085"/>
      <c r="I15" s="1084"/>
      <c r="K15" s="168" t="s">
        <v>3647</v>
      </c>
      <c r="L15" s="472">
        <v>7500000</v>
      </c>
    </row>
    <row r="16" spans="2:16" ht="14.25" customHeight="1">
      <c r="D16" s="473" t="s">
        <v>3113</v>
      </c>
      <c r="E16" s="22" t="s">
        <v>3114</v>
      </c>
      <c r="F16" s="22" t="s">
        <v>3115</v>
      </c>
      <c r="G16" s="473" t="str">
        <f>'Preisrechner Alle Tarife'!B3</f>
        <v>DS 1</v>
      </c>
      <c r="H16" s="22" t="str">
        <f>'Preisrechner Alle Tarife'!C3</f>
        <v>DS 2</v>
      </c>
      <c r="I16" s="561" t="str">
        <f>'Preisrechner Alle Tarife'!D3</f>
        <v>DS 3</v>
      </c>
      <c r="K16" s="168" t="s">
        <v>3648</v>
      </c>
      <c r="L16" s="472">
        <v>300000000</v>
      </c>
    </row>
    <row r="17" spans="3:15" ht="14.25" customHeight="1">
      <c r="C17" s="476" t="s">
        <v>3117</v>
      </c>
      <c r="D17" s="477">
        <f>IF(Deckungssumme1GI&gt;L15,L15,Deckungssumme1GI)</f>
        <v>0</v>
      </c>
      <c r="E17" s="478">
        <f>IF(Deckungssumme2GI&gt;L15,L15,Deckungssumme2GI)</f>
        <v>0</v>
      </c>
      <c r="F17" s="478">
        <f>IF(Deckungssumme3GI&gt;L15,L15,Deckungssumme3GI)</f>
        <v>0</v>
      </c>
      <c r="G17" s="477">
        <f>IF(Deckungssumme1&gt;L15,L15,Deckungssumme1)</f>
        <v>0</v>
      </c>
      <c r="H17" s="478">
        <f>IF(Deckungssumme2&gt;L15,L15,Deckungssumme2)</f>
        <v>0</v>
      </c>
      <c r="I17" s="479">
        <f>IF(Deckungssumme3&gt;L15,L15,Deckungssumme3)</f>
        <v>0</v>
      </c>
    </row>
    <row r="18" spans="3:15" ht="14.25" customHeight="1">
      <c r="C18" s="480" t="s">
        <v>3119</v>
      </c>
      <c r="D18" s="477" t="str">
        <f>IF(Deckungssumme1GI=0,"",E39)</f>
        <v/>
      </c>
      <c r="E18" s="478" t="str">
        <f>IF(Deckungssumme2GI=0,"",G39)</f>
        <v/>
      </c>
      <c r="F18" s="478" t="str">
        <f>IF(Deckungssumme3GI=0,"",I39)</f>
        <v/>
      </c>
      <c r="G18" s="477" t="str">
        <f>IF(Deckungssumme1=0,"",K39)</f>
        <v/>
      </c>
      <c r="H18" s="478" t="str">
        <f>IF(Deckungssumme2=0,"",M39)</f>
        <v/>
      </c>
      <c r="I18" s="479" t="str">
        <f>IF(Deckungssumme3=0,"",O39)</f>
        <v/>
      </c>
    </row>
    <row r="19" spans="3:15" ht="14.25" customHeight="1">
      <c r="C19" s="480" t="s">
        <v>3649</v>
      </c>
      <c r="D19" s="477">
        <f>IF(MAX(AußenumsatzGI,VereinsvermögenGI,BilanzsummeGI)&gt;berkley_MaxUmsatz,"Umsatz zu groß!",MAX(AußenumsatzGI,VereinsvermögenGI,BilanzsummeGI))</f>
        <v>0</v>
      </c>
      <c r="E19" s="478">
        <f>IF(MAX(AußenumsatzGI,VereinsvermögenGI,BilanzsummeGI)&gt;berkley_MaxUmsatz,"Umsatz zu groß!",MAX(AußenumsatzGI,VereinsvermögenGI,BilanzsummeGI))</f>
        <v>0</v>
      </c>
      <c r="F19" s="478">
        <f>IF(MAX(AußenumsatzGI,VereinsvermögenGI,BilanzsummeGI)&gt;berkley_MaxUmsatz,"Umsatz zu groß!",MAX(AußenumsatzGI,VereinsvermögenGI,BilanzsummeGI))</f>
        <v>0</v>
      </c>
      <c r="G19" s="477">
        <f>IF(MAX(Außenumsatz,Vereinsvermögen,Bilanzsumme)&gt;berkley_MaxUmsatz,"Umsatz zu groß!",MAX(Außenumsatz,Vereinsvermögen,Bilanzsumme))</f>
        <v>0</v>
      </c>
      <c r="H19" s="478">
        <f>IF(MAX(Außenumsatz,Vereinsvermögen,Bilanzsumme)&gt;berkley_MaxUmsatz,"Umsatz zu groß!",MAX(Außenumsatz,Vereinsvermögen,Bilanzsumme))</f>
        <v>0</v>
      </c>
      <c r="I19" s="479">
        <f>IF(MAX(Außenumsatz,Vereinsvermögen,Bilanzsumme)&gt;berkley_MaxUmsatz,"Umsatz zu groß!",MAX(Außenumsatz,Vereinsvermögen,Bilanzsumme))</f>
        <v>0</v>
      </c>
    </row>
    <row r="20" spans="3:15" ht="14.25" customHeight="1">
      <c r="C20" s="480" t="s">
        <v>3650</v>
      </c>
      <c r="D20" s="477" t="e">
        <f>MATCH(D18,berkley_DeckungssummeCol,1)</f>
        <v>#N/A</v>
      </c>
      <c r="E20" s="478" t="e">
        <f>MATCH(E18,berkley_DeckungssummeCol,1)</f>
        <v>#N/A</v>
      </c>
      <c r="F20" s="478" t="e">
        <f>MATCH(F18,berkley_DeckungssummeCol,1)</f>
        <v>#N/A</v>
      </c>
      <c r="G20" s="477" t="e">
        <f t="shared" ref="G20:I20" si="0">MATCH(G18,berkley_DeckungssummeCol,1)</f>
        <v>#N/A</v>
      </c>
      <c r="H20" s="478" t="e">
        <f t="shared" si="0"/>
        <v>#N/A</v>
      </c>
      <c r="I20" s="479" t="e">
        <f t="shared" si="0"/>
        <v>#N/A</v>
      </c>
    </row>
    <row r="21" spans="3:15" ht="14.25" customHeight="1">
      <c r="C21" s="480" t="s">
        <v>3651</v>
      </c>
      <c r="D21" s="477">
        <f>MATCH(D19,berkley_UmsatzRow,1)</f>
        <v>1</v>
      </c>
      <c r="E21" s="478">
        <f t="shared" ref="E21:I21" si="1">MATCH(E19,berkley_UmsatzRow,1)</f>
        <v>1</v>
      </c>
      <c r="F21" s="478">
        <f t="shared" si="1"/>
        <v>1</v>
      </c>
      <c r="G21" s="477">
        <f t="shared" si="1"/>
        <v>1</v>
      </c>
      <c r="H21" s="478">
        <f t="shared" si="1"/>
        <v>1</v>
      </c>
      <c r="I21" s="479">
        <f t="shared" si="1"/>
        <v>1</v>
      </c>
    </row>
    <row r="22" spans="3:15" ht="14.25" customHeight="1">
      <c r="C22" s="481" t="s">
        <v>3118</v>
      </c>
      <c r="D22" s="482" t="str">
        <f>IFERROR(INDEX(berkley_TarifTable,D21,D20),"")</f>
        <v/>
      </c>
      <c r="E22" s="482" t="str">
        <f>IFERROR(INDEX(berkley_TarifTable,E21,E20),"")</f>
        <v/>
      </c>
      <c r="F22" s="482" t="str">
        <f>IFERROR(INDEX(berkley_TarifTable,F21,F20),"")</f>
        <v/>
      </c>
      <c r="G22" s="482" t="str">
        <f t="shared" ref="G22:I22" si="2">IFERROR(INDEX(berkley_TarifTable,G21,G20),"")</f>
        <v/>
      </c>
      <c r="H22" s="482" t="str">
        <f t="shared" si="2"/>
        <v/>
      </c>
      <c r="I22" s="482" t="str">
        <f t="shared" si="2"/>
        <v/>
      </c>
    </row>
    <row r="23" spans="3:15" ht="14.25" customHeight="1"/>
    <row r="24" spans="3:15" ht="14.25" customHeight="1"/>
    <row r="25" spans="3:15" ht="14.25" customHeight="1">
      <c r="C25" s="485" t="s">
        <v>3717</v>
      </c>
      <c r="D25" s="1083" t="s">
        <v>3113</v>
      </c>
      <c r="E25" s="1084"/>
      <c r="F25" s="1083" t="s">
        <v>3114</v>
      </c>
      <c r="G25" s="1085"/>
      <c r="H25" s="1083" t="s">
        <v>3115</v>
      </c>
      <c r="I25" s="1084"/>
      <c r="J25" s="1083" t="s">
        <v>3113</v>
      </c>
      <c r="K25" s="1084"/>
      <c r="L25" s="1083" t="s">
        <v>3114</v>
      </c>
      <c r="M25" s="1084"/>
      <c r="N25" s="514" t="s">
        <v>3115</v>
      </c>
      <c r="O25" s="515"/>
    </row>
    <row r="26" spans="3:15" ht="14.25" customHeight="1">
      <c r="C26" s="486">
        <v>250000</v>
      </c>
      <c r="D26" s="487">
        <f t="shared" ref="D26:D37" si="3">$D$17</f>
        <v>0</v>
      </c>
      <c r="E26" s="488">
        <f t="shared" ref="E26:E36" si="4">IF(D26&lt;=C26,C26,"")</f>
        <v>250000</v>
      </c>
      <c r="F26" s="487">
        <f t="shared" ref="F26:F37" si="5">$E$17</f>
        <v>0</v>
      </c>
      <c r="G26" s="488">
        <f t="shared" ref="G26:G36" si="6">IF(F26&lt;=C26,C26,"")</f>
        <v>250000</v>
      </c>
      <c r="H26" s="487">
        <f t="shared" ref="H26:H37" si="7">$F$17</f>
        <v>0</v>
      </c>
      <c r="I26" s="488">
        <f t="shared" ref="I26:I36" si="8">IF(H26&lt;=C26,C26,"")</f>
        <v>250000</v>
      </c>
      <c r="J26" s="487">
        <f t="shared" ref="J26:J37" si="9">$G$17</f>
        <v>0</v>
      </c>
      <c r="K26" s="488">
        <f t="shared" ref="K26:K36" si="10">IF(J26&lt;=C26,C26,"")</f>
        <v>250000</v>
      </c>
      <c r="L26" s="487">
        <f t="shared" ref="L26:L37" si="11">$H$17</f>
        <v>0</v>
      </c>
      <c r="M26" s="488">
        <f t="shared" ref="M26:M36" si="12">IF(L26&lt;=C26,C26,"")</f>
        <v>250000</v>
      </c>
      <c r="N26" s="487">
        <f t="shared" ref="N26:N37" si="13">$I$17</f>
        <v>0</v>
      </c>
      <c r="O26" s="488">
        <f t="shared" ref="O26:O36" si="14">IF(N26&lt;=C26,C26,"")</f>
        <v>250000</v>
      </c>
    </row>
    <row r="27" spans="3:15" ht="14.25" customHeight="1">
      <c r="C27" s="486">
        <v>500000</v>
      </c>
      <c r="D27" s="487">
        <f t="shared" si="3"/>
        <v>0</v>
      </c>
      <c r="E27" s="488">
        <f t="shared" si="4"/>
        <v>500000</v>
      </c>
      <c r="F27" s="487">
        <f t="shared" si="5"/>
        <v>0</v>
      </c>
      <c r="G27" s="488">
        <f t="shared" si="6"/>
        <v>500000</v>
      </c>
      <c r="H27" s="487">
        <f t="shared" si="7"/>
        <v>0</v>
      </c>
      <c r="I27" s="488">
        <f t="shared" si="8"/>
        <v>500000</v>
      </c>
      <c r="J27" s="487">
        <f t="shared" si="9"/>
        <v>0</v>
      </c>
      <c r="K27" s="488">
        <f t="shared" si="10"/>
        <v>500000</v>
      </c>
      <c r="L27" s="487">
        <f t="shared" si="11"/>
        <v>0</v>
      </c>
      <c r="M27" s="488">
        <f t="shared" si="12"/>
        <v>500000</v>
      </c>
      <c r="N27" s="487">
        <f t="shared" si="13"/>
        <v>0</v>
      </c>
      <c r="O27" s="488">
        <f t="shared" si="14"/>
        <v>500000</v>
      </c>
    </row>
    <row r="28" spans="3:15" ht="14.25" customHeight="1">
      <c r="C28" s="486">
        <v>750000</v>
      </c>
      <c r="D28" s="487">
        <f t="shared" si="3"/>
        <v>0</v>
      </c>
      <c r="E28" s="488">
        <f t="shared" si="4"/>
        <v>750000</v>
      </c>
      <c r="F28" s="487">
        <f t="shared" si="5"/>
        <v>0</v>
      </c>
      <c r="G28" s="488">
        <f t="shared" si="6"/>
        <v>750000</v>
      </c>
      <c r="H28" s="487">
        <f t="shared" si="7"/>
        <v>0</v>
      </c>
      <c r="I28" s="488">
        <f t="shared" si="8"/>
        <v>750000</v>
      </c>
      <c r="J28" s="487">
        <f t="shared" si="9"/>
        <v>0</v>
      </c>
      <c r="K28" s="488">
        <f t="shared" si="10"/>
        <v>750000</v>
      </c>
      <c r="L28" s="487">
        <f t="shared" si="11"/>
        <v>0</v>
      </c>
      <c r="M28" s="488">
        <f t="shared" si="12"/>
        <v>750000</v>
      </c>
      <c r="N28" s="487">
        <f t="shared" si="13"/>
        <v>0</v>
      </c>
      <c r="O28" s="488">
        <f t="shared" si="14"/>
        <v>750000</v>
      </c>
    </row>
    <row r="29" spans="3:15" ht="14.25" customHeight="1">
      <c r="C29" s="486">
        <v>1000000</v>
      </c>
      <c r="D29" s="487">
        <f t="shared" si="3"/>
        <v>0</v>
      </c>
      <c r="E29" s="488">
        <f t="shared" si="4"/>
        <v>1000000</v>
      </c>
      <c r="F29" s="487">
        <f t="shared" si="5"/>
        <v>0</v>
      </c>
      <c r="G29" s="488">
        <f t="shared" si="6"/>
        <v>1000000</v>
      </c>
      <c r="H29" s="487">
        <f t="shared" si="7"/>
        <v>0</v>
      </c>
      <c r="I29" s="488">
        <f t="shared" si="8"/>
        <v>1000000</v>
      </c>
      <c r="J29" s="487">
        <f t="shared" si="9"/>
        <v>0</v>
      </c>
      <c r="K29" s="488">
        <f t="shared" si="10"/>
        <v>1000000</v>
      </c>
      <c r="L29" s="487">
        <f t="shared" si="11"/>
        <v>0</v>
      </c>
      <c r="M29" s="488">
        <f t="shared" si="12"/>
        <v>1000000</v>
      </c>
      <c r="N29" s="487">
        <f t="shared" si="13"/>
        <v>0</v>
      </c>
      <c r="O29" s="488">
        <f t="shared" si="14"/>
        <v>1000000</v>
      </c>
    </row>
    <row r="30" spans="3:15" ht="14.25" customHeight="1">
      <c r="C30" s="486">
        <f>C29+500000</f>
        <v>1500000</v>
      </c>
      <c r="D30" s="487">
        <f t="shared" si="3"/>
        <v>0</v>
      </c>
      <c r="E30" s="488">
        <f t="shared" si="4"/>
        <v>1500000</v>
      </c>
      <c r="F30" s="487">
        <f t="shared" si="5"/>
        <v>0</v>
      </c>
      <c r="G30" s="488">
        <f t="shared" si="6"/>
        <v>1500000</v>
      </c>
      <c r="H30" s="487">
        <f t="shared" si="7"/>
        <v>0</v>
      </c>
      <c r="I30" s="488">
        <f t="shared" si="8"/>
        <v>1500000</v>
      </c>
      <c r="J30" s="487">
        <f t="shared" si="9"/>
        <v>0</v>
      </c>
      <c r="K30" s="488">
        <f t="shared" si="10"/>
        <v>1500000</v>
      </c>
      <c r="L30" s="487">
        <f t="shared" si="11"/>
        <v>0</v>
      </c>
      <c r="M30" s="488">
        <f t="shared" si="12"/>
        <v>1500000</v>
      </c>
      <c r="N30" s="487">
        <f t="shared" si="13"/>
        <v>0</v>
      </c>
      <c r="O30" s="488">
        <f t="shared" si="14"/>
        <v>1500000</v>
      </c>
    </row>
    <row r="31" spans="3:15" ht="14.25" customHeight="1">
      <c r="C31" s="486">
        <f>C30+500000</f>
        <v>2000000</v>
      </c>
      <c r="D31" s="487">
        <f t="shared" si="3"/>
        <v>0</v>
      </c>
      <c r="E31" s="488">
        <f t="shared" si="4"/>
        <v>2000000</v>
      </c>
      <c r="F31" s="487">
        <f t="shared" si="5"/>
        <v>0</v>
      </c>
      <c r="G31" s="488">
        <f t="shared" si="6"/>
        <v>2000000</v>
      </c>
      <c r="H31" s="487">
        <f t="shared" si="7"/>
        <v>0</v>
      </c>
      <c r="I31" s="488">
        <f t="shared" si="8"/>
        <v>2000000</v>
      </c>
      <c r="J31" s="487">
        <f t="shared" si="9"/>
        <v>0</v>
      </c>
      <c r="K31" s="488">
        <f t="shared" si="10"/>
        <v>2000000</v>
      </c>
      <c r="L31" s="487">
        <f t="shared" si="11"/>
        <v>0</v>
      </c>
      <c r="M31" s="488">
        <f t="shared" si="12"/>
        <v>2000000</v>
      </c>
      <c r="N31" s="487">
        <f t="shared" si="13"/>
        <v>0</v>
      </c>
      <c r="O31" s="488">
        <f t="shared" si="14"/>
        <v>2000000</v>
      </c>
    </row>
    <row r="32" spans="3:15" ht="14.25" customHeight="1">
      <c r="C32" s="486">
        <f>C31+500000</f>
        <v>2500000</v>
      </c>
      <c r="D32" s="487">
        <f t="shared" si="3"/>
        <v>0</v>
      </c>
      <c r="E32" s="488">
        <f t="shared" si="4"/>
        <v>2500000</v>
      </c>
      <c r="F32" s="487">
        <f t="shared" si="5"/>
        <v>0</v>
      </c>
      <c r="G32" s="488">
        <f t="shared" si="6"/>
        <v>2500000</v>
      </c>
      <c r="H32" s="487">
        <f t="shared" si="7"/>
        <v>0</v>
      </c>
      <c r="I32" s="488">
        <f t="shared" si="8"/>
        <v>2500000</v>
      </c>
      <c r="J32" s="487">
        <f t="shared" si="9"/>
        <v>0</v>
      </c>
      <c r="K32" s="488">
        <f t="shared" si="10"/>
        <v>2500000</v>
      </c>
      <c r="L32" s="487">
        <f t="shared" si="11"/>
        <v>0</v>
      </c>
      <c r="M32" s="488">
        <f t="shared" si="12"/>
        <v>2500000</v>
      </c>
      <c r="N32" s="487">
        <f t="shared" si="13"/>
        <v>0</v>
      </c>
      <c r="O32" s="488">
        <f t="shared" si="14"/>
        <v>2500000</v>
      </c>
    </row>
    <row r="33" spans="3:15" ht="14.25" customHeight="1">
      <c r="C33" s="486">
        <f>C32+500000</f>
        <v>3000000</v>
      </c>
      <c r="D33" s="487">
        <f t="shared" si="3"/>
        <v>0</v>
      </c>
      <c r="E33" s="488">
        <f t="shared" si="4"/>
        <v>3000000</v>
      </c>
      <c r="F33" s="487">
        <f t="shared" si="5"/>
        <v>0</v>
      </c>
      <c r="G33" s="488">
        <f t="shared" si="6"/>
        <v>3000000</v>
      </c>
      <c r="H33" s="487">
        <f t="shared" si="7"/>
        <v>0</v>
      </c>
      <c r="I33" s="488">
        <f t="shared" si="8"/>
        <v>3000000</v>
      </c>
      <c r="J33" s="487">
        <f t="shared" si="9"/>
        <v>0</v>
      </c>
      <c r="K33" s="488">
        <f t="shared" si="10"/>
        <v>3000000</v>
      </c>
      <c r="L33" s="487">
        <f t="shared" si="11"/>
        <v>0</v>
      </c>
      <c r="M33" s="488">
        <f t="shared" si="12"/>
        <v>3000000</v>
      </c>
      <c r="N33" s="487">
        <f t="shared" si="13"/>
        <v>0</v>
      </c>
      <c r="O33" s="488">
        <f t="shared" si="14"/>
        <v>3000000</v>
      </c>
    </row>
    <row r="34" spans="3:15" ht="14.25" customHeight="1">
      <c r="C34" s="486">
        <v>3500000</v>
      </c>
      <c r="D34" s="487">
        <f t="shared" si="3"/>
        <v>0</v>
      </c>
      <c r="E34" s="488">
        <f t="shared" si="4"/>
        <v>3500000</v>
      </c>
      <c r="F34" s="487">
        <f t="shared" si="5"/>
        <v>0</v>
      </c>
      <c r="G34" s="488">
        <f t="shared" si="6"/>
        <v>3500000</v>
      </c>
      <c r="H34" s="487">
        <f t="shared" si="7"/>
        <v>0</v>
      </c>
      <c r="I34" s="488">
        <f t="shared" si="8"/>
        <v>3500000</v>
      </c>
      <c r="J34" s="487">
        <f t="shared" si="9"/>
        <v>0</v>
      </c>
      <c r="K34" s="488">
        <f t="shared" si="10"/>
        <v>3500000</v>
      </c>
      <c r="L34" s="487">
        <f t="shared" si="11"/>
        <v>0</v>
      </c>
      <c r="M34" s="488">
        <f t="shared" si="12"/>
        <v>3500000</v>
      </c>
      <c r="N34" s="487">
        <f t="shared" si="13"/>
        <v>0</v>
      </c>
      <c r="O34" s="488">
        <f t="shared" si="14"/>
        <v>3500000</v>
      </c>
    </row>
    <row r="35" spans="3:15" ht="14.25" customHeight="1">
      <c r="C35" s="486">
        <v>4000000</v>
      </c>
      <c r="D35" s="487">
        <f t="shared" si="3"/>
        <v>0</v>
      </c>
      <c r="E35" s="488">
        <f t="shared" si="4"/>
        <v>4000000</v>
      </c>
      <c r="F35" s="487">
        <f t="shared" si="5"/>
        <v>0</v>
      </c>
      <c r="G35" s="488">
        <f t="shared" si="6"/>
        <v>4000000</v>
      </c>
      <c r="H35" s="487">
        <f t="shared" si="7"/>
        <v>0</v>
      </c>
      <c r="I35" s="488">
        <f t="shared" si="8"/>
        <v>4000000</v>
      </c>
      <c r="J35" s="487">
        <f t="shared" si="9"/>
        <v>0</v>
      </c>
      <c r="K35" s="488">
        <f t="shared" si="10"/>
        <v>4000000</v>
      </c>
      <c r="L35" s="487">
        <f t="shared" si="11"/>
        <v>0</v>
      </c>
      <c r="M35" s="488">
        <f t="shared" si="12"/>
        <v>4000000</v>
      </c>
      <c r="N35" s="487">
        <f t="shared" si="13"/>
        <v>0</v>
      </c>
      <c r="O35" s="488">
        <f t="shared" si="14"/>
        <v>4000000</v>
      </c>
    </row>
    <row r="36" spans="3:15" ht="14.25" customHeight="1">
      <c r="C36" s="486">
        <v>5000000</v>
      </c>
      <c r="D36" s="487">
        <f t="shared" si="3"/>
        <v>0</v>
      </c>
      <c r="E36" s="488">
        <f t="shared" si="4"/>
        <v>5000000</v>
      </c>
      <c r="F36" s="487">
        <f t="shared" si="5"/>
        <v>0</v>
      </c>
      <c r="G36" s="488">
        <f t="shared" si="6"/>
        <v>5000000</v>
      </c>
      <c r="H36" s="487">
        <f t="shared" si="7"/>
        <v>0</v>
      </c>
      <c r="I36" s="488">
        <f t="shared" si="8"/>
        <v>5000000</v>
      </c>
      <c r="J36" s="487">
        <f t="shared" si="9"/>
        <v>0</v>
      </c>
      <c r="K36" s="488">
        <f t="shared" si="10"/>
        <v>5000000</v>
      </c>
      <c r="L36" s="487">
        <f t="shared" si="11"/>
        <v>0</v>
      </c>
      <c r="M36" s="488">
        <f t="shared" si="12"/>
        <v>5000000</v>
      </c>
      <c r="N36" s="487">
        <f t="shared" si="13"/>
        <v>0</v>
      </c>
      <c r="O36" s="488">
        <f t="shared" si="14"/>
        <v>5000000</v>
      </c>
    </row>
    <row r="37" spans="3:15" ht="14.25" customHeight="1">
      <c r="C37" s="486">
        <v>7500000</v>
      </c>
      <c r="D37" s="487">
        <f t="shared" si="3"/>
        <v>0</v>
      </c>
      <c r="E37" s="488">
        <f t="shared" ref="E37" si="15">IF(D37&lt;=C37,C37,"")</f>
        <v>7500000</v>
      </c>
      <c r="F37" s="487">
        <f t="shared" si="5"/>
        <v>0</v>
      </c>
      <c r="G37" s="488">
        <f t="shared" ref="G37" si="16">IF(F37&lt;=C37,C37,"")</f>
        <v>7500000</v>
      </c>
      <c r="H37" s="487">
        <f t="shared" si="7"/>
        <v>0</v>
      </c>
      <c r="I37" s="488">
        <f t="shared" ref="I37" si="17">IF(H37&lt;=C37,C37,"")</f>
        <v>7500000</v>
      </c>
      <c r="J37" s="487">
        <f t="shared" si="9"/>
        <v>0</v>
      </c>
      <c r="K37" s="488">
        <f t="shared" ref="K37" si="18">IF(J37&lt;=C37,C37,"")</f>
        <v>7500000</v>
      </c>
      <c r="L37" s="487">
        <f t="shared" si="11"/>
        <v>0</v>
      </c>
      <c r="M37" s="488">
        <f t="shared" ref="M37" si="19">IF(L37&lt;=C37,C37,"")</f>
        <v>7500000</v>
      </c>
      <c r="N37" s="487">
        <f t="shared" si="13"/>
        <v>0</v>
      </c>
      <c r="O37" s="488">
        <f t="shared" ref="O37" si="20">IF(N37&lt;=C37,C37,"")</f>
        <v>7500000</v>
      </c>
    </row>
    <row r="38" spans="3:15" ht="14.25" customHeight="1">
      <c r="C38" s="956"/>
      <c r="D38" s="634"/>
      <c r="E38" s="635"/>
      <c r="F38" s="634"/>
      <c r="G38" s="635"/>
      <c r="H38" s="634"/>
      <c r="I38" s="635"/>
      <c r="J38" s="634"/>
      <c r="K38" s="635"/>
      <c r="L38" s="634"/>
      <c r="M38" s="635"/>
      <c r="N38" s="634"/>
      <c r="O38" s="635"/>
    </row>
    <row r="39" spans="3:15" ht="14.25" customHeight="1">
      <c r="D39" s="490"/>
      <c r="E39" s="491">
        <f>MIN(E26:E37)</f>
        <v>250000</v>
      </c>
      <c r="F39" s="490"/>
      <c r="G39" s="491">
        <f>MIN(G26:G37)</f>
        <v>250000</v>
      </c>
      <c r="H39" s="490"/>
      <c r="I39" s="491">
        <f>MIN(I26:I37)</f>
        <v>250000</v>
      </c>
      <c r="J39" s="490"/>
      <c r="K39" s="491">
        <f>MIN(K26:K37)</f>
        <v>250000</v>
      </c>
      <c r="L39" s="490"/>
      <c r="M39" s="491">
        <f>MIN(M26:M37)</f>
        <v>250000</v>
      </c>
      <c r="N39" s="490"/>
      <c r="O39" s="491">
        <f>MIN(O26:O37)</f>
        <v>250000</v>
      </c>
    </row>
    <row r="40" spans="3:15" ht="14.25" customHeight="1"/>
    <row r="41" spans="3:15" ht="14.25" customHeight="1"/>
    <row r="42" spans="3:15" ht="14.25" customHeight="1"/>
    <row r="43" spans="3:15" ht="14.25" customHeight="1"/>
    <row r="44" spans="3:15" ht="14.25" customHeight="1"/>
    <row r="45" spans="3:15" ht="14.25" customHeight="1"/>
    <row r="46" spans="3:15" ht="14.25" customHeight="1"/>
    <row r="47" spans="3:15" ht="14.25" customHeight="1"/>
    <row r="48" spans="3: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9">
    <mergeCell ref="J25:K25"/>
    <mergeCell ref="L25:M25"/>
    <mergeCell ref="D1:P1"/>
    <mergeCell ref="B2:C2"/>
    <mergeCell ref="D15:F15"/>
    <mergeCell ref="G15:I15"/>
    <mergeCell ref="D25:E25"/>
    <mergeCell ref="F25:G25"/>
    <mergeCell ref="H25:I25"/>
  </mergeCells>
  <pageMargins left="0.7" right="0.7" top="0.78740157499999996" bottom="0.78740157499999996" header="0" footer="0"/>
  <pageSetup paperSize="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B1:W1004"/>
  <sheetViews>
    <sheetView zoomScale="70" zoomScaleNormal="70" workbookViewId="0">
      <selection activeCell="I24" sqref="I24"/>
    </sheetView>
  </sheetViews>
  <sheetFormatPr baseColWidth="10" defaultColWidth="14.33203125" defaultRowHeight="15" customHeight="1"/>
  <cols>
    <col min="1" max="1" width="2.33203125" customWidth="1"/>
    <col min="2" max="2" width="25.33203125" customWidth="1"/>
    <col min="3" max="3" width="49.33203125" bestFit="1" customWidth="1"/>
    <col min="4" max="9" width="17.33203125" customWidth="1"/>
    <col min="10" max="10" width="12" customWidth="1"/>
    <col min="11" max="11" width="29.6640625" customWidth="1"/>
    <col min="12" max="12" width="16.44140625" bestFit="1" customWidth="1"/>
    <col min="13" max="15" width="13" customWidth="1"/>
    <col min="16" max="16" width="12" customWidth="1"/>
    <col min="17" max="22" width="11.33203125" customWidth="1"/>
    <col min="23" max="23" width="22.33203125" bestFit="1" customWidth="1"/>
    <col min="24" max="26" width="11.33203125" customWidth="1"/>
  </cols>
  <sheetData>
    <row r="1" spans="2:23" ht="36.75" customHeight="1">
      <c r="D1" s="1095" t="s">
        <v>3128</v>
      </c>
      <c r="E1" s="1032"/>
      <c r="F1" s="1032"/>
      <c r="G1" s="1032"/>
      <c r="H1" s="1032"/>
      <c r="I1" s="1032"/>
      <c r="J1" s="1032"/>
      <c r="K1" s="1032"/>
      <c r="L1" s="1032"/>
      <c r="M1" s="1032"/>
      <c r="N1" s="1032"/>
      <c r="O1" s="1032"/>
      <c r="P1" s="1037"/>
      <c r="U1" s="643" t="s">
        <v>2560</v>
      </c>
      <c r="V1" s="643" t="s">
        <v>3741</v>
      </c>
      <c r="W1" s="643" t="s">
        <v>3742</v>
      </c>
    </row>
    <row r="2" spans="2:23" ht="14.25" customHeight="1" thickBot="1">
      <c r="B2" s="1096" t="s">
        <v>3672</v>
      </c>
      <c r="C2" s="1097"/>
      <c r="D2" s="702">
        <v>250000</v>
      </c>
      <c r="E2" s="702">
        <v>500000</v>
      </c>
      <c r="F2" s="703">
        <v>750000</v>
      </c>
      <c r="G2" s="702">
        <v>1000000</v>
      </c>
      <c r="H2" s="702">
        <v>1500000</v>
      </c>
      <c r="I2" s="702">
        <v>2000000</v>
      </c>
      <c r="J2" s="702">
        <v>2500000</v>
      </c>
      <c r="K2" s="702">
        <v>3000000</v>
      </c>
      <c r="L2" s="703">
        <v>3500000</v>
      </c>
      <c r="M2" s="702">
        <v>4000000</v>
      </c>
      <c r="N2" s="702">
        <v>5000000</v>
      </c>
      <c r="O2" s="702">
        <v>7500000</v>
      </c>
      <c r="P2" s="704">
        <v>10000000</v>
      </c>
      <c r="U2" s="641">
        <f>Fragenkatalog!K53</f>
        <v>0</v>
      </c>
      <c r="V2" s="641">
        <f>Bilanzsumme</f>
        <v>0</v>
      </c>
      <c r="W2" s="642">
        <f>IF(V2&gt;0,U2/V2,0)</f>
        <v>0</v>
      </c>
    </row>
    <row r="3" spans="2:23" ht="14.25" customHeight="1">
      <c r="B3" s="502" t="s">
        <v>3655</v>
      </c>
      <c r="C3" s="502">
        <v>0</v>
      </c>
      <c r="D3" s="582">
        <v>750</v>
      </c>
      <c r="E3" s="582">
        <v>892.5</v>
      </c>
      <c r="F3" s="582">
        <v>1031</v>
      </c>
      <c r="G3" s="582">
        <v>1170.75</v>
      </c>
      <c r="H3" s="582">
        <v>1758.75</v>
      </c>
      <c r="I3" s="582">
        <v>2268</v>
      </c>
      <c r="J3" s="582">
        <v>2919</v>
      </c>
      <c r="K3" s="582">
        <v>3333.75</v>
      </c>
      <c r="L3" s="582">
        <v>3833</v>
      </c>
      <c r="M3" s="582">
        <v>4333</v>
      </c>
      <c r="N3" s="582">
        <v>5060</v>
      </c>
      <c r="O3" s="582">
        <v>6831</v>
      </c>
      <c r="P3" s="582">
        <v>9266.4</v>
      </c>
    </row>
    <row r="4" spans="2:23" ht="14.25" customHeight="1">
      <c r="B4" s="710" t="s">
        <v>3764</v>
      </c>
      <c r="C4" s="502">
        <v>5000001</v>
      </c>
      <c r="D4" s="582"/>
      <c r="E4" s="582">
        <v>892.5</v>
      </c>
      <c r="F4" s="582">
        <v>1031</v>
      </c>
      <c r="G4" s="582">
        <v>1170.75</v>
      </c>
      <c r="H4" s="582">
        <v>1758.75</v>
      </c>
      <c r="I4" s="582">
        <v>2268</v>
      </c>
      <c r="J4" s="582">
        <v>2919</v>
      </c>
      <c r="K4" s="582">
        <v>3333.75</v>
      </c>
      <c r="L4" s="582">
        <v>3833</v>
      </c>
      <c r="M4" s="582">
        <v>4333</v>
      </c>
      <c r="N4" s="582">
        <v>5060</v>
      </c>
      <c r="O4" s="582">
        <v>6831</v>
      </c>
      <c r="P4" s="582">
        <v>9266.4</v>
      </c>
    </row>
    <row r="5" spans="2:23" ht="14.25" customHeight="1">
      <c r="B5" s="502" t="s">
        <v>3748</v>
      </c>
      <c r="C5" s="502">
        <v>50000001</v>
      </c>
      <c r="D5" s="582"/>
      <c r="E5" s="582">
        <v>997.5</v>
      </c>
      <c r="F5" s="582">
        <v>1189</v>
      </c>
      <c r="G5" s="582">
        <v>1380.75</v>
      </c>
      <c r="H5" s="582">
        <v>2073.75</v>
      </c>
      <c r="I5" s="582">
        <v>2488</v>
      </c>
      <c r="J5" s="582">
        <v>3454.5</v>
      </c>
      <c r="K5" s="582">
        <v>3937.5</v>
      </c>
      <c r="L5" s="582">
        <v>4498</v>
      </c>
      <c r="M5" s="582">
        <v>5058</v>
      </c>
      <c r="N5" s="582">
        <v>5980</v>
      </c>
      <c r="O5" s="582">
        <v>7737.2</v>
      </c>
      <c r="P5" s="582">
        <v>10647</v>
      </c>
    </row>
    <row r="6" spans="2:23" ht="14.25" customHeight="1">
      <c r="B6" s="502" t="s">
        <v>3730</v>
      </c>
      <c r="C6" s="502">
        <v>100000001</v>
      </c>
      <c r="D6" s="582"/>
      <c r="E6" s="582">
        <v>1244.25</v>
      </c>
      <c r="F6" s="582">
        <v>1593</v>
      </c>
      <c r="G6" s="582">
        <v>1942.5</v>
      </c>
      <c r="H6" s="582">
        <v>2898</v>
      </c>
      <c r="I6" s="582">
        <v>3318</v>
      </c>
      <c r="J6" s="582">
        <v>3974.25</v>
      </c>
      <c r="K6" s="582">
        <v>4147.5</v>
      </c>
      <c r="L6" s="582">
        <v>4810</v>
      </c>
      <c r="M6" s="582">
        <v>5473</v>
      </c>
      <c r="N6" s="582">
        <v>6652.75</v>
      </c>
      <c r="O6" s="582">
        <v>8858.4500000000007</v>
      </c>
      <c r="P6" s="582">
        <v>11407.5</v>
      </c>
    </row>
    <row r="7" spans="2:23" ht="14.25" customHeight="1">
      <c r="B7" s="502" t="s">
        <v>3731</v>
      </c>
      <c r="C7" s="502">
        <v>150000001</v>
      </c>
      <c r="D7" s="582"/>
      <c r="E7" s="582"/>
      <c r="F7" s="582"/>
      <c r="G7" s="582"/>
      <c r="H7" s="582"/>
      <c r="I7" s="582"/>
      <c r="J7" s="582"/>
      <c r="K7" s="582">
        <v>4354.875</v>
      </c>
      <c r="L7" s="582">
        <v>5146.7000000000007</v>
      </c>
      <c r="M7" s="582">
        <v>5910.84</v>
      </c>
      <c r="N7" s="582">
        <v>7318.0250000000005</v>
      </c>
      <c r="O7" s="582">
        <v>9832.8795000000009</v>
      </c>
      <c r="P7" s="582">
        <v>12320.1</v>
      </c>
    </row>
    <row r="8" spans="2:23" ht="14.25" customHeight="1">
      <c r="B8" s="502" t="s">
        <v>3732</v>
      </c>
      <c r="C8" s="502">
        <v>200000001</v>
      </c>
      <c r="D8" s="582"/>
      <c r="E8" s="582"/>
      <c r="F8" s="582"/>
      <c r="G8" s="582"/>
      <c r="H8" s="582"/>
      <c r="I8" s="582"/>
      <c r="J8" s="582"/>
      <c r="K8" s="582">
        <v>4572.6187500000005</v>
      </c>
      <c r="L8" s="582">
        <v>5506.969000000001</v>
      </c>
      <c r="M8" s="582">
        <v>6383.7072000000007</v>
      </c>
      <c r="N8" s="582">
        <v>8049.8275000000012</v>
      </c>
      <c r="O8" s="582">
        <v>10914.496245000002</v>
      </c>
      <c r="P8" s="582">
        <v>13305.708000000001</v>
      </c>
    </row>
    <row r="9" spans="2:23" ht="14.25" customHeight="1">
      <c r="B9" s="502"/>
      <c r="C9" s="502"/>
      <c r="D9" s="560"/>
      <c r="E9" s="560"/>
      <c r="F9" s="255"/>
      <c r="G9" s="255"/>
      <c r="H9" s="255"/>
      <c r="I9" s="255"/>
      <c r="J9" s="255"/>
      <c r="K9" s="255"/>
      <c r="L9" s="255"/>
      <c r="M9" s="255"/>
      <c r="N9" s="255"/>
      <c r="O9" s="255"/>
      <c r="P9" s="255"/>
    </row>
    <row r="10" spans="2:23" ht="14.25" customHeight="1">
      <c r="B10" s="502"/>
      <c r="C10" s="502"/>
      <c r="D10" s="560"/>
      <c r="E10" s="560"/>
      <c r="F10" s="255"/>
      <c r="G10" s="255"/>
      <c r="H10" s="255"/>
      <c r="I10" s="255"/>
      <c r="J10" s="255"/>
      <c r="K10" s="255"/>
      <c r="L10" s="255"/>
      <c r="M10" s="255"/>
      <c r="N10" s="255"/>
      <c r="O10" s="255"/>
      <c r="P10" s="255"/>
    </row>
    <row r="11" spans="2:23" ht="14.25" customHeight="1">
      <c r="B11" s="502"/>
      <c r="C11" s="502"/>
      <c r="D11" s="560"/>
      <c r="E11" s="560"/>
      <c r="F11" s="255"/>
      <c r="G11" s="255"/>
      <c r="H11" s="255"/>
      <c r="I11" s="255"/>
      <c r="J11" s="255"/>
      <c r="K11" s="255"/>
      <c r="L11" s="255"/>
      <c r="M11" s="255"/>
      <c r="N11" s="255"/>
      <c r="O11" s="255"/>
      <c r="P11" s="255"/>
    </row>
    <row r="12" spans="2:23" ht="14.25" customHeight="1">
      <c r="B12" s="502"/>
      <c r="C12" s="502"/>
      <c r="D12" s="560"/>
      <c r="E12" s="560"/>
      <c r="F12" s="255"/>
      <c r="G12" s="255"/>
      <c r="H12" s="255"/>
      <c r="I12" s="255"/>
      <c r="J12" s="255"/>
      <c r="K12" s="255"/>
      <c r="L12" s="255"/>
      <c r="M12" s="255"/>
      <c r="N12" s="255"/>
      <c r="O12" s="255"/>
      <c r="P12" s="255"/>
    </row>
    <row r="13" spans="2:23" ht="14.25" customHeight="1"/>
    <row r="14" spans="2:23" ht="14.25" customHeight="1" thickBot="1">
      <c r="K14" s="168" t="s">
        <v>3646</v>
      </c>
      <c r="L14" s="472">
        <v>250000</v>
      </c>
    </row>
    <row r="15" spans="2:23" ht="14.25" customHeight="1" thickBot="1">
      <c r="D15" s="1098" t="s">
        <v>2398</v>
      </c>
      <c r="E15" s="1099"/>
      <c r="F15" s="1099"/>
      <c r="G15" s="1098" t="s">
        <v>3111</v>
      </c>
      <c r="H15" s="1099"/>
      <c r="I15" s="1090"/>
      <c r="K15" s="168" t="s">
        <v>3647</v>
      </c>
      <c r="L15" s="472">
        <v>10000000</v>
      </c>
    </row>
    <row r="16" spans="2:23" ht="14.25" customHeight="1" thickBot="1">
      <c r="C16" s="658"/>
      <c r="D16" s="977" t="s">
        <v>3113</v>
      </c>
      <c r="E16" s="978" t="s">
        <v>3114</v>
      </c>
      <c r="F16" s="978" t="s">
        <v>3115</v>
      </c>
      <c r="G16" s="979" t="str">
        <f>'Preisrechner Alle Tarife'!B3</f>
        <v>DS 1</v>
      </c>
      <c r="H16" s="978" t="str">
        <f>'Preisrechner Alle Tarife'!C3</f>
        <v>DS 2</v>
      </c>
      <c r="I16" s="980" t="str">
        <f>'Preisrechner Alle Tarife'!D3</f>
        <v>DS 3</v>
      </c>
      <c r="K16" s="168" t="s">
        <v>3648</v>
      </c>
      <c r="L16" s="472">
        <v>250000000</v>
      </c>
    </row>
    <row r="17" spans="3:15" ht="14.25" customHeight="1" thickBot="1">
      <c r="C17" s="976" t="s">
        <v>3117</v>
      </c>
      <c r="D17" s="854">
        <f>IF(Deckungssumme1GI&gt;L15,L15,Deckungssumme1GI)</f>
        <v>0</v>
      </c>
      <c r="E17" s="629">
        <f>IF(Deckungssumme2GI&gt;L15,L15,Deckungssumme2GI)</f>
        <v>0</v>
      </c>
      <c r="F17" s="629">
        <f>IF(Deckungssumme3GI&gt;L15,L15,Deckungssumme3GI)</f>
        <v>0</v>
      </c>
      <c r="G17" s="477">
        <f>IF(Deckungssumme1&gt;L15,L15,Deckungssumme1)</f>
        <v>0</v>
      </c>
      <c r="H17" s="629">
        <f>IF(Deckungssumme2&gt;L15,L15,Deckungssumme2)</f>
        <v>0</v>
      </c>
      <c r="I17" s="855">
        <f>IF(Deckungssumme3&gt;L15,L15,Deckungssumme3)</f>
        <v>0</v>
      </c>
    </row>
    <row r="18" spans="3:15" ht="14.25" customHeight="1">
      <c r="C18" s="977" t="s">
        <v>3119</v>
      </c>
      <c r="D18" s="982" t="str">
        <f>IF(Deckungssumme1GI=0,"",E44)</f>
        <v/>
      </c>
      <c r="E18" s="983" t="str">
        <f>IF(Deckungssumme2GI=0,"",G44)</f>
        <v/>
      </c>
      <c r="F18" s="983" t="str">
        <f>IF(Deckungssumme3GI=0,"",I44)</f>
        <v/>
      </c>
      <c r="G18" s="982" t="str">
        <f>IF(Deckungssumme1=0,"",K44)</f>
        <v/>
      </c>
      <c r="H18" s="983" t="str">
        <f>IF(Deckungssumme2=0,"",M44)</f>
        <v/>
      </c>
      <c r="I18" s="984" t="str">
        <f>IF(Deckungssumme3=0,"",O44)</f>
        <v/>
      </c>
    </row>
    <row r="19" spans="3:15" ht="14.25" customHeight="1">
      <c r="C19" s="852" t="s">
        <v>3649</v>
      </c>
      <c r="D19" s="854">
        <f>IF(MAX(AußenumsatzGI,VereinsvermögenGI,BilanzsummeGI)&gt;liberty_MaxUmsatz,"Umsatz zu groß!",MAX(AußenumsatzGI,VereinsvermögenGI,BilanzsummeGI))</f>
        <v>0</v>
      </c>
      <c r="E19" s="629">
        <f>IF(MAX(AußenumsatzGI,VereinsvermögenGI,BilanzsummeGI)&gt;liberty_MaxUmsatz,"Umsatz zu groß!",MAX(AußenumsatzGI,VereinsvermögenGI,BilanzsummeGI))</f>
        <v>0</v>
      </c>
      <c r="F19" s="629">
        <f>IF(MAX(AußenumsatzGI,VereinsvermögenGI,BilanzsummeGI)&gt;liberty_MaxUmsatz,"Umsatz zu groß!",MAX(AußenumsatzGI,VereinsvermögenGI,BilanzsummeGI))</f>
        <v>0</v>
      </c>
      <c r="G19" s="854">
        <f>IF(MAX(Außenumsatz,Vereinsvermögen,Bilanzsumme)&gt;liberty_MaxUmsatz,"Umsatz zu groß!",MAX(Außenumsatz,Vereinsvermögen,Bilanzsumme))</f>
        <v>0</v>
      </c>
      <c r="H19" s="629">
        <f>IF(MAX(Außenumsatz,Vereinsvermögen,Bilanzsumme)&gt;liberty_MaxUmsatz,"Umsatz zu groß!",MAX(Außenumsatz,Vereinsvermögen,Bilanzsumme))</f>
        <v>0</v>
      </c>
      <c r="I19" s="855">
        <f>IF(MAX(Außenumsatz,Vereinsvermögen,Bilanzsumme)&gt;liberty_MaxUmsatz,"Umsatz zu groß!",MAX(Außenumsatz,Vereinsvermögen,Bilanzsumme))</f>
        <v>0</v>
      </c>
      <c r="K19" s="625" t="s">
        <v>4096</v>
      </c>
      <c r="L19" s="994">
        <f>MAX(Bilanzsumme,Vereinsvermögen)</f>
        <v>0</v>
      </c>
    </row>
    <row r="20" spans="3:15" ht="14.25" customHeight="1">
      <c r="C20" s="852" t="s">
        <v>3650</v>
      </c>
      <c r="D20" s="854" t="e">
        <f t="shared" ref="D20:I20" si="0">MATCH(D18,$D$2:$P$2,1)</f>
        <v>#N/A</v>
      </c>
      <c r="E20" s="629" t="e">
        <f t="shared" si="0"/>
        <v>#N/A</v>
      </c>
      <c r="F20" s="629" t="e">
        <f t="shared" si="0"/>
        <v>#N/A</v>
      </c>
      <c r="G20" s="854" t="e">
        <f t="shared" si="0"/>
        <v>#N/A</v>
      </c>
      <c r="H20" s="629" t="e">
        <f t="shared" si="0"/>
        <v>#N/A</v>
      </c>
      <c r="I20" s="855" t="e">
        <f t="shared" si="0"/>
        <v>#N/A</v>
      </c>
    </row>
    <row r="21" spans="3:15" ht="14.25" customHeight="1">
      <c r="C21" s="852" t="s">
        <v>3651</v>
      </c>
      <c r="D21" s="854">
        <f t="shared" ref="D21:I21" si="1">MATCH(D19,$C$3:$C$8,1)</f>
        <v>1</v>
      </c>
      <c r="E21" s="629">
        <f t="shared" si="1"/>
        <v>1</v>
      </c>
      <c r="F21" s="629">
        <f t="shared" si="1"/>
        <v>1</v>
      </c>
      <c r="G21" s="854">
        <f t="shared" si="1"/>
        <v>1</v>
      </c>
      <c r="H21" s="629">
        <f t="shared" si="1"/>
        <v>1</v>
      </c>
      <c r="I21" s="855">
        <f t="shared" si="1"/>
        <v>1</v>
      </c>
    </row>
    <row r="22" spans="3:15" ht="14.25" customHeight="1" thickBot="1">
      <c r="C22" s="985" t="s">
        <v>4094</v>
      </c>
      <c r="D22" s="981" t="str">
        <f t="shared" ref="D22:I22" si="2">IFERROR(INDEX($D$3:$P$8,D21,D20),"")</f>
        <v/>
      </c>
      <c r="E22" s="975" t="str">
        <f t="shared" si="2"/>
        <v/>
      </c>
      <c r="F22" s="975" t="str">
        <f t="shared" si="2"/>
        <v/>
      </c>
      <c r="G22" s="996" t="str">
        <f t="shared" si="2"/>
        <v/>
      </c>
      <c r="H22" s="997" t="str">
        <f t="shared" si="2"/>
        <v/>
      </c>
      <c r="I22" s="998" t="str">
        <f t="shared" si="2"/>
        <v/>
      </c>
    </row>
    <row r="23" spans="3:15" ht="14.25" customHeight="1">
      <c r="C23" s="987"/>
      <c r="D23" s="988"/>
      <c r="E23" s="705"/>
      <c r="F23" s="705"/>
      <c r="G23" s="999"/>
      <c r="H23" s="1000"/>
      <c r="I23" s="1001"/>
    </row>
    <row r="24" spans="3:15" ht="14.25" customHeight="1">
      <c r="C24" s="986" t="s">
        <v>4090</v>
      </c>
      <c r="D24" s="988"/>
      <c r="E24" s="705"/>
      <c r="F24" s="705"/>
      <c r="G24" s="986">
        <f>IF(G18&gt;0.5*$L$19,0.2,0)</f>
        <v>0.2</v>
      </c>
      <c r="H24" s="986">
        <f>IF(H18&gt;0.5*$L$19,0.2,0)</f>
        <v>0.2</v>
      </c>
      <c r="I24" s="993">
        <f>IF(I18&gt;0.5*$L$19,0.2,0)</f>
        <v>0.2</v>
      </c>
    </row>
    <row r="25" spans="3:15" ht="14.25" customHeight="1">
      <c r="C25" s="987"/>
      <c r="D25" s="988"/>
      <c r="E25" s="705"/>
      <c r="F25" s="705"/>
      <c r="G25" s="988"/>
      <c r="H25" s="705"/>
      <c r="I25" s="989"/>
    </row>
    <row r="26" spans="3:15" ht="14.25" customHeight="1" thickBot="1">
      <c r="C26" s="990" t="s">
        <v>4095</v>
      </c>
      <c r="D26" s="991" t="str">
        <f>D22</f>
        <v/>
      </c>
      <c r="E26" s="992" t="str">
        <f>E22</f>
        <v/>
      </c>
      <c r="F26" s="992" t="str">
        <f>F22</f>
        <v/>
      </c>
      <c r="G26" s="991" t="str">
        <f>IFERROR(G22*(1+G24),"")</f>
        <v/>
      </c>
      <c r="H26" s="991" t="str">
        <f t="shared" ref="H26:I26" si="3">IFERROR(H22*(1+H24),"")</f>
        <v/>
      </c>
      <c r="I26" s="995" t="str">
        <f t="shared" si="3"/>
        <v/>
      </c>
    </row>
    <row r="27" spans="3:15" ht="14.25" customHeight="1"/>
    <row r="28" spans="3:15" ht="14.25" customHeight="1" thickBot="1"/>
    <row r="29" spans="3:15" ht="14.25" customHeight="1" thickBot="1">
      <c r="C29" s="706" t="s">
        <v>3763</v>
      </c>
      <c r="D29" s="1083" t="s">
        <v>3113</v>
      </c>
      <c r="E29" s="1084"/>
      <c r="F29" s="1083" t="s">
        <v>3114</v>
      </c>
      <c r="G29" s="1085"/>
      <c r="H29" s="1083" t="s">
        <v>3115</v>
      </c>
      <c r="I29" s="1084"/>
      <c r="J29" s="1083" t="s">
        <v>3113</v>
      </c>
      <c r="K29" s="1084"/>
      <c r="L29" s="1083" t="s">
        <v>3114</v>
      </c>
      <c r="M29" s="1084"/>
      <c r="N29" s="514" t="s">
        <v>3115</v>
      </c>
      <c r="O29" s="515"/>
    </row>
    <row r="30" spans="3:15" ht="14.25" customHeight="1">
      <c r="C30" s="707">
        <v>250000</v>
      </c>
      <c r="D30" s="705">
        <f t="shared" ref="D30:D42" si="4">$D$17</f>
        <v>0</v>
      </c>
      <c r="E30" s="488">
        <f>IF(D30&lt;=C30,C30,"")</f>
        <v>250000</v>
      </c>
      <c r="F30" s="487">
        <f t="shared" ref="F30:F42" si="5">$E$17</f>
        <v>0</v>
      </c>
      <c r="G30" s="488">
        <f>IF(F30&lt;=C30,C30,"")</f>
        <v>250000</v>
      </c>
      <c r="H30" s="487">
        <f t="shared" ref="H30:H42" si="6">$F$17</f>
        <v>0</v>
      </c>
      <c r="I30" s="488">
        <f>IF(H30&lt;=C30,C30,"")</f>
        <v>250000</v>
      </c>
      <c r="J30" s="487">
        <f t="shared" ref="J30:J42" si="7">$G$17</f>
        <v>0</v>
      </c>
      <c r="K30" s="488">
        <f>IF(J30&lt;=C30,C30,"")</f>
        <v>250000</v>
      </c>
      <c r="L30" s="487">
        <f t="shared" ref="L30:L42" si="8">$H$17</f>
        <v>0</v>
      </c>
      <c r="M30" s="488">
        <f>IF(L30&lt;=C30,C30,"")</f>
        <v>250000</v>
      </c>
      <c r="N30" s="487">
        <f t="shared" ref="N30:N42" si="9">$I$17</f>
        <v>0</v>
      </c>
      <c r="O30" s="488">
        <f>IF(N30&lt;=C30,C30,"")</f>
        <v>250000</v>
      </c>
    </row>
    <row r="31" spans="3:15" ht="14.25" customHeight="1">
      <c r="C31" s="708">
        <v>500000</v>
      </c>
      <c r="D31" s="705">
        <f t="shared" si="4"/>
        <v>0</v>
      </c>
      <c r="E31" s="488">
        <f t="shared" ref="E31:E42" si="10">IF(D31&lt;=C31,C31,"")</f>
        <v>500000</v>
      </c>
      <c r="F31" s="487">
        <f t="shared" si="5"/>
        <v>0</v>
      </c>
      <c r="G31" s="488">
        <f t="shared" ref="G31:G42" si="11">IF(F31&lt;=C31,C31,"")</f>
        <v>500000</v>
      </c>
      <c r="H31" s="487">
        <f t="shared" si="6"/>
        <v>0</v>
      </c>
      <c r="I31" s="488">
        <f t="shared" ref="I31:I42" si="12">IF(H31&lt;=C31,C31,"")</f>
        <v>500000</v>
      </c>
      <c r="J31" s="487">
        <f t="shared" si="7"/>
        <v>0</v>
      </c>
      <c r="K31" s="488">
        <f t="shared" ref="K31:K42" si="13">IF(J31&lt;=C31,C31,"")</f>
        <v>500000</v>
      </c>
      <c r="L31" s="487">
        <f t="shared" si="8"/>
        <v>0</v>
      </c>
      <c r="M31" s="488">
        <f t="shared" ref="M31:M37" si="14">IF(L31&lt;=C31,C31,"")</f>
        <v>500000</v>
      </c>
      <c r="N31" s="487">
        <f t="shared" si="9"/>
        <v>0</v>
      </c>
      <c r="O31" s="488">
        <f t="shared" ref="O31:O42" si="15">IF(N31&lt;=C31,C31,"")</f>
        <v>500000</v>
      </c>
    </row>
    <row r="32" spans="3:15" ht="14.25" customHeight="1">
      <c r="C32" s="708">
        <v>750000</v>
      </c>
      <c r="D32" s="705">
        <f t="shared" si="4"/>
        <v>0</v>
      </c>
      <c r="E32" s="488">
        <f t="shared" si="10"/>
        <v>750000</v>
      </c>
      <c r="F32" s="487">
        <f t="shared" si="5"/>
        <v>0</v>
      </c>
      <c r="G32" s="488">
        <f t="shared" si="11"/>
        <v>750000</v>
      </c>
      <c r="H32" s="487">
        <f t="shared" si="6"/>
        <v>0</v>
      </c>
      <c r="I32" s="488">
        <f t="shared" si="12"/>
        <v>750000</v>
      </c>
      <c r="J32" s="487">
        <f t="shared" si="7"/>
        <v>0</v>
      </c>
      <c r="K32" s="488">
        <f t="shared" si="13"/>
        <v>750000</v>
      </c>
      <c r="L32" s="487">
        <f t="shared" si="8"/>
        <v>0</v>
      </c>
      <c r="M32" s="488">
        <f t="shared" si="14"/>
        <v>750000</v>
      </c>
      <c r="N32" s="487">
        <f t="shared" si="9"/>
        <v>0</v>
      </c>
      <c r="O32" s="488">
        <f t="shared" si="15"/>
        <v>750000</v>
      </c>
    </row>
    <row r="33" spans="3:15" ht="14.25" customHeight="1">
      <c r="C33" s="708">
        <v>1000000</v>
      </c>
      <c r="D33" s="705">
        <f t="shared" si="4"/>
        <v>0</v>
      </c>
      <c r="E33" s="488">
        <f t="shared" si="10"/>
        <v>1000000</v>
      </c>
      <c r="F33" s="487">
        <f t="shared" si="5"/>
        <v>0</v>
      </c>
      <c r="G33" s="488">
        <f t="shared" si="11"/>
        <v>1000000</v>
      </c>
      <c r="H33" s="487">
        <f t="shared" si="6"/>
        <v>0</v>
      </c>
      <c r="I33" s="488">
        <f t="shared" si="12"/>
        <v>1000000</v>
      </c>
      <c r="J33" s="487">
        <f t="shared" si="7"/>
        <v>0</v>
      </c>
      <c r="K33" s="488">
        <f t="shared" si="13"/>
        <v>1000000</v>
      </c>
      <c r="L33" s="487">
        <f t="shared" si="8"/>
        <v>0</v>
      </c>
      <c r="M33" s="488">
        <f t="shared" si="14"/>
        <v>1000000</v>
      </c>
      <c r="N33" s="487">
        <f t="shared" si="9"/>
        <v>0</v>
      </c>
      <c r="O33" s="488">
        <f t="shared" si="15"/>
        <v>1000000</v>
      </c>
    </row>
    <row r="34" spans="3:15" ht="14.25" customHeight="1">
      <c r="C34" s="708">
        <v>1500000</v>
      </c>
      <c r="D34" s="705">
        <f t="shared" si="4"/>
        <v>0</v>
      </c>
      <c r="E34" s="488">
        <f t="shared" si="10"/>
        <v>1500000</v>
      </c>
      <c r="F34" s="487">
        <f t="shared" si="5"/>
        <v>0</v>
      </c>
      <c r="G34" s="488">
        <f t="shared" si="11"/>
        <v>1500000</v>
      </c>
      <c r="H34" s="487">
        <f t="shared" si="6"/>
        <v>0</v>
      </c>
      <c r="I34" s="488">
        <f t="shared" si="12"/>
        <v>1500000</v>
      </c>
      <c r="J34" s="487">
        <f t="shared" si="7"/>
        <v>0</v>
      </c>
      <c r="K34" s="488">
        <f t="shared" si="13"/>
        <v>1500000</v>
      </c>
      <c r="L34" s="487">
        <f t="shared" si="8"/>
        <v>0</v>
      </c>
      <c r="M34" s="488">
        <f t="shared" si="14"/>
        <v>1500000</v>
      </c>
      <c r="N34" s="487">
        <f t="shared" si="9"/>
        <v>0</v>
      </c>
      <c r="O34" s="488">
        <f t="shared" si="15"/>
        <v>1500000</v>
      </c>
    </row>
    <row r="35" spans="3:15" ht="14.25" customHeight="1">
      <c r="C35" s="708">
        <v>2000000</v>
      </c>
      <c r="D35" s="705">
        <f t="shared" si="4"/>
        <v>0</v>
      </c>
      <c r="E35" s="488">
        <f t="shared" si="10"/>
        <v>2000000</v>
      </c>
      <c r="F35" s="487">
        <f t="shared" si="5"/>
        <v>0</v>
      </c>
      <c r="G35" s="488">
        <f t="shared" si="11"/>
        <v>2000000</v>
      </c>
      <c r="H35" s="487">
        <f t="shared" si="6"/>
        <v>0</v>
      </c>
      <c r="I35" s="488">
        <f t="shared" si="12"/>
        <v>2000000</v>
      </c>
      <c r="J35" s="487">
        <f t="shared" si="7"/>
        <v>0</v>
      </c>
      <c r="K35" s="488">
        <f t="shared" si="13"/>
        <v>2000000</v>
      </c>
      <c r="L35" s="487">
        <f t="shared" si="8"/>
        <v>0</v>
      </c>
      <c r="M35" s="488">
        <f t="shared" si="14"/>
        <v>2000000</v>
      </c>
      <c r="N35" s="487">
        <f t="shared" si="9"/>
        <v>0</v>
      </c>
      <c r="O35" s="488">
        <f t="shared" si="15"/>
        <v>2000000</v>
      </c>
    </row>
    <row r="36" spans="3:15" ht="14.25" customHeight="1">
      <c r="C36" s="708">
        <v>2500000</v>
      </c>
      <c r="D36" s="705">
        <f t="shared" si="4"/>
        <v>0</v>
      </c>
      <c r="E36" s="488">
        <f t="shared" si="10"/>
        <v>2500000</v>
      </c>
      <c r="F36" s="487">
        <f t="shared" si="5"/>
        <v>0</v>
      </c>
      <c r="G36" s="488">
        <f t="shared" si="11"/>
        <v>2500000</v>
      </c>
      <c r="H36" s="487">
        <f t="shared" si="6"/>
        <v>0</v>
      </c>
      <c r="I36" s="488">
        <f t="shared" si="12"/>
        <v>2500000</v>
      </c>
      <c r="J36" s="487">
        <f t="shared" si="7"/>
        <v>0</v>
      </c>
      <c r="K36" s="488">
        <f t="shared" si="13"/>
        <v>2500000</v>
      </c>
      <c r="L36" s="487">
        <f t="shared" si="8"/>
        <v>0</v>
      </c>
      <c r="M36" s="488">
        <f t="shared" si="14"/>
        <v>2500000</v>
      </c>
      <c r="N36" s="487">
        <f t="shared" si="9"/>
        <v>0</v>
      </c>
      <c r="O36" s="488">
        <f t="shared" si="15"/>
        <v>2500000</v>
      </c>
    </row>
    <row r="37" spans="3:15" ht="14.25" customHeight="1">
      <c r="C37" s="708">
        <v>3000000</v>
      </c>
      <c r="D37" s="705">
        <f t="shared" si="4"/>
        <v>0</v>
      </c>
      <c r="E37" s="488">
        <f t="shared" si="10"/>
        <v>3000000</v>
      </c>
      <c r="F37" s="487">
        <f t="shared" si="5"/>
        <v>0</v>
      </c>
      <c r="G37" s="488">
        <f t="shared" si="11"/>
        <v>3000000</v>
      </c>
      <c r="H37" s="487">
        <f t="shared" si="6"/>
        <v>0</v>
      </c>
      <c r="I37" s="488">
        <f t="shared" si="12"/>
        <v>3000000</v>
      </c>
      <c r="J37" s="487">
        <f t="shared" si="7"/>
        <v>0</v>
      </c>
      <c r="K37" s="488">
        <f t="shared" si="13"/>
        <v>3000000</v>
      </c>
      <c r="L37" s="487">
        <f t="shared" si="8"/>
        <v>0</v>
      </c>
      <c r="M37" s="488">
        <f t="shared" si="14"/>
        <v>3000000</v>
      </c>
      <c r="N37" s="487">
        <f t="shared" si="9"/>
        <v>0</v>
      </c>
      <c r="O37" s="488">
        <f t="shared" si="15"/>
        <v>3000000</v>
      </c>
    </row>
    <row r="38" spans="3:15" ht="14.25" customHeight="1">
      <c r="C38" s="708">
        <v>3500000</v>
      </c>
      <c r="D38" s="705">
        <f t="shared" si="4"/>
        <v>0</v>
      </c>
      <c r="E38" s="488">
        <f t="shared" si="10"/>
        <v>3500000</v>
      </c>
      <c r="F38" s="487">
        <f t="shared" si="5"/>
        <v>0</v>
      </c>
      <c r="G38" s="488">
        <f t="shared" si="11"/>
        <v>3500000</v>
      </c>
      <c r="H38" s="487">
        <f t="shared" si="6"/>
        <v>0</v>
      </c>
      <c r="I38" s="488">
        <f t="shared" si="12"/>
        <v>3500000</v>
      </c>
      <c r="J38" s="487">
        <f t="shared" si="7"/>
        <v>0</v>
      </c>
      <c r="K38" s="488">
        <f t="shared" si="13"/>
        <v>3500000</v>
      </c>
      <c r="L38" s="487">
        <f t="shared" si="8"/>
        <v>0</v>
      </c>
      <c r="M38" s="488">
        <f>IF(L38&lt;=C38,C38,"")</f>
        <v>3500000</v>
      </c>
      <c r="N38" s="487">
        <f t="shared" si="9"/>
        <v>0</v>
      </c>
      <c r="O38" s="488">
        <f t="shared" si="15"/>
        <v>3500000</v>
      </c>
    </row>
    <row r="39" spans="3:15" ht="14.25" customHeight="1">
      <c r="C39" s="708">
        <v>4000000</v>
      </c>
      <c r="D39" s="705">
        <f t="shared" si="4"/>
        <v>0</v>
      </c>
      <c r="E39" s="488">
        <f t="shared" si="10"/>
        <v>4000000</v>
      </c>
      <c r="F39" s="487">
        <f t="shared" si="5"/>
        <v>0</v>
      </c>
      <c r="G39" s="488">
        <f t="shared" si="11"/>
        <v>4000000</v>
      </c>
      <c r="H39" s="487">
        <f t="shared" si="6"/>
        <v>0</v>
      </c>
      <c r="I39" s="488">
        <f t="shared" si="12"/>
        <v>4000000</v>
      </c>
      <c r="J39" s="487">
        <f t="shared" si="7"/>
        <v>0</v>
      </c>
      <c r="K39" s="488">
        <f t="shared" si="13"/>
        <v>4000000</v>
      </c>
      <c r="L39" s="487">
        <f t="shared" si="8"/>
        <v>0</v>
      </c>
      <c r="M39" s="488">
        <f>IF(L39&lt;=C39,C39,"")</f>
        <v>4000000</v>
      </c>
      <c r="N39" s="487">
        <f t="shared" si="9"/>
        <v>0</v>
      </c>
      <c r="O39" s="488">
        <f t="shared" si="15"/>
        <v>4000000</v>
      </c>
    </row>
    <row r="40" spans="3:15" ht="14.25" customHeight="1">
      <c r="C40" s="708">
        <v>5000000</v>
      </c>
      <c r="D40" s="705">
        <f t="shared" si="4"/>
        <v>0</v>
      </c>
      <c r="E40" s="488">
        <f t="shared" si="10"/>
        <v>5000000</v>
      </c>
      <c r="F40" s="487">
        <f t="shared" si="5"/>
        <v>0</v>
      </c>
      <c r="G40" s="488">
        <f t="shared" si="11"/>
        <v>5000000</v>
      </c>
      <c r="H40" s="487">
        <f t="shared" si="6"/>
        <v>0</v>
      </c>
      <c r="I40" s="488">
        <f t="shared" si="12"/>
        <v>5000000</v>
      </c>
      <c r="J40" s="487">
        <f t="shared" si="7"/>
        <v>0</v>
      </c>
      <c r="K40" s="488">
        <f t="shared" si="13"/>
        <v>5000000</v>
      </c>
      <c r="L40" s="487">
        <f t="shared" si="8"/>
        <v>0</v>
      </c>
      <c r="M40" s="488">
        <f>IF(L40&lt;=C40,C40,"")</f>
        <v>5000000</v>
      </c>
      <c r="N40" s="487">
        <f t="shared" si="9"/>
        <v>0</v>
      </c>
      <c r="O40" s="488">
        <f t="shared" si="15"/>
        <v>5000000</v>
      </c>
    </row>
    <row r="41" spans="3:15" ht="14.25" customHeight="1">
      <c r="C41" s="708">
        <v>7500000</v>
      </c>
      <c r="D41" s="705">
        <f t="shared" si="4"/>
        <v>0</v>
      </c>
      <c r="E41" s="488">
        <f t="shared" si="10"/>
        <v>7500000</v>
      </c>
      <c r="F41" s="487">
        <f t="shared" si="5"/>
        <v>0</v>
      </c>
      <c r="G41" s="488">
        <f t="shared" si="11"/>
        <v>7500000</v>
      </c>
      <c r="H41" s="487">
        <f t="shared" si="6"/>
        <v>0</v>
      </c>
      <c r="I41" s="488">
        <f t="shared" si="12"/>
        <v>7500000</v>
      </c>
      <c r="J41" s="487">
        <f t="shared" si="7"/>
        <v>0</v>
      </c>
      <c r="K41" s="488">
        <f t="shared" si="13"/>
        <v>7500000</v>
      </c>
      <c r="L41" s="487">
        <f t="shared" si="8"/>
        <v>0</v>
      </c>
      <c r="M41" s="488">
        <f>IF(L41&lt;=C41,C41,"")</f>
        <v>7500000</v>
      </c>
      <c r="N41" s="487">
        <f t="shared" si="9"/>
        <v>0</v>
      </c>
      <c r="O41" s="488">
        <f t="shared" si="15"/>
        <v>7500000</v>
      </c>
    </row>
    <row r="42" spans="3:15" ht="14.25" customHeight="1" thickBot="1">
      <c r="C42" s="709">
        <v>10000000</v>
      </c>
      <c r="D42" s="705">
        <f t="shared" si="4"/>
        <v>0</v>
      </c>
      <c r="E42" s="488">
        <f t="shared" si="10"/>
        <v>10000000</v>
      </c>
      <c r="F42" s="487">
        <f t="shared" si="5"/>
        <v>0</v>
      </c>
      <c r="G42" s="488">
        <f t="shared" si="11"/>
        <v>10000000</v>
      </c>
      <c r="H42" s="487">
        <f t="shared" si="6"/>
        <v>0</v>
      </c>
      <c r="I42" s="488">
        <f t="shared" si="12"/>
        <v>10000000</v>
      </c>
      <c r="J42" s="487">
        <f t="shared" si="7"/>
        <v>0</v>
      </c>
      <c r="K42" s="488">
        <f t="shared" si="13"/>
        <v>10000000</v>
      </c>
      <c r="L42" s="487">
        <f t="shared" si="8"/>
        <v>0</v>
      </c>
      <c r="M42" s="488">
        <f>IF(L42&lt;=C42,C42,"")</f>
        <v>10000000</v>
      </c>
      <c r="N42" s="487">
        <f t="shared" si="9"/>
        <v>0</v>
      </c>
      <c r="O42" s="488">
        <f t="shared" si="15"/>
        <v>10000000</v>
      </c>
    </row>
    <row r="43" spans="3:15" ht="14.25" customHeight="1">
      <c r="D43" s="487"/>
      <c r="E43" s="488"/>
      <c r="F43" s="487"/>
      <c r="G43" s="488"/>
      <c r="H43" s="487"/>
      <c r="I43" s="488"/>
      <c r="J43" s="487"/>
      <c r="K43" s="488"/>
      <c r="L43" s="487"/>
      <c r="M43" s="488"/>
      <c r="N43" s="487"/>
      <c r="O43" s="488"/>
    </row>
    <row r="44" spans="3:15" ht="14.25" customHeight="1" thickBot="1">
      <c r="D44" s="490"/>
      <c r="E44" s="491">
        <f>MIN(E30:E42)</f>
        <v>250000</v>
      </c>
      <c r="F44" s="490"/>
      <c r="G44" s="491">
        <f>MIN(G30:G42)</f>
        <v>250000</v>
      </c>
      <c r="H44" s="490"/>
      <c r="I44" s="491">
        <f>MIN(I30:I42)</f>
        <v>250000</v>
      </c>
      <c r="J44" s="490"/>
      <c r="K44" s="491">
        <f>MIN(K30:K42)</f>
        <v>250000</v>
      </c>
      <c r="L44" s="490"/>
      <c r="M44" s="491">
        <f>MIN(M30:M42)</f>
        <v>250000</v>
      </c>
      <c r="N44" s="490"/>
      <c r="O44" s="491">
        <f>MIN(O30:O42)</f>
        <v>250000</v>
      </c>
    </row>
    <row r="45" spans="3:15" ht="14.25" customHeight="1"/>
    <row r="46" spans="3:15" ht="14.25" customHeight="1"/>
    <row r="47" spans="3:15" ht="14.25" customHeight="1"/>
    <row r="48" spans="3:15" ht="14.25" customHeight="1"/>
    <row r="49" spans="3:18" ht="14.25" customHeight="1"/>
    <row r="50" spans="3:18" ht="14.25" customHeight="1"/>
    <row r="52" spans="3:18" ht="14.4">
      <c r="C52" s="659"/>
      <c r="D52" s="659"/>
      <c r="E52" s="659"/>
      <c r="F52" s="659"/>
      <c r="G52" s="659"/>
      <c r="J52" s="659"/>
      <c r="M52" s="659"/>
    </row>
    <row r="53" spans="3:18" ht="17.399999999999999">
      <c r="C53" s="660" t="s">
        <v>3749</v>
      </c>
      <c r="D53" s="660"/>
      <c r="E53" s="661"/>
      <c r="F53" s="660"/>
      <c r="G53" s="661"/>
      <c r="J53" s="659"/>
      <c r="M53" s="659"/>
    </row>
    <row r="54" spans="3:18" thickBot="1">
      <c r="C54" s="659"/>
      <c r="D54" s="659"/>
      <c r="E54" s="659"/>
      <c r="F54" s="659"/>
      <c r="G54" s="659"/>
      <c r="J54" s="659"/>
      <c r="M54" s="659"/>
    </row>
    <row r="55" spans="3:18" ht="53.4">
      <c r="C55" s="667" t="s">
        <v>3752</v>
      </c>
      <c r="D55" s="668" t="s">
        <v>3753</v>
      </c>
      <c r="E55" s="668"/>
      <c r="F55" s="668" t="s">
        <v>3754</v>
      </c>
      <c r="G55" s="669"/>
      <c r="H55" s="670" t="s">
        <v>3755</v>
      </c>
      <c r="I55" s="670"/>
      <c r="J55" s="670"/>
      <c r="K55" s="670" t="s">
        <v>3756</v>
      </c>
      <c r="L55" s="670"/>
      <c r="M55" s="670"/>
      <c r="N55" s="670" t="s">
        <v>3757</v>
      </c>
      <c r="O55" s="670"/>
      <c r="P55" s="670" t="s">
        <v>3758</v>
      </c>
      <c r="Q55" s="671"/>
      <c r="R55" s="671"/>
    </row>
    <row r="56" spans="3:18" ht="14.4">
      <c r="C56" s="674">
        <v>250000</v>
      </c>
      <c r="D56" s="675">
        <v>750</v>
      </c>
      <c r="E56" s="676"/>
      <c r="F56" s="677"/>
      <c r="G56" s="678"/>
      <c r="H56" s="677"/>
      <c r="I56" s="677"/>
      <c r="J56" s="676"/>
      <c r="K56" s="679"/>
      <c r="L56" s="679"/>
      <c r="M56" s="680"/>
      <c r="N56" s="681"/>
      <c r="O56" s="681"/>
      <c r="P56" s="681"/>
    </row>
    <row r="57" spans="3:18" ht="14.4">
      <c r="C57" s="674">
        <v>500000</v>
      </c>
      <c r="D57" s="684"/>
      <c r="E57" s="676"/>
      <c r="F57" s="685">
        <v>892.5</v>
      </c>
      <c r="G57" s="678"/>
      <c r="H57" s="685">
        <v>997.5</v>
      </c>
      <c r="I57" s="686">
        <f>H57*100/F57-100</f>
        <v>11.764705882352942</v>
      </c>
      <c r="J57" s="676"/>
      <c r="K57" s="685">
        <v>1244.25</v>
      </c>
      <c r="L57" s="686">
        <f>K57*100/H57-100</f>
        <v>24.736842105263165</v>
      </c>
      <c r="M57" s="687"/>
      <c r="N57" s="688"/>
      <c r="O57" s="688"/>
      <c r="P57" s="688"/>
    </row>
    <row r="58" spans="3:18" ht="14.4">
      <c r="C58" s="690">
        <v>750000</v>
      </c>
      <c r="D58" s="684"/>
      <c r="E58" s="676"/>
      <c r="F58" s="691">
        <v>1031</v>
      </c>
      <c r="G58" s="678"/>
      <c r="H58" s="691">
        <v>1189</v>
      </c>
      <c r="I58" s="692"/>
      <c r="J58" s="676"/>
      <c r="K58" s="691">
        <v>1593</v>
      </c>
      <c r="L58" s="686"/>
      <c r="M58" s="687"/>
      <c r="N58" s="688"/>
      <c r="O58" s="688"/>
      <c r="P58" s="688"/>
    </row>
    <row r="59" spans="3:18" ht="14.4">
      <c r="C59" s="674">
        <v>1000000</v>
      </c>
      <c r="D59" s="684"/>
      <c r="E59" s="676"/>
      <c r="F59" s="685">
        <v>1170.75</v>
      </c>
      <c r="G59" s="678"/>
      <c r="H59" s="685">
        <v>1380.75</v>
      </c>
      <c r="I59" s="686">
        <f t="shared" ref="I59:I68" si="16">H59*100/F59-100</f>
        <v>17.937219730941706</v>
      </c>
      <c r="J59" s="676"/>
      <c r="K59" s="685">
        <v>1942.5</v>
      </c>
      <c r="L59" s="686">
        <f t="shared" ref="L59:L68" si="17">K59*100/H59-100</f>
        <v>40.684410646387846</v>
      </c>
      <c r="M59" s="687"/>
      <c r="N59" s="688"/>
      <c r="O59" s="688"/>
      <c r="P59" s="688"/>
    </row>
    <row r="60" spans="3:18" ht="14.4">
      <c r="C60" s="674">
        <v>1500000</v>
      </c>
      <c r="D60" s="684"/>
      <c r="E60" s="676"/>
      <c r="F60" s="685">
        <v>1758.75</v>
      </c>
      <c r="G60" s="678"/>
      <c r="H60" s="685">
        <v>2073.75</v>
      </c>
      <c r="I60" s="686">
        <f t="shared" si="16"/>
        <v>17.910447761194035</v>
      </c>
      <c r="J60" s="676"/>
      <c r="K60" s="685">
        <v>2898</v>
      </c>
      <c r="L60" s="686">
        <f t="shared" si="17"/>
        <v>39.74683544303798</v>
      </c>
      <c r="M60" s="687"/>
      <c r="N60" s="688"/>
      <c r="O60" s="688"/>
      <c r="P60" s="688"/>
    </row>
    <row r="61" spans="3:18" ht="14.4">
      <c r="C61" s="674">
        <v>2000000</v>
      </c>
      <c r="D61" s="684"/>
      <c r="E61" s="676"/>
      <c r="F61" s="685">
        <v>2268</v>
      </c>
      <c r="G61" s="678"/>
      <c r="H61" s="685">
        <v>2488</v>
      </c>
      <c r="I61" s="686">
        <f t="shared" si="16"/>
        <v>9.7001763668430385</v>
      </c>
      <c r="J61" s="676"/>
      <c r="K61" s="685">
        <v>3318</v>
      </c>
      <c r="L61" s="686">
        <f t="shared" si="17"/>
        <v>33.360128617363358</v>
      </c>
      <c r="M61" s="687"/>
      <c r="N61" s="688"/>
      <c r="O61" s="688"/>
      <c r="P61" s="688"/>
    </row>
    <row r="62" spans="3:18" ht="14.4">
      <c r="C62" s="674">
        <v>2500000</v>
      </c>
      <c r="D62" s="684"/>
      <c r="E62" s="676"/>
      <c r="F62" s="685">
        <v>2919</v>
      </c>
      <c r="G62" s="678"/>
      <c r="H62" s="685">
        <v>3454.5</v>
      </c>
      <c r="I62" s="686">
        <f t="shared" si="16"/>
        <v>18.345323741007192</v>
      </c>
      <c r="J62" s="676"/>
      <c r="K62" s="685">
        <v>3974.25</v>
      </c>
      <c r="L62" s="686">
        <f t="shared" si="17"/>
        <v>15.045592705167167</v>
      </c>
      <c r="M62" s="687"/>
      <c r="N62" s="688"/>
      <c r="O62" s="688"/>
      <c r="P62" s="688"/>
    </row>
    <row r="63" spans="3:18" ht="14.4">
      <c r="C63" s="674">
        <v>3000000</v>
      </c>
      <c r="D63" s="684"/>
      <c r="E63" s="676"/>
      <c r="F63" s="685">
        <v>3333.75</v>
      </c>
      <c r="G63" s="678"/>
      <c r="H63" s="685">
        <v>3937.5</v>
      </c>
      <c r="I63" s="686">
        <f t="shared" si="16"/>
        <v>18.110236220472444</v>
      </c>
      <c r="J63" s="676"/>
      <c r="K63" s="685">
        <v>4147.5</v>
      </c>
      <c r="L63" s="686">
        <f t="shared" si="17"/>
        <v>5.3333333333333286</v>
      </c>
      <c r="M63" s="687"/>
      <c r="N63" s="685">
        <v>4354.875</v>
      </c>
      <c r="O63" s="686"/>
      <c r="P63" s="685">
        <v>4572.6187500000005</v>
      </c>
      <c r="Q63" s="694">
        <f>P63*100/N63-100</f>
        <v>5.0000000000000142</v>
      </c>
      <c r="R63" s="694"/>
    </row>
    <row r="64" spans="3:18" ht="14.4">
      <c r="C64" s="690">
        <v>3500000</v>
      </c>
      <c r="D64" s="684"/>
      <c r="E64" s="676"/>
      <c r="F64" s="691">
        <v>3833</v>
      </c>
      <c r="G64" s="678"/>
      <c r="H64" s="691">
        <v>4498</v>
      </c>
      <c r="I64" s="692">
        <f t="shared" si="16"/>
        <v>17.349334724758677</v>
      </c>
      <c r="J64" s="676"/>
      <c r="K64" s="691">
        <v>4810</v>
      </c>
      <c r="L64" s="692">
        <f t="shared" si="17"/>
        <v>6.9364161849710939</v>
      </c>
      <c r="M64" s="687"/>
      <c r="N64" s="685">
        <v>5146.7000000000007</v>
      </c>
      <c r="O64" s="692"/>
      <c r="P64" s="685">
        <v>5506.969000000001</v>
      </c>
      <c r="Q64" s="694"/>
      <c r="R64" s="694"/>
    </row>
    <row r="65" spans="3:18" ht="14.4">
      <c r="C65" s="674">
        <v>4000000</v>
      </c>
      <c r="D65" s="684"/>
      <c r="E65" s="676"/>
      <c r="F65" s="685">
        <v>4333</v>
      </c>
      <c r="G65" s="678"/>
      <c r="H65" s="685">
        <v>5058</v>
      </c>
      <c r="I65" s="686">
        <f t="shared" si="16"/>
        <v>16.732056312024</v>
      </c>
      <c r="J65" s="676"/>
      <c r="K65" s="685">
        <v>5473</v>
      </c>
      <c r="L65" s="686">
        <f t="shared" si="17"/>
        <v>8.2048240411229756</v>
      </c>
      <c r="M65" s="687"/>
      <c r="N65" s="685">
        <v>5910.84</v>
      </c>
      <c r="O65" s="686"/>
      <c r="P65" s="685">
        <v>6383.7072000000007</v>
      </c>
      <c r="Q65" s="694">
        <f>P65*100/N65-100</f>
        <v>8.0000000000000142</v>
      </c>
      <c r="R65" s="694"/>
    </row>
    <row r="66" spans="3:18" ht="14.4">
      <c r="C66" s="674">
        <v>5000000</v>
      </c>
      <c r="D66" s="684"/>
      <c r="E66" s="676"/>
      <c r="F66" s="685">
        <v>5060</v>
      </c>
      <c r="G66" s="678"/>
      <c r="H66" s="685">
        <v>5980</v>
      </c>
      <c r="I66" s="686">
        <f t="shared" si="16"/>
        <v>18.181818181818187</v>
      </c>
      <c r="J66" s="676"/>
      <c r="K66" s="685">
        <v>6652.75</v>
      </c>
      <c r="L66" s="686">
        <f t="shared" si="17"/>
        <v>11.25</v>
      </c>
      <c r="M66" s="687"/>
      <c r="N66" s="685">
        <v>7318.0250000000005</v>
      </c>
      <c r="O66" s="686"/>
      <c r="P66" s="685">
        <v>8049.8275000000012</v>
      </c>
      <c r="Q66" s="694">
        <f>P66*100/N66-100</f>
        <v>10.000000000000014</v>
      </c>
      <c r="R66" s="694"/>
    </row>
    <row r="67" spans="3:18" ht="14.4">
      <c r="C67" s="674">
        <v>7500000</v>
      </c>
      <c r="D67" s="684"/>
      <c r="E67" s="676"/>
      <c r="F67" s="685">
        <v>6831</v>
      </c>
      <c r="G67" s="678"/>
      <c r="H67" s="685">
        <v>7737.2</v>
      </c>
      <c r="I67" s="686">
        <f t="shared" si="16"/>
        <v>13.265993265993259</v>
      </c>
      <c r="J67" s="676"/>
      <c r="K67" s="685">
        <v>8858.4500000000007</v>
      </c>
      <c r="L67" s="686">
        <f t="shared" si="17"/>
        <v>14.491676575505366</v>
      </c>
      <c r="M67" s="687"/>
      <c r="N67" s="685">
        <v>9832.8795000000009</v>
      </c>
      <c r="O67" s="686"/>
      <c r="P67" s="685">
        <v>10914.496245000002</v>
      </c>
      <c r="Q67" s="694">
        <f>P67*100/N67-100</f>
        <v>11</v>
      </c>
      <c r="R67" s="694"/>
    </row>
    <row r="68" spans="3:18" ht="14.25" customHeight="1" thickBot="1">
      <c r="C68" s="698">
        <v>10000000</v>
      </c>
      <c r="D68" s="684"/>
      <c r="E68" s="676"/>
      <c r="F68" s="685">
        <v>9266.4</v>
      </c>
      <c r="G68" s="678"/>
      <c r="H68" s="685">
        <v>10647</v>
      </c>
      <c r="I68" s="686">
        <f t="shared" si="16"/>
        <v>14.89898989898991</v>
      </c>
      <c r="J68" s="676"/>
      <c r="K68" s="685">
        <v>11407.5</v>
      </c>
      <c r="L68" s="686">
        <f t="shared" si="17"/>
        <v>7.1428571428571388</v>
      </c>
      <c r="M68" s="687"/>
      <c r="N68" s="685">
        <v>12320.1</v>
      </c>
      <c r="O68" s="686"/>
      <c r="P68" s="685">
        <v>13305.708000000001</v>
      </c>
      <c r="Q68" s="694">
        <f>P68*100/N68-100</f>
        <v>8</v>
      </c>
      <c r="R68" s="694"/>
    </row>
    <row r="69" spans="3:18" ht="14.25" customHeight="1"/>
    <row r="70" spans="3:18" ht="14.25" customHeight="1"/>
    <row r="71" spans="3:18" ht="14.25" customHeight="1"/>
    <row r="72" spans="3:18" ht="14.25" customHeight="1"/>
    <row r="73" spans="3:18" ht="14.25" customHeight="1"/>
    <row r="74" spans="3:18" ht="14.25" customHeight="1"/>
    <row r="75" spans="3:18" ht="14.25" customHeight="1"/>
    <row r="76" spans="3:18" ht="14.25" customHeight="1"/>
    <row r="77" spans="3:18" ht="14.25" customHeight="1"/>
    <row r="78" spans="3:18" ht="14.25" customHeight="1"/>
    <row r="79" spans="3:18" ht="14.25" customHeight="1"/>
    <row r="80" spans="3:18"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9">
    <mergeCell ref="D1:P1"/>
    <mergeCell ref="B2:C2"/>
    <mergeCell ref="D15:F15"/>
    <mergeCell ref="G15:I15"/>
    <mergeCell ref="D29:E29"/>
    <mergeCell ref="F29:G29"/>
    <mergeCell ref="H29:I29"/>
    <mergeCell ref="J29:K29"/>
    <mergeCell ref="L29:M29"/>
  </mergeCells>
  <pageMargins left="0.7" right="0.7" top="0.78740157499999996" bottom="0.78740157499999996" header="0" footer="0"/>
  <pageSetup paperSize="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B1:P1002"/>
  <sheetViews>
    <sheetView zoomScale="70" zoomScaleNormal="70" workbookViewId="0">
      <selection activeCell="B4" sqref="B4"/>
    </sheetView>
  </sheetViews>
  <sheetFormatPr baseColWidth="10" defaultColWidth="14.33203125" defaultRowHeight="15" customHeight="1"/>
  <cols>
    <col min="1" max="1" width="2.33203125" customWidth="1"/>
    <col min="2" max="2" width="25.33203125" customWidth="1"/>
    <col min="3" max="3" width="49.33203125" bestFit="1" customWidth="1"/>
    <col min="4" max="9" width="17.33203125" customWidth="1"/>
    <col min="10" max="10" width="12" customWidth="1"/>
    <col min="11" max="11" width="29.6640625" customWidth="1"/>
    <col min="12" max="12" width="14" customWidth="1"/>
    <col min="13" max="15" width="13" customWidth="1"/>
    <col min="16" max="16" width="12" customWidth="1"/>
    <col min="17" max="26" width="11.33203125" customWidth="1"/>
  </cols>
  <sheetData>
    <row r="1" spans="2:16" ht="36.75" customHeight="1">
      <c r="D1" s="1095" t="s">
        <v>3128</v>
      </c>
      <c r="E1" s="1032"/>
      <c r="F1" s="1032"/>
      <c r="G1" s="1032"/>
      <c r="H1" s="1032"/>
      <c r="I1" s="1032"/>
      <c r="J1" s="1032"/>
      <c r="K1" s="1032"/>
      <c r="L1" s="1032"/>
      <c r="M1" s="1032"/>
      <c r="N1" s="1032"/>
      <c r="O1" s="1032"/>
      <c r="P1" s="1037"/>
    </row>
    <row r="2" spans="2:16" ht="14.25" customHeight="1" thickBot="1">
      <c r="B2" s="1096" t="s">
        <v>3672</v>
      </c>
      <c r="C2" s="1097"/>
      <c r="D2" s="702">
        <v>250000</v>
      </c>
      <c r="E2" s="702">
        <v>500000</v>
      </c>
      <c r="F2" s="703">
        <v>750000</v>
      </c>
      <c r="G2" s="702">
        <v>1000000</v>
      </c>
      <c r="H2" s="702">
        <v>1500000</v>
      </c>
      <c r="I2" s="702">
        <v>2000000</v>
      </c>
      <c r="J2" s="702">
        <v>2500000</v>
      </c>
      <c r="K2" s="702">
        <v>3000000</v>
      </c>
      <c r="L2" s="703">
        <v>3500000</v>
      </c>
      <c r="M2" s="702">
        <v>4000000</v>
      </c>
      <c r="N2" s="702">
        <v>5000000</v>
      </c>
      <c r="O2" s="702">
        <v>7500000</v>
      </c>
      <c r="P2" s="704">
        <v>10000000</v>
      </c>
    </row>
    <row r="3" spans="2:16" ht="14.25" customHeight="1">
      <c r="B3" s="502" t="s">
        <v>3655</v>
      </c>
      <c r="C3" s="502">
        <v>0</v>
      </c>
      <c r="D3" s="582">
        <v>675</v>
      </c>
      <c r="E3" s="582">
        <v>803.25000000000011</v>
      </c>
      <c r="F3" s="582">
        <v>927.90000000000009</v>
      </c>
      <c r="G3" s="582">
        <v>1053.675</v>
      </c>
      <c r="H3" s="582">
        <v>1582.8749999999998</v>
      </c>
      <c r="I3" s="582">
        <v>2041.2</v>
      </c>
      <c r="J3" s="582">
        <v>2627.1</v>
      </c>
      <c r="K3" s="582">
        <v>3000.375</v>
      </c>
      <c r="L3" s="582">
        <v>3449.7</v>
      </c>
      <c r="M3" s="582">
        <v>3899.7</v>
      </c>
      <c r="N3" s="582">
        <v>4554</v>
      </c>
      <c r="O3" s="582">
        <v>6147.9000000000005</v>
      </c>
      <c r="P3" s="582">
        <v>8339.76</v>
      </c>
    </row>
    <row r="4" spans="2:16" ht="14.25" customHeight="1">
      <c r="B4" s="710" t="s">
        <v>3764</v>
      </c>
      <c r="C4" s="502">
        <v>5000001</v>
      </c>
      <c r="D4" s="582"/>
      <c r="E4" s="582">
        <v>803.25000000000011</v>
      </c>
      <c r="F4" s="582">
        <v>927.90000000000009</v>
      </c>
      <c r="G4" s="582">
        <v>1053.675</v>
      </c>
      <c r="H4" s="582">
        <v>1582.8749999999998</v>
      </c>
      <c r="I4" s="582">
        <v>2041.2</v>
      </c>
      <c r="J4" s="582">
        <v>2627.1</v>
      </c>
      <c r="K4" s="582">
        <v>3000.375</v>
      </c>
      <c r="L4" s="582">
        <v>3449.7</v>
      </c>
      <c r="M4" s="582">
        <v>3899.7</v>
      </c>
      <c r="N4" s="582">
        <v>4554</v>
      </c>
      <c r="O4" s="582">
        <v>6147.9000000000005</v>
      </c>
      <c r="P4" s="582">
        <v>8339.76</v>
      </c>
    </row>
    <row r="5" spans="2:16" ht="14.25" customHeight="1">
      <c r="B5" s="502" t="s">
        <v>3748</v>
      </c>
      <c r="C5" s="502">
        <v>50000001</v>
      </c>
      <c r="D5" s="582"/>
      <c r="E5" s="582">
        <v>897.75</v>
      </c>
      <c r="F5" s="582">
        <v>1070.1000000000001</v>
      </c>
      <c r="G5" s="582">
        <v>1242.675</v>
      </c>
      <c r="H5" s="582">
        <v>1866.375</v>
      </c>
      <c r="I5" s="582">
        <v>2239.1999999999998</v>
      </c>
      <c r="J5" s="582">
        <v>3109.05</v>
      </c>
      <c r="K5" s="582">
        <v>3543.75</v>
      </c>
      <c r="L5" s="582">
        <v>4048.2</v>
      </c>
      <c r="M5" s="582">
        <v>4552.2</v>
      </c>
      <c r="N5" s="582">
        <v>5382</v>
      </c>
      <c r="O5" s="582">
        <v>6963.48</v>
      </c>
      <c r="P5" s="582">
        <v>9582.2999999999993</v>
      </c>
    </row>
    <row r="6" spans="2:16" ht="14.25" customHeight="1">
      <c r="B6" s="502" t="s">
        <v>3730</v>
      </c>
      <c r="C6" s="502">
        <v>100000001</v>
      </c>
      <c r="D6" s="582"/>
      <c r="E6" s="582">
        <v>1119.825</v>
      </c>
      <c r="F6" s="582">
        <v>1433.7</v>
      </c>
      <c r="G6" s="582">
        <v>1748.25</v>
      </c>
      <c r="H6" s="582">
        <v>2608.1999999999998</v>
      </c>
      <c r="I6" s="582">
        <v>2986.2</v>
      </c>
      <c r="J6" s="582">
        <v>3576.8249999999998</v>
      </c>
      <c r="K6" s="582">
        <v>3732.75</v>
      </c>
      <c r="L6" s="582">
        <v>4329</v>
      </c>
      <c r="M6" s="582">
        <v>4925.7</v>
      </c>
      <c r="N6" s="582">
        <v>5987.4750000000004</v>
      </c>
      <c r="O6" s="582">
        <v>7972.6050000000005</v>
      </c>
      <c r="P6" s="582">
        <v>10266.75</v>
      </c>
    </row>
    <row r="7" spans="2:16" ht="14.25" customHeight="1">
      <c r="B7" s="502"/>
      <c r="C7" s="502"/>
      <c r="D7" s="560"/>
      <c r="E7" s="560"/>
      <c r="F7" s="255"/>
      <c r="G7" s="255"/>
      <c r="H7" s="255"/>
      <c r="I7" s="255"/>
      <c r="J7" s="255"/>
      <c r="K7" s="255"/>
      <c r="L7" s="255"/>
      <c r="M7" s="255"/>
      <c r="N7" s="255"/>
      <c r="O7" s="255"/>
      <c r="P7" s="255"/>
    </row>
    <row r="8" spans="2:16" ht="14.25" customHeight="1">
      <c r="B8" s="502"/>
      <c r="C8" s="502"/>
      <c r="D8" s="560"/>
      <c r="E8" s="560"/>
      <c r="F8" s="255"/>
      <c r="G8" s="255"/>
      <c r="H8" s="255"/>
      <c r="I8" s="255"/>
      <c r="J8" s="255"/>
      <c r="K8" s="255"/>
      <c r="L8" s="255"/>
      <c r="M8" s="255"/>
      <c r="N8" s="255"/>
      <c r="O8" s="255"/>
      <c r="P8" s="255"/>
    </row>
    <row r="9" spans="2:16" ht="14.25" customHeight="1">
      <c r="B9" s="502"/>
      <c r="C9" s="502"/>
      <c r="D9" s="560"/>
      <c r="E9" s="560"/>
      <c r="F9" s="255"/>
      <c r="G9" s="255"/>
      <c r="H9" s="255"/>
      <c r="I9" s="255"/>
      <c r="J9" s="255"/>
      <c r="K9" s="255"/>
      <c r="L9" s="255"/>
      <c r="M9" s="255"/>
      <c r="N9" s="255"/>
      <c r="O9" s="255"/>
      <c r="P9" s="255"/>
    </row>
    <row r="10" spans="2:16" ht="14.25" customHeight="1">
      <c r="B10" s="502"/>
      <c r="C10" s="502"/>
      <c r="D10" s="560"/>
      <c r="E10" s="560"/>
      <c r="F10" s="255"/>
      <c r="G10" s="255"/>
      <c r="H10" s="255"/>
      <c r="I10" s="255"/>
      <c r="J10" s="255"/>
      <c r="K10" s="255"/>
      <c r="L10" s="255"/>
      <c r="M10" s="255"/>
      <c r="N10" s="255"/>
      <c r="O10" s="255"/>
      <c r="P10" s="255"/>
    </row>
    <row r="11" spans="2:16" ht="14.25" customHeight="1">
      <c r="B11" s="502"/>
      <c r="C11" s="502"/>
      <c r="D11" s="560"/>
      <c r="E11" s="560"/>
      <c r="F11" s="255"/>
      <c r="G11" s="255"/>
      <c r="H11" s="255"/>
      <c r="I11" s="255"/>
      <c r="J11" s="255"/>
      <c r="K11" s="255"/>
      <c r="L11" s="255"/>
      <c r="M11" s="255"/>
      <c r="N11" s="255"/>
      <c r="O11" s="255"/>
      <c r="P11" s="255"/>
    </row>
    <row r="12" spans="2:16" ht="14.25" customHeight="1">
      <c r="B12" s="502"/>
      <c r="C12" s="502"/>
      <c r="D12" s="560"/>
      <c r="E12" s="560"/>
      <c r="F12" s="255"/>
      <c r="G12" s="255"/>
      <c r="H12" s="255"/>
      <c r="I12" s="255"/>
      <c r="J12" s="255"/>
      <c r="K12" s="255"/>
      <c r="L12" s="255"/>
      <c r="M12" s="255"/>
      <c r="N12" s="255"/>
      <c r="O12" s="255"/>
      <c r="P12" s="255"/>
    </row>
    <row r="13" spans="2:16" ht="14.25" customHeight="1"/>
    <row r="14" spans="2:16" ht="14.25" customHeight="1" thickBot="1">
      <c r="K14" s="168" t="s">
        <v>3646</v>
      </c>
      <c r="L14" s="472">
        <v>250000</v>
      </c>
    </row>
    <row r="15" spans="2:16" ht="14.25" customHeight="1" thickBot="1">
      <c r="D15" s="1083" t="s">
        <v>2398</v>
      </c>
      <c r="E15" s="1085"/>
      <c r="F15" s="1085"/>
      <c r="G15" s="1098" t="s">
        <v>3111</v>
      </c>
      <c r="H15" s="1099"/>
      <c r="I15" s="1090"/>
      <c r="K15" s="168" t="s">
        <v>3647</v>
      </c>
      <c r="L15" s="472">
        <v>10000000</v>
      </c>
    </row>
    <row r="16" spans="2:16" ht="14.25" customHeight="1" thickBot="1">
      <c r="D16" s="473" t="s">
        <v>3113</v>
      </c>
      <c r="E16" s="22" t="s">
        <v>3114</v>
      </c>
      <c r="F16" s="22" t="s">
        <v>3115</v>
      </c>
      <c r="G16" s="977" t="str">
        <f>'Preisrechner Alle Tarife'!B3</f>
        <v>DS 1</v>
      </c>
      <c r="H16" s="978" t="str">
        <f>'Preisrechner Alle Tarife'!C3</f>
        <v>DS 2</v>
      </c>
      <c r="I16" s="980" t="str">
        <f>'Preisrechner Alle Tarife'!D3</f>
        <v>DS 3</v>
      </c>
      <c r="K16" s="168" t="s">
        <v>3648</v>
      </c>
      <c r="L16" s="472">
        <v>150000000</v>
      </c>
    </row>
    <row r="17" spans="3:15" ht="14.25" customHeight="1">
      <c r="C17" s="1002" t="s">
        <v>3117</v>
      </c>
      <c r="D17" s="1003">
        <f>IF(Deckungssumme1GI&gt;libertyClubs_MaxDeckungssumme,libertyClubs_MaxDeckungssumme,Deckungssumme1GI)</f>
        <v>0</v>
      </c>
      <c r="E17" s="1004">
        <f>IF(Deckungssumme2GI&gt;libertyClubs_MaxDeckungssumme,libertyClubs_MaxDeckungssumme,Deckungssumme2GI)</f>
        <v>0</v>
      </c>
      <c r="F17" s="1004">
        <f>IF(Deckungssumme3GI&gt;libertyClubs_MaxDeckungssumme,libertyClubs_MaxDeckungssumme,Deckungssumme3GI)</f>
        <v>0</v>
      </c>
      <c r="G17" s="1005">
        <f>IF(Deckungssumme1&gt;libertyClubs_MaxDeckungssumme,libertyClubs_MaxDeckungssumme,Deckungssumme1)</f>
        <v>0</v>
      </c>
      <c r="H17" s="1004">
        <f>IF(Deckungssumme2&gt;libertyClubs_MaxDeckungssumme,libertyClubs_MaxDeckungssumme,Deckungssumme2)</f>
        <v>0</v>
      </c>
      <c r="I17" s="1006">
        <f>IF(Deckungssumme3&gt;libertyClubs_MaxDeckungssumme,libertyClubs_MaxDeckungssumme,Deckungssumme3)</f>
        <v>0</v>
      </c>
    </row>
    <row r="18" spans="3:15" ht="14.25" customHeight="1">
      <c r="C18" s="480" t="s">
        <v>3119</v>
      </c>
      <c r="D18" s="477" t="str">
        <f>IF(Deckungssumme1GI=0,"",E44)</f>
        <v/>
      </c>
      <c r="E18" s="478" t="str">
        <f>IF(Deckungssumme2GI=0,"",G44)</f>
        <v/>
      </c>
      <c r="F18" s="478" t="str">
        <f>IF(Deckungssumme3GI=0,"",I44)</f>
        <v/>
      </c>
      <c r="G18" s="854" t="str">
        <f>IF(Deckungssumme1=0,"",K44)</f>
        <v/>
      </c>
      <c r="H18" s="629" t="str">
        <f>IF(Deckungssumme2=0,"",M44)</f>
        <v/>
      </c>
      <c r="I18" s="855" t="str">
        <f>IF(Deckungssumme3=0,"",O44)</f>
        <v/>
      </c>
    </row>
    <row r="19" spans="3:15" ht="14.25" customHeight="1">
      <c r="C19" s="480" t="s">
        <v>3649</v>
      </c>
      <c r="D19" s="477">
        <f>IF(MAX(AußenumsatzGI,VereinsvermögenGI,BilanzsummeGI)&gt;libertyClubs_MaxUmsatz,"Umsatz zu groß!",MAX(AußenumsatzGI,VereinsvermögenGI,BilanzsummeGI))</f>
        <v>0</v>
      </c>
      <c r="E19" s="478">
        <f>IF(MAX(AußenumsatzGI,VereinsvermögenGI,BilanzsummeGI)&gt;libertyClubs_MaxUmsatz,"Umsatz zu groß!",MAX(AußenumsatzGI,VereinsvermögenGI,BilanzsummeGI))</f>
        <v>0</v>
      </c>
      <c r="F19" s="478">
        <f>IF(MAX(AußenumsatzGI,VereinsvermögenGI,BilanzsummeGI)&gt;libertyClubs_MaxUmsatz,"Umsatz zu groß!",MAX(AußenumsatzGI,VereinsvermögenGI,BilanzsummeGI))</f>
        <v>0</v>
      </c>
      <c r="G19" s="854">
        <f>IF(MAX(Außenumsatz,Vereinsvermögen,Bilanzsumme)&gt;libertyClubs_MaxUmsatz,"Umsatz zu groß!",MAX(Außenumsatz,Vereinsvermögen,Bilanzsumme))</f>
        <v>0</v>
      </c>
      <c r="H19" s="629">
        <f>IF(MAX(Außenumsatz,Vereinsvermögen,Bilanzsumme)&gt;libertyClubs_MaxUmsatz,"Umsatz zu groß!",MAX(Außenumsatz,Vereinsvermögen,Bilanzsumme))</f>
        <v>0</v>
      </c>
      <c r="I19" s="855">
        <f>IF(MAX(Außenumsatz,Vereinsvermögen,Bilanzsumme)&gt;libertyClubs_MaxUmsatz,"Umsatz zu groß!",MAX(Außenumsatz,Vereinsvermögen,Bilanzsumme))</f>
        <v>0</v>
      </c>
      <c r="K19" s="625" t="s">
        <v>4096</v>
      </c>
      <c r="L19" s="994">
        <f>MAX(Bilanzsumme,Vereinsvermögen)</f>
        <v>0</v>
      </c>
    </row>
    <row r="20" spans="3:15" ht="14.25" customHeight="1">
      <c r="C20" s="480" t="s">
        <v>3650</v>
      </c>
      <c r="D20" s="477" t="e">
        <f t="shared" ref="D20:I20" si="0">MATCH(D18,$D$2:$P$2,1)</f>
        <v>#N/A</v>
      </c>
      <c r="E20" s="478" t="e">
        <f t="shared" si="0"/>
        <v>#N/A</v>
      </c>
      <c r="F20" s="478" t="e">
        <f t="shared" si="0"/>
        <v>#N/A</v>
      </c>
      <c r="G20" s="854" t="e">
        <f t="shared" si="0"/>
        <v>#N/A</v>
      </c>
      <c r="H20" s="629" t="e">
        <f t="shared" si="0"/>
        <v>#N/A</v>
      </c>
      <c r="I20" s="855" t="e">
        <f t="shared" si="0"/>
        <v>#N/A</v>
      </c>
    </row>
    <row r="21" spans="3:15" ht="14.25" customHeight="1">
      <c r="C21" s="480" t="s">
        <v>3651</v>
      </c>
      <c r="D21" s="477">
        <f t="shared" ref="D21:I21" si="1">MATCH(D19,$C$3:$C$6,1)</f>
        <v>1</v>
      </c>
      <c r="E21" s="478">
        <f t="shared" si="1"/>
        <v>1</v>
      </c>
      <c r="F21" s="478">
        <f t="shared" si="1"/>
        <v>1</v>
      </c>
      <c r="G21" s="854">
        <f t="shared" si="1"/>
        <v>1</v>
      </c>
      <c r="H21" s="629">
        <f t="shared" si="1"/>
        <v>1</v>
      </c>
      <c r="I21" s="855">
        <f t="shared" si="1"/>
        <v>1</v>
      </c>
    </row>
    <row r="22" spans="3:15" ht="14.25" customHeight="1" thickBot="1">
      <c r="C22" s="985" t="s">
        <v>4094</v>
      </c>
      <c r="D22" s="981" t="str">
        <f t="shared" ref="D22:I22" si="2">IFERROR(INDEX($D$3:$P$6,D21,D20),"")</f>
        <v/>
      </c>
      <c r="E22" s="975" t="str">
        <f t="shared" si="2"/>
        <v/>
      </c>
      <c r="F22" s="975" t="str">
        <f t="shared" si="2"/>
        <v/>
      </c>
      <c r="G22" s="996" t="str">
        <f t="shared" si="2"/>
        <v/>
      </c>
      <c r="H22" s="997" t="str">
        <f t="shared" si="2"/>
        <v/>
      </c>
      <c r="I22" s="998" t="str">
        <f t="shared" si="2"/>
        <v/>
      </c>
    </row>
    <row r="23" spans="3:15" ht="14.25" customHeight="1">
      <c r="C23" s="987"/>
      <c r="D23" s="988"/>
      <c r="E23" s="705"/>
      <c r="F23" s="705"/>
      <c r="G23" s="999"/>
      <c r="H23" s="1000"/>
      <c r="I23" s="1001"/>
    </row>
    <row r="24" spans="3:15" ht="14.25" customHeight="1">
      <c r="C24" s="986" t="s">
        <v>4090</v>
      </c>
      <c r="D24" s="988"/>
      <c r="E24" s="705"/>
      <c r="F24" s="705"/>
      <c r="G24" s="986">
        <f>IF(G18&gt;0.5*$L$19,0.2,0)</f>
        <v>0.2</v>
      </c>
      <c r="H24" s="986">
        <f>IF(H18&gt;0.5*$L$19,0.2,0)</f>
        <v>0.2</v>
      </c>
      <c r="I24" s="993">
        <f>IF(I18&gt;0.5*$L$19,0.2,0)</f>
        <v>0.2</v>
      </c>
    </row>
    <row r="25" spans="3:15" ht="14.25" customHeight="1">
      <c r="C25" s="987"/>
      <c r="D25" s="988"/>
      <c r="E25" s="705"/>
      <c r="F25" s="705"/>
      <c r="G25" s="988"/>
      <c r="H25" s="705"/>
      <c r="I25" s="989"/>
    </row>
    <row r="26" spans="3:15" ht="14.25" customHeight="1" thickBot="1">
      <c r="C26" s="990" t="s">
        <v>4095</v>
      </c>
      <c r="D26" s="991" t="str">
        <f>D22</f>
        <v/>
      </c>
      <c r="E26" s="992" t="str">
        <f>E22</f>
        <v/>
      </c>
      <c r="F26" s="992" t="str">
        <f>F22</f>
        <v/>
      </c>
      <c r="G26" s="991" t="str">
        <f>IFERROR(G22*(1+G24),"")</f>
        <v/>
      </c>
      <c r="H26" s="991" t="str">
        <f t="shared" ref="H26:I26" si="3">IFERROR(H22*(1+H24),"")</f>
        <v/>
      </c>
      <c r="I26" s="995" t="str">
        <f t="shared" si="3"/>
        <v/>
      </c>
    </row>
    <row r="27" spans="3:15" ht="14.25" customHeight="1"/>
    <row r="28" spans="3:15" ht="14.25" customHeight="1" thickBot="1"/>
    <row r="29" spans="3:15" ht="14.25" customHeight="1" thickBot="1">
      <c r="C29" s="706" t="s">
        <v>3763</v>
      </c>
      <c r="D29" s="1083" t="s">
        <v>3113</v>
      </c>
      <c r="E29" s="1084"/>
      <c r="F29" s="1083" t="s">
        <v>3114</v>
      </c>
      <c r="G29" s="1085"/>
      <c r="H29" s="1083" t="s">
        <v>3115</v>
      </c>
      <c r="I29" s="1084"/>
      <c r="J29" s="1083" t="s">
        <v>3113</v>
      </c>
      <c r="K29" s="1100"/>
      <c r="L29" s="1083" t="s">
        <v>3114</v>
      </c>
      <c r="M29" s="1100"/>
      <c r="N29" s="514" t="s">
        <v>3115</v>
      </c>
      <c r="O29" s="515"/>
    </row>
    <row r="30" spans="3:15" ht="14.25" customHeight="1">
      <c r="C30" s="707">
        <v>250000</v>
      </c>
      <c r="D30" s="705">
        <f t="shared" ref="D30:D42" si="4">$D$17</f>
        <v>0</v>
      </c>
      <c r="E30" s="488">
        <f>IF(D30&lt;=C30,C30,"")</f>
        <v>250000</v>
      </c>
      <c r="F30" s="487">
        <f t="shared" ref="F30:F42" si="5">$E$17</f>
        <v>0</v>
      </c>
      <c r="G30" s="488">
        <f>IF(F30&lt;=$C30,$C30,"")</f>
        <v>250000</v>
      </c>
      <c r="H30" s="487">
        <f>$F$17</f>
        <v>0</v>
      </c>
      <c r="I30" s="488">
        <f>IF(H30&lt;=$C30,$C30,"")</f>
        <v>250000</v>
      </c>
      <c r="J30" s="487">
        <f t="shared" ref="J30:J42" si="6">$G$17</f>
        <v>0</v>
      </c>
      <c r="K30" s="488">
        <f t="shared" ref="K30:K42" si="7">IF(J30&lt;=$C30,$C30,"")</f>
        <v>250000</v>
      </c>
      <c r="L30" s="487">
        <f t="shared" ref="L30:L42" si="8">$H$17</f>
        <v>0</v>
      </c>
      <c r="M30" s="488">
        <f t="shared" ref="M30:M42" si="9">IF(L30&lt;=$C30,$C30,"")</f>
        <v>250000</v>
      </c>
      <c r="N30" s="487">
        <f t="shared" ref="N30:N42" si="10">$I$17</f>
        <v>0</v>
      </c>
      <c r="O30" s="488">
        <f t="shared" ref="O30:O42" si="11">IF(N30&lt;=$C30,$C30,"")</f>
        <v>250000</v>
      </c>
    </row>
    <row r="31" spans="3:15" ht="14.25" customHeight="1">
      <c r="C31" s="708">
        <v>500000</v>
      </c>
      <c r="D31" s="705">
        <f t="shared" si="4"/>
        <v>0</v>
      </c>
      <c r="E31" s="488">
        <f>IF(D31&lt;=C31,C31,"")</f>
        <v>500000</v>
      </c>
      <c r="F31" s="487">
        <f t="shared" si="5"/>
        <v>0</v>
      </c>
      <c r="G31" s="488">
        <f t="shared" ref="G31:I42" si="12">IF(F31&lt;=$C31,$C31,"")</f>
        <v>500000</v>
      </c>
      <c r="H31" s="487">
        <f t="shared" ref="H31:H42" si="13">$F$17</f>
        <v>0</v>
      </c>
      <c r="I31" s="488">
        <f t="shared" si="12"/>
        <v>500000</v>
      </c>
      <c r="J31" s="487">
        <f t="shared" si="6"/>
        <v>0</v>
      </c>
      <c r="K31" s="488">
        <f t="shared" si="7"/>
        <v>500000</v>
      </c>
      <c r="L31" s="487">
        <f t="shared" si="8"/>
        <v>0</v>
      </c>
      <c r="M31" s="488">
        <f t="shared" si="9"/>
        <v>500000</v>
      </c>
      <c r="N31" s="487">
        <f t="shared" si="10"/>
        <v>0</v>
      </c>
      <c r="O31" s="488">
        <f t="shared" si="11"/>
        <v>500000</v>
      </c>
    </row>
    <row r="32" spans="3:15" ht="14.25" customHeight="1">
      <c r="C32" s="708">
        <v>750000</v>
      </c>
      <c r="D32" s="705">
        <f t="shared" si="4"/>
        <v>0</v>
      </c>
      <c r="E32" s="488">
        <f t="shared" ref="E32:E42" si="14">IF(D32&lt;=C32,C32,"")</f>
        <v>750000</v>
      </c>
      <c r="F32" s="487">
        <f t="shared" si="5"/>
        <v>0</v>
      </c>
      <c r="G32" s="488">
        <f t="shared" si="12"/>
        <v>750000</v>
      </c>
      <c r="H32" s="487">
        <f t="shared" si="13"/>
        <v>0</v>
      </c>
      <c r="I32" s="488">
        <f t="shared" si="12"/>
        <v>750000</v>
      </c>
      <c r="J32" s="487">
        <f t="shared" si="6"/>
        <v>0</v>
      </c>
      <c r="K32" s="488">
        <f t="shared" si="7"/>
        <v>750000</v>
      </c>
      <c r="L32" s="487">
        <f t="shared" si="8"/>
        <v>0</v>
      </c>
      <c r="M32" s="488">
        <f t="shared" si="9"/>
        <v>750000</v>
      </c>
      <c r="N32" s="487">
        <f t="shared" si="10"/>
        <v>0</v>
      </c>
      <c r="O32" s="488">
        <f t="shared" si="11"/>
        <v>750000</v>
      </c>
    </row>
    <row r="33" spans="3:15" ht="14.25" customHeight="1">
      <c r="C33" s="708">
        <v>1000000</v>
      </c>
      <c r="D33" s="705">
        <f t="shared" si="4"/>
        <v>0</v>
      </c>
      <c r="E33" s="488">
        <f>IF(D33&lt;=C33,C33,"")</f>
        <v>1000000</v>
      </c>
      <c r="F33" s="487">
        <f t="shared" si="5"/>
        <v>0</v>
      </c>
      <c r="G33" s="488">
        <f t="shared" si="12"/>
        <v>1000000</v>
      </c>
      <c r="H33" s="487">
        <f t="shared" si="13"/>
        <v>0</v>
      </c>
      <c r="I33" s="488">
        <f t="shared" si="12"/>
        <v>1000000</v>
      </c>
      <c r="J33" s="487">
        <f t="shared" si="6"/>
        <v>0</v>
      </c>
      <c r="K33" s="488">
        <f t="shared" si="7"/>
        <v>1000000</v>
      </c>
      <c r="L33" s="487">
        <f t="shared" si="8"/>
        <v>0</v>
      </c>
      <c r="M33" s="488">
        <f t="shared" si="9"/>
        <v>1000000</v>
      </c>
      <c r="N33" s="487">
        <f t="shared" si="10"/>
        <v>0</v>
      </c>
      <c r="O33" s="488">
        <f t="shared" si="11"/>
        <v>1000000</v>
      </c>
    </row>
    <row r="34" spans="3:15" ht="14.25" customHeight="1">
      <c r="C34" s="708">
        <v>1500000</v>
      </c>
      <c r="D34" s="705">
        <f t="shared" si="4"/>
        <v>0</v>
      </c>
      <c r="E34" s="488">
        <f>IF(D34&lt;=C34,C34,"")</f>
        <v>1500000</v>
      </c>
      <c r="F34" s="487">
        <f t="shared" si="5"/>
        <v>0</v>
      </c>
      <c r="G34" s="488">
        <f t="shared" si="12"/>
        <v>1500000</v>
      </c>
      <c r="H34" s="487">
        <f t="shared" si="13"/>
        <v>0</v>
      </c>
      <c r="I34" s="488">
        <f t="shared" si="12"/>
        <v>1500000</v>
      </c>
      <c r="J34" s="487">
        <f t="shared" si="6"/>
        <v>0</v>
      </c>
      <c r="K34" s="488">
        <f t="shared" si="7"/>
        <v>1500000</v>
      </c>
      <c r="L34" s="487">
        <f t="shared" si="8"/>
        <v>0</v>
      </c>
      <c r="M34" s="488">
        <f t="shared" si="9"/>
        <v>1500000</v>
      </c>
      <c r="N34" s="487">
        <f t="shared" si="10"/>
        <v>0</v>
      </c>
      <c r="O34" s="488">
        <f t="shared" si="11"/>
        <v>1500000</v>
      </c>
    </row>
    <row r="35" spans="3:15" ht="14.25" customHeight="1">
      <c r="C35" s="708">
        <v>2000000</v>
      </c>
      <c r="D35" s="705">
        <f t="shared" si="4"/>
        <v>0</v>
      </c>
      <c r="E35" s="488">
        <f t="shared" si="14"/>
        <v>2000000</v>
      </c>
      <c r="F35" s="487">
        <f t="shared" si="5"/>
        <v>0</v>
      </c>
      <c r="G35" s="488">
        <f t="shared" si="12"/>
        <v>2000000</v>
      </c>
      <c r="H35" s="487">
        <f t="shared" si="13"/>
        <v>0</v>
      </c>
      <c r="I35" s="488">
        <f t="shared" si="12"/>
        <v>2000000</v>
      </c>
      <c r="J35" s="487">
        <f t="shared" si="6"/>
        <v>0</v>
      </c>
      <c r="K35" s="488">
        <f t="shared" si="7"/>
        <v>2000000</v>
      </c>
      <c r="L35" s="487">
        <f t="shared" si="8"/>
        <v>0</v>
      </c>
      <c r="M35" s="488">
        <f t="shared" si="9"/>
        <v>2000000</v>
      </c>
      <c r="N35" s="487">
        <f t="shared" si="10"/>
        <v>0</v>
      </c>
      <c r="O35" s="488">
        <f t="shared" si="11"/>
        <v>2000000</v>
      </c>
    </row>
    <row r="36" spans="3:15" ht="14.25" customHeight="1">
      <c r="C36" s="708">
        <v>2500000</v>
      </c>
      <c r="D36" s="705">
        <f t="shared" si="4"/>
        <v>0</v>
      </c>
      <c r="E36" s="488">
        <f t="shared" si="14"/>
        <v>2500000</v>
      </c>
      <c r="F36" s="487">
        <f t="shared" si="5"/>
        <v>0</v>
      </c>
      <c r="G36" s="488">
        <f t="shared" si="12"/>
        <v>2500000</v>
      </c>
      <c r="H36" s="487">
        <f t="shared" si="13"/>
        <v>0</v>
      </c>
      <c r="I36" s="488">
        <f t="shared" si="12"/>
        <v>2500000</v>
      </c>
      <c r="J36" s="487">
        <f t="shared" si="6"/>
        <v>0</v>
      </c>
      <c r="K36" s="488">
        <f t="shared" si="7"/>
        <v>2500000</v>
      </c>
      <c r="L36" s="487">
        <f t="shared" si="8"/>
        <v>0</v>
      </c>
      <c r="M36" s="488">
        <f t="shared" si="9"/>
        <v>2500000</v>
      </c>
      <c r="N36" s="487">
        <f t="shared" si="10"/>
        <v>0</v>
      </c>
      <c r="O36" s="488">
        <f t="shared" si="11"/>
        <v>2500000</v>
      </c>
    </row>
    <row r="37" spans="3:15" ht="14.25" customHeight="1">
      <c r="C37" s="708">
        <v>3000000</v>
      </c>
      <c r="D37" s="705">
        <f t="shared" si="4"/>
        <v>0</v>
      </c>
      <c r="E37" s="488">
        <f t="shared" si="14"/>
        <v>3000000</v>
      </c>
      <c r="F37" s="487">
        <f t="shared" si="5"/>
        <v>0</v>
      </c>
      <c r="G37" s="488">
        <f t="shared" si="12"/>
        <v>3000000</v>
      </c>
      <c r="H37" s="487">
        <f t="shared" si="13"/>
        <v>0</v>
      </c>
      <c r="I37" s="488">
        <f t="shared" si="12"/>
        <v>3000000</v>
      </c>
      <c r="J37" s="487">
        <f t="shared" si="6"/>
        <v>0</v>
      </c>
      <c r="K37" s="488">
        <f t="shared" si="7"/>
        <v>3000000</v>
      </c>
      <c r="L37" s="487">
        <f t="shared" si="8"/>
        <v>0</v>
      </c>
      <c r="M37" s="488">
        <f t="shared" si="9"/>
        <v>3000000</v>
      </c>
      <c r="N37" s="487">
        <f t="shared" si="10"/>
        <v>0</v>
      </c>
      <c r="O37" s="488">
        <f t="shared" si="11"/>
        <v>3000000</v>
      </c>
    </row>
    <row r="38" spans="3:15" ht="14.25" customHeight="1">
      <c r="C38" s="708">
        <v>3500000</v>
      </c>
      <c r="D38" s="705">
        <f t="shared" si="4"/>
        <v>0</v>
      </c>
      <c r="E38" s="488">
        <f t="shared" si="14"/>
        <v>3500000</v>
      </c>
      <c r="F38" s="487">
        <f t="shared" si="5"/>
        <v>0</v>
      </c>
      <c r="G38" s="488">
        <f t="shared" si="12"/>
        <v>3500000</v>
      </c>
      <c r="H38" s="487">
        <f t="shared" si="13"/>
        <v>0</v>
      </c>
      <c r="I38" s="488">
        <f t="shared" si="12"/>
        <v>3500000</v>
      </c>
      <c r="J38" s="487">
        <f t="shared" si="6"/>
        <v>0</v>
      </c>
      <c r="K38" s="488">
        <f t="shared" si="7"/>
        <v>3500000</v>
      </c>
      <c r="L38" s="487">
        <f t="shared" si="8"/>
        <v>0</v>
      </c>
      <c r="M38" s="488">
        <f t="shared" si="9"/>
        <v>3500000</v>
      </c>
      <c r="N38" s="487">
        <f t="shared" si="10"/>
        <v>0</v>
      </c>
      <c r="O38" s="488">
        <f t="shared" si="11"/>
        <v>3500000</v>
      </c>
    </row>
    <row r="39" spans="3:15" ht="14.25" customHeight="1">
      <c r="C39" s="708">
        <v>4000000</v>
      </c>
      <c r="D39" s="705">
        <f t="shared" si="4"/>
        <v>0</v>
      </c>
      <c r="E39" s="488">
        <f t="shared" si="14"/>
        <v>4000000</v>
      </c>
      <c r="F39" s="487">
        <f t="shared" si="5"/>
        <v>0</v>
      </c>
      <c r="G39" s="488">
        <f t="shared" si="12"/>
        <v>4000000</v>
      </c>
      <c r="H39" s="487">
        <f t="shared" si="13"/>
        <v>0</v>
      </c>
      <c r="I39" s="488">
        <f t="shared" si="12"/>
        <v>4000000</v>
      </c>
      <c r="J39" s="487">
        <f t="shared" si="6"/>
        <v>0</v>
      </c>
      <c r="K39" s="488">
        <f t="shared" si="7"/>
        <v>4000000</v>
      </c>
      <c r="L39" s="487">
        <f t="shared" si="8"/>
        <v>0</v>
      </c>
      <c r="M39" s="488">
        <f t="shared" si="9"/>
        <v>4000000</v>
      </c>
      <c r="N39" s="487">
        <f t="shared" si="10"/>
        <v>0</v>
      </c>
      <c r="O39" s="488">
        <f t="shared" si="11"/>
        <v>4000000</v>
      </c>
    </row>
    <row r="40" spans="3:15" ht="14.25" customHeight="1">
      <c r="C40" s="708">
        <v>5000000</v>
      </c>
      <c r="D40" s="705">
        <f t="shared" si="4"/>
        <v>0</v>
      </c>
      <c r="E40" s="488">
        <f t="shared" si="14"/>
        <v>5000000</v>
      </c>
      <c r="F40" s="487">
        <f t="shared" si="5"/>
        <v>0</v>
      </c>
      <c r="G40" s="488">
        <f t="shared" si="12"/>
        <v>5000000</v>
      </c>
      <c r="H40" s="487">
        <f t="shared" si="13"/>
        <v>0</v>
      </c>
      <c r="I40" s="488">
        <f t="shared" si="12"/>
        <v>5000000</v>
      </c>
      <c r="J40" s="487">
        <f t="shared" si="6"/>
        <v>0</v>
      </c>
      <c r="K40" s="488">
        <f t="shared" si="7"/>
        <v>5000000</v>
      </c>
      <c r="L40" s="487">
        <f t="shared" si="8"/>
        <v>0</v>
      </c>
      <c r="M40" s="488">
        <f t="shared" si="9"/>
        <v>5000000</v>
      </c>
      <c r="N40" s="487">
        <f t="shared" si="10"/>
        <v>0</v>
      </c>
      <c r="O40" s="488">
        <f t="shared" si="11"/>
        <v>5000000</v>
      </c>
    </row>
    <row r="41" spans="3:15" ht="14.25" customHeight="1">
      <c r="C41" s="708">
        <v>7500000</v>
      </c>
      <c r="D41" s="705">
        <f t="shared" si="4"/>
        <v>0</v>
      </c>
      <c r="E41" s="488">
        <f t="shared" si="14"/>
        <v>7500000</v>
      </c>
      <c r="F41" s="487">
        <f t="shared" si="5"/>
        <v>0</v>
      </c>
      <c r="G41" s="488">
        <f t="shared" si="12"/>
        <v>7500000</v>
      </c>
      <c r="H41" s="487">
        <f t="shared" si="13"/>
        <v>0</v>
      </c>
      <c r="I41" s="488">
        <f t="shared" si="12"/>
        <v>7500000</v>
      </c>
      <c r="J41" s="487">
        <f t="shared" si="6"/>
        <v>0</v>
      </c>
      <c r="K41" s="488">
        <f t="shared" si="7"/>
        <v>7500000</v>
      </c>
      <c r="L41" s="487">
        <f t="shared" si="8"/>
        <v>0</v>
      </c>
      <c r="M41" s="488">
        <f t="shared" si="9"/>
        <v>7500000</v>
      </c>
      <c r="N41" s="487">
        <f t="shared" si="10"/>
        <v>0</v>
      </c>
      <c r="O41" s="488">
        <f t="shared" si="11"/>
        <v>7500000</v>
      </c>
    </row>
    <row r="42" spans="3:15" ht="14.25" customHeight="1" thickBot="1">
      <c r="C42" s="709">
        <v>10000000</v>
      </c>
      <c r="D42" s="705">
        <f t="shared" si="4"/>
        <v>0</v>
      </c>
      <c r="E42" s="488">
        <f t="shared" si="14"/>
        <v>10000000</v>
      </c>
      <c r="F42" s="487">
        <f t="shared" si="5"/>
        <v>0</v>
      </c>
      <c r="G42" s="488">
        <f t="shared" si="12"/>
        <v>10000000</v>
      </c>
      <c r="H42" s="487">
        <f t="shared" si="13"/>
        <v>0</v>
      </c>
      <c r="I42" s="488">
        <f t="shared" si="12"/>
        <v>10000000</v>
      </c>
      <c r="J42" s="487">
        <f t="shared" si="6"/>
        <v>0</v>
      </c>
      <c r="K42" s="488">
        <f t="shared" si="7"/>
        <v>10000000</v>
      </c>
      <c r="L42" s="487">
        <f t="shared" si="8"/>
        <v>0</v>
      </c>
      <c r="M42" s="488">
        <f t="shared" si="9"/>
        <v>10000000</v>
      </c>
      <c r="N42" s="487">
        <f t="shared" si="10"/>
        <v>0</v>
      </c>
      <c r="O42" s="488">
        <f t="shared" si="11"/>
        <v>10000000</v>
      </c>
    </row>
    <row r="43" spans="3:15" ht="14.25" customHeight="1">
      <c r="D43" s="487"/>
      <c r="E43" s="488"/>
      <c r="F43" s="487"/>
      <c r="G43" s="488"/>
      <c r="H43" s="487"/>
      <c r="I43" s="488"/>
      <c r="J43" s="487"/>
      <c r="K43" s="488"/>
      <c r="L43" s="487"/>
      <c r="M43" s="488"/>
      <c r="N43" s="487"/>
      <c r="O43" s="488"/>
    </row>
    <row r="44" spans="3:15" ht="14.25" customHeight="1" thickBot="1">
      <c r="D44" s="490"/>
      <c r="E44" s="491">
        <f>MIN(E30:E42)</f>
        <v>250000</v>
      </c>
      <c r="F44" s="490"/>
      <c r="G44" s="491">
        <f>MIN(G30:G42)</f>
        <v>250000</v>
      </c>
      <c r="H44" s="490"/>
      <c r="I44" s="491">
        <f>MIN(I30:I42)</f>
        <v>250000</v>
      </c>
      <c r="J44" s="490"/>
      <c r="K44" s="491">
        <f>MIN(K30:K42)</f>
        <v>250000</v>
      </c>
      <c r="L44" s="490"/>
      <c r="M44" s="491">
        <f>MIN(M30:M42)</f>
        <v>250000</v>
      </c>
      <c r="N44" s="490"/>
      <c r="O44" s="491">
        <f>MIN(O30:O42)</f>
        <v>250000</v>
      </c>
    </row>
    <row r="45" spans="3:15" ht="14.25" customHeight="1"/>
    <row r="46" spans="3:15" ht="14.25" customHeight="1"/>
    <row r="47" spans="3:15" ht="14.25" customHeight="1"/>
    <row r="48" spans="3:15" ht="14.25" customHeight="1"/>
    <row r="49" spans="2:12" ht="14.25" customHeight="1"/>
    <row r="50" spans="2:12" ht="14.25" customHeight="1"/>
    <row r="51" spans="2:12" ht="14.25" customHeight="1">
      <c r="L51" s="659"/>
    </row>
    <row r="52" spans="2:12" ht="14.25" customHeight="1">
      <c r="C52" s="660" t="s">
        <v>3750</v>
      </c>
      <c r="F52" s="662" t="s">
        <v>3751</v>
      </c>
      <c r="G52" s="663"/>
      <c r="H52" s="664">
        <v>90</v>
      </c>
      <c r="I52" s="665"/>
      <c r="J52" s="665"/>
      <c r="K52" s="666">
        <v>90</v>
      </c>
      <c r="L52" s="659"/>
    </row>
    <row r="53" spans="2:12" ht="14.25" customHeight="1" thickBot="1">
      <c r="L53" s="659"/>
    </row>
    <row r="54" spans="2:12" ht="14.25" customHeight="1">
      <c r="B54" s="671"/>
      <c r="C54" s="672" t="s">
        <v>3752</v>
      </c>
      <c r="D54" s="673" t="s">
        <v>3759</v>
      </c>
      <c r="E54" s="673"/>
      <c r="F54" s="673" t="s">
        <v>3760</v>
      </c>
      <c r="G54" s="673"/>
      <c r="H54" s="670" t="s">
        <v>3761</v>
      </c>
      <c r="I54" s="670"/>
      <c r="J54" s="670"/>
      <c r="K54" s="670" t="s">
        <v>3762</v>
      </c>
      <c r="L54" s="670"/>
    </row>
    <row r="55" spans="2:12" ht="14.25" customHeight="1">
      <c r="C55" s="682">
        <v>250000</v>
      </c>
      <c r="D55" s="683">
        <f>'Liberty - Tarif'!D56/100*H52</f>
        <v>675</v>
      </c>
      <c r="E55" s="677"/>
      <c r="F55" s="677"/>
      <c r="G55" s="677"/>
      <c r="H55" s="677"/>
      <c r="I55" s="677"/>
      <c r="J55" s="677"/>
      <c r="K55" s="679"/>
      <c r="L55" s="680"/>
    </row>
    <row r="56" spans="2:12" ht="14.25" customHeight="1">
      <c r="C56" s="682">
        <v>500000</v>
      </c>
      <c r="D56" s="677"/>
      <c r="E56" s="677"/>
      <c r="F56" s="683">
        <f>'Liberty - Tarif'!F57/100*H52</f>
        <v>803.25000000000011</v>
      </c>
      <c r="G56" s="677"/>
      <c r="H56" s="683">
        <f>'Liberty - Tarif'!H57/100*H52</f>
        <v>897.75</v>
      </c>
      <c r="I56" s="689">
        <f>H56*100/F56-100</f>
        <v>11.764705882352928</v>
      </c>
      <c r="J56" s="677"/>
      <c r="K56" s="683">
        <f>'Liberty - Tarif'!K57/100*H52</f>
        <v>1119.825</v>
      </c>
      <c r="L56" s="687"/>
    </row>
    <row r="57" spans="2:12" ht="14.25" customHeight="1">
      <c r="C57" s="693">
        <v>750000</v>
      </c>
      <c r="D57" s="677"/>
      <c r="E57" s="677"/>
      <c r="F57" s="691">
        <f>'Liberty - Tarif'!F58/100*H52</f>
        <v>927.90000000000009</v>
      </c>
      <c r="G57" s="677"/>
      <c r="H57" s="691">
        <f>'Liberty - Tarif'!H58/100*H52</f>
        <v>1070.1000000000001</v>
      </c>
      <c r="I57" s="692"/>
      <c r="J57" s="677"/>
      <c r="K57" s="691">
        <f>'Liberty - Tarif'!K58/100*H52</f>
        <v>1433.7</v>
      </c>
      <c r="L57" s="687"/>
    </row>
    <row r="58" spans="2:12" ht="14.25" customHeight="1">
      <c r="C58" s="682">
        <v>1000000</v>
      </c>
      <c r="D58" s="677"/>
      <c r="E58" s="677"/>
      <c r="F58" s="683">
        <f>'Liberty - Tarif'!F59/100*H52</f>
        <v>1053.675</v>
      </c>
      <c r="G58" s="677"/>
      <c r="H58" s="683">
        <f>'Liberty - Tarif'!H59/100*H52</f>
        <v>1242.675</v>
      </c>
      <c r="I58" s="689">
        <f>H58*100/F58-100</f>
        <v>17.937219730941706</v>
      </c>
      <c r="J58" s="677"/>
      <c r="K58" s="683">
        <f>'Liberty - Tarif'!K59/100*H52</f>
        <v>1748.25</v>
      </c>
      <c r="L58" s="687"/>
    </row>
    <row r="59" spans="2:12" ht="14.25" customHeight="1">
      <c r="C59" s="682">
        <v>1500000</v>
      </c>
      <c r="D59" s="677"/>
      <c r="E59" s="677"/>
      <c r="F59" s="683">
        <f>'Liberty - Tarif'!F60/100*H52</f>
        <v>1582.8749999999998</v>
      </c>
      <c r="G59" s="677"/>
      <c r="H59" s="683">
        <f>'Liberty - Tarif'!H60/100*H52</f>
        <v>1866.375</v>
      </c>
      <c r="I59" s="689">
        <f>H59*100/F59-100</f>
        <v>17.91044776119405</v>
      </c>
      <c r="J59" s="677"/>
      <c r="K59" s="683">
        <f>'Liberty - Tarif'!K60/100*H52</f>
        <v>2608.1999999999998</v>
      </c>
      <c r="L59" s="687"/>
    </row>
    <row r="60" spans="2:12" ht="14.25" customHeight="1">
      <c r="C60" s="682">
        <v>2000000</v>
      </c>
      <c r="D60" s="677"/>
      <c r="E60" s="677"/>
      <c r="F60" s="683">
        <f>'Liberty - Tarif'!F61/100*H52</f>
        <v>2041.2</v>
      </c>
      <c r="G60" s="677"/>
      <c r="H60" s="683">
        <f>'Liberty - Tarif'!H61/100*H52</f>
        <v>2239.1999999999998</v>
      </c>
      <c r="I60" s="689">
        <f>H60*100/F60-100</f>
        <v>9.7001763668430101</v>
      </c>
      <c r="J60" s="677"/>
      <c r="K60" s="683">
        <f>'Liberty - Tarif'!K61/100*H52</f>
        <v>2986.2</v>
      </c>
      <c r="L60" s="687"/>
    </row>
    <row r="61" spans="2:12" ht="14.25" customHeight="1">
      <c r="C61" s="682">
        <v>2500000</v>
      </c>
      <c r="D61" s="677"/>
      <c r="E61" s="677"/>
      <c r="F61" s="683">
        <f>'Liberty - Tarif'!F62/100*H52</f>
        <v>2627.1</v>
      </c>
      <c r="G61" s="677"/>
      <c r="H61" s="683">
        <f>'Liberty - Tarif'!H62/100*H52</f>
        <v>3109.05</v>
      </c>
      <c r="I61" s="689">
        <f>H61*100/F61-100</f>
        <v>18.345323741007192</v>
      </c>
      <c r="J61" s="677"/>
      <c r="K61" s="683">
        <f>'Liberty - Tarif'!K62/100*H52</f>
        <v>3576.8249999999998</v>
      </c>
      <c r="L61" s="687"/>
    </row>
    <row r="62" spans="2:12" ht="14.25" customHeight="1">
      <c r="C62" s="682">
        <v>3000000</v>
      </c>
      <c r="D62" s="677"/>
      <c r="E62" s="677"/>
      <c r="F62" s="683">
        <f>'Liberty - Tarif'!F63/100*H52</f>
        <v>3000.375</v>
      </c>
      <c r="G62" s="677"/>
      <c r="H62" s="683">
        <f>'Liberty - Tarif'!H63/100*H52</f>
        <v>3543.75</v>
      </c>
      <c r="I62" s="689">
        <f>H62*100/F62-100</f>
        <v>18.110236220472444</v>
      </c>
      <c r="J62" s="677"/>
      <c r="K62" s="683">
        <f>'Liberty - Tarif'!K63/100*H52</f>
        <v>3732.75</v>
      </c>
      <c r="L62" s="687"/>
    </row>
    <row r="63" spans="2:12" ht="14.25" customHeight="1">
      <c r="C63" s="693">
        <v>3500000</v>
      </c>
      <c r="D63" s="677"/>
      <c r="E63" s="677"/>
      <c r="F63" s="691">
        <f>'Liberty - Tarif'!F64/100*H52</f>
        <v>3449.7</v>
      </c>
      <c r="G63" s="677"/>
      <c r="H63" s="691">
        <f>'Liberty - Tarif'!H64/100*H52</f>
        <v>4048.2</v>
      </c>
      <c r="I63" s="692"/>
      <c r="J63" s="677"/>
      <c r="K63" s="691">
        <f>'Liberty - Tarif'!K64/100*H52</f>
        <v>4329</v>
      </c>
      <c r="L63" s="695"/>
    </row>
    <row r="64" spans="2:12" ht="14.25" customHeight="1">
      <c r="C64" s="682">
        <v>4000000</v>
      </c>
      <c r="D64" s="677"/>
      <c r="E64" s="677"/>
      <c r="F64" s="683">
        <f>'Liberty - Tarif'!F65/100*H52</f>
        <v>3899.7</v>
      </c>
      <c r="G64" s="677"/>
      <c r="H64" s="683">
        <f>'Liberty - Tarif'!H65/100*H52</f>
        <v>4552.2</v>
      </c>
      <c r="I64" s="689">
        <f>H64*100/F64-100</f>
        <v>16.732056312024014</v>
      </c>
      <c r="J64" s="677"/>
      <c r="K64" s="683">
        <f>'Liberty - Tarif'!K65/100*H52</f>
        <v>4925.7</v>
      </c>
      <c r="L64" s="687"/>
    </row>
    <row r="65" spans="3:12" ht="14.25" customHeight="1">
      <c r="C65" s="682">
        <v>5000000</v>
      </c>
      <c r="D65" s="677"/>
      <c r="E65" s="677"/>
      <c r="F65" s="696">
        <f>'Liberty - Tarif'!F66/100*K52</f>
        <v>4554</v>
      </c>
      <c r="G65" s="677"/>
      <c r="H65" s="696">
        <f>'Liberty - Tarif'!H66/100*K52</f>
        <v>5382</v>
      </c>
      <c r="I65" s="697">
        <f>H65*100/F65-100</f>
        <v>18.181818181818187</v>
      </c>
      <c r="J65" s="677"/>
      <c r="K65" s="696">
        <f>'Liberty - Tarif'!K66/100*K52</f>
        <v>5987.4750000000004</v>
      </c>
      <c r="L65" s="687"/>
    </row>
    <row r="66" spans="3:12" ht="14.25" customHeight="1">
      <c r="C66" s="682">
        <v>7500000</v>
      </c>
      <c r="D66" s="677"/>
      <c r="E66" s="677"/>
      <c r="F66" s="696">
        <f>'Liberty - Tarif'!F67/100*K52</f>
        <v>6147.9000000000005</v>
      </c>
      <c r="G66" s="677"/>
      <c r="H66" s="696">
        <f>'Liberty - Tarif'!H67/100*K52</f>
        <v>6963.48</v>
      </c>
      <c r="I66" s="697">
        <f>H66*100/F66-100</f>
        <v>13.265993265993259</v>
      </c>
      <c r="J66" s="677"/>
      <c r="K66" s="696">
        <f>'Liberty - Tarif'!K67/100*K52</f>
        <v>7972.6050000000005</v>
      </c>
      <c r="L66" s="687"/>
    </row>
    <row r="67" spans="3:12" ht="14.25" customHeight="1" thickBot="1">
      <c r="C67" s="699">
        <v>10000000</v>
      </c>
      <c r="D67" s="700"/>
      <c r="E67" s="701"/>
      <c r="F67" s="696">
        <f>'Liberty - Tarif'!F68/100*K52</f>
        <v>8339.76</v>
      </c>
      <c r="G67" s="677"/>
      <c r="H67" s="696">
        <f>'Liberty - Tarif'!H68/100*K52</f>
        <v>9582.2999999999993</v>
      </c>
      <c r="I67" s="697">
        <f>H67*100/F67-100</f>
        <v>14.898989898989882</v>
      </c>
      <c r="J67" s="677"/>
      <c r="K67" s="696">
        <f>'Liberty - Tarif'!K68/100*K52</f>
        <v>10266.75</v>
      </c>
      <c r="L67" s="687"/>
    </row>
    <row r="68" spans="3:12" ht="14.25" customHeight="1"/>
    <row r="69" spans="3:12" ht="14.25" customHeight="1"/>
    <row r="70" spans="3:12" ht="14.25" customHeight="1"/>
    <row r="71" spans="3:12" ht="14.25" customHeight="1"/>
    <row r="72" spans="3:12" ht="14.25" customHeight="1"/>
    <row r="73" spans="3:12" ht="14.25" customHeight="1"/>
    <row r="74" spans="3:12" ht="14.25" customHeight="1"/>
    <row r="75" spans="3:12" ht="14.25" customHeight="1"/>
    <row r="76" spans="3:12" ht="14.25" customHeight="1"/>
    <row r="77" spans="3:12" ht="14.25" customHeight="1"/>
    <row r="78" spans="3:12" ht="14.25" customHeight="1"/>
    <row r="79" spans="3:12" ht="14.25" customHeight="1"/>
    <row r="80" spans="3:12"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9">
    <mergeCell ref="D1:P1"/>
    <mergeCell ref="B2:C2"/>
    <mergeCell ref="D15:F15"/>
    <mergeCell ref="G15:I15"/>
    <mergeCell ref="D29:E29"/>
    <mergeCell ref="F29:G29"/>
    <mergeCell ref="H29:I29"/>
    <mergeCell ref="J29:K29"/>
    <mergeCell ref="L29:M29"/>
  </mergeCells>
  <pageMargins left="0.7" right="0.7" top="0.78740157499999996" bottom="0.78740157499999996" header="0" footer="0"/>
  <pageSetup paperSize="9" orientation="landscape"/>
  <ignoredErrors>
    <ignoredError sqref="H30:H42" formula="1"/>
    <ignoredError sqref="D20" evalError="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Q999"/>
  <sheetViews>
    <sheetView zoomScale="90" zoomScaleNormal="90" workbookViewId="0">
      <selection activeCell="B2" sqref="B2:C7"/>
    </sheetView>
  </sheetViews>
  <sheetFormatPr baseColWidth="10" defaultColWidth="14.33203125" defaultRowHeight="15" customHeight="1"/>
  <cols>
    <col min="1" max="1" width="2.33203125" customWidth="1"/>
    <col min="2" max="2" width="27.6640625" customWidth="1"/>
    <col min="3" max="15" width="17.5546875" customWidth="1"/>
    <col min="16" max="25" width="11.33203125" customWidth="1"/>
  </cols>
  <sheetData>
    <row r="1" spans="2:16" ht="36.75" customHeight="1">
      <c r="D1" s="849" t="s">
        <v>3128</v>
      </c>
      <c r="E1" s="850"/>
      <c r="F1" s="850"/>
      <c r="G1" s="850"/>
      <c r="H1" s="850"/>
      <c r="I1" s="850"/>
      <c r="J1" s="850"/>
      <c r="K1" s="850"/>
      <c r="L1" s="850"/>
      <c r="M1" s="850"/>
      <c r="N1" s="850"/>
      <c r="O1" s="850"/>
      <c r="P1" s="851"/>
    </row>
    <row r="2" spans="2:16" ht="14.25" customHeight="1">
      <c r="B2" s="848" t="s">
        <v>3806</v>
      </c>
      <c r="C2" s="835" t="s">
        <v>3809</v>
      </c>
      <c r="D2" s="702">
        <v>125000</v>
      </c>
      <c r="E2" s="702">
        <v>250000</v>
      </c>
      <c r="F2" s="834">
        <v>500000</v>
      </c>
      <c r="G2" s="702">
        <v>750000</v>
      </c>
      <c r="H2" s="702">
        <v>1000000</v>
      </c>
      <c r="I2" s="702">
        <v>1500000</v>
      </c>
      <c r="J2" s="702">
        <v>2000000</v>
      </c>
      <c r="K2" s="702">
        <v>2500000</v>
      </c>
      <c r="L2" s="834">
        <v>3000000</v>
      </c>
      <c r="M2" s="702">
        <v>3500000</v>
      </c>
      <c r="N2" s="702">
        <v>4000000</v>
      </c>
      <c r="O2" s="702">
        <v>5000000</v>
      </c>
    </row>
    <row r="3" spans="2:16" ht="14.25" customHeight="1">
      <c r="B3" s="502">
        <v>5000000</v>
      </c>
      <c r="C3">
        <v>0</v>
      </c>
      <c r="D3" s="582">
        <v>408</v>
      </c>
      <c r="E3" s="582">
        <v>510.00000000000006</v>
      </c>
      <c r="F3" s="582">
        <v>612</v>
      </c>
      <c r="G3" s="582">
        <v>765</v>
      </c>
      <c r="H3" s="582">
        <v>867</v>
      </c>
      <c r="I3" s="582">
        <v>1275</v>
      </c>
      <c r="J3" s="582">
        <v>1693.1999999999998</v>
      </c>
      <c r="K3" s="582">
        <v>2091</v>
      </c>
      <c r="L3" s="582">
        <v>2478.6</v>
      </c>
      <c r="M3" s="582">
        <v>2879</v>
      </c>
      <c r="N3" s="582">
        <v>3279.5</v>
      </c>
      <c r="O3" s="582">
        <v>4080</v>
      </c>
    </row>
    <row r="4" spans="2:16" ht="14.25" customHeight="1">
      <c r="B4" s="502">
        <v>50000000</v>
      </c>
      <c r="C4" s="502">
        <v>5000000</v>
      </c>
      <c r="D4" s="582">
        <f>ROUND(444.70284768,0)</f>
        <v>445</v>
      </c>
      <c r="E4" s="582">
        <f>ROUND(555.8785596,0)</f>
        <v>556</v>
      </c>
      <c r="F4" s="582">
        <f>ROUND(667.05427152,0)</f>
        <v>667</v>
      </c>
      <c r="G4" s="582">
        <f>ROUND(833.8178394,0)</f>
        <v>834</v>
      </c>
      <c r="H4" s="582">
        <f>ROUND(950.046992770909,0)</f>
        <v>950</v>
      </c>
      <c r="I4" s="582">
        <f>ROUND(1389.696399,0)</f>
        <v>1390</v>
      </c>
      <c r="J4" s="582">
        <f>ROUND(1839.45268813091,0)</f>
        <v>1839</v>
      </c>
      <c r="K4" s="582">
        <f>ROUND(2274.04865290909,0)</f>
        <v>2274</v>
      </c>
      <c r="L4" s="582">
        <f>ROUND(2698.53773478545,0)</f>
        <v>2699</v>
      </c>
      <c r="M4" s="582">
        <v>3136</v>
      </c>
      <c r="N4" s="582">
        <v>3573</v>
      </c>
      <c r="O4" s="582">
        <f>ROUND(4447.0284768,0)</f>
        <v>4447</v>
      </c>
    </row>
    <row r="5" spans="2:16" ht="14.25" customHeight="1">
      <c r="B5" s="502">
        <v>100000000</v>
      </c>
      <c r="C5" s="502">
        <v>50000000</v>
      </c>
      <c r="D5" s="582">
        <f>ROUND(668.894318181818,0)</f>
        <v>669</v>
      </c>
      <c r="E5" s="582">
        <f>ROUND(836.55,0)</f>
        <v>837</v>
      </c>
      <c r="F5" s="582">
        <f>ROUND(1002.47727272727,0)</f>
        <v>1002</v>
      </c>
      <c r="G5" s="582">
        <f>ROUND(1254.825,0)</f>
        <v>1255</v>
      </c>
      <c r="H5" s="582">
        <f>ROUND(1424.20909090909,0)</f>
        <v>1424</v>
      </c>
      <c r="I5" s="582">
        <f>ROUND(2091.375,0)</f>
        <v>2091</v>
      </c>
      <c r="J5" s="582">
        <f>ROUND(2765.45454545455,0)</f>
        <v>2765</v>
      </c>
      <c r="K5" s="582">
        <f>ROUND(3422.25,0)</f>
        <v>3422</v>
      </c>
      <c r="L5" s="582">
        <f>ROUND(4065.21818181818,0)</f>
        <v>4065</v>
      </c>
      <c r="M5" s="582">
        <v>4725</v>
      </c>
      <c r="N5" s="582">
        <v>5385</v>
      </c>
      <c r="O5" s="582">
        <f>ROUND(6706.22727272727,0)</f>
        <v>6706</v>
      </c>
    </row>
    <row r="6" spans="2:16" ht="14.25" customHeight="1">
      <c r="B6" s="502">
        <v>300000000</v>
      </c>
      <c r="C6" s="502">
        <v>100000000</v>
      </c>
      <c r="D6" s="582">
        <f>ROUND(782.606352272727,0)</f>
        <v>783</v>
      </c>
      <c r="E6" s="582">
        <f>ROUND(978.7635,0)</f>
        <v>979</v>
      </c>
      <c r="F6" s="582">
        <f>ROUND(1172.89840909091,0)</f>
        <v>1173</v>
      </c>
      <c r="G6" s="582">
        <f>ROUND(1468.14525,0)</f>
        <v>1468</v>
      </c>
      <c r="H6" s="582">
        <f>ROUND(1666.32463636364,0)</f>
        <v>1666</v>
      </c>
      <c r="I6" s="582">
        <f>ROUND(2446.90875,0)</f>
        <v>2447</v>
      </c>
      <c r="J6" s="582">
        <f>ROUND(3235.58181818182,0)</f>
        <v>3236</v>
      </c>
      <c r="K6" s="582">
        <f>ROUND(4004.0325,0)</f>
        <v>4004</v>
      </c>
      <c r="L6" s="582">
        <f>ROUND(4756.30527272727,0)</f>
        <v>4756</v>
      </c>
      <c r="M6" s="582">
        <v>5528</v>
      </c>
      <c r="N6" s="582">
        <v>6301</v>
      </c>
      <c r="O6" s="582">
        <f>ROUND(7846.28590909091,0)</f>
        <v>7846</v>
      </c>
    </row>
    <row r="7" spans="2:16" ht="14.25" customHeight="1">
      <c r="B7" s="502">
        <v>500000000</v>
      </c>
      <c r="C7" s="502">
        <v>300000000</v>
      </c>
      <c r="D7" s="582">
        <f>ROUND(1064.96590909091,0)</f>
        <v>1065</v>
      </c>
      <c r="E7" s="582">
        <f>ROUND(1330.60909090909,0)</f>
        <v>1331</v>
      </c>
      <c r="F7" s="582">
        <f>ROUND(1598.64545454545,0)</f>
        <v>1599</v>
      </c>
      <c r="G7" s="582">
        <f>ROUND(1995.91363636364,0)</f>
        <v>1996</v>
      </c>
      <c r="H7" s="582">
        <f>ROUND(2259.16363636364,0)</f>
        <v>2259</v>
      </c>
      <c r="I7" s="582">
        <f>ROUND(3326.52272727273,0)</f>
        <v>3327</v>
      </c>
      <c r="J7" s="582">
        <f>ROUND(4403.45454545455,0)</f>
        <v>4403</v>
      </c>
      <c r="K7" s="582">
        <f>ROUND(5456.45454545455,0)</f>
        <v>5456</v>
      </c>
      <c r="L7" s="582">
        <f>ROUND(6490.30909090909,0)</f>
        <v>6490</v>
      </c>
      <c r="M7" s="582">
        <v>7524</v>
      </c>
      <c r="N7" s="582">
        <v>8558</v>
      </c>
      <c r="O7" s="582">
        <f>ROUND(10625.7272727273,0)</f>
        <v>10626</v>
      </c>
    </row>
    <row r="8" spans="2:16" ht="14.25" customHeight="1">
      <c r="C8" s="502"/>
      <c r="D8" s="560"/>
      <c r="E8" s="255"/>
      <c r="F8" s="255"/>
      <c r="G8" s="255"/>
      <c r="H8" s="255"/>
      <c r="I8" s="255"/>
      <c r="J8" s="255"/>
      <c r="K8" s="255"/>
      <c r="L8" s="255"/>
      <c r="M8" s="255"/>
      <c r="N8" s="255"/>
      <c r="O8" s="255"/>
    </row>
    <row r="9" spans="2:16" ht="14.25" customHeight="1">
      <c r="B9" s="168" t="s">
        <v>3819</v>
      </c>
      <c r="C9" s="472">
        <v>10000000</v>
      </c>
      <c r="D9" s="560"/>
      <c r="E9" s="255"/>
      <c r="F9" s="255"/>
      <c r="G9" s="255"/>
      <c r="H9" s="255"/>
      <c r="I9" s="255"/>
      <c r="J9" s="255"/>
      <c r="K9" s="255"/>
      <c r="L9" s="255"/>
      <c r="M9" s="255"/>
      <c r="N9" s="255"/>
      <c r="O9" s="255"/>
    </row>
    <row r="10" spans="2:16" ht="14.25" customHeight="1">
      <c r="B10" s="168" t="s">
        <v>3648</v>
      </c>
      <c r="C10" s="472">
        <v>500000000</v>
      </c>
      <c r="D10" s="560"/>
      <c r="E10" s="255"/>
      <c r="F10" s="255"/>
      <c r="G10" s="255"/>
      <c r="H10" s="255"/>
      <c r="I10" s="255"/>
      <c r="J10" s="255"/>
      <c r="K10" s="255"/>
      <c r="L10" s="255"/>
      <c r="M10" s="255"/>
      <c r="O10" s="255"/>
    </row>
    <row r="11" spans="2:16" ht="14.25" customHeight="1">
      <c r="B11" s="502"/>
      <c r="C11" s="560"/>
      <c r="D11" s="560"/>
      <c r="E11" s="255"/>
      <c r="F11" s="255"/>
      <c r="G11" s="255"/>
      <c r="H11" s="255"/>
      <c r="I11" s="255"/>
      <c r="J11" s="255"/>
      <c r="K11" s="255"/>
      <c r="L11" s="255"/>
      <c r="M11" s="255"/>
      <c r="O11" s="255"/>
    </row>
    <row r="12" spans="2:16" ht="14.25" customHeight="1">
      <c r="N12" s="502"/>
    </row>
    <row r="13" spans="2:16" ht="14.25" customHeight="1" thickBot="1">
      <c r="J13" s="836"/>
      <c r="K13" s="837"/>
      <c r="N13" s="502"/>
    </row>
    <row r="14" spans="2:16" ht="14.25" customHeight="1" thickBot="1">
      <c r="C14" s="1083" t="s">
        <v>2398</v>
      </c>
      <c r="D14" s="1085"/>
      <c r="E14" s="1085"/>
      <c r="F14" s="1101" t="s">
        <v>3111</v>
      </c>
      <c r="G14" s="1102"/>
      <c r="H14" s="1103"/>
      <c r="J14" s="643" t="s">
        <v>2560</v>
      </c>
      <c r="K14" s="643" t="s">
        <v>3741</v>
      </c>
      <c r="L14" s="643" t="s">
        <v>3742</v>
      </c>
      <c r="N14" s="502"/>
    </row>
    <row r="15" spans="2:16" ht="14.25" customHeight="1" thickBot="1">
      <c r="C15" s="473" t="s">
        <v>3113</v>
      </c>
      <c r="D15" s="22" t="s">
        <v>3114</v>
      </c>
      <c r="E15" s="22" t="s">
        <v>3115</v>
      </c>
      <c r="F15" s="852" t="str">
        <f>'Preisrechner Alle Tarife'!B3</f>
        <v>DS 1</v>
      </c>
      <c r="G15" s="627" t="str">
        <f>'Preisrechner Alle Tarife'!C3</f>
        <v>DS 2</v>
      </c>
      <c r="H15" s="853" t="str">
        <f>'Preisrechner Alle Tarife'!D3</f>
        <v>DS 3</v>
      </c>
      <c r="J15" s="641">
        <f>Fragenkatalog!K53</f>
        <v>0</v>
      </c>
      <c r="K15" s="641">
        <f>Bilanzsumme</f>
        <v>0</v>
      </c>
      <c r="L15" s="642">
        <f>IF(K15&gt;0,J15/K15,0)</f>
        <v>0</v>
      </c>
      <c r="N15" s="502"/>
    </row>
    <row r="16" spans="2:16" ht="14.25" customHeight="1">
      <c r="B16" s="476" t="s">
        <v>3117</v>
      </c>
      <c r="C16" s="477">
        <f>IF(Deckungssumme1GI&gt;O2,O2,Deckungssumme1GI)</f>
        <v>0</v>
      </c>
      <c r="D16" s="478">
        <f>IF(Deckungssumme2GI&gt;O2,O2,Deckungssumme2GI)</f>
        <v>0</v>
      </c>
      <c r="E16" s="478">
        <f>IF(Deckungssumme3GI&gt;O2,O2,Deckungssumme3GI)</f>
        <v>0</v>
      </c>
      <c r="F16" s="854">
        <f>IF(Deckungssumme1&gt;O2,O2,Deckungssumme1)</f>
        <v>0</v>
      </c>
      <c r="G16" s="629">
        <f>IF(Deckungssumme2&gt;O2,O2,Deckungssumme2)</f>
        <v>0</v>
      </c>
      <c r="H16" s="855">
        <f>IF(Deckungssumme3&gt;O2,O2,Deckungssumme3)</f>
        <v>0</v>
      </c>
      <c r="N16" s="502"/>
    </row>
    <row r="17" spans="2:16" ht="14.25" customHeight="1">
      <c r="B17" s="480" t="s">
        <v>3119</v>
      </c>
      <c r="C17" s="477" t="str">
        <f>IF(Deckungssumme1GI=0,"",D39)</f>
        <v/>
      </c>
      <c r="D17" s="478" t="str">
        <f>IF(Deckungssumme2GI=0,"",F39)</f>
        <v/>
      </c>
      <c r="E17" s="478" t="str">
        <f>IF(Deckungssumme3GI=0,"",H39)</f>
        <v/>
      </c>
      <c r="F17" s="854" t="str">
        <f>IF(Deckungssumme1=0,"",J39)</f>
        <v/>
      </c>
      <c r="G17" s="629" t="str">
        <f>IF(Deckungssumme2=0,"",L39)</f>
        <v/>
      </c>
      <c r="H17" s="855" t="str">
        <f>IF(Deckungssumme3=0,"",N39)</f>
        <v/>
      </c>
    </row>
    <row r="18" spans="2:16" ht="14.25" customHeight="1">
      <c r="B18" s="480" t="s">
        <v>3649</v>
      </c>
      <c r="C18" s="477">
        <f t="shared" ref="C18:E18" si="0">MAX(AußenumsatzGI,VereinsvermögenGI,BilanzsummeGI)</f>
        <v>0</v>
      </c>
      <c r="D18" s="478">
        <f t="shared" si="0"/>
        <v>0</v>
      </c>
      <c r="E18" s="478">
        <f t="shared" si="0"/>
        <v>0</v>
      </c>
      <c r="F18" s="854">
        <f>IF(MAX(Außenumsatz,Vereinsvermögen,Bilanzsumme)&gt;ergo_MaxUmsatz,"Umsatz zu groß!",MAX(Außenumsatz,Vereinsvermögen,Bilanzsumme))</f>
        <v>0</v>
      </c>
      <c r="G18" s="629">
        <f>IF(MAX(Außenumsatz,Vereinsvermögen,Bilanzsumme)&gt;ergo_MaxUmsatz,"Umsatz zu groß!",MAX(Außenumsatz,Vereinsvermögen,Bilanzsumme))</f>
        <v>0</v>
      </c>
      <c r="H18" s="855">
        <f>IF(MAX(Außenumsatz,Vereinsvermögen,Bilanzsumme)&gt;ergo_MaxUmsatz,"Umsatz zu groß!",MAX(Außenumsatz,Vereinsvermögen,Bilanzsumme))</f>
        <v>0</v>
      </c>
    </row>
    <row r="19" spans="2:16" ht="14.25" customHeight="1">
      <c r="B19" s="480" t="s">
        <v>3650</v>
      </c>
      <c r="C19" s="477" t="e">
        <f t="shared" ref="C19:H19" si="1">MATCH(C17,$D$2:$P$2,1)</f>
        <v>#N/A</v>
      </c>
      <c r="D19" s="478" t="e">
        <f t="shared" si="1"/>
        <v>#N/A</v>
      </c>
      <c r="E19" s="478" t="e">
        <f t="shared" si="1"/>
        <v>#N/A</v>
      </c>
      <c r="F19" s="854" t="e">
        <f t="shared" si="1"/>
        <v>#N/A</v>
      </c>
      <c r="G19" s="629" t="e">
        <f t="shared" si="1"/>
        <v>#N/A</v>
      </c>
      <c r="H19" s="855" t="e">
        <f t="shared" si="1"/>
        <v>#N/A</v>
      </c>
    </row>
    <row r="20" spans="2:16" ht="14.25" customHeight="1" thickBot="1">
      <c r="B20" s="480" t="s">
        <v>3651</v>
      </c>
      <c r="C20" s="477">
        <f t="shared" ref="C20:H20" si="2">MATCH(C18,$C$3:$C$7,1)</f>
        <v>1</v>
      </c>
      <c r="D20" s="478">
        <f t="shared" si="2"/>
        <v>1</v>
      </c>
      <c r="E20" s="478">
        <f t="shared" si="2"/>
        <v>1</v>
      </c>
      <c r="F20" s="856">
        <f t="shared" si="2"/>
        <v>1</v>
      </c>
      <c r="G20" s="857">
        <f t="shared" si="2"/>
        <v>1</v>
      </c>
      <c r="H20" s="858">
        <f t="shared" si="2"/>
        <v>1</v>
      </c>
    </row>
    <row r="21" spans="2:16" ht="14.25" customHeight="1" thickBot="1">
      <c r="B21" s="749" t="s">
        <v>3118</v>
      </c>
      <c r="C21" s="748" t="str">
        <f t="shared" ref="C21:H21" si="3">IFERROR(INDEX($D$3:$P$7,C20,C19),"")</f>
        <v/>
      </c>
      <c r="D21" s="748" t="str">
        <f t="shared" si="3"/>
        <v/>
      </c>
      <c r="E21" s="748" t="str">
        <f t="shared" si="3"/>
        <v/>
      </c>
      <c r="F21" s="748" t="str">
        <f t="shared" si="3"/>
        <v/>
      </c>
      <c r="G21" s="748" t="str">
        <f t="shared" si="3"/>
        <v/>
      </c>
      <c r="H21" s="748" t="str">
        <f t="shared" si="3"/>
        <v/>
      </c>
    </row>
    <row r="22" spans="2:16" ht="14.25" customHeight="1"/>
    <row r="23" spans="2:16" ht="14.25" customHeight="1" thickBot="1"/>
    <row r="24" spans="2:16" ht="14.25" customHeight="1" thickBot="1">
      <c r="B24" s="838" t="s">
        <v>3807</v>
      </c>
      <c r="C24" s="1083" t="s">
        <v>3113</v>
      </c>
      <c r="D24" s="1084"/>
      <c r="E24" s="1083" t="s">
        <v>3114</v>
      </c>
      <c r="F24" s="1085"/>
      <c r="G24" s="1083" t="s">
        <v>3115</v>
      </c>
      <c r="H24" s="1084"/>
      <c r="I24" s="1083" t="s">
        <v>3113</v>
      </c>
      <c r="J24" s="1084"/>
      <c r="K24" s="1083" t="s">
        <v>3114</v>
      </c>
      <c r="L24" s="1084"/>
      <c r="M24" s="514" t="s">
        <v>3115</v>
      </c>
      <c r="N24" s="515"/>
      <c r="P24" s="702">
        <v>125000</v>
      </c>
    </row>
    <row r="25" spans="2:16" ht="14.25" customHeight="1">
      <c r="B25" s="707">
        <v>125000</v>
      </c>
      <c r="C25" s="705">
        <f t="shared" ref="C25:C37" si="4">$C$16</f>
        <v>0</v>
      </c>
      <c r="D25" s="488">
        <f>IF(C25&lt;=B25,B25,"")</f>
        <v>125000</v>
      </c>
      <c r="E25" s="487">
        <f t="shared" ref="E25:E37" si="5">$D$16</f>
        <v>0</v>
      </c>
      <c r="F25" s="488">
        <f>IF(E25&lt;=B25,B25,"")</f>
        <v>125000</v>
      </c>
      <c r="G25" s="487">
        <f t="shared" ref="G25:G37" si="6">$E$16</f>
        <v>0</v>
      </c>
      <c r="H25" s="488">
        <f>IF(G25&lt;=B25,B25,"")</f>
        <v>125000</v>
      </c>
      <c r="I25" s="487">
        <f t="shared" ref="I25:I37" si="7">$F$16</f>
        <v>0</v>
      </c>
      <c r="J25" s="488">
        <f>IF(I25&lt;=B25,B25,"")</f>
        <v>125000</v>
      </c>
      <c r="K25" s="487">
        <f t="shared" ref="K25:K37" si="8">$G$16</f>
        <v>0</v>
      </c>
      <c r="L25" s="488">
        <f>IF(K25&lt;=B25,B25,"")</f>
        <v>125000</v>
      </c>
      <c r="M25" s="487">
        <f t="shared" ref="M25:M37" si="9">$H$16</f>
        <v>0</v>
      </c>
      <c r="N25" s="488">
        <f>IF(M25&lt;=B25,B25,"")</f>
        <v>125000</v>
      </c>
      <c r="P25" s="702">
        <v>250000</v>
      </c>
    </row>
    <row r="26" spans="2:16" ht="14.25" customHeight="1">
      <c r="B26" s="708">
        <v>250000</v>
      </c>
      <c r="C26" s="705">
        <f t="shared" si="4"/>
        <v>0</v>
      </c>
      <c r="D26" s="488">
        <f t="shared" ref="D26:D37" si="10">IF(C26&lt;=B26,B26,"")</f>
        <v>250000</v>
      </c>
      <c r="E26" s="487">
        <f t="shared" si="5"/>
        <v>0</v>
      </c>
      <c r="F26" s="488">
        <f t="shared" ref="F26:F37" si="11">IF(E26&lt;=B26,B26,"")</f>
        <v>250000</v>
      </c>
      <c r="G26" s="487">
        <f t="shared" si="6"/>
        <v>0</v>
      </c>
      <c r="H26" s="488">
        <f t="shared" ref="H26:H37" si="12">IF(G26&lt;=B26,B26,"")</f>
        <v>250000</v>
      </c>
      <c r="I26" s="487">
        <f t="shared" si="7"/>
        <v>0</v>
      </c>
      <c r="J26" s="488">
        <f t="shared" ref="J26:J37" si="13">IF(I26&lt;=B26,B26,"")</f>
        <v>250000</v>
      </c>
      <c r="K26" s="487">
        <f t="shared" si="8"/>
        <v>0</v>
      </c>
      <c r="L26" s="488">
        <f t="shared" ref="L26:L32" si="14">IF(K26&lt;=B26,B26,"")</f>
        <v>250000</v>
      </c>
      <c r="M26" s="487">
        <f t="shared" si="9"/>
        <v>0</v>
      </c>
      <c r="N26" s="488">
        <f t="shared" ref="N26:N37" si="15">IF(M26&lt;=B26,B26,"")</f>
        <v>250000</v>
      </c>
      <c r="P26" s="834">
        <v>500000</v>
      </c>
    </row>
    <row r="27" spans="2:16" ht="14.25" customHeight="1">
      <c r="B27" s="708">
        <v>500000</v>
      </c>
      <c r="C27" s="705">
        <f t="shared" si="4"/>
        <v>0</v>
      </c>
      <c r="D27" s="488">
        <f t="shared" si="10"/>
        <v>500000</v>
      </c>
      <c r="E27" s="487">
        <f t="shared" si="5"/>
        <v>0</v>
      </c>
      <c r="F27" s="488">
        <f t="shared" si="11"/>
        <v>500000</v>
      </c>
      <c r="G27" s="487">
        <f t="shared" si="6"/>
        <v>0</v>
      </c>
      <c r="H27" s="488">
        <f t="shared" si="12"/>
        <v>500000</v>
      </c>
      <c r="I27" s="487">
        <f t="shared" si="7"/>
        <v>0</v>
      </c>
      <c r="J27" s="488">
        <f t="shared" si="13"/>
        <v>500000</v>
      </c>
      <c r="K27" s="487">
        <f t="shared" si="8"/>
        <v>0</v>
      </c>
      <c r="L27" s="488">
        <f t="shared" si="14"/>
        <v>500000</v>
      </c>
      <c r="M27" s="487">
        <f t="shared" si="9"/>
        <v>0</v>
      </c>
      <c r="N27" s="488">
        <f t="shared" si="15"/>
        <v>500000</v>
      </c>
      <c r="P27" s="702">
        <v>750000</v>
      </c>
    </row>
    <row r="28" spans="2:16" ht="14.25" customHeight="1">
      <c r="B28" s="708">
        <v>750000</v>
      </c>
      <c r="C28" s="705">
        <f t="shared" si="4"/>
        <v>0</v>
      </c>
      <c r="D28" s="488">
        <f t="shared" si="10"/>
        <v>750000</v>
      </c>
      <c r="E28" s="487">
        <f t="shared" si="5"/>
        <v>0</v>
      </c>
      <c r="F28" s="488">
        <f t="shared" si="11"/>
        <v>750000</v>
      </c>
      <c r="G28" s="487">
        <f t="shared" si="6"/>
        <v>0</v>
      </c>
      <c r="H28" s="488">
        <f t="shared" si="12"/>
        <v>750000</v>
      </c>
      <c r="I28" s="487">
        <f t="shared" si="7"/>
        <v>0</v>
      </c>
      <c r="J28" s="488">
        <f t="shared" si="13"/>
        <v>750000</v>
      </c>
      <c r="K28" s="487">
        <f t="shared" si="8"/>
        <v>0</v>
      </c>
      <c r="L28" s="488">
        <f t="shared" si="14"/>
        <v>750000</v>
      </c>
      <c r="M28" s="487">
        <f t="shared" si="9"/>
        <v>0</v>
      </c>
      <c r="N28" s="488">
        <f t="shared" si="15"/>
        <v>750000</v>
      </c>
      <c r="P28" s="702">
        <v>1000000</v>
      </c>
    </row>
    <row r="29" spans="2:16" ht="14.25" customHeight="1">
      <c r="B29" s="708">
        <v>1000000</v>
      </c>
      <c r="C29" s="705">
        <f t="shared" si="4"/>
        <v>0</v>
      </c>
      <c r="D29" s="488">
        <f t="shared" si="10"/>
        <v>1000000</v>
      </c>
      <c r="E29" s="487">
        <f t="shared" si="5"/>
        <v>0</v>
      </c>
      <c r="F29" s="488">
        <f t="shared" si="11"/>
        <v>1000000</v>
      </c>
      <c r="G29" s="487">
        <f t="shared" si="6"/>
        <v>0</v>
      </c>
      <c r="H29" s="488">
        <f t="shared" si="12"/>
        <v>1000000</v>
      </c>
      <c r="I29" s="487">
        <f t="shared" si="7"/>
        <v>0</v>
      </c>
      <c r="J29" s="488">
        <f t="shared" si="13"/>
        <v>1000000</v>
      </c>
      <c r="K29" s="487">
        <f t="shared" si="8"/>
        <v>0</v>
      </c>
      <c r="L29" s="488">
        <f t="shared" si="14"/>
        <v>1000000</v>
      </c>
      <c r="M29" s="487">
        <f t="shared" si="9"/>
        <v>0</v>
      </c>
      <c r="N29" s="488">
        <f t="shared" si="15"/>
        <v>1000000</v>
      </c>
      <c r="P29" s="702">
        <v>1500000</v>
      </c>
    </row>
    <row r="30" spans="2:16" ht="14.25" customHeight="1">
      <c r="B30" s="708">
        <v>1500000</v>
      </c>
      <c r="C30" s="705">
        <f t="shared" si="4"/>
        <v>0</v>
      </c>
      <c r="D30" s="488">
        <f t="shared" si="10"/>
        <v>1500000</v>
      </c>
      <c r="E30" s="487">
        <f t="shared" si="5"/>
        <v>0</v>
      </c>
      <c r="F30" s="488">
        <f t="shared" si="11"/>
        <v>1500000</v>
      </c>
      <c r="G30" s="487">
        <f t="shared" si="6"/>
        <v>0</v>
      </c>
      <c r="H30" s="488">
        <f t="shared" si="12"/>
        <v>1500000</v>
      </c>
      <c r="I30" s="487">
        <f t="shared" si="7"/>
        <v>0</v>
      </c>
      <c r="J30" s="488">
        <f t="shared" si="13"/>
        <v>1500000</v>
      </c>
      <c r="K30" s="487">
        <f t="shared" si="8"/>
        <v>0</v>
      </c>
      <c r="L30" s="488">
        <f t="shared" si="14"/>
        <v>1500000</v>
      </c>
      <c r="M30" s="487">
        <f t="shared" si="9"/>
        <v>0</v>
      </c>
      <c r="N30" s="488">
        <f t="shared" si="15"/>
        <v>1500000</v>
      </c>
      <c r="P30" s="702">
        <v>2000000</v>
      </c>
    </row>
    <row r="31" spans="2:16" ht="14.25" customHeight="1">
      <c r="B31" s="708">
        <v>2000000</v>
      </c>
      <c r="C31" s="705">
        <f t="shared" si="4"/>
        <v>0</v>
      </c>
      <c r="D31" s="488">
        <f t="shared" si="10"/>
        <v>2000000</v>
      </c>
      <c r="E31" s="487">
        <f t="shared" si="5"/>
        <v>0</v>
      </c>
      <c r="F31" s="488">
        <f t="shared" si="11"/>
        <v>2000000</v>
      </c>
      <c r="G31" s="487">
        <f t="shared" si="6"/>
        <v>0</v>
      </c>
      <c r="H31" s="488">
        <f t="shared" si="12"/>
        <v>2000000</v>
      </c>
      <c r="I31" s="487">
        <f t="shared" si="7"/>
        <v>0</v>
      </c>
      <c r="J31" s="488">
        <f t="shared" si="13"/>
        <v>2000000</v>
      </c>
      <c r="K31" s="487">
        <f t="shared" si="8"/>
        <v>0</v>
      </c>
      <c r="L31" s="488">
        <f t="shared" si="14"/>
        <v>2000000</v>
      </c>
      <c r="M31" s="487">
        <f t="shared" si="9"/>
        <v>0</v>
      </c>
      <c r="N31" s="488">
        <f t="shared" si="15"/>
        <v>2000000</v>
      </c>
      <c r="P31" s="702">
        <v>2500000</v>
      </c>
    </row>
    <row r="32" spans="2:16" ht="14.25" customHeight="1">
      <c r="B32" s="708">
        <v>2500000</v>
      </c>
      <c r="C32" s="705">
        <f t="shared" si="4"/>
        <v>0</v>
      </c>
      <c r="D32" s="488">
        <f t="shared" si="10"/>
        <v>2500000</v>
      </c>
      <c r="E32" s="487">
        <f t="shared" si="5"/>
        <v>0</v>
      </c>
      <c r="F32" s="488">
        <f t="shared" si="11"/>
        <v>2500000</v>
      </c>
      <c r="G32" s="487">
        <f t="shared" si="6"/>
        <v>0</v>
      </c>
      <c r="H32" s="488">
        <f t="shared" si="12"/>
        <v>2500000</v>
      </c>
      <c r="I32" s="487">
        <f t="shared" si="7"/>
        <v>0</v>
      </c>
      <c r="J32" s="488">
        <f t="shared" si="13"/>
        <v>2500000</v>
      </c>
      <c r="K32" s="487">
        <f t="shared" si="8"/>
        <v>0</v>
      </c>
      <c r="L32" s="488">
        <f t="shared" si="14"/>
        <v>2500000</v>
      </c>
      <c r="M32" s="487">
        <f t="shared" si="9"/>
        <v>0</v>
      </c>
      <c r="N32" s="488">
        <f t="shared" si="15"/>
        <v>2500000</v>
      </c>
      <c r="P32" s="834">
        <v>3000000</v>
      </c>
    </row>
    <row r="33" spans="2:16" ht="14.25" customHeight="1">
      <c r="B33" s="708">
        <v>3000000</v>
      </c>
      <c r="C33" s="705">
        <f t="shared" si="4"/>
        <v>0</v>
      </c>
      <c r="D33" s="488">
        <f t="shared" si="10"/>
        <v>3000000</v>
      </c>
      <c r="E33" s="487">
        <f t="shared" si="5"/>
        <v>0</v>
      </c>
      <c r="F33" s="488">
        <f t="shared" si="11"/>
        <v>3000000</v>
      </c>
      <c r="G33" s="487">
        <f t="shared" si="6"/>
        <v>0</v>
      </c>
      <c r="H33" s="488">
        <f t="shared" si="12"/>
        <v>3000000</v>
      </c>
      <c r="I33" s="487">
        <f t="shared" si="7"/>
        <v>0</v>
      </c>
      <c r="J33" s="488">
        <f t="shared" si="13"/>
        <v>3000000</v>
      </c>
      <c r="K33" s="487">
        <f t="shared" si="8"/>
        <v>0</v>
      </c>
      <c r="L33" s="488">
        <f>IF(K33&lt;=B33,B33,"")</f>
        <v>3000000</v>
      </c>
      <c r="M33" s="487">
        <f t="shared" si="9"/>
        <v>0</v>
      </c>
      <c r="N33" s="488">
        <f t="shared" si="15"/>
        <v>3000000</v>
      </c>
      <c r="P33" s="702">
        <v>3500000</v>
      </c>
    </row>
    <row r="34" spans="2:16" ht="14.25" customHeight="1">
      <c r="B34" s="708">
        <v>3500000</v>
      </c>
      <c r="C34" s="705">
        <f t="shared" si="4"/>
        <v>0</v>
      </c>
      <c r="D34" s="488">
        <f t="shared" si="10"/>
        <v>3500000</v>
      </c>
      <c r="E34" s="487">
        <f t="shared" si="5"/>
        <v>0</v>
      </c>
      <c r="F34" s="488">
        <f t="shared" si="11"/>
        <v>3500000</v>
      </c>
      <c r="G34" s="487">
        <f t="shared" si="6"/>
        <v>0</v>
      </c>
      <c r="H34" s="488">
        <f t="shared" si="12"/>
        <v>3500000</v>
      </c>
      <c r="I34" s="487">
        <f t="shared" si="7"/>
        <v>0</v>
      </c>
      <c r="J34" s="488">
        <f t="shared" si="13"/>
        <v>3500000</v>
      </c>
      <c r="K34" s="487">
        <f t="shared" si="8"/>
        <v>0</v>
      </c>
      <c r="L34" s="488">
        <f>IF(K34&lt;=B34,B34,"")</f>
        <v>3500000</v>
      </c>
      <c r="M34" s="487">
        <f t="shared" si="9"/>
        <v>0</v>
      </c>
      <c r="N34" s="488">
        <f t="shared" si="15"/>
        <v>3500000</v>
      </c>
      <c r="P34" s="702">
        <v>4000000</v>
      </c>
    </row>
    <row r="35" spans="2:16" ht="14.25" customHeight="1">
      <c r="B35" s="708">
        <v>4000000</v>
      </c>
      <c r="C35" s="705">
        <f t="shared" si="4"/>
        <v>0</v>
      </c>
      <c r="D35" s="488">
        <f t="shared" si="10"/>
        <v>4000000</v>
      </c>
      <c r="E35" s="487">
        <f t="shared" si="5"/>
        <v>0</v>
      </c>
      <c r="F35" s="488">
        <f t="shared" si="11"/>
        <v>4000000</v>
      </c>
      <c r="G35" s="487">
        <f t="shared" si="6"/>
        <v>0</v>
      </c>
      <c r="H35" s="488">
        <f t="shared" si="12"/>
        <v>4000000</v>
      </c>
      <c r="I35" s="487">
        <f t="shared" si="7"/>
        <v>0</v>
      </c>
      <c r="J35" s="488">
        <f t="shared" si="13"/>
        <v>4000000</v>
      </c>
      <c r="K35" s="487">
        <f t="shared" si="8"/>
        <v>0</v>
      </c>
      <c r="L35" s="488">
        <f>IF(K35&lt;=B35,B35,"")</f>
        <v>4000000</v>
      </c>
      <c r="M35" s="487">
        <f t="shared" si="9"/>
        <v>0</v>
      </c>
      <c r="N35" s="488">
        <f t="shared" si="15"/>
        <v>4000000</v>
      </c>
      <c r="P35" s="702">
        <v>5000000</v>
      </c>
    </row>
    <row r="36" spans="2:16" ht="14.25" customHeight="1" thickBot="1">
      <c r="B36" s="708">
        <v>5000000</v>
      </c>
      <c r="C36" s="705">
        <f t="shared" si="4"/>
        <v>0</v>
      </c>
      <c r="D36" s="488">
        <f t="shared" si="10"/>
        <v>5000000</v>
      </c>
      <c r="E36" s="487">
        <f t="shared" si="5"/>
        <v>0</v>
      </c>
      <c r="F36" s="488">
        <f t="shared" si="11"/>
        <v>5000000</v>
      </c>
      <c r="G36" s="487">
        <f t="shared" si="6"/>
        <v>0</v>
      </c>
      <c r="H36" s="488">
        <f t="shared" si="12"/>
        <v>5000000</v>
      </c>
      <c r="I36" s="487">
        <f t="shared" si="7"/>
        <v>0</v>
      </c>
      <c r="J36" s="488">
        <f t="shared" si="13"/>
        <v>5000000</v>
      </c>
      <c r="K36" s="487">
        <f t="shared" si="8"/>
        <v>0</v>
      </c>
      <c r="L36" s="488">
        <f>IF(K36&lt;=B36,B36,"")</f>
        <v>5000000</v>
      </c>
      <c r="M36" s="487">
        <f t="shared" si="9"/>
        <v>0</v>
      </c>
      <c r="N36" s="488">
        <f t="shared" si="15"/>
        <v>5000000</v>
      </c>
      <c r="P36" s="704">
        <v>10000000</v>
      </c>
    </row>
    <row r="37" spans="2:16" ht="14.25" customHeight="1" thickBot="1">
      <c r="B37" s="709">
        <v>10000000</v>
      </c>
      <c r="C37" s="705">
        <f t="shared" si="4"/>
        <v>0</v>
      </c>
      <c r="D37" s="488">
        <f t="shared" si="10"/>
        <v>10000000</v>
      </c>
      <c r="E37" s="487">
        <f t="shared" si="5"/>
        <v>0</v>
      </c>
      <c r="F37" s="488">
        <f t="shared" si="11"/>
        <v>10000000</v>
      </c>
      <c r="G37" s="487">
        <f t="shared" si="6"/>
        <v>0</v>
      </c>
      <c r="H37" s="488">
        <f t="shared" si="12"/>
        <v>10000000</v>
      </c>
      <c r="I37" s="487">
        <f t="shared" si="7"/>
        <v>0</v>
      </c>
      <c r="J37" s="488">
        <f t="shared" si="13"/>
        <v>10000000</v>
      </c>
      <c r="K37" s="487">
        <f t="shared" si="8"/>
        <v>0</v>
      </c>
      <c r="L37" s="488">
        <f>IF(K37&lt;=B37,B37,"")</f>
        <v>10000000</v>
      </c>
      <c r="M37" s="487">
        <f t="shared" si="9"/>
        <v>0</v>
      </c>
      <c r="N37" s="488">
        <f t="shared" si="15"/>
        <v>10000000</v>
      </c>
    </row>
    <row r="38" spans="2:16" ht="14.25" customHeight="1">
      <c r="C38" s="487"/>
      <c r="D38" s="488"/>
      <c r="E38" s="487"/>
      <c r="F38" s="488"/>
      <c r="G38" s="487"/>
      <c r="H38" s="488"/>
      <c r="I38" s="487"/>
      <c r="J38" s="488"/>
      <c r="K38" s="487"/>
      <c r="L38" s="488"/>
      <c r="M38" s="487"/>
      <c r="N38" s="488"/>
    </row>
    <row r="39" spans="2:16" ht="14.25" customHeight="1" thickBot="1">
      <c r="C39" s="490"/>
      <c r="D39" s="491">
        <f>MIN(D25:D37)</f>
        <v>125000</v>
      </c>
      <c r="E39" s="490"/>
      <c r="F39" s="491">
        <f>MIN(F25:F37)</f>
        <v>125000</v>
      </c>
      <c r="G39" s="490"/>
      <c r="H39" s="491">
        <f>MIN(H25:H37)</f>
        <v>125000</v>
      </c>
      <c r="I39" s="490"/>
      <c r="J39" s="491">
        <f>MIN(J25:J37)</f>
        <v>125000</v>
      </c>
      <c r="K39" s="490"/>
      <c r="L39" s="491">
        <f>MIN(L25:L37)</f>
        <v>125000</v>
      </c>
      <c r="M39" s="490"/>
      <c r="N39" s="491">
        <f>MIN(N25:N37)</f>
        <v>125000</v>
      </c>
    </row>
    <row r="40" spans="2:16" ht="14.25" customHeight="1"/>
    <row r="41" spans="2:16" ht="14.25" customHeight="1"/>
    <row r="42" spans="2:16" ht="14.25" customHeight="1"/>
    <row r="43" spans="2:16" ht="14.25" customHeight="1"/>
    <row r="44" spans="2:16" ht="14.25" customHeight="1"/>
    <row r="45" spans="2:16" ht="14.25" customHeight="1">
      <c r="B45" s="826" t="s">
        <v>3798</v>
      </c>
      <c r="C45" s="827">
        <v>125000</v>
      </c>
      <c r="D45" s="827">
        <v>250000</v>
      </c>
      <c r="E45" s="827">
        <v>500000</v>
      </c>
      <c r="F45" s="827">
        <v>750000</v>
      </c>
      <c r="G45" s="827">
        <v>1000000</v>
      </c>
      <c r="H45" s="827">
        <v>1500000</v>
      </c>
      <c r="I45" s="827">
        <v>2000000</v>
      </c>
      <c r="J45" s="827">
        <v>2500000</v>
      </c>
      <c r="K45" s="827">
        <v>3000000</v>
      </c>
      <c r="L45" s="827">
        <v>3500000</v>
      </c>
      <c r="M45" s="827">
        <v>4000000</v>
      </c>
      <c r="N45" s="827">
        <v>5000000</v>
      </c>
    </row>
    <row r="46" spans="2:16" ht="14.4">
      <c r="B46" s="665"/>
      <c r="C46" s="665"/>
      <c r="D46" s="665"/>
      <c r="E46" s="665"/>
      <c r="F46" s="665"/>
      <c r="G46" s="665"/>
      <c r="H46" s="665"/>
      <c r="I46" s="665"/>
      <c r="J46" s="665"/>
      <c r="K46" s="665"/>
      <c r="L46" s="665"/>
      <c r="M46" s="665"/>
      <c r="N46" s="665"/>
    </row>
    <row r="47" spans="2:16" ht="14.4">
      <c r="B47" s="665"/>
      <c r="C47" s="828" t="s">
        <v>3799</v>
      </c>
      <c r="D47" s="665"/>
      <c r="E47" s="665"/>
      <c r="F47" s="665"/>
      <c r="G47" s="665"/>
      <c r="H47" s="665"/>
      <c r="I47" s="665"/>
      <c r="J47" s="665"/>
      <c r="K47" s="665"/>
      <c r="L47" s="665"/>
      <c r="M47" s="665"/>
      <c r="N47" s="665"/>
    </row>
    <row r="48" spans="2:16" ht="14.4">
      <c r="B48" s="828" t="s">
        <v>3800</v>
      </c>
      <c r="C48" s="665"/>
      <c r="D48" s="665"/>
      <c r="E48" s="665"/>
      <c r="F48" s="665"/>
      <c r="G48" s="665"/>
      <c r="H48" s="665"/>
      <c r="I48" s="665"/>
      <c r="J48" s="665"/>
      <c r="K48" s="665"/>
      <c r="L48" s="665"/>
      <c r="M48" s="665"/>
      <c r="N48" s="665"/>
    </row>
    <row r="49" spans="1:17" ht="14.4">
      <c r="B49" s="829" t="s">
        <v>3801</v>
      </c>
      <c r="C49" s="830">
        <v>408</v>
      </c>
      <c r="D49" s="830">
        <v>510.00000000000006</v>
      </c>
      <c r="E49" s="830">
        <v>612</v>
      </c>
      <c r="F49" s="830">
        <v>765</v>
      </c>
      <c r="G49" s="830">
        <v>867</v>
      </c>
      <c r="H49" s="830">
        <v>1275</v>
      </c>
      <c r="I49" s="830">
        <v>1693.1999999999998</v>
      </c>
      <c r="J49" s="830">
        <v>2091</v>
      </c>
      <c r="K49" s="830">
        <v>2478.6</v>
      </c>
      <c r="L49" s="830">
        <v>2879</v>
      </c>
      <c r="M49" s="830">
        <v>3279.5</v>
      </c>
      <c r="N49" s="830">
        <v>4080</v>
      </c>
    </row>
    <row r="50" spans="1:17" ht="14.4">
      <c r="A50" s="658"/>
      <c r="B50" s="665" t="s">
        <v>3802</v>
      </c>
      <c r="C50" s="831">
        <v>444.70284767999999</v>
      </c>
      <c r="D50" s="831">
        <v>555.8785595999999</v>
      </c>
      <c r="E50" s="831">
        <v>667.05427152000004</v>
      </c>
      <c r="F50" s="831">
        <v>833.81783939999991</v>
      </c>
      <c r="G50" s="831">
        <v>950.0469927709089</v>
      </c>
      <c r="H50" s="831">
        <v>1389.6963989999999</v>
      </c>
      <c r="I50" s="831">
        <v>1839.4526881309089</v>
      </c>
      <c r="J50" s="831">
        <v>2274.0486529090904</v>
      </c>
      <c r="K50" s="831">
        <v>2698.5377347854542</v>
      </c>
      <c r="L50" s="831">
        <v>3136</v>
      </c>
      <c r="M50" s="831">
        <v>3573</v>
      </c>
      <c r="N50" s="831">
        <v>4447.0284768000001</v>
      </c>
      <c r="O50" s="839"/>
      <c r="P50" s="671"/>
      <c r="Q50" s="671"/>
    </row>
    <row r="51" spans="1:17" ht="14.4">
      <c r="A51" s="658"/>
      <c r="B51" s="829" t="s">
        <v>3803</v>
      </c>
      <c r="C51" s="830">
        <v>668.89431818181822</v>
      </c>
      <c r="D51" s="830">
        <v>836.55000000000007</v>
      </c>
      <c r="E51" s="830">
        <v>1002.4772727272727</v>
      </c>
      <c r="F51" s="830">
        <v>1254.825</v>
      </c>
      <c r="G51" s="830">
        <v>1424.2090909090912</v>
      </c>
      <c r="H51" s="830">
        <v>2091.3750000000005</v>
      </c>
      <c r="I51" s="830">
        <v>2765.454545454546</v>
      </c>
      <c r="J51" s="830">
        <v>3422.25</v>
      </c>
      <c r="K51" s="830">
        <v>4065.2181818181821</v>
      </c>
      <c r="L51" s="830">
        <v>4725</v>
      </c>
      <c r="M51" s="830">
        <v>5385</v>
      </c>
      <c r="N51" s="830">
        <v>6706.2272727272721</v>
      </c>
      <c r="O51" s="658"/>
    </row>
    <row r="52" spans="1:17" ht="14.4">
      <c r="A52" s="658"/>
      <c r="B52" s="832" t="s">
        <v>3804</v>
      </c>
      <c r="C52" s="833">
        <v>782.60635227272735</v>
      </c>
      <c r="D52" s="833">
        <v>978.76350000000002</v>
      </c>
      <c r="E52" s="833">
        <v>1172.8984090909091</v>
      </c>
      <c r="F52" s="833">
        <v>1468.14525</v>
      </c>
      <c r="G52" s="833">
        <v>1666.3246363636365</v>
      </c>
      <c r="H52" s="833">
        <v>2446.9087500000005</v>
      </c>
      <c r="I52" s="833">
        <v>3235.5818181818186</v>
      </c>
      <c r="J52" s="833">
        <v>4004.0325000000007</v>
      </c>
      <c r="K52" s="833">
        <v>4756.3052727272734</v>
      </c>
      <c r="L52" s="833">
        <v>5528</v>
      </c>
      <c r="M52" s="833">
        <v>6301</v>
      </c>
      <c r="N52" s="833">
        <v>7846.2859090909087</v>
      </c>
      <c r="O52" s="841"/>
    </row>
    <row r="53" spans="1:17" ht="14.4">
      <c r="A53" s="658"/>
      <c r="B53" s="832" t="s">
        <v>3805</v>
      </c>
      <c r="C53" s="833">
        <v>1064.9659090909088</v>
      </c>
      <c r="D53" s="833">
        <v>1330.6090909090908</v>
      </c>
      <c r="E53" s="833">
        <v>1598.6454545454544</v>
      </c>
      <c r="F53" s="833">
        <v>1995.9136363636362</v>
      </c>
      <c r="G53" s="833">
        <v>2259.1636363636367</v>
      </c>
      <c r="H53" s="833">
        <v>3326.5227272727261</v>
      </c>
      <c r="I53" s="833">
        <v>4403.454545454545</v>
      </c>
      <c r="J53" s="833">
        <v>5456.454545454545</v>
      </c>
      <c r="K53" s="833">
        <v>6490.3090909090897</v>
      </c>
      <c r="L53" s="833">
        <v>7524</v>
      </c>
      <c r="M53" s="833">
        <v>8558</v>
      </c>
      <c r="N53" s="833">
        <v>10625.727272727274</v>
      </c>
      <c r="O53" s="841"/>
    </row>
    <row r="54" spans="1:17" ht="14.4">
      <c r="A54" s="658"/>
      <c r="B54" s="840"/>
      <c r="C54" s="843"/>
      <c r="D54" s="842"/>
      <c r="E54" s="841"/>
      <c r="F54" s="842"/>
      <c r="G54" s="841"/>
      <c r="H54" s="844"/>
      <c r="I54" s="842"/>
      <c r="J54" s="841"/>
      <c r="K54" s="844"/>
      <c r="L54" s="845"/>
      <c r="M54" s="841"/>
      <c r="N54" s="841"/>
      <c r="O54" s="841"/>
    </row>
    <row r="55" spans="1:17" ht="14.4">
      <c r="A55" s="658"/>
      <c r="B55" s="840"/>
      <c r="C55" s="843"/>
      <c r="D55" s="842"/>
      <c r="E55" s="841"/>
      <c r="F55" s="842"/>
      <c r="G55" s="841"/>
      <c r="H55" s="844"/>
      <c r="I55" s="842"/>
      <c r="J55" s="841"/>
      <c r="K55" s="844"/>
      <c r="L55" s="845"/>
      <c r="M55" s="841"/>
      <c r="N55" s="841"/>
      <c r="O55" s="841"/>
    </row>
    <row r="56" spans="1:17" ht="14.4">
      <c r="A56" s="658"/>
      <c r="B56" s="840"/>
      <c r="C56" s="843"/>
      <c r="D56" s="842"/>
      <c r="E56" s="841"/>
      <c r="F56" s="842"/>
      <c r="G56" s="841"/>
      <c r="H56" s="844"/>
      <c r="I56" s="842"/>
      <c r="J56" s="841"/>
      <c r="K56" s="844"/>
      <c r="L56" s="845"/>
      <c r="M56" s="841"/>
      <c r="N56" s="841"/>
      <c r="O56" s="841"/>
    </row>
    <row r="57" spans="1:17" ht="14.4">
      <c r="A57" s="658"/>
      <c r="B57" s="840"/>
      <c r="C57" s="843"/>
      <c r="D57" s="842"/>
      <c r="E57" s="841"/>
      <c r="F57" s="842"/>
      <c r="G57" s="841"/>
      <c r="H57" s="844"/>
      <c r="I57" s="842"/>
      <c r="J57" s="841"/>
      <c r="K57" s="844"/>
      <c r="L57" s="845"/>
      <c r="M57" s="841"/>
      <c r="N57" s="841"/>
      <c r="O57" s="841"/>
    </row>
    <row r="58" spans="1:17" ht="14.4">
      <c r="A58" s="658"/>
      <c r="B58" s="840"/>
      <c r="C58" s="843"/>
      <c r="D58" s="842"/>
      <c r="E58" s="841"/>
      <c r="F58" s="842"/>
      <c r="G58" s="841"/>
      <c r="H58" s="844"/>
      <c r="I58" s="842"/>
      <c r="J58" s="841"/>
      <c r="K58" s="844"/>
      <c r="L58" s="845"/>
      <c r="M58" s="841"/>
      <c r="N58" s="844"/>
      <c r="O58" s="841"/>
      <c r="P58" s="694"/>
      <c r="Q58" s="694"/>
    </row>
    <row r="59" spans="1:17" ht="14.4">
      <c r="A59" s="658"/>
      <c r="B59" s="840"/>
      <c r="C59" s="843"/>
      <c r="D59" s="842"/>
      <c r="E59" s="841"/>
      <c r="F59" s="842"/>
      <c r="G59" s="841"/>
      <c r="H59" s="844"/>
      <c r="I59" s="842"/>
      <c r="J59" s="841"/>
      <c r="K59" s="844"/>
      <c r="L59" s="845"/>
      <c r="M59" s="841"/>
      <c r="N59" s="844"/>
      <c r="O59" s="841"/>
      <c r="P59" s="694"/>
      <c r="Q59" s="694"/>
    </row>
    <row r="60" spans="1:17" ht="14.4">
      <c r="A60" s="658"/>
      <c r="B60" s="840"/>
      <c r="C60" s="843"/>
      <c r="D60" s="842"/>
      <c r="E60" s="841"/>
      <c r="F60" s="842"/>
      <c r="G60" s="841"/>
      <c r="H60" s="844"/>
      <c r="I60" s="842"/>
      <c r="J60" s="841"/>
      <c r="K60" s="844"/>
      <c r="L60" s="845"/>
      <c r="M60" s="841"/>
      <c r="N60" s="844"/>
      <c r="O60" s="841"/>
      <c r="P60" s="694"/>
      <c r="Q60" s="694"/>
    </row>
    <row r="61" spans="1:17" ht="14.4">
      <c r="A61" s="658"/>
      <c r="B61" s="840"/>
      <c r="C61" s="843"/>
      <c r="D61" s="842"/>
      <c r="E61" s="841"/>
      <c r="F61" s="842"/>
      <c r="G61" s="841"/>
      <c r="H61" s="844"/>
      <c r="I61" s="842"/>
      <c r="J61" s="841"/>
      <c r="K61" s="844"/>
      <c r="L61" s="845"/>
      <c r="M61" s="841"/>
      <c r="N61" s="844"/>
      <c r="O61" s="841"/>
      <c r="P61" s="694"/>
      <c r="Q61" s="694"/>
    </row>
    <row r="62" spans="1:17" ht="14.4">
      <c r="A62" s="658"/>
      <c r="B62" s="840"/>
      <c r="C62" s="843"/>
      <c r="D62" s="842"/>
      <c r="E62" s="841"/>
      <c r="F62" s="842"/>
      <c r="G62" s="841"/>
      <c r="H62" s="844"/>
      <c r="I62" s="842"/>
      <c r="J62" s="841"/>
      <c r="K62" s="844"/>
      <c r="L62" s="845"/>
      <c r="M62" s="841"/>
      <c r="N62" s="844"/>
      <c r="O62" s="841"/>
      <c r="P62" s="694"/>
      <c r="Q62" s="694"/>
    </row>
    <row r="63" spans="1:17" ht="14.25" customHeight="1">
      <c r="A63" s="658"/>
      <c r="B63" s="840"/>
      <c r="C63" s="843"/>
      <c r="D63" s="842"/>
      <c r="E63" s="841"/>
      <c r="F63" s="842"/>
      <c r="G63" s="841"/>
      <c r="H63" s="844"/>
      <c r="I63" s="842"/>
      <c r="J63" s="841"/>
      <c r="K63" s="844"/>
      <c r="L63" s="845"/>
      <c r="M63" s="841"/>
      <c r="N63" s="844"/>
      <c r="O63" s="841"/>
      <c r="P63" s="694"/>
      <c r="Q63" s="694"/>
    </row>
    <row r="64" spans="1:17"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7">
    <mergeCell ref="I24:J24"/>
    <mergeCell ref="K24:L24"/>
    <mergeCell ref="C14:E14"/>
    <mergeCell ref="F14:H14"/>
    <mergeCell ref="C24:D24"/>
    <mergeCell ref="E24:F24"/>
    <mergeCell ref="G24:H24"/>
  </mergeCells>
  <pageMargins left="0.7" right="0.7" top="0.78740157499999996" bottom="0.78740157499999996" header="0" footer="0"/>
  <pageSetup paperSize="9"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N1000"/>
  <sheetViews>
    <sheetView workbookViewId="0"/>
  </sheetViews>
  <sheetFormatPr baseColWidth="10" defaultColWidth="14.33203125" defaultRowHeight="15" customHeight="1"/>
  <cols>
    <col min="1" max="1" width="25.33203125" customWidth="1"/>
    <col min="2" max="2" width="27.6640625" customWidth="1"/>
    <col min="3" max="8" width="16.5546875" customWidth="1"/>
    <col min="9" max="9" width="12" customWidth="1"/>
    <col min="10" max="10" width="32.33203125" customWidth="1"/>
    <col min="11" max="11" width="14" customWidth="1"/>
    <col min="12" max="14" width="13" customWidth="1"/>
  </cols>
  <sheetData>
    <row r="1" spans="1:14" ht="36.75" customHeight="1">
      <c r="C1" s="1104" t="s">
        <v>3128</v>
      </c>
      <c r="D1" s="1047"/>
      <c r="E1" s="1047"/>
      <c r="F1" s="1047"/>
      <c r="G1" s="1047"/>
      <c r="H1" s="1047"/>
      <c r="I1" s="1047"/>
      <c r="J1" s="1047"/>
      <c r="K1" s="1047"/>
      <c r="L1" s="1105"/>
    </row>
    <row r="2" spans="1:14" ht="14.25" customHeight="1">
      <c r="A2" s="1096" t="s">
        <v>3672</v>
      </c>
      <c r="B2" s="1097"/>
      <c r="C2" s="559">
        <v>500000</v>
      </c>
      <c r="D2" s="559">
        <v>1000000</v>
      </c>
      <c r="E2" s="559">
        <v>1500000</v>
      </c>
      <c r="F2" s="559">
        <v>2000000</v>
      </c>
      <c r="G2" s="559">
        <v>2500000</v>
      </c>
      <c r="H2" s="559">
        <v>3000000</v>
      </c>
      <c r="I2" s="559">
        <v>4000000</v>
      </c>
      <c r="J2" s="559">
        <v>5000000</v>
      </c>
      <c r="K2" s="559">
        <v>7500000</v>
      </c>
      <c r="L2" s="559">
        <v>10000000</v>
      </c>
    </row>
    <row r="3" spans="1:14" ht="14.25" customHeight="1">
      <c r="A3" s="502" t="s">
        <v>3655</v>
      </c>
      <c r="B3" s="502">
        <v>0</v>
      </c>
      <c r="C3" s="255">
        <v>721</v>
      </c>
      <c r="D3" s="255">
        <v>956</v>
      </c>
      <c r="E3" s="255">
        <v>1412</v>
      </c>
      <c r="F3" s="255">
        <v>1855</v>
      </c>
      <c r="G3" s="560"/>
      <c r="H3" s="560"/>
      <c r="I3" s="560"/>
      <c r="J3" s="560"/>
      <c r="K3" s="560"/>
      <c r="L3" s="560"/>
      <c r="M3" s="560"/>
      <c r="N3" s="560"/>
    </row>
    <row r="4" spans="1:14" ht="14.25" customHeight="1">
      <c r="A4" s="502" t="s">
        <v>3656</v>
      </c>
      <c r="B4" s="502">
        <v>5000000</v>
      </c>
      <c r="C4" s="255">
        <v>955</v>
      </c>
      <c r="D4" s="255">
        <v>1194</v>
      </c>
      <c r="E4" s="255">
        <v>1635</v>
      </c>
      <c r="F4" s="255">
        <v>2028</v>
      </c>
      <c r="G4" s="255">
        <v>2450</v>
      </c>
      <c r="H4" s="255">
        <v>2892</v>
      </c>
      <c r="I4" s="255">
        <v>3663</v>
      </c>
      <c r="J4" s="255">
        <v>4500</v>
      </c>
      <c r="K4" s="560">
        <v>6750</v>
      </c>
      <c r="L4" s="560">
        <v>9000</v>
      </c>
      <c r="M4" s="560"/>
      <c r="N4" s="560"/>
    </row>
    <row r="5" spans="1:14" ht="14.25" customHeight="1">
      <c r="A5" s="502" t="s">
        <v>3657</v>
      </c>
      <c r="B5" s="502">
        <v>10000000</v>
      </c>
      <c r="C5" s="255">
        <v>1098</v>
      </c>
      <c r="D5" s="255">
        <v>1313</v>
      </c>
      <c r="E5" s="255">
        <v>1799</v>
      </c>
      <c r="F5" s="255">
        <v>2231</v>
      </c>
      <c r="G5" s="255">
        <v>2695</v>
      </c>
      <c r="H5" s="255">
        <v>3037</v>
      </c>
      <c r="I5" s="255">
        <v>3846</v>
      </c>
      <c r="J5" s="255">
        <v>4725</v>
      </c>
      <c r="K5" s="255">
        <v>7088</v>
      </c>
      <c r="L5" s="255">
        <v>9450</v>
      </c>
      <c r="M5" s="255"/>
      <c r="N5" s="255"/>
    </row>
    <row r="6" spans="1:14" ht="14.25" customHeight="1">
      <c r="A6" s="502" t="s">
        <v>3658</v>
      </c>
      <c r="B6" s="502">
        <v>25000000</v>
      </c>
      <c r="C6" s="560"/>
      <c r="D6" s="255">
        <v>1445</v>
      </c>
      <c r="E6" s="255">
        <v>1978</v>
      </c>
      <c r="F6" s="255">
        <v>2454</v>
      </c>
      <c r="G6" s="255">
        <v>2830</v>
      </c>
      <c r="H6" s="255">
        <v>3188</v>
      </c>
      <c r="I6" s="255">
        <v>4038</v>
      </c>
      <c r="J6" s="255">
        <v>4961</v>
      </c>
      <c r="K6" s="255">
        <v>7442</v>
      </c>
      <c r="L6" s="255">
        <v>9923</v>
      </c>
      <c r="M6" s="255"/>
      <c r="N6" s="255"/>
    </row>
    <row r="7" spans="1:14" ht="14.25" customHeight="1">
      <c r="A7" s="502" t="s">
        <v>3659</v>
      </c>
      <c r="B7" s="502">
        <v>50000000</v>
      </c>
      <c r="C7" s="560"/>
      <c r="D7" s="255">
        <v>1517</v>
      </c>
      <c r="E7" s="255">
        <v>2077</v>
      </c>
      <c r="F7" s="255">
        <v>2576</v>
      </c>
      <c r="G7" s="255">
        <v>2901</v>
      </c>
      <c r="H7" s="255">
        <v>3268</v>
      </c>
      <c r="I7" s="255">
        <v>4139</v>
      </c>
      <c r="J7" s="255">
        <v>5085</v>
      </c>
      <c r="K7" s="255">
        <v>7628</v>
      </c>
      <c r="L7" s="255">
        <v>10171</v>
      </c>
      <c r="M7" s="255"/>
      <c r="N7" s="255"/>
    </row>
    <row r="8" spans="1:14" ht="14.25" customHeight="1">
      <c r="A8" s="502" t="s">
        <v>3660</v>
      </c>
      <c r="B8" s="502">
        <v>75000000</v>
      </c>
      <c r="C8" s="560"/>
      <c r="D8" s="255">
        <v>1589</v>
      </c>
      <c r="E8" s="255">
        <v>2176</v>
      </c>
      <c r="F8" s="255">
        <v>2699</v>
      </c>
      <c r="G8" s="255">
        <v>2971</v>
      </c>
      <c r="H8" s="255">
        <v>3348</v>
      </c>
      <c r="I8" s="255">
        <v>4240</v>
      </c>
      <c r="J8" s="255">
        <v>5209</v>
      </c>
      <c r="K8" s="255">
        <v>7814</v>
      </c>
      <c r="L8" s="255">
        <v>10419</v>
      </c>
      <c r="M8" s="255"/>
      <c r="N8" s="255"/>
    </row>
    <row r="9" spans="1:14" ht="14.25" customHeight="1">
      <c r="A9" s="502" t="s">
        <v>3661</v>
      </c>
      <c r="B9" s="502">
        <v>100000000</v>
      </c>
      <c r="C9" s="560"/>
      <c r="D9" s="255">
        <v>1748</v>
      </c>
      <c r="E9" s="255">
        <v>2394</v>
      </c>
      <c r="F9" s="255">
        <v>2834</v>
      </c>
      <c r="G9" s="255">
        <v>3120</v>
      </c>
      <c r="H9" s="255">
        <v>3515</v>
      </c>
      <c r="I9" s="255">
        <v>4452</v>
      </c>
      <c r="J9" s="255">
        <v>5470</v>
      </c>
      <c r="K9" s="255">
        <v>8205</v>
      </c>
      <c r="L9" s="255">
        <v>10940</v>
      </c>
      <c r="M9" s="255"/>
      <c r="N9" s="255"/>
    </row>
    <row r="10" spans="1:14" ht="14.25" customHeight="1">
      <c r="A10" s="502" t="s">
        <v>3662</v>
      </c>
      <c r="B10" s="502">
        <v>200000000</v>
      </c>
      <c r="C10" s="560"/>
      <c r="D10" s="255">
        <v>1836</v>
      </c>
      <c r="E10" s="255">
        <v>2513</v>
      </c>
      <c r="F10" s="255">
        <v>2976</v>
      </c>
      <c r="G10" s="255">
        <v>3276</v>
      </c>
      <c r="H10" s="255">
        <v>3691</v>
      </c>
      <c r="I10" s="255">
        <v>4675</v>
      </c>
      <c r="J10" s="255">
        <v>5743</v>
      </c>
      <c r="K10" s="255">
        <v>8615</v>
      </c>
      <c r="L10" s="255">
        <v>11487</v>
      </c>
      <c r="M10" s="255"/>
      <c r="N10" s="255"/>
    </row>
    <row r="11" spans="1:14" ht="14.25" customHeight="1">
      <c r="A11" s="502" t="s">
        <v>3663</v>
      </c>
      <c r="B11" s="502">
        <v>300000000</v>
      </c>
      <c r="C11" s="560"/>
      <c r="D11" s="255">
        <v>1927</v>
      </c>
      <c r="E11" s="255">
        <v>2639</v>
      </c>
      <c r="F11" s="255">
        <v>3125</v>
      </c>
      <c r="G11" s="255">
        <v>3440</v>
      </c>
      <c r="H11" s="255">
        <v>3876</v>
      </c>
      <c r="I11" s="255">
        <v>4909</v>
      </c>
      <c r="J11" s="255">
        <v>6030</v>
      </c>
      <c r="K11" s="255">
        <v>9046</v>
      </c>
      <c r="L11" s="255">
        <v>12061</v>
      </c>
      <c r="M11" s="255"/>
      <c r="N11" s="255"/>
    </row>
    <row r="12" spans="1:14" ht="14.25" customHeight="1">
      <c r="A12" s="502" t="s">
        <v>3664</v>
      </c>
      <c r="B12" s="502">
        <v>400000000</v>
      </c>
      <c r="C12" s="560"/>
      <c r="D12" s="255">
        <v>2024</v>
      </c>
      <c r="E12" s="255">
        <v>2771</v>
      </c>
      <c r="F12" s="255">
        <v>3281</v>
      </c>
      <c r="G12" s="255">
        <v>3612</v>
      </c>
      <c r="H12" s="255">
        <v>4069</v>
      </c>
      <c r="I12" s="255">
        <v>5154</v>
      </c>
      <c r="J12" s="255">
        <v>6332</v>
      </c>
      <c r="K12" s="255">
        <v>9498</v>
      </c>
      <c r="L12" s="255">
        <v>12664</v>
      </c>
      <c r="M12" s="255"/>
      <c r="N12" s="255"/>
    </row>
    <row r="13" spans="1:14" ht="14.25" customHeight="1"/>
    <row r="14" spans="1:14" ht="14.25" customHeight="1">
      <c r="J14" s="168" t="s">
        <v>3646</v>
      </c>
      <c r="K14" s="472">
        <v>500000</v>
      </c>
    </row>
    <row r="15" spans="1:14" ht="14.25" customHeight="1">
      <c r="C15" s="1083" t="s">
        <v>2398</v>
      </c>
      <c r="D15" s="1085"/>
      <c r="E15" s="1085"/>
      <c r="F15" s="1083" t="s">
        <v>3111</v>
      </c>
      <c r="G15" s="1085"/>
      <c r="H15" s="1084"/>
      <c r="J15" s="168" t="s">
        <v>3647</v>
      </c>
      <c r="K15" s="472">
        <v>10000000</v>
      </c>
    </row>
    <row r="16" spans="1:14" ht="14.25" customHeight="1">
      <c r="C16" s="473" t="s">
        <v>3113</v>
      </c>
      <c r="D16" s="22" t="s">
        <v>3114</v>
      </c>
      <c r="E16" s="22" t="s">
        <v>3115</v>
      </c>
      <c r="F16" s="473" t="str">
        <f>'Preisrechner Alle Tarife'!B3</f>
        <v>DS 1</v>
      </c>
      <c r="G16" s="22" t="str">
        <f>'Preisrechner Alle Tarife'!C3</f>
        <v>DS 2</v>
      </c>
      <c r="H16" s="561" t="str">
        <f>'Preisrechner Alle Tarife'!D3</f>
        <v>DS 3</v>
      </c>
      <c r="J16" s="168" t="s">
        <v>3648</v>
      </c>
      <c r="K16" s="472">
        <v>500000000</v>
      </c>
    </row>
    <row r="17" spans="2:14" ht="14.25" customHeight="1">
      <c r="B17" s="476" t="s">
        <v>3117</v>
      </c>
      <c r="C17" s="477">
        <f>IF(Deckungssumme1GI&gt;K15,K15,Deckungssumme1GI)</f>
        <v>0</v>
      </c>
      <c r="D17" s="478">
        <f>IF(Deckungssumme2GI&gt;K15,K15,Deckungssumme2GI)</f>
        <v>0</v>
      </c>
      <c r="E17" s="478">
        <f>IF(Deckungssumme3GI&gt;K15,K15,Deckungssumme3GI)</f>
        <v>0</v>
      </c>
      <c r="F17" s="477">
        <f>IF(Deckungssumme1&gt;K15,K15,Deckungssumme1)</f>
        <v>0</v>
      </c>
      <c r="G17" s="478">
        <f>IF(Deckungssumme2&gt;K15,K15,Deckungssumme2)</f>
        <v>0</v>
      </c>
      <c r="H17" s="479">
        <f>IF(Deckungssumme3&gt;K15,K15,Deckungssumme3)</f>
        <v>0</v>
      </c>
    </row>
    <row r="18" spans="2:14" ht="14.25" customHeight="1">
      <c r="B18" s="480" t="s">
        <v>3119</v>
      </c>
      <c r="C18" s="477" t="str">
        <f>IF(Deckungssumme1GI=0,"",D37)</f>
        <v/>
      </c>
      <c r="D18" s="478" t="str">
        <f>IF(Deckungssumme2GI=0,"",F37)</f>
        <v/>
      </c>
      <c r="E18" s="478" t="str">
        <f>IF(Deckungssumme3GI=0,"",H37)</f>
        <v/>
      </c>
      <c r="F18" s="477" t="str">
        <f>IF(Deckungssumme1=0,"",J37)</f>
        <v/>
      </c>
      <c r="G18" s="478" t="str">
        <f>IF(Deckungssumme2=0,"",L37)</f>
        <v/>
      </c>
      <c r="H18" s="479" t="str">
        <f>IF(Deckungssumme3=0,"",N37)</f>
        <v/>
      </c>
    </row>
    <row r="19" spans="2:14" ht="14.25" customHeight="1">
      <c r="B19" s="480" t="s">
        <v>3649</v>
      </c>
      <c r="C19" s="477">
        <f>IF(MAX(AußenumsatzGI,VereinsvermögenGI,BilanzsummeGI)&gt;dual_MaxUmsatz,"Umsatz zu groß!",MAX(AußenumsatzGI,VereinsvermögenGI,BilanzsummeGI))</f>
        <v>0</v>
      </c>
      <c r="D19" s="478">
        <f>IF(MAX(AußenumsatzGI,VereinsvermögenGI,BilanzsummeGI)&gt;dual_MaxUmsatz,"Umsatz zu groß!",MAX(AußenumsatzGI,VereinsvermögenGI,BilanzsummeGI))</f>
        <v>0</v>
      </c>
      <c r="E19" s="478">
        <f>IF(MAX(AußenumsatzGI,VereinsvermögenGI,BilanzsummeGI)&gt;dual_MaxUmsatz,"Umsatz zu groß!",MAX(AußenumsatzGI,VereinsvermögenGI,BilanzsummeGI))</f>
        <v>0</v>
      </c>
      <c r="F19" s="477">
        <f>IF(MAX(Außenumsatz,Vereinsvermögen,Bilanzsumme)&gt;dual_MaxUmsatz,"Umsatz zu groß!",MAX(Außenumsatz,Vereinsvermögen,Bilanzsumme))</f>
        <v>0</v>
      </c>
      <c r="G19" s="478">
        <f>IF(MAX(Außenumsatz,Vereinsvermögen,Bilanzsumme)&gt;dual_MaxUmsatz,"Umsatz zu groß!",MAX(Außenumsatz,Vereinsvermögen,Bilanzsumme))</f>
        <v>0</v>
      </c>
      <c r="H19" s="479">
        <f>IF(MAX(Außenumsatz,Vereinsvermögen,Bilanzsumme)&gt;dual_MaxUmsatz,"Umsatz zu groß!",MAX(Außenumsatz,Vereinsvermögen,Bilanzsumme))</f>
        <v>0</v>
      </c>
    </row>
    <row r="20" spans="2:14" ht="14.25" customHeight="1">
      <c r="B20" s="480" t="s">
        <v>3650</v>
      </c>
      <c r="C20" s="477" t="e">
        <f t="shared" ref="C20:H20" si="0">MATCH(C18,$C$2:$N$2,1)</f>
        <v>#N/A</v>
      </c>
      <c r="D20" s="478" t="e">
        <f t="shared" si="0"/>
        <v>#N/A</v>
      </c>
      <c r="E20" s="478" t="e">
        <f t="shared" si="0"/>
        <v>#N/A</v>
      </c>
      <c r="F20" s="477" t="e">
        <f t="shared" si="0"/>
        <v>#N/A</v>
      </c>
      <c r="G20" s="478" t="e">
        <f t="shared" si="0"/>
        <v>#N/A</v>
      </c>
      <c r="H20" s="479" t="e">
        <f t="shared" si="0"/>
        <v>#N/A</v>
      </c>
    </row>
    <row r="21" spans="2:14" ht="14.25" customHeight="1">
      <c r="B21" s="480" t="s">
        <v>3651</v>
      </c>
      <c r="C21" s="477">
        <f t="shared" ref="C21:H21" si="1">MATCH(C19,$B$3:$B$12,1)</f>
        <v>1</v>
      </c>
      <c r="D21" s="478">
        <f t="shared" si="1"/>
        <v>1</v>
      </c>
      <c r="E21" s="478">
        <f t="shared" si="1"/>
        <v>1</v>
      </c>
      <c r="F21" s="477">
        <f t="shared" si="1"/>
        <v>1</v>
      </c>
      <c r="G21" s="478">
        <f t="shared" si="1"/>
        <v>1</v>
      </c>
      <c r="H21" s="479">
        <f t="shared" si="1"/>
        <v>1</v>
      </c>
    </row>
    <row r="22" spans="2:14" ht="14.25" customHeight="1">
      <c r="B22" s="481" t="s">
        <v>3118</v>
      </c>
      <c r="C22" s="482" t="str">
        <f t="shared" ref="C22:H22" si="2">IFERROR(INDEX($C$3:$N$12,C21,C20),"")</f>
        <v/>
      </c>
      <c r="D22" s="483" t="str">
        <f t="shared" si="2"/>
        <v/>
      </c>
      <c r="E22" s="483" t="str">
        <f t="shared" si="2"/>
        <v/>
      </c>
      <c r="F22" s="482" t="str">
        <f t="shared" si="2"/>
        <v/>
      </c>
      <c r="G22" s="483" t="str">
        <f t="shared" si="2"/>
        <v/>
      </c>
      <c r="H22" s="484" t="str">
        <f t="shared" si="2"/>
        <v/>
      </c>
    </row>
    <row r="23" spans="2:14" ht="14.25" customHeight="1"/>
    <row r="24" spans="2:14" ht="14.25" customHeight="1"/>
    <row r="25" spans="2:14" ht="14.25" customHeight="1">
      <c r="B25" s="485" t="s">
        <v>3718</v>
      </c>
      <c r="C25" s="1083" t="s">
        <v>3113</v>
      </c>
      <c r="D25" s="1084"/>
      <c r="E25" s="1083" t="s">
        <v>3114</v>
      </c>
      <c r="F25" s="1085"/>
      <c r="G25" s="1086" t="s">
        <v>3115</v>
      </c>
      <c r="H25" s="1084"/>
      <c r="I25" s="1083" t="s">
        <v>3113</v>
      </c>
      <c r="J25" s="1084"/>
      <c r="K25" s="1083" t="s">
        <v>3114</v>
      </c>
      <c r="L25" s="1084"/>
      <c r="M25" s="514" t="s">
        <v>3115</v>
      </c>
      <c r="N25" s="515"/>
    </row>
    <row r="26" spans="2:14" ht="14.25" customHeight="1">
      <c r="B26" s="486">
        <v>500000</v>
      </c>
      <c r="C26" s="487">
        <f t="shared" ref="C26:C35" si="3">$C$17</f>
        <v>0</v>
      </c>
      <c r="D26" s="488">
        <f t="shared" ref="D26:D35" si="4">IF(C26&lt;=B26,B26,"")</f>
        <v>500000</v>
      </c>
      <c r="E26" s="487">
        <f t="shared" ref="E26:E35" si="5">$D$17</f>
        <v>0</v>
      </c>
      <c r="F26" s="488">
        <f t="shared" ref="F26:F35" si="6">IF(E26&lt;=B26,B26,"")</f>
        <v>500000</v>
      </c>
      <c r="G26" s="487">
        <f t="shared" ref="G26:G35" si="7">$E$17</f>
        <v>0</v>
      </c>
      <c r="H26" s="488">
        <f t="shared" ref="H26:H35" si="8">IF(G26&lt;=B26,B26,"")</f>
        <v>500000</v>
      </c>
      <c r="I26" s="487">
        <f t="shared" ref="I26:I35" si="9">$F$17</f>
        <v>0</v>
      </c>
      <c r="J26" s="488">
        <f t="shared" ref="J26:J35" si="10">IF(I26&lt;=B26,B26,"")</f>
        <v>500000</v>
      </c>
      <c r="K26" s="487">
        <f t="shared" ref="K26:K35" si="11">$G$17</f>
        <v>0</v>
      </c>
      <c r="L26" s="488">
        <f t="shared" ref="L26:L35" si="12">IF(K26&lt;=B26,B26,"")</f>
        <v>500000</v>
      </c>
      <c r="M26" s="487">
        <f t="shared" ref="M26:M35" si="13">$H$17</f>
        <v>0</v>
      </c>
      <c r="N26" s="488">
        <f t="shared" ref="N26:N35" si="14">IF(M26&lt;=B26,B26,"")</f>
        <v>500000</v>
      </c>
    </row>
    <row r="27" spans="2:14" ht="14.25" customHeight="1">
      <c r="B27" s="486">
        <f>B26+500000</f>
        <v>1000000</v>
      </c>
      <c r="C27" s="487">
        <f t="shared" si="3"/>
        <v>0</v>
      </c>
      <c r="D27" s="488">
        <f t="shared" si="4"/>
        <v>1000000</v>
      </c>
      <c r="E27" s="487">
        <f t="shared" si="5"/>
        <v>0</v>
      </c>
      <c r="F27" s="488">
        <f t="shared" si="6"/>
        <v>1000000</v>
      </c>
      <c r="G27" s="487">
        <f t="shared" si="7"/>
        <v>0</v>
      </c>
      <c r="H27" s="488">
        <f t="shared" si="8"/>
        <v>1000000</v>
      </c>
      <c r="I27" s="487">
        <f t="shared" si="9"/>
        <v>0</v>
      </c>
      <c r="J27" s="488">
        <f t="shared" si="10"/>
        <v>1000000</v>
      </c>
      <c r="K27" s="487">
        <f t="shared" si="11"/>
        <v>0</v>
      </c>
      <c r="L27" s="488">
        <f t="shared" si="12"/>
        <v>1000000</v>
      </c>
      <c r="M27" s="487">
        <f t="shared" si="13"/>
        <v>0</v>
      </c>
      <c r="N27" s="488">
        <f t="shared" si="14"/>
        <v>1000000</v>
      </c>
    </row>
    <row r="28" spans="2:14" ht="14.25" customHeight="1">
      <c r="B28" s="486">
        <f>B27+500000</f>
        <v>1500000</v>
      </c>
      <c r="C28" s="487">
        <f t="shared" si="3"/>
        <v>0</v>
      </c>
      <c r="D28" s="488">
        <f t="shared" si="4"/>
        <v>1500000</v>
      </c>
      <c r="E28" s="487">
        <f t="shared" si="5"/>
        <v>0</v>
      </c>
      <c r="F28" s="488">
        <f t="shared" si="6"/>
        <v>1500000</v>
      </c>
      <c r="G28" s="487">
        <f t="shared" si="7"/>
        <v>0</v>
      </c>
      <c r="H28" s="488">
        <f t="shared" si="8"/>
        <v>1500000</v>
      </c>
      <c r="I28" s="487">
        <f t="shared" si="9"/>
        <v>0</v>
      </c>
      <c r="J28" s="488">
        <f t="shared" si="10"/>
        <v>1500000</v>
      </c>
      <c r="K28" s="487">
        <f t="shared" si="11"/>
        <v>0</v>
      </c>
      <c r="L28" s="488">
        <f t="shared" si="12"/>
        <v>1500000</v>
      </c>
      <c r="M28" s="487">
        <f t="shared" si="13"/>
        <v>0</v>
      </c>
      <c r="N28" s="488">
        <f t="shared" si="14"/>
        <v>1500000</v>
      </c>
    </row>
    <row r="29" spans="2:14" ht="14.25" customHeight="1">
      <c r="B29" s="486">
        <f>B28+500000</f>
        <v>2000000</v>
      </c>
      <c r="C29" s="487">
        <f t="shared" si="3"/>
        <v>0</v>
      </c>
      <c r="D29" s="488">
        <f t="shared" si="4"/>
        <v>2000000</v>
      </c>
      <c r="E29" s="487">
        <f t="shared" si="5"/>
        <v>0</v>
      </c>
      <c r="F29" s="488">
        <f t="shared" si="6"/>
        <v>2000000</v>
      </c>
      <c r="G29" s="487">
        <f t="shared" si="7"/>
        <v>0</v>
      </c>
      <c r="H29" s="488">
        <f t="shared" si="8"/>
        <v>2000000</v>
      </c>
      <c r="I29" s="487">
        <f t="shared" si="9"/>
        <v>0</v>
      </c>
      <c r="J29" s="488">
        <f t="shared" si="10"/>
        <v>2000000</v>
      </c>
      <c r="K29" s="487">
        <f t="shared" si="11"/>
        <v>0</v>
      </c>
      <c r="L29" s="488">
        <f t="shared" si="12"/>
        <v>2000000</v>
      </c>
      <c r="M29" s="487">
        <f t="shared" si="13"/>
        <v>0</v>
      </c>
      <c r="N29" s="488">
        <f t="shared" si="14"/>
        <v>2000000</v>
      </c>
    </row>
    <row r="30" spans="2:14" ht="14.25" customHeight="1">
      <c r="B30" s="486">
        <f>B29+500000</f>
        <v>2500000</v>
      </c>
      <c r="C30" s="487">
        <f t="shared" si="3"/>
        <v>0</v>
      </c>
      <c r="D30" s="488">
        <f t="shared" si="4"/>
        <v>2500000</v>
      </c>
      <c r="E30" s="487">
        <f t="shared" si="5"/>
        <v>0</v>
      </c>
      <c r="F30" s="488">
        <f t="shared" si="6"/>
        <v>2500000</v>
      </c>
      <c r="G30" s="487">
        <f t="shared" si="7"/>
        <v>0</v>
      </c>
      <c r="H30" s="488">
        <f t="shared" si="8"/>
        <v>2500000</v>
      </c>
      <c r="I30" s="487">
        <f t="shared" si="9"/>
        <v>0</v>
      </c>
      <c r="J30" s="488">
        <f t="shared" si="10"/>
        <v>2500000</v>
      </c>
      <c r="K30" s="487">
        <f t="shared" si="11"/>
        <v>0</v>
      </c>
      <c r="L30" s="488">
        <f t="shared" si="12"/>
        <v>2500000</v>
      </c>
      <c r="M30" s="487">
        <f t="shared" si="13"/>
        <v>0</v>
      </c>
      <c r="N30" s="488">
        <f t="shared" si="14"/>
        <v>2500000</v>
      </c>
    </row>
    <row r="31" spans="2:14" ht="14.25" customHeight="1">
      <c r="B31" s="486">
        <f>B30+500000</f>
        <v>3000000</v>
      </c>
      <c r="C31" s="487">
        <f t="shared" si="3"/>
        <v>0</v>
      </c>
      <c r="D31" s="488">
        <f t="shared" si="4"/>
        <v>3000000</v>
      </c>
      <c r="E31" s="487">
        <f t="shared" si="5"/>
        <v>0</v>
      </c>
      <c r="F31" s="488">
        <f t="shared" si="6"/>
        <v>3000000</v>
      </c>
      <c r="G31" s="487">
        <f t="shared" si="7"/>
        <v>0</v>
      </c>
      <c r="H31" s="488">
        <f t="shared" si="8"/>
        <v>3000000</v>
      </c>
      <c r="I31" s="487">
        <f t="shared" si="9"/>
        <v>0</v>
      </c>
      <c r="J31" s="488">
        <f t="shared" si="10"/>
        <v>3000000</v>
      </c>
      <c r="K31" s="487">
        <f t="shared" si="11"/>
        <v>0</v>
      </c>
      <c r="L31" s="488">
        <f t="shared" si="12"/>
        <v>3000000</v>
      </c>
      <c r="M31" s="487">
        <f t="shared" si="13"/>
        <v>0</v>
      </c>
      <c r="N31" s="488">
        <f t="shared" si="14"/>
        <v>3000000</v>
      </c>
    </row>
    <row r="32" spans="2:14" ht="14.25" customHeight="1">
      <c r="B32" s="486">
        <f>B31+1000000</f>
        <v>4000000</v>
      </c>
      <c r="C32" s="487">
        <f t="shared" si="3"/>
        <v>0</v>
      </c>
      <c r="D32" s="488">
        <f t="shared" si="4"/>
        <v>4000000</v>
      </c>
      <c r="E32" s="487">
        <f t="shared" si="5"/>
        <v>0</v>
      </c>
      <c r="F32" s="488">
        <f t="shared" si="6"/>
        <v>4000000</v>
      </c>
      <c r="G32" s="487">
        <f t="shared" si="7"/>
        <v>0</v>
      </c>
      <c r="H32" s="488">
        <f t="shared" si="8"/>
        <v>4000000</v>
      </c>
      <c r="I32" s="487">
        <f t="shared" si="9"/>
        <v>0</v>
      </c>
      <c r="J32" s="488">
        <f t="shared" si="10"/>
        <v>4000000</v>
      </c>
      <c r="K32" s="487">
        <f t="shared" si="11"/>
        <v>0</v>
      </c>
      <c r="L32" s="488">
        <f t="shared" si="12"/>
        <v>4000000</v>
      </c>
      <c r="M32" s="487">
        <f t="shared" si="13"/>
        <v>0</v>
      </c>
      <c r="N32" s="488">
        <f t="shared" si="14"/>
        <v>4000000</v>
      </c>
    </row>
    <row r="33" spans="2:14" ht="14.25" customHeight="1">
      <c r="B33" s="486">
        <f>B32+1000000</f>
        <v>5000000</v>
      </c>
      <c r="C33" s="487">
        <f t="shared" si="3"/>
        <v>0</v>
      </c>
      <c r="D33" s="488">
        <f t="shared" si="4"/>
        <v>5000000</v>
      </c>
      <c r="E33" s="487">
        <f t="shared" si="5"/>
        <v>0</v>
      </c>
      <c r="F33" s="488">
        <f t="shared" si="6"/>
        <v>5000000</v>
      </c>
      <c r="G33" s="487">
        <f t="shared" si="7"/>
        <v>0</v>
      </c>
      <c r="H33" s="488">
        <f t="shared" si="8"/>
        <v>5000000</v>
      </c>
      <c r="I33" s="487">
        <f t="shared" si="9"/>
        <v>0</v>
      </c>
      <c r="J33" s="488">
        <f t="shared" si="10"/>
        <v>5000000</v>
      </c>
      <c r="K33" s="487">
        <f t="shared" si="11"/>
        <v>0</v>
      </c>
      <c r="L33" s="488">
        <f t="shared" si="12"/>
        <v>5000000</v>
      </c>
      <c r="M33" s="487">
        <f t="shared" si="13"/>
        <v>0</v>
      </c>
      <c r="N33" s="488">
        <f t="shared" si="14"/>
        <v>5000000</v>
      </c>
    </row>
    <row r="34" spans="2:14" ht="14.25" customHeight="1">
      <c r="B34" s="486">
        <v>7500000</v>
      </c>
      <c r="C34" s="487">
        <f t="shared" si="3"/>
        <v>0</v>
      </c>
      <c r="D34" s="488">
        <f t="shared" si="4"/>
        <v>7500000</v>
      </c>
      <c r="E34" s="487">
        <f t="shared" si="5"/>
        <v>0</v>
      </c>
      <c r="F34" s="488">
        <f t="shared" si="6"/>
        <v>7500000</v>
      </c>
      <c r="G34" s="487">
        <f t="shared" si="7"/>
        <v>0</v>
      </c>
      <c r="H34" s="488">
        <f t="shared" si="8"/>
        <v>7500000</v>
      </c>
      <c r="I34" s="487">
        <f t="shared" si="9"/>
        <v>0</v>
      </c>
      <c r="J34" s="488">
        <f t="shared" si="10"/>
        <v>7500000</v>
      </c>
      <c r="K34" s="487">
        <f t="shared" si="11"/>
        <v>0</v>
      </c>
      <c r="L34" s="488">
        <f t="shared" si="12"/>
        <v>7500000</v>
      </c>
      <c r="M34" s="487">
        <f t="shared" si="13"/>
        <v>0</v>
      </c>
      <c r="N34" s="488">
        <f t="shared" si="14"/>
        <v>7500000</v>
      </c>
    </row>
    <row r="35" spans="2:14" ht="14.25" customHeight="1">
      <c r="B35" s="516">
        <v>10000000</v>
      </c>
      <c r="C35" s="487">
        <f t="shared" si="3"/>
        <v>0</v>
      </c>
      <c r="D35" s="488">
        <f t="shared" si="4"/>
        <v>10000000</v>
      </c>
      <c r="E35" s="487">
        <f t="shared" si="5"/>
        <v>0</v>
      </c>
      <c r="F35" s="488">
        <f t="shared" si="6"/>
        <v>10000000</v>
      </c>
      <c r="G35" s="487">
        <f t="shared" si="7"/>
        <v>0</v>
      </c>
      <c r="H35" s="488">
        <f t="shared" si="8"/>
        <v>10000000</v>
      </c>
      <c r="I35" s="487">
        <f t="shared" si="9"/>
        <v>0</v>
      </c>
      <c r="J35" s="488">
        <f t="shared" si="10"/>
        <v>10000000</v>
      </c>
      <c r="K35" s="487">
        <f t="shared" si="11"/>
        <v>0</v>
      </c>
      <c r="L35" s="488">
        <f t="shared" si="12"/>
        <v>10000000</v>
      </c>
      <c r="M35" s="487">
        <f t="shared" si="13"/>
        <v>0</v>
      </c>
      <c r="N35" s="488">
        <f t="shared" si="14"/>
        <v>10000000</v>
      </c>
    </row>
    <row r="36" spans="2:14" ht="14.25" customHeight="1">
      <c r="C36" s="487"/>
      <c r="D36" s="488"/>
      <c r="E36" s="487"/>
      <c r="F36" s="488"/>
      <c r="G36" s="487"/>
      <c r="H36" s="488"/>
      <c r="I36" s="487"/>
      <c r="J36" s="488"/>
      <c r="K36" s="487"/>
      <c r="L36" s="488"/>
      <c r="M36" s="487"/>
      <c r="N36" s="488"/>
    </row>
    <row r="37" spans="2:14" ht="14.25" customHeight="1">
      <c r="C37" s="490"/>
      <c r="D37" s="491">
        <f>MIN(D26:D35)</f>
        <v>500000</v>
      </c>
      <c r="E37" s="490"/>
      <c r="F37" s="491">
        <f>MIN(F26:F35)</f>
        <v>500000</v>
      </c>
      <c r="G37" s="490"/>
      <c r="H37" s="491">
        <f>MIN(H26:H35)</f>
        <v>500000</v>
      </c>
      <c r="I37" s="490"/>
      <c r="J37" s="491">
        <f>MIN(J26:J35)</f>
        <v>500000</v>
      </c>
      <c r="K37" s="490"/>
      <c r="L37" s="491">
        <f>MIN(L26:L35)</f>
        <v>500000</v>
      </c>
      <c r="M37" s="490"/>
      <c r="N37" s="491">
        <f>MIN(N26:N35)</f>
        <v>500000</v>
      </c>
    </row>
    <row r="38" spans="2:14" ht="14.25" customHeight="1"/>
    <row r="39" spans="2:14" ht="14.25" customHeight="1"/>
    <row r="40" spans="2:14" ht="14.25" customHeight="1"/>
    <row r="41" spans="2:14" ht="14.25" customHeight="1"/>
    <row r="42" spans="2:14" ht="14.25" customHeight="1"/>
    <row r="43" spans="2:14" ht="14.25" customHeight="1"/>
    <row r="44" spans="2:14" ht="14.25" customHeight="1"/>
    <row r="45" spans="2:14" ht="14.25" customHeight="1"/>
    <row r="46" spans="2:14" ht="14.25" customHeight="1"/>
    <row r="47" spans="2:14" ht="14.25" customHeight="1"/>
    <row r="48" spans="2: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I25:J25"/>
    <mergeCell ref="K25:L25"/>
    <mergeCell ref="C1:L1"/>
    <mergeCell ref="A2:B2"/>
    <mergeCell ref="C15:E15"/>
    <mergeCell ref="F15:H15"/>
    <mergeCell ref="C25:D25"/>
    <mergeCell ref="E25:F25"/>
    <mergeCell ref="G25:H25"/>
  </mergeCells>
  <pageMargins left="0.7" right="0.7" top="0.78740157499999996" bottom="0.78740157499999996" header="0" footer="0"/>
  <pageSetup paperSize="9"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O1005"/>
  <sheetViews>
    <sheetView view="pageBreakPreview" zoomScaleNormal="100" zoomScaleSheetLayoutView="100" workbookViewId="0">
      <selection activeCell="G9" sqref="G9"/>
    </sheetView>
  </sheetViews>
  <sheetFormatPr baseColWidth="10" defaultColWidth="14.33203125" defaultRowHeight="15" customHeight="1"/>
  <cols>
    <col min="1" max="1" width="42.33203125" customWidth="1"/>
    <col min="2" max="7" width="16.5546875" customWidth="1"/>
    <col min="8" max="8" width="12.33203125" customWidth="1"/>
    <col min="9" max="9" width="29.6640625" customWidth="1"/>
    <col min="10" max="10" width="16.5546875" customWidth="1"/>
    <col min="11" max="11" width="14" customWidth="1"/>
    <col min="12" max="13" width="13" customWidth="1"/>
  </cols>
  <sheetData>
    <row r="1" spans="1:15" ht="14.25" customHeight="1">
      <c r="B1" s="1106" t="s">
        <v>2398</v>
      </c>
      <c r="C1" s="1041"/>
      <c r="D1" s="1042"/>
      <c r="E1" s="1107" t="s">
        <v>3111</v>
      </c>
      <c r="F1" s="1041"/>
      <c r="G1" s="1042"/>
      <c r="I1" s="880"/>
      <c r="J1" s="880"/>
      <c r="K1" s="880"/>
      <c r="M1" s="643" t="s">
        <v>2560</v>
      </c>
      <c r="N1" s="643" t="s">
        <v>3741</v>
      </c>
      <c r="O1" s="643" t="s">
        <v>3742</v>
      </c>
    </row>
    <row r="2" spans="1:15" ht="14.25" customHeight="1">
      <c r="B2" s="517" t="s">
        <v>3113</v>
      </c>
      <c r="C2" s="518" t="s">
        <v>3114</v>
      </c>
      <c r="D2" s="519" t="s">
        <v>3115</v>
      </c>
      <c r="E2" s="517" t="s">
        <v>3113</v>
      </c>
      <c r="F2" s="518" t="s">
        <v>3114</v>
      </c>
      <c r="G2" s="519" t="s">
        <v>3115</v>
      </c>
      <c r="I2" s="880"/>
      <c r="J2" s="880"/>
      <c r="K2" s="880"/>
      <c r="M2" s="641">
        <f>Fragenkatalog!K53</f>
        <v>0</v>
      </c>
      <c r="N2" s="641">
        <f>Bilanzsumme</f>
        <v>0</v>
      </c>
      <c r="O2" s="642">
        <f>IF(N2&gt;0,M2/N2,0)</f>
        <v>0</v>
      </c>
    </row>
    <row r="3" spans="1:15" ht="14.25" customHeight="1">
      <c r="A3" s="562" t="s">
        <v>3117</v>
      </c>
      <c r="B3" s="478">
        <f>IF(Deckungssumme1GI&gt;wvag_MaxDeckungssumme,wvag_MaxDeckungssumme,Deckungssumme1GI)</f>
        <v>0</v>
      </c>
      <c r="C3" s="478">
        <f>IF(Deckungssumme2GI&gt;wvag_MaxDeckungssumme,wvag_MaxDeckungssumme,Deckungssumme2GI)</f>
        <v>0</v>
      </c>
      <c r="D3" s="479">
        <f>IF(Deckungssumme3GI&gt;wvag_MaxDeckungssumme,wvag_MaxDeckungssumme,Deckungssumme3GI)</f>
        <v>0</v>
      </c>
      <c r="E3" s="478">
        <f>IF(Deckungssumme1&gt;wvag_MaxDeckungssumme,wvag_MaxDeckungssumme,Deckungssumme1)</f>
        <v>0</v>
      </c>
      <c r="F3" s="478">
        <f>IF(Deckungssumme2&gt;wvag_MaxDeckungssumme,wvag_MaxDeckungssumme,Deckungssumme2)</f>
        <v>0</v>
      </c>
      <c r="G3" s="479">
        <f>IF(Deckungssumme3&gt;wvag_MaxDeckungssumme,wvag_MaxDeckungssumme,Deckungssumme3)</f>
        <v>0</v>
      </c>
      <c r="I3" s="880"/>
      <c r="J3" s="880"/>
      <c r="K3" s="880"/>
    </row>
    <row r="4" spans="1:15" ht="14.25" customHeight="1">
      <c r="A4" s="563" t="s">
        <v>3719</v>
      </c>
      <c r="B4" s="477">
        <f>C30</f>
        <v>250000</v>
      </c>
      <c r="C4" s="478">
        <f>E30</f>
        <v>250000</v>
      </c>
      <c r="D4" s="479">
        <f>G30</f>
        <v>250000</v>
      </c>
      <c r="E4" s="477">
        <f>I30</f>
        <v>250000</v>
      </c>
      <c r="F4" s="478">
        <f>K30</f>
        <v>250000</v>
      </c>
      <c r="G4" s="479">
        <f>M30</f>
        <v>250000</v>
      </c>
    </row>
    <row r="5" spans="1:15" ht="14.25" customHeight="1">
      <c r="A5" s="563" t="s">
        <v>3720</v>
      </c>
      <c r="B5" s="521">
        <f>IF(MAX(AußenumsatzGI,VereinsvermögenGI)&gt;wvag_MaxUmsatz,"Umsatz zu groß!",MAX(AußenumsatzGI,VereinsvermögenGI))</f>
        <v>0</v>
      </c>
      <c r="C5" s="522">
        <f>IF(MAX(AußenumsatzGI,VereinsvermögenGI)&gt;wvag_MaxUmsatz,"Umsatz zu groß!",MAX(AußenumsatzGI,VereinsvermögenGI))</f>
        <v>0</v>
      </c>
      <c r="D5" s="523">
        <f>IF(MAX(AußenumsatzGI,VereinsvermögenGI)&gt;wvag_MaxUmsatz,"Umsatz zu groß!",MAX(AußenumsatzGI,VereinsvermögenGI))</f>
        <v>0</v>
      </c>
      <c r="E5" s="521">
        <f>IF(MAX(Außenumsatz,Vereinsvermögen)&gt;wvag_MaxUmsatz,"Umsatz zu groß!",MAX(Außenumsatz,Vereinsvermögen))</f>
        <v>0</v>
      </c>
      <c r="F5" s="522">
        <f>IF(MAX(Außenumsatz,Vereinsvermögen)&gt;wvag_MaxUmsatz,"Umsatz zu groß!",MAX(Außenumsatz,Vereinsvermögen))</f>
        <v>0</v>
      </c>
      <c r="G5" s="523">
        <f>IF(MAX(Außenumsatz,Vereinsvermögen)&gt;wvag_MaxUmsatz,"Umsatz zu groß!",MAX(Außenumsatz,Vereinsvermögen))</f>
        <v>0</v>
      </c>
    </row>
    <row r="6" spans="1:15" ht="14.25" customHeight="1">
      <c r="A6" s="210"/>
      <c r="B6" s="524"/>
      <c r="C6" s="525"/>
      <c r="D6" s="526"/>
      <c r="E6" s="189"/>
      <c r="G6" s="527"/>
    </row>
    <row r="7" spans="1:15" ht="14.25" customHeight="1">
      <c r="A7" s="564" t="s">
        <v>3160</v>
      </c>
      <c r="B7" s="565">
        <f>IF(Gesellschaftsform="Verein",VLOOKUP(TRUE,'WVAG - Tarif Verein'!D4:J40,7,FALSE),VLOOKUP(TRUE,'WVAG - Tarif Unternehmen'!D4:J52,7,FALSE))</f>
        <v>750</v>
      </c>
      <c r="C7" s="566">
        <f>IF(Gesellschaftsform="Verein",VLOOKUP(TRUE,'WVAG - Tarif Verein'!E4:J40,6,FALSE),VLOOKUP(TRUE,'WVAG - Tarif Unternehmen'!E4:J52,6,FALSE))</f>
        <v>750</v>
      </c>
      <c r="D7" s="567">
        <f>IF(Gesellschaftsform="Verein",VLOOKUP(TRUE,'WVAG - Tarif Verein'!F4:J40,5,FALSE),VLOOKUP(TRUE,'WVAG - Tarif Unternehmen'!F4:J52,5,FALSE))</f>
        <v>750</v>
      </c>
      <c r="E7" s="565">
        <f>IF(StammDaten901="yes",VLOOKUP(TRUE,'WVAG - Tarif Verein'!G4:J40,4,FALSE),VLOOKUP(TRUE,'WVAG - Tarif Unternehmen'!G4:J52,4,FALSE))</f>
        <v>750</v>
      </c>
      <c r="F7" s="566">
        <f>IF(Gesellschaftsform="Verein",VLOOKUP(TRUE,'WVAG - Tarif Verein'!H4:J40,3,FALSE),VLOOKUP(TRUE,'WVAG - Tarif Unternehmen'!H4:J52,3,FALSE))</f>
        <v>750</v>
      </c>
      <c r="G7" s="567">
        <f>IF(Gesellschaftsform="Verein",VLOOKUP(TRUE,'WVAG - Tarif Verein'!I4:J40,2,FALSE),VLOOKUP(TRUE,'WVAG - Tarif Unternehmen'!I4:J52,2,FALSE))</f>
        <v>750</v>
      </c>
    </row>
    <row r="8" spans="1:15" ht="14.25" customHeight="1">
      <c r="A8" s="210"/>
      <c r="B8" s="568"/>
      <c r="C8" s="569"/>
      <c r="D8" s="570"/>
      <c r="E8" s="568"/>
      <c r="F8" s="569"/>
      <c r="G8" s="570"/>
    </row>
    <row r="9" spans="1:15" ht="14.25" customHeight="1">
      <c r="A9" s="961" t="s">
        <v>4090</v>
      </c>
      <c r="B9" s="957"/>
      <c r="C9" s="569"/>
      <c r="D9" s="958"/>
      <c r="E9" s="962"/>
      <c r="F9" s="963"/>
      <c r="G9" s="964"/>
    </row>
    <row r="10" spans="1:15" ht="14.25" customHeight="1">
      <c r="A10" s="590"/>
      <c r="B10" s="957"/>
      <c r="C10" s="569"/>
      <c r="D10" s="958"/>
      <c r="E10" s="957"/>
      <c r="F10" s="569"/>
      <c r="G10" s="959"/>
      <c r="I10" s="960"/>
    </row>
    <row r="11" spans="1:15" ht="14.25" customHeight="1">
      <c r="A11" s="571" t="s">
        <v>3721</v>
      </c>
      <c r="B11" s="572" t="str">
        <f>IF(B5&gt;wvag_MaxUmsatz,"",IF(B12="","",IFERROR(B7,"")))</f>
        <v/>
      </c>
      <c r="C11" s="573" t="str">
        <f>IF(C5&gt;wvag_MaxUmsatz,"",IF(C12="","",IFERROR(C7,"")))</f>
        <v/>
      </c>
      <c r="D11" s="573" t="str">
        <f>IF(D5&gt;wvag_MaxUmsatz,"",IF(D12="","",IFERROR(D7,"")))</f>
        <v/>
      </c>
      <c r="E11" s="965" t="str">
        <f>IF(E5&gt;wvag_MaxUmsatz,"",IF(E12="","",E7*(1+E9)))</f>
        <v/>
      </c>
      <c r="F11" s="967" t="str">
        <f>IF(F5&gt;wvag_MaxUmsatz,"",IF(F12="","",F7*(1+F9)))</f>
        <v/>
      </c>
      <c r="G11" s="969" t="str">
        <f>IF(G5&gt;wvag_MaxUmsatz,"",IF(G12="","",G7*(1+G9)))</f>
        <v/>
      </c>
    </row>
    <row r="12" spans="1:15" ht="14.25" customHeight="1" thickBot="1">
      <c r="A12" s="574" t="s">
        <v>3722</v>
      </c>
      <c r="B12" s="575" t="str">
        <f>IF(Deckungssumme1GI=0,"",B4)</f>
        <v/>
      </c>
      <c r="C12" s="576" t="str">
        <f>IF(Deckungssumme2GI=0,"",C4)</f>
        <v/>
      </c>
      <c r="D12" s="576" t="str">
        <f>IF(Deckungssumme3GI=0,"",D4)</f>
        <v/>
      </c>
      <c r="E12" s="966" t="str">
        <f>IF(E5&gt;wvag_MaxUmsatz,"",IF(Deckungssumme1=0,"",E4))</f>
        <v/>
      </c>
      <c r="F12" s="968" t="str">
        <f>IF(F5&gt;wvag_MaxUmsatz,"",IF(Deckungssumme2=0,"",F4))</f>
        <v/>
      </c>
      <c r="G12" s="970" t="str">
        <f>IF(G5&gt;wvag_MaxUmsatz,"",IF(Deckungssumme3=0,"",G4))</f>
        <v/>
      </c>
    </row>
    <row r="13" spans="1:15" ht="14.25" customHeight="1"/>
    <row r="14" spans="1:15" ht="14.25" customHeight="1">
      <c r="B14" s="1108" t="s">
        <v>2398</v>
      </c>
      <c r="C14" s="1085"/>
      <c r="D14" s="1085"/>
      <c r="E14" s="1085"/>
      <c r="F14" s="1085"/>
      <c r="G14" s="1084"/>
      <c r="H14" s="1109" t="s">
        <v>3111</v>
      </c>
      <c r="I14" s="1085"/>
      <c r="J14" s="1085"/>
      <c r="K14" s="1085"/>
      <c r="L14" s="1085"/>
      <c r="M14" s="1084"/>
    </row>
    <row r="15" spans="1:15" ht="14.25" customHeight="1">
      <c r="A15" s="532" t="s">
        <v>3723</v>
      </c>
      <c r="B15" s="1089" t="s">
        <v>3113</v>
      </c>
      <c r="C15" s="1090"/>
      <c r="D15" s="1089" t="s">
        <v>3114</v>
      </c>
      <c r="E15" s="1099"/>
      <c r="F15" s="1089" t="s">
        <v>3115</v>
      </c>
      <c r="G15" s="1090"/>
      <c r="H15" s="1089" t="s">
        <v>3113</v>
      </c>
      <c r="I15" s="1090"/>
      <c r="J15" s="1089" t="s">
        <v>3114</v>
      </c>
      <c r="K15" s="1090"/>
      <c r="L15" s="1089" t="s">
        <v>3115</v>
      </c>
      <c r="M15" s="1090"/>
    </row>
    <row r="16" spans="1:15" ht="14.25" customHeight="1">
      <c r="A16" s="534">
        <v>250000</v>
      </c>
      <c r="B16" s="487">
        <f t="shared" ref="B16:B28" si="0">$B$3</f>
        <v>0</v>
      </c>
      <c r="C16" s="488">
        <f t="shared" ref="C16:C28" si="1">IF(B16&lt;=A16,A16,"")</f>
        <v>250000</v>
      </c>
      <c r="D16" s="487">
        <f t="shared" ref="D16:D28" si="2">$C$3</f>
        <v>0</v>
      </c>
      <c r="E16" s="508">
        <f t="shared" ref="E16:E28" si="3">IF(D16&lt;=A16,A16,"")</f>
        <v>250000</v>
      </c>
      <c r="F16" s="487">
        <f t="shared" ref="F16:F28" si="4">$D$3</f>
        <v>0</v>
      </c>
      <c r="G16" s="488">
        <f t="shared" ref="G16:G28" si="5">IF(F16&lt;=A16,A16,"")</f>
        <v>250000</v>
      </c>
      <c r="H16" s="487">
        <f t="shared" ref="H16:H28" si="6">$E$3</f>
        <v>0</v>
      </c>
      <c r="I16" s="488">
        <f t="shared" ref="I16:I28" si="7">IF(H16&lt;=A16,A16,"")</f>
        <v>250000</v>
      </c>
      <c r="J16" s="487">
        <f t="shared" ref="J16:J28" si="8">$F$3</f>
        <v>0</v>
      </c>
      <c r="K16" s="488">
        <f t="shared" ref="K16:K28" si="9">IF(J16&lt;=A16,A16,"")</f>
        <v>250000</v>
      </c>
      <c r="L16" s="487">
        <f t="shared" ref="L16:L28" si="10">$G$3</f>
        <v>0</v>
      </c>
      <c r="M16" s="488">
        <f t="shared" ref="M16:M28" si="11">IF(L16&lt;=A16,A16,"")</f>
        <v>250000</v>
      </c>
    </row>
    <row r="17" spans="1:13" ht="14.25" customHeight="1">
      <c r="A17" s="534">
        <v>500000</v>
      </c>
      <c r="B17" s="487">
        <f t="shared" si="0"/>
        <v>0</v>
      </c>
      <c r="C17" s="488">
        <f t="shared" si="1"/>
        <v>500000</v>
      </c>
      <c r="D17" s="487">
        <f t="shared" si="2"/>
        <v>0</v>
      </c>
      <c r="E17" s="508">
        <f t="shared" si="3"/>
        <v>500000</v>
      </c>
      <c r="F17" s="487">
        <f t="shared" si="4"/>
        <v>0</v>
      </c>
      <c r="G17" s="488">
        <f t="shared" si="5"/>
        <v>500000</v>
      </c>
      <c r="H17" s="487">
        <f t="shared" si="6"/>
        <v>0</v>
      </c>
      <c r="I17" s="488">
        <f t="shared" si="7"/>
        <v>500000</v>
      </c>
      <c r="J17" s="487">
        <f t="shared" si="8"/>
        <v>0</v>
      </c>
      <c r="K17" s="488">
        <f t="shared" si="9"/>
        <v>500000</v>
      </c>
      <c r="L17" s="487">
        <f t="shared" si="10"/>
        <v>0</v>
      </c>
      <c r="M17" s="488">
        <f t="shared" si="11"/>
        <v>500000</v>
      </c>
    </row>
    <row r="18" spans="1:13" ht="14.25" customHeight="1">
      <c r="A18" s="534">
        <v>750000</v>
      </c>
      <c r="B18" s="487">
        <f t="shared" si="0"/>
        <v>0</v>
      </c>
      <c r="C18" s="488">
        <f t="shared" ref="C18" si="12">IF(B18&lt;=A18,A18,"")</f>
        <v>750000</v>
      </c>
      <c r="D18" s="487">
        <f t="shared" si="2"/>
        <v>0</v>
      </c>
      <c r="E18" s="508">
        <f t="shared" ref="E18" si="13">IF(D18&lt;=A18,A18,"")</f>
        <v>750000</v>
      </c>
      <c r="F18" s="487">
        <f t="shared" si="4"/>
        <v>0</v>
      </c>
      <c r="G18" s="488">
        <f t="shared" ref="G18" si="14">IF(F18&lt;=A18,A18,"")</f>
        <v>750000</v>
      </c>
      <c r="H18" s="487">
        <f t="shared" si="6"/>
        <v>0</v>
      </c>
      <c r="I18" s="488">
        <f t="shared" ref="I18" si="15">IF(H18&lt;=A18,A18,"")</f>
        <v>750000</v>
      </c>
      <c r="J18" s="487">
        <f t="shared" si="8"/>
        <v>0</v>
      </c>
      <c r="K18" s="488">
        <f t="shared" ref="K18" si="16">IF(J18&lt;=A18,A18,"")</f>
        <v>750000</v>
      </c>
      <c r="L18" s="487">
        <f t="shared" si="10"/>
        <v>0</v>
      </c>
      <c r="M18" s="488">
        <f t="shared" ref="M18" si="17">IF(L18&lt;=A18,A18,"")</f>
        <v>750000</v>
      </c>
    </row>
    <row r="19" spans="1:13" ht="14.25" customHeight="1">
      <c r="A19" s="534">
        <v>1000000</v>
      </c>
      <c r="B19" s="487">
        <f t="shared" si="0"/>
        <v>0</v>
      </c>
      <c r="C19" s="488">
        <f t="shared" si="1"/>
        <v>1000000</v>
      </c>
      <c r="D19" s="487">
        <f t="shared" si="2"/>
        <v>0</v>
      </c>
      <c r="E19" s="508">
        <f t="shared" si="3"/>
        <v>1000000</v>
      </c>
      <c r="F19" s="487">
        <f t="shared" si="4"/>
        <v>0</v>
      </c>
      <c r="G19" s="488">
        <f t="shared" si="5"/>
        <v>1000000</v>
      </c>
      <c r="H19" s="487">
        <f t="shared" si="6"/>
        <v>0</v>
      </c>
      <c r="I19" s="488">
        <f t="shared" si="7"/>
        <v>1000000</v>
      </c>
      <c r="J19" s="487">
        <f t="shared" si="8"/>
        <v>0</v>
      </c>
      <c r="K19" s="488">
        <f t="shared" si="9"/>
        <v>1000000</v>
      </c>
      <c r="L19" s="487">
        <f t="shared" si="10"/>
        <v>0</v>
      </c>
      <c r="M19" s="488">
        <f t="shared" si="11"/>
        <v>1000000</v>
      </c>
    </row>
    <row r="20" spans="1:13" ht="14.25" customHeight="1">
      <c r="A20" s="534">
        <f>A19+500000</f>
        <v>1500000</v>
      </c>
      <c r="B20" s="487">
        <f t="shared" si="0"/>
        <v>0</v>
      </c>
      <c r="C20" s="488">
        <f t="shared" si="1"/>
        <v>1500000</v>
      </c>
      <c r="D20" s="487">
        <f t="shared" si="2"/>
        <v>0</v>
      </c>
      <c r="E20" s="508">
        <f t="shared" si="3"/>
        <v>1500000</v>
      </c>
      <c r="F20" s="487">
        <f t="shared" si="4"/>
        <v>0</v>
      </c>
      <c r="G20" s="488">
        <f t="shared" si="5"/>
        <v>1500000</v>
      </c>
      <c r="H20" s="487">
        <f t="shared" si="6"/>
        <v>0</v>
      </c>
      <c r="I20" s="488">
        <f t="shared" si="7"/>
        <v>1500000</v>
      </c>
      <c r="J20" s="487">
        <f t="shared" si="8"/>
        <v>0</v>
      </c>
      <c r="K20" s="488">
        <f t="shared" si="9"/>
        <v>1500000</v>
      </c>
      <c r="L20" s="487">
        <f t="shared" si="10"/>
        <v>0</v>
      </c>
      <c r="M20" s="488">
        <f t="shared" si="11"/>
        <v>1500000</v>
      </c>
    </row>
    <row r="21" spans="1:13" ht="14.25" customHeight="1">
      <c r="A21" s="534">
        <f>A20+500000</f>
        <v>2000000</v>
      </c>
      <c r="B21" s="487">
        <f t="shared" si="0"/>
        <v>0</v>
      </c>
      <c r="C21" s="488">
        <f t="shared" si="1"/>
        <v>2000000</v>
      </c>
      <c r="D21" s="487">
        <f t="shared" si="2"/>
        <v>0</v>
      </c>
      <c r="E21" s="508">
        <f t="shared" si="3"/>
        <v>2000000</v>
      </c>
      <c r="F21" s="487">
        <f t="shared" si="4"/>
        <v>0</v>
      </c>
      <c r="G21" s="488">
        <f t="shared" si="5"/>
        <v>2000000</v>
      </c>
      <c r="H21" s="487">
        <f t="shared" si="6"/>
        <v>0</v>
      </c>
      <c r="I21" s="488">
        <f t="shared" si="7"/>
        <v>2000000</v>
      </c>
      <c r="J21" s="487">
        <f t="shared" si="8"/>
        <v>0</v>
      </c>
      <c r="K21" s="488">
        <f t="shared" si="9"/>
        <v>2000000</v>
      </c>
      <c r="L21" s="487">
        <f t="shared" si="10"/>
        <v>0</v>
      </c>
      <c r="M21" s="488">
        <f t="shared" si="11"/>
        <v>2000000</v>
      </c>
    </row>
    <row r="22" spans="1:13" ht="14.25" customHeight="1">
      <c r="A22" s="534">
        <f>A21+500000</f>
        <v>2500000</v>
      </c>
      <c r="B22" s="487">
        <f t="shared" si="0"/>
        <v>0</v>
      </c>
      <c r="C22" s="488">
        <f t="shared" si="1"/>
        <v>2500000</v>
      </c>
      <c r="D22" s="487">
        <f t="shared" si="2"/>
        <v>0</v>
      </c>
      <c r="E22" s="508">
        <f t="shared" si="3"/>
        <v>2500000</v>
      </c>
      <c r="F22" s="487">
        <f t="shared" si="4"/>
        <v>0</v>
      </c>
      <c r="G22" s="488">
        <f t="shared" si="5"/>
        <v>2500000</v>
      </c>
      <c r="H22" s="487">
        <f t="shared" si="6"/>
        <v>0</v>
      </c>
      <c r="I22" s="488">
        <f t="shared" si="7"/>
        <v>2500000</v>
      </c>
      <c r="J22" s="487">
        <f t="shared" si="8"/>
        <v>0</v>
      </c>
      <c r="K22" s="488">
        <f t="shared" si="9"/>
        <v>2500000</v>
      </c>
      <c r="L22" s="487">
        <f t="shared" si="10"/>
        <v>0</v>
      </c>
      <c r="M22" s="488">
        <f t="shared" si="11"/>
        <v>2500000</v>
      </c>
    </row>
    <row r="23" spans="1:13" ht="14.25" customHeight="1">
      <c r="A23" s="534">
        <f>A22+500000</f>
        <v>3000000</v>
      </c>
      <c r="B23" s="487">
        <f t="shared" si="0"/>
        <v>0</v>
      </c>
      <c r="C23" s="488">
        <f t="shared" si="1"/>
        <v>3000000</v>
      </c>
      <c r="D23" s="487">
        <f t="shared" si="2"/>
        <v>0</v>
      </c>
      <c r="E23" s="508">
        <f t="shared" si="3"/>
        <v>3000000</v>
      </c>
      <c r="F23" s="487">
        <f t="shared" si="4"/>
        <v>0</v>
      </c>
      <c r="G23" s="488">
        <f t="shared" si="5"/>
        <v>3000000</v>
      </c>
      <c r="H23" s="487">
        <f t="shared" si="6"/>
        <v>0</v>
      </c>
      <c r="I23" s="488">
        <f t="shared" si="7"/>
        <v>3000000</v>
      </c>
      <c r="J23" s="487">
        <f t="shared" si="8"/>
        <v>0</v>
      </c>
      <c r="K23" s="488">
        <f t="shared" si="9"/>
        <v>3000000</v>
      </c>
      <c r="L23" s="487">
        <f t="shared" si="10"/>
        <v>0</v>
      </c>
      <c r="M23" s="488">
        <f t="shared" si="11"/>
        <v>3000000</v>
      </c>
    </row>
    <row r="24" spans="1:13" ht="14.25" customHeight="1">
      <c r="A24" s="534">
        <v>3500000</v>
      </c>
      <c r="B24" s="487">
        <f t="shared" si="0"/>
        <v>0</v>
      </c>
      <c r="C24" s="488">
        <f t="shared" ref="C24" si="18">IF(B24&lt;=A24,A24,"")</f>
        <v>3500000</v>
      </c>
      <c r="D24" s="487">
        <f t="shared" si="2"/>
        <v>0</v>
      </c>
      <c r="E24" s="508">
        <f t="shared" ref="E24" si="19">IF(D24&lt;=A24,A24,"")</f>
        <v>3500000</v>
      </c>
      <c r="F24" s="487">
        <f t="shared" si="4"/>
        <v>0</v>
      </c>
      <c r="G24" s="488">
        <f t="shared" ref="G24" si="20">IF(F24&lt;=A24,A24,"")</f>
        <v>3500000</v>
      </c>
      <c r="H24" s="487">
        <f t="shared" si="6"/>
        <v>0</v>
      </c>
      <c r="I24" s="488">
        <f t="shared" ref="I24" si="21">IF(H24&lt;=A24,A24,"")</f>
        <v>3500000</v>
      </c>
      <c r="J24" s="487">
        <f t="shared" si="8"/>
        <v>0</v>
      </c>
      <c r="K24" s="488">
        <f t="shared" ref="K24" si="22">IF(J24&lt;=A24,A24,"")</f>
        <v>3500000</v>
      </c>
      <c r="L24" s="487">
        <f t="shared" si="10"/>
        <v>0</v>
      </c>
      <c r="M24" s="488">
        <f t="shared" ref="M24" si="23">IF(L24&lt;=A24,A24,"")</f>
        <v>3500000</v>
      </c>
    </row>
    <row r="25" spans="1:13" ht="14.25" customHeight="1">
      <c r="A25" s="534">
        <v>4000000</v>
      </c>
      <c r="B25" s="487">
        <f t="shared" si="0"/>
        <v>0</v>
      </c>
      <c r="C25" s="488">
        <f t="shared" si="1"/>
        <v>4000000</v>
      </c>
      <c r="D25" s="487">
        <f t="shared" si="2"/>
        <v>0</v>
      </c>
      <c r="E25" s="508">
        <f t="shared" si="3"/>
        <v>4000000</v>
      </c>
      <c r="F25" s="487">
        <f t="shared" si="4"/>
        <v>0</v>
      </c>
      <c r="G25" s="488">
        <f t="shared" si="5"/>
        <v>4000000</v>
      </c>
      <c r="H25" s="487">
        <f t="shared" si="6"/>
        <v>0</v>
      </c>
      <c r="I25" s="488">
        <f t="shared" si="7"/>
        <v>4000000</v>
      </c>
      <c r="J25" s="487">
        <f t="shared" si="8"/>
        <v>0</v>
      </c>
      <c r="K25" s="488">
        <f t="shared" si="9"/>
        <v>4000000</v>
      </c>
      <c r="L25" s="487">
        <f t="shared" si="10"/>
        <v>0</v>
      </c>
      <c r="M25" s="488">
        <f t="shared" si="11"/>
        <v>4000000</v>
      </c>
    </row>
    <row r="26" spans="1:13" ht="14.25" customHeight="1">
      <c r="A26" s="534">
        <v>5000000</v>
      </c>
      <c r="B26" s="487">
        <f t="shared" si="0"/>
        <v>0</v>
      </c>
      <c r="C26" s="488">
        <f t="shared" si="1"/>
        <v>5000000</v>
      </c>
      <c r="D26" s="487">
        <f t="shared" si="2"/>
        <v>0</v>
      </c>
      <c r="E26" s="508">
        <f t="shared" si="3"/>
        <v>5000000</v>
      </c>
      <c r="F26" s="487">
        <f t="shared" si="4"/>
        <v>0</v>
      </c>
      <c r="G26" s="488">
        <f t="shared" si="5"/>
        <v>5000000</v>
      </c>
      <c r="H26" s="487">
        <f t="shared" si="6"/>
        <v>0</v>
      </c>
      <c r="I26" s="488">
        <f t="shared" si="7"/>
        <v>5000000</v>
      </c>
      <c r="J26" s="487">
        <f t="shared" si="8"/>
        <v>0</v>
      </c>
      <c r="K26" s="488">
        <f t="shared" si="9"/>
        <v>5000000</v>
      </c>
      <c r="L26" s="487">
        <f t="shared" si="10"/>
        <v>0</v>
      </c>
      <c r="M26" s="488">
        <f t="shared" si="11"/>
        <v>5000000</v>
      </c>
    </row>
    <row r="27" spans="1:13" ht="14.25" customHeight="1">
      <c r="A27" s="534">
        <v>7500000</v>
      </c>
      <c r="B27" s="487">
        <f t="shared" si="0"/>
        <v>0</v>
      </c>
      <c r="C27" s="488">
        <f t="shared" si="1"/>
        <v>7500000</v>
      </c>
      <c r="D27" s="487">
        <f t="shared" si="2"/>
        <v>0</v>
      </c>
      <c r="E27" s="508">
        <f t="shared" si="3"/>
        <v>7500000</v>
      </c>
      <c r="F27" s="487">
        <f t="shared" si="4"/>
        <v>0</v>
      </c>
      <c r="G27" s="488">
        <f t="shared" si="5"/>
        <v>7500000</v>
      </c>
      <c r="H27" s="487">
        <f t="shared" si="6"/>
        <v>0</v>
      </c>
      <c r="I27" s="488">
        <f t="shared" si="7"/>
        <v>7500000</v>
      </c>
      <c r="J27" s="487">
        <f t="shared" si="8"/>
        <v>0</v>
      </c>
      <c r="K27" s="488">
        <f t="shared" si="9"/>
        <v>7500000</v>
      </c>
      <c r="L27" s="487">
        <f t="shared" si="10"/>
        <v>0</v>
      </c>
      <c r="M27" s="488">
        <f t="shared" si="11"/>
        <v>7500000</v>
      </c>
    </row>
    <row r="28" spans="1:13" ht="14.25" customHeight="1">
      <c r="A28" s="535">
        <v>10000000</v>
      </c>
      <c r="B28" s="487">
        <f t="shared" si="0"/>
        <v>0</v>
      </c>
      <c r="C28" s="488">
        <f t="shared" si="1"/>
        <v>10000000</v>
      </c>
      <c r="D28" s="487">
        <f t="shared" si="2"/>
        <v>0</v>
      </c>
      <c r="E28" s="508">
        <f t="shared" si="3"/>
        <v>10000000</v>
      </c>
      <c r="F28" s="487">
        <f t="shared" si="4"/>
        <v>0</v>
      </c>
      <c r="G28" s="488">
        <f t="shared" si="5"/>
        <v>10000000</v>
      </c>
      <c r="H28" s="487">
        <f t="shared" si="6"/>
        <v>0</v>
      </c>
      <c r="I28" s="488">
        <f t="shared" si="7"/>
        <v>10000000</v>
      </c>
      <c r="J28" s="487">
        <f t="shared" si="8"/>
        <v>0</v>
      </c>
      <c r="K28" s="488">
        <f t="shared" si="9"/>
        <v>10000000</v>
      </c>
      <c r="L28" s="487">
        <f t="shared" si="10"/>
        <v>0</v>
      </c>
      <c r="M28" s="488">
        <f t="shared" si="11"/>
        <v>10000000</v>
      </c>
    </row>
    <row r="29" spans="1:13" ht="14.25" customHeight="1">
      <c r="B29" s="487"/>
      <c r="C29" s="488"/>
      <c r="D29" s="508"/>
      <c r="E29" s="508"/>
      <c r="F29" s="487"/>
      <c r="G29" s="488"/>
      <c r="H29" s="487"/>
      <c r="I29" s="488"/>
      <c r="J29" s="487"/>
      <c r="K29" s="488"/>
      <c r="L29" s="487"/>
      <c r="M29" s="488"/>
    </row>
    <row r="30" spans="1:13" ht="14.25" customHeight="1">
      <c r="B30" s="490"/>
      <c r="C30" s="491">
        <f>MIN(C16:C28)</f>
        <v>250000</v>
      </c>
      <c r="D30" s="577"/>
      <c r="E30" s="577">
        <f>MIN(E16:E28)</f>
        <v>250000</v>
      </c>
      <c r="F30" s="490"/>
      <c r="G30" s="491">
        <f>MIN(G16:G28)</f>
        <v>250000</v>
      </c>
      <c r="H30" s="490"/>
      <c r="I30" s="491">
        <f>MIN(I16:I28)</f>
        <v>250000</v>
      </c>
      <c r="J30" s="490"/>
      <c r="K30" s="491">
        <f>MIN(K16:K28)</f>
        <v>250000</v>
      </c>
      <c r="L30" s="490"/>
      <c r="M30" s="491">
        <f>MIN(M16:M28)</f>
        <v>250000</v>
      </c>
    </row>
    <row r="31" spans="1:13" ht="14.25" customHeight="1"/>
    <row r="32" spans="1: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10">
    <mergeCell ref="H15:I15"/>
    <mergeCell ref="J15:K15"/>
    <mergeCell ref="B1:D1"/>
    <mergeCell ref="E1:G1"/>
    <mergeCell ref="B14:G14"/>
    <mergeCell ref="H14:M14"/>
    <mergeCell ref="B15:C15"/>
    <mergeCell ref="D15:E15"/>
    <mergeCell ref="F15:G15"/>
    <mergeCell ref="L15:M15"/>
  </mergeCells>
  <pageMargins left="0.7" right="0.7" top="0.78740157499999996" bottom="0.78740157499999996" header="0" footer="0"/>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1020"/>
  <sheetViews>
    <sheetView topLeftCell="B4" zoomScale="115" zoomScaleNormal="115" workbookViewId="0">
      <selection activeCell="K27" sqref="K27"/>
    </sheetView>
  </sheetViews>
  <sheetFormatPr baseColWidth="10" defaultColWidth="14.33203125" defaultRowHeight="15" customHeight="1"/>
  <cols>
    <col min="1" max="1" width="29.44140625" customWidth="1"/>
    <col min="2" max="2" width="21.33203125" customWidth="1"/>
    <col min="3" max="3" width="22.33203125" customWidth="1"/>
    <col min="4" max="6" width="26.5546875" customWidth="1"/>
    <col min="7" max="9" width="17.33203125" customWidth="1"/>
    <col min="10" max="10" width="12" customWidth="1"/>
    <col min="11" max="12" width="11.33203125" customWidth="1"/>
  </cols>
  <sheetData>
    <row r="1" spans="1:27" ht="14.25" customHeight="1"/>
    <row r="2" spans="1:27" ht="14.25" customHeight="1" thickBot="1">
      <c r="N2" t="s">
        <v>4102</v>
      </c>
    </row>
    <row r="3" spans="1:27" ht="66.599999999999994" thickBot="1">
      <c r="A3" s="578" t="s">
        <v>3128</v>
      </c>
      <c r="B3" s="578" t="s">
        <v>3724</v>
      </c>
      <c r="C3" s="578" t="s">
        <v>3725</v>
      </c>
      <c r="D3" s="537" t="s">
        <v>3678</v>
      </c>
      <c r="E3" s="537" t="s">
        <v>3679</v>
      </c>
      <c r="F3" s="537" t="s">
        <v>3680</v>
      </c>
      <c r="G3" s="537" t="s">
        <v>3681</v>
      </c>
      <c r="H3" s="537" t="s">
        <v>3682</v>
      </c>
      <c r="I3" s="537" t="s">
        <v>3683</v>
      </c>
      <c r="J3" s="578" t="s">
        <v>3160</v>
      </c>
      <c r="O3" s="1008" t="s">
        <v>3752</v>
      </c>
      <c r="P3" s="1009" t="s">
        <v>4103</v>
      </c>
      <c r="Q3" s="1009"/>
      <c r="R3" s="1009" t="s">
        <v>4104</v>
      </c>
      <c r="S3" s="1009"/>
      <c r="T3" s="1009" t="s">
        <v>4105</v>
      </c>
      <c r="U3" s="1009"/>
      <c r="V3" s="1009" t="s">
        <v>4106</v>
      </c>
      <c r="W3" s="1009"/>
      <c r="X3" s="1010" t="s">
        <v>4107</v>
      </c>
      <c r="Y3" s="1010"/>
      <c r="Z3" s="1010" t="s">
        <v>4108</v>
      </c>
      <c r="AA3" s="1010"/>
    </row>
    <row r="4" spans="1:27" ht="14.25" customHeight="1" thickBot="1">
      <c r="A4" s="579">
        <v>250000</v>
      </c>
      <c r="B4" s="579">
        <v>0</v>
      </c>
      <c r="C4" s="579">
        <v>5000000</v>
      </c>
      <c r="D4" s="557" t="b">
        <f>IF(AND('WVAG - Preisrechner'!B$4&gt;=$A4,'WVAG - Preisrechner'!B$4&lt;$A5,'WVAG - Preisrechner'!B$5&gt;=$B4,'WVAG - Preisrechner'!B$5&lt;=$C4),TRUE,FALSE)</f>
        <v>1</v>
      </c>
      <c r="E4" s="557" t="b">
        <f>IF(AND('WVAG - Preisrechner'!C$4&gt;=$A4,'WVAG - Preisrechner'!C$4&lt;$A5,'WVAG - Preisrechner'!C$5&gt;=$B4,'WVAG - Preisrechner'!C$5&lt;=$C4),TRUE,FALSE)</f>
        <v>1</v>
      </c>
      <c r="F4" s="557" t="b">
        <f>IF(AND('WVAG - Preisrechner'!D$4&gt;=$A4,'WVAG - Preisrechner'!D$4&lt;$A5,'WVAG - Preisrechner'!D$5&gt;=$B4,'WVAG - Preisrechner'!D$5&lt;=$C4),TRUE,FALSE)</f>
        <v>1</v>
      </c>
      <c r="G4" s="557" t="b">
        <f>IF(AND('WVAG - Preisrechner'!E$4&gt;=$A4,'WVAG - Preisrechner'!E$4&lt;$A5,'WVAG - Preisrechner'!E$5&gt;=$B4,'WVAG - Preisrechner'!E$5&lt;=$C4),TRUE,FALSE)</f>
        <v>1</v>
      </c>
      <c r="H4" s="557" t="b">
        <f>IF(AND('WVAG - Preisrechner'!F$4&gt;=$A4,'WVAG - Preisrechner'!F$4&lt;$A5,'WVAG - Preisrechner'!F$5&gt;=$B4,'WVAG - Preisrechner'!F$5&lt;=$C4),TRUE,FALSE)</f>
        <v>1</v>
      </c>
      <c r="I4" s="557" t="b">
        <f>IF(AND('WVAG - Preisrechner'!G$4&gt;=$A4,'WVAG - Preisrechner'!G$4&lt;$A5,'WVAG - Preisrechner'!G$5&gt;=$B4,'WVAG - Preisrechner'!G$5&lt;=$C4),TRUE,FALSE)</f>
        <v>1</v>
      </c>
      <c r="J4" s="256">
        <v>750</v>
      </c>
      <c r="O4" s="1011">
        <v>250000</v>
      </c>
      <c r="P4" s="1012">
        <v>750</v>
      </c>
      <c r="Q4" s="1013">
        <v>0</v>
      </c>
      <c r="R4" s="1014"/>
      <c r="S4" s="1013"/>
      <c r="T4" s="1014"/>
      <c r="U4" s="1013"/>
      <c r="V4" s="1015"/>
      <c r="W4" s="1013"/>
      <c r="X4" s="1015"/>
      <c r="Y4" s="1015"/>
      <c r="Z4" s="1015"/>
      <c r="AA4" s="1015"/>
    </row>
    <row r="5" spans="1:27" ht="14.25" customHeight="1" thickBot="1">
      <c r="A5" s="580">
        <v>500000</v>
      </c>
      <c r="B5" s="580">
        <v>0</v>
      </c>
      <c r="C5" s="580">
        <v>50000000</v>
      </c>
      <c r="D5" t="b">
        <f>IF(AND(
'WVAG - Preisrechner'!B$4&gt;=$A5,
'WVAG - Preisrechner'!B$4&lt;$A8,
'WVAG - Preisrechner'!B$5&gt;=$B5,
'WVAG - Preisrechner'!B$5&lt;=$C5),
TRUE,FALSE)</f>
        <v>0</v>
      </c>
      <c r="E5" t="b">
        <f>IF(AND('WVAG - Preisrechner'!C$4&gt;=$A5,'WVAG - Preisrechner'!C$4&lt;$A8,'WVAG - Preisrechner'!C$5&gt;=$B5,'WVAG - Preisrechner'!C$5&lt;=$C5),TRUE,FALSE)</f>
        <v>0</v>
      </c>
      <c r="F5" t="b">
        <f>IF(AND('WVAG - Preisrechner'!D$4&gt;=$A5,'WVAG - Preisrechner'!D$4&lt;$A8,'WVAG - Preisrechner'!D$5&gt;=$B5,'WVAG - Preisrechner'!D$5&lt;=$C5),TRUE,FALSE)</f>
        <v>0</v>
      </c>
      <c r="G5" t="b">
        <f>IF(AND(
'WVAG - Preisrechner'!E$4&gt;=$A5,
'WVAG - Preisrechner'!E$4&lt;$A8,
'WVAG - Preisrechner'!E$5&gt;=$B5,
'WVAG - Preisrechner'!E$5&lt;=$C5),
TRUE,FALSE)</f>
        <v>0</v>
      </c>
      <c r="H5" s="19" t="b">
        <f>IF(AND(
'WVAG - Preisrechner'!F$4&gt;=$A5,
'WVAG - Preisrechner'!F$4&lt;$A8,
'WVAG - Preisrechner'!F$5&gt;=$B5,
'WVAG - Preisrechner'!F$5&lt;=$C5),
TRUE,FALSE)</f>
        <v>0</v>
      </c>
      <c r="I5" s="19" t="b">
        <f>IF(AND(
'WVAG - Preisrechner'!G$4&gt;=$A5,
'WVAG - Preisrechner'!G$4&lt;$A8,
'WVAG - Preisrechner'!G$5&gt;=$B5,
'WVAG - Preisrechner'!G$5&lt;=$C5),
TRUE,FALSE)</f>
        <v>0</v>
      </c>
      <c r="J5" s="581">
        <v>890</v>
      </c>
      <c r="O5" s="1011">
        <v>500000</v>
      </c>
      <c r="P5" s="1014"/>
      <c r="Q5" s="1013"/>
      <c r="R5" s="1012">
        <v>890</v>
      </c>
      <c r="S5" s="1013">
        <v>0</v>
      </c>
      <c r="T5" s="1012">
        <v>1000</v>
      </c>
      <c r="U5" s="1013">
        <v>0</v>
      </c>
      <c r="V5" s="1012">
        <v>1200</v>
      </c>
      <c r="W5" s="1013">
        <v>0</v>
      </c>
      <c r="X5" s="1014"/>
      <c r="Y5" s="1014"/>
      <c r="Z5" s="1014"/>
      <c r="AA5" s="1014"/>
    </row>
    <row r="6" spans="1:27" ht="14.25" customHeight="1" thickBot="1">
      <c r="A6" s="579">
        <v>500000</v>
      </c>
      <c r="B6" s="579">
        <v>50000001</v>
      </c>
      <c r="C6" s="579">
        <v>100000000</v>
      </c>
      <c r="D6" t="b">
        <f>IF(AND(
'WVAG - Preisrechner'!B$4&gt;=$A6,
'WVAG - Preisrechner'!B$4&lt;$A9,
'WVAG - Preisrechner'!B$5&gt;$B6,
'WVAG - Preisrechner'!B$5&lt;=$C6),
TRUE,FALSE)</f>
        <v>0</v>
      </c>
      <c r="E6" t="b">
        <f>IF(AND('WVAG - Preisrechner'!C$4&gt;=$A6,'WVAG - Preisrechner'!C$4&lt;$A9,'WVAG - Preisrechner'!C$5&gt;=$B6,'WVAG - Preisrechner'!C$5&lt;=$C6),TRUE,FALSE)</f>
        <v>0</v>
      </c>
      <c r="F6" t="b">
        <f>IF(AND('WVAG - Preisrechner'!D$4&gt;=$A6,'WVAG - Preisrechner'!D$4&lt;$A9,'WVAG - Preisrechner'!D$5&gt;=$B6,'WVAG - Preisrechner'!D$5&lt;=$C6),TRUE,FALSE)</f>
        <v>0</v>
      </c>
      <c r="G6" t="b">
        <f>IF(AND(
'WVAG - Preisrechner'!E$4&gt;=$A6,
'WVAG - Preisrechner'!E$4&lt;$A9,
'WVAG - Preisrechner'!E$5&gt;=$B6,
'WVAG - Preisrechner'!E$5&lt;=$C6),
TRUE,FALSE)</f>
        <v>0</v>
      </c>
      <c r="H6" s="19" t="b">
        <f>IF(AND(
'WVAG - Preisrechner'!F$4&gt;=$A6,
'WVAG - Preisrechner'!F$4&lt;$A9,
'WVAG - Preisrechner'!F$5&gt;=$B6,
'WVAG - Preisrechner'!F$5&lt;=$C6),
TRUE,FALSE)</f>
        <v>0</v>
      </c>
      <c r="I6" s="19" t="b">
        <f>IF(AND(
'WVAG - Preisrechner'!G$4&gt;=$A6,
'WVAG - Preisrechner'!G$4&lt;$A9,
'WVAG - Preisrechner'!G$5&gt;=$B6,
'WVAG - Preisrechner'!G$5&lt;=$C6),
TRUE,FALSE)</f>
        <v>0</v>
      </c>
      <c r="J6" s="256">
        <v>1000</v>
      </c>
      <c r="O6" s="1011">
        <v>750000</v>
      </c>
      <c r="P6" s="1014"/>
      <c r="Q6" s="1013"/>
      <c r="R6" s="1012">
        <v>1095</v>
      </c>
      <c r="S6" s="1013">
        <v>0</v>
      </c>
      <c r="T6" s="1012">
        <v>1250</v>
      </c>
      <c r="U6" s="1013">
        <v>0</v>
      </c>
      <c r="V6" s="1012">
        <v>1600</v>
      </c>
      <c r="W6" s="1013">
        <v>0</v>
      </c>
      <c r="X6" s="1014"/>
      <c r="Y6" s="1014"/>
      <c r="Z6" s="1014"/>
      <c r="AA6" s="1014"/>
    </row>
    <row r="7" spans="1:27" ht="14.25" customHeight="1" thickBot="1">
      <c r="A7" s="579">
        <v>500000</v>
      </c>
      <c r="B7" s="579">
        <v>100000001</v>
      </c>
      <c r="C7" s="579">
        <v>150000000</v>
      </c>
      <c r="D7" t="b">
        <f>IF(AND(
'WVAG - Preisrechner'!B$4&gt;=$A7,
'WVAG - Preisrechner'!B$4&lt;$A10,
'WVAG - Preisrechner'!B$5&gt;$B7,
'WVAG - Preisrechner'!B$5&lt;=$C7),
TRUE,FALSE)</f>
        <v>0</v>
      </c>
      <c r="E7" t="b">
        <f>IF(AND('WVAG - Preisrechner'!C$4&gt;=$A7,'WVAG - Preisrechner'!C$4&lt;$A10,'WVAG - Preisrechner'!C$5&gt;=$B7,'WVAG - Preisrechner'!C$5&lt;=$C7),TRUE,FALSE)</f>
        <v>0</v>
      </c>
      <c r="F7" t="b">
        <f>IF(AND('WVAG - Preisrechner'!D$4&gt;=$A7,'WVAG - Preisrechner'!D$4&lt;$A10,'WVAG - Preisrechner'!D$5&gt;=$B7,'WVAG - Preisrechner'!D$5&lt;=$C7),TRUE,FALSE)</f>
        <v>0</v>
      </c>
      <c r="G7" t="b">
        <f>IF(AND(
'WVAG - Preisrechner'!E$4&gt;=$A7,
'WVAG - Preisrechner'!E$4&lt;$A10,
'WVAG - Preisrechner'!E$5&gt;=$B7,
'WVAG - Preisrechner'!E$5&lt;=$C7),
TRUE,FALSE)</f>
        <v>0</v>
      </c>
      <c r="H7" s="19" t="b">
        <f>IF(AND(
'WVAG - Preisrechner'!F$4&gt;=$A7,
'WVAG - Preisrechner'!F$4&lt;$A10,
'WVAG - Preisrechner'!F$5&gt;=$B7,
'WVAG - Preisrechner'!F$5&lt;=$C7),
TRUE,FALSE)</f>
        <v>0</v>
      </c>
      <c r="I7" s="19" t="b">
        <f>IF(AND(
'WVAG - Preisrechner'!G$4&gt;=$A7,
'WVAG - Preisrechner'!G$4&lt;$A10,
'WVAG - Preisrechner'!G$5&gt;=$B7,
'WVAG - Preisrechner'!G$5&lt;=$C7),
TRUE,FALSE)</f>
        <v>0</v>
      </c>
      <c r="J7" s="256">
        <v>1200</v>
      </c>
      <c r="O7" s="1011">
        <v>1000000</v>
      </c>
      <c r="P7" s="1014"/>
      <c r="Q7" s="1013"/>
      <c r="R7" s="1012">
        <v>1235</v>
      </c>
      <c r="S7" s="1013">
        <v>5.26</v>
      </c>
      <c r="T7" s="1012">
        <v>1330</v>
      </c>
      <c r="U7" s="1013">
        <v>5.26</v>
      </c>
      <c r="V7" s="1012">
        <v>1900</v>
      </c>
      <c r="W7" s="1013">
        <v>5.26</v>
      </c>
      <c r="X7" s="1014"/>
      <c r="Y7" s="1014"/>
      <c r="Z7" s="1014"/>
      <c r="AA7" s="1014"/>
    </row>
    <row r="8" spans="1:27" ht="14.25" customHeight="1" thickBot="1">
      <c r="A8" s="580">
        <v>750000</v>
      </c>
      <c r="B8" s="580">
        <v>0</v>
      </c>
      <c r="C8" s="580">
        <v>50000000</v>
      </c>
      <c r="D8" t="b">
        <f>IF(AND(
'WVAG - Preisrechner'!B$4&gt;=$A8,
'WVAG - Preisrechner'!B$4&lt;$A11,
'WVAG - Preisrechner'!B$5&gt;=$B8,
'WVAG - Preisrechner'!B$5&lt;=$C8),
TRUE,FALSE)</f>
        <v>0</v>
      </c>
      <c r="E8" t="b">
        <f>IF(AND('WVAG - Preisrechner'!C$4&gt;=$A8,'WVAG - Preisrechner'!C$4&lt;$A11,'WVAG - Preisrechner'!C$5&gt;=$B8,'WVAG - Preisrechner'!C$5&lt;=$C8),TRUE,FALSE)</f>
        <v>0</v>
      </c>
      <c r="F8" t="b">
        <f>IF(AND('WVAG - Preisrechner'!D$4&gt;=$A8,'WVAG - Preisrechner'!D$4&lt;$A11,'WVAG - Preisrechner'!D$5&gt;=$B8,'WVAG - Preisrechner'!D$5&lt;=$C8),TRUE,FALSE)</f>
        <v>0</v>
      </c>
      <c r="G8" t="b">
        <f>IF(AND(
'WVAG - Preisrechner'!E$4&gt;=$A8,
'WVAG - Preisrechner'!E$4&lt;$A11,
'WVAG - Preisrechner'!E$5&gt;=$B8,
'WVAG - Preisrechner'!E$5&lt;=$C8),
TRUE,FALSE)</f>
        <v>0</v>
      </c>
      <c r="H8" s="19" t="b">
        <f>IF(AND(
'WVAG - Preisrechner'!F$4&gt;=$A8,
'WVAG - Preisrechner'!F$4&lt;$A11,
'WVAG - Preisrechner'!F$5&gt;=$B8,
'WVAG - Preisrechner'!F$5&lt;=$C8),
TRUE,FALSE)</f>
        <v>0</v>
      </c>
      <c r="I8" s="19" t="b">
        <f>IF(AND(
'WVAG - Preisrechner'!G$4&gt;=$A8,
'WVAG - Preisrechner'!G$4&lt;$A11,
'WVAG - Preisrechner'!G$5&gt;=$B8,
'WVAG - Preisrechner'!G$5&lt;=$C8),
TRUE,FALSE)</f>
        <v>0</v>
      </c>
      <c r="J8" s="581">
        <v>1095</v>
      </c>
      <c r="O8" s="1011">
        <v>1500000</v>
      </c>
      <c r="P8" s="1014"/>
      <c r="Q8" s="1013"/>
      <c r="R8" s="1012">
        <v>1852.5</v>
      </c>
      <c r="S8" s="1013">
        <v>5.26</v>
      </c>
      <c r="T8" s="1012">
        <v>1995</v>
      </c>
      <c r="U8" s="1013">
        <v>5.26</v>
      </c>
      <c r="V8" s="1012">
        <v>2850</v>
      </c>
      <c r="W8" s="1013">
        <v>5.26</v>
      </c>
      <c r="X8" s="1014"/>
      <c r="Y8" s="1014"/>
      <c r="Z8" s="1014"/>
      <c r="AA8" s="1014"/>
    </row>
    <row r="9" spans="1:27" ht="14.25" customHeight="1" thickBot="1">
      <c r="A9" s="580">
        <v>750000</v>
      </c>
      <c r="B9" s="579">
        <v>50000001</v>
      </c>
      <c r="C9" s="579">
        <v>100000000</v>
      </c>
      <c r="D9" t="b">
        <f>IF(AND(
'WVAG - Preisrechner'!B$4&gt;=$A9,
'WVAG - Preisrechner'!B$4&lt;$A12,
'WVAG - Preisrechner'!B$5&gt;$B9,
'WVAG - Preisrechner'!B$5&lt;=$C9),
TRUE,FALSE)</f>
        <v>0</v>
      </c>
      <c r="E9" t="b">
        <f>IF(AND('WVAG - Preisrechner'!C$4&gt;=$A9,'WVAG - Preisrechner'!C$4&lt;$A12,'WVAG - Preisrechner'!C$5&gt;=$B9,'WVAG - Preisrechner'!C$5&lt;=$C9),TRUE,FALSE)</f>
        <v>0</v>
      </c>
      <c r="F9" t="b">
        <f>IF(AND('WVAG - Preisrechner'!D$4&gt;=$A9,'WVAG - Preisrechner'!D$4&lt;$A12,'WVAG - Preisrechner'!D$5&gt;=$B9,'WVAG - Preisrechner'!D$5&lt;=$C9),TRUE,FALSE)</f>
        <v>0</v>
      </c>
      <c r="G9" t="b">
        <f>IF(AND(
'WVAG - Preisrechner'!E$4&gt;=$A9,
'WVAG - Preisrechner'!E$4&lt;$A12,
'WVAG - Preisrechner'!E$5&gt;=$B9,
'WVAG - Preisrechner'!E$5&lt;=$C9),
TRUE,FALSE)</f>
        <v>0</v>
      </c>
      <c r="H9" s="19" t="b">
        <f>IF(AND(
'WVAG - Preisrechner'!F$4&gt;=$A9,
'WVAG - Preisrechner'!F$4&lt;$A12,
'WVAG - Preisrechner'!F$5&gt;=$B9,
'WVAG - Preisrechner'!F$5&lt;=$C9),
TRUE,FALSE)</f>
        <v>0</v>
      </c>
      <c r="I9" s="19" t="b">
        <f>IF(AND(
'WVAG - Preisrechner'!G$4&gt;=$A9,
'WVAG - Preisrechner'!G$4&lt;$A12,
'WVAG - Preisrechner'!G$5&gt;=$B9,
'WVAG - Preisrechner'!G$5&lt;=$C9),
TRUE,FALSE)</f>
        <v>0</v>
      </c>
      <c r="J9" s="581">
        <v>1250</v>
      </c>
      <c r="O9" s="1011">
        <v>2000000</v>
      </c>
      <c r="P9" s="1014"/>
      <c r="Q9" s="1013"/>
      <c r="R9" s="1012">
        <v>2418</v>
      </c>
      <c r="S9" s="1013">
        <v>7.53</v>
      </c>
      <c r="T9" s="1012">
        <v>2604</v>
      </c>
      <c r="U9" s="1013">
        <v>7.53</v>
      </c>
      <c r="V9" s="1012">
        <v>3255</v>
      </c>
      <c r="W9" s="1013">
        <v>7.53</v>
      </c>
      <c r="X9" s="1014"/>
      <c r="Y9" s="1014"/>
      <c r="Z9" s="1014"/>
      <c r="AA9" s="1014"/>
    </row>
    <row r="10" spans="1:27" ht="14.25" customHeight="1" thickBot="1">
      <c r="A10" s="580">
        <v>750000</v>
      </c>
      <c r="B10" s="579">
        <v>100000001</v>
      </c>
      <c r="C10" s="579">
        <v>150000000</v>
      </c>
      <c r="D10" t="b">
        <f>IF(AND(
'WVAG - Preisrechner'!B$4&gt;=$A10,
'WVAG - Preisrechner'!B$4&lt;$A13,
'WVAG - Preisrechner'!B$5&gt;$B10,
'WVAG - Preisrechner'!B$5&lt;=$C10),
TRUE,FALSE)</f>
        <v>0</v>
      </c>
      <c r="E10" t="b">
        <f>IF(AND('WVAG - Preisrechner'!C$4&gt;=$A10,'WVAG - Preisrechner'!C$4&lt;$A13,'WVAG - Preisrechner'!C$5&gt;=$B10,'WVAG - Preisrechner'!C$5&lt;=$C10),TRUE,FALSE)</f>
        <v>0</v>
      </c>
      <c r="F10" t="b">
        <f>IF(AND('WVAG - Preisrechner'!D$4&gt;=$A10,'WVAG - Preisrechner'!D$4&lt;$A13,'WVAG - Preisrechner'!D$5&gt;=$B10,'WVAG - Preisrechner'!D$5&lt;=$C10),TRUE,FALSE)</f>
        <v>0</v>
      </c>
      <c r="G10" t="b">
        <f>IF(AND(
'WVAG - Preisrechner'!E$4&gt;=$A10,
'WVAG - Preisrechner'!E$4&lt;$A13,
'WVAG - Preisrechner'!E$5&gt;=$B10,
'WVAG - Preisrechner'!E$5&lt;=$C10),
TRUE,FALSE)</f>
        <v>0</v>
      </c>
      <c r="H10" s="19" t="b">
        <f>IF(AND(
'WVAG - Preisrechner'!F$4&gt;=$A10,
'WVAG - Preisrechner'!F$4&lt;$A13,
'WVAG - Preisrechner'!F$5&gt;=$B10,
'WVAG - Preisrechner'!F$5&lt;=$C10),
TRUE,FALSE)</f>
        <v>0</v>
      </c>
      <c r="I10" s="19" t="b">
        <f>IF(AND(
'WVAG - Preisrechner'!G$4&gt;=$A10,
'WVAG - Preisrechner'!G$4&lt;$A13,
'WVAG - Preisrechner'!G$5&gt;=$B10,
'WVAG - Preisrechner'!G$5&lt;=$C10),
TRUE,FALSE)</f>
        <v>0</v>
      </c>
      <c r="J10" s="581">
        <v>1600</v>
      </c>
      <c r="O10" s="1011">
        <v>2500000</v>
      </c>
      <c r="P10" s="1014"/>
      <c r="Q10" s="1013"/>
      <c r="R10" s="1012">
        <v>3022.5</v>
      </c>
      <c r="S10" s="1013">
        <v>7.53</v>
      </c>
      <c r="T10" s="1012">
        <v>3255</v>
      </c>
      <c r="U10" s="1013">
        <v>7.53</v>
      </c>
      <c r="V10" s="1012">
        <v>3720</v>
      </c>
      <c r="W10" s="1013">
        <v>7.53</v>
      </c>
      <c r="X10" s="1014"/>
      <c r="Y10" s="1014"/>
      <c r="Z10" s="1014"/>
      <c r="AA10" s="1014"/>
    </row>
    <row r="11" spans="1:27" ht="14.25" customHeight="1" thickBot="1">
      <c r="A11" s="580">
        <v>1000000</v>
      </c>
      <c r="B11" s="580">
        <v>0</v>
      </c>
      <c r="C11" s="580">
        <v>50000000</v>
      </c>
      <c r="D11" t="b">
        <f>IF(AND(
'WVAG - Preisrechner'!B$4&gt;=$A11,
'WVAG - Preisrechner'!B$4&lt;$A14,
'WVAG - Preisrechner'!B$5&gt;=$B11,
'WVAG - Preisrechner'!B$5&lt;=$C11),
TRUE,FALSE)</f>
        <v>0</v>
      </c>
      <c r="E11" t="b">
        <f>IF(AND('WVAG - Preisrechner'!C$4&gt;=$A11,'WVAG - Preisrechner'!C$4&lt;$A14,'WVAG - Preisrechner'!C$5&gt;=$B11,'WVAG - Preisrechner'!C$5&lt;=$C11),TRUE,FALSE)</f>
        <v>0</v>
      </c>
      <c r="F11" t="b">
        <f>IF(AND('WVAG - Preisrechner'!D$4&gt;=$A11,'WVAG - Preisrechner'!D$4&lt;$A14,'WVAG - Preisrechner'!D$5&gt;=$B11,'WVAG - Preisrechner'!D$5&lt;=$C11),TRUE,FALSE)</f>
        <v>0</v>
      </c>
      <c r="G11" t="b">
        <f>IF(AND(
'WVAG - Preisrechner'!E$4&gt;=$A11,
'WVAG - Preisrechner'!E$4&lt;$A14,
'WVAG - Preisrechner'!E$5&gt;=$B11,
'WVAG - Preisrechner'!E$5&lt;=$C11),
TRUE,FALSE)</f>
        <v>0</v>
      </c>
      <c r="H11" s="19" t="b">
        <f>IF(AND(
'WVAG - Preisrechner'!F$4&gt;=$A11,
'WVAG - Preisrechner'!F$4&lt;$A14,
'WVAG - Preisrechner'!F$5&gt;=$B11,
'WVAG - Preisrechner'!F$5&lt;=$C11),
TRUE,FALSE)</f>
        <v>0</v>
      </c>
      <c r="I11" s="19" t="b">
        <f>IF(AND(
'WVAG - Preisrechner'!G$4&gt;=$A11,
'WVAG - Preisrechner'!G$4&lt;$A14,
'WVAG - Preisrechner'!G$5&gt;=$B11,
'WVAG - Preisrechner'!G$5&lt;=$C11),
TRUE,FALSE)</f>
        <v>0</v>
      </c>
      <c r="J11" s="581">
        <v>1235</v>
      </c>
      <c r="O11" s="1011">
        <v>3000000</v>
      </c>
      <c r="P11" s="1014"/>
      <c r="Q11" s="1013"/>
      <c r="R11" s="1012">
        <v>3432</v>
      </c>
      <c r="S11" s="1013">
        <v>13.64</v>
      </c>
      <c r="T11" s="1012">
        <v>3696</v>
      </c>
      <c r="U11" s="1013">
        <v>13.64</v>
      </c>
      <c r="V11" s="1012">
        <v>3960</v>
      </c>
      <c r="W11" s="1013">
        <v>13.64</v>
      </c>
      <c r="X11" s="1012">
        <v>4224</v>
      </c>
      <c r="Y11" s="1013">
        <v>13.64</v>
      </c>
      <c r="Z11" s="1012">
        <v>4488</v>
      </c>
      <c r="AA11" s="1013">
        <v>13.64</v>
      </c>
    </row>
    <row r="12" spans="1:27" ht="14.25" customHeight="1" thickBot="1">
      <c r="A12" s="579">
        <v>1000000</v>
      </c>
      <c r="B12" s="579">
        <v>50000001</v>
      </c>
      <c r="C12" s="579">
        <v>100000000</v>
      </c>
      <c r="D12" t="b">
        <f>IF(AND(
'WVAG - Preisrechner'!B$4&gt;=$A12,
'WVAG - Preisrechner'!B$4&lt;$A15,
'WVAG - Preisrechner'!B$5&gt;$B12,
'WVAG - Preisrechner'!B$5&lt;=$C12),
TRUE,FALSE)</f>
        <v>0</v>
      </c>
      <c r="E12" t="b">
        <f>IF(AND('WVAG - Preisrechner'!C$4&gt;=$A12,'WVAG - Preisrechner'!C$4&lt;$A15,'WVAG - Preisrechner'!C$5&gt;=$B12,'WVAG - Preisrechner'!C$5&lt;=$C12),TRUE,FALSE)</f>
        <v>0</v>
      </c>
      <c r="F12" t="b">
        <f>IF(AND('WVAG - Preisrechner'!D$4&gt;=$A12,'WVAG - Preisrechner'!D$4&lt;$A15,'WVAG - Preisrechner'!D$5&gt;=$B12,'WVAG - Preisrechner'!D$5&lt;=$C12),TRUE,FALSE)</f>
        <v>0</v>
      </c>
      <c r="G12" t="b">
        <f>IF(AND(
'WVAG - Preisrechner'!E$4&gt;=$A12,
'WVAG - Preisrechner'!E$4&lt;$A15,
'WVAG - Preisrechner'!E$5&gt;=$B12,
'WVAG - Preisrechner'!E$5&lt;=$C12),
TRUE,FALSE)</f>
        <v>0</v>
      </c>
      <c r="H12" s="19" t="b">
        <f>IF(AND(
'WVAG - Preisrechner'!F$4&gt;=$A12,
'WVAG - Preisrechner'!F$4&lt;$A15,
'WVAG - Preisrechner'!F$5&gt;=$B12,
'WVAG - Preisrechner'!F$5&lt;=$C12),
TRUE,FALSE)</f>
        <v>0</v>
      </c>
      <c r="I12" s="19" t="b">
        <f>IF(AND(
'WVAG - Preisrechner'!G$4&gt;=$A12,
'WVAG - Preisrechner'!G$4&lt;$A15,
'WVAG - Preisrechner'!G$5&gt;=$B12,
'WVAG - Preisrechner'!G$5&lt;=$C12),
TRUE,FALSE)</f>
        <v>0</v>
      </c>
      <c r="J12" s="256">
        <v>1330</v>
      </c>
      <c r="O12" s="1011">
        <v>3500000</v>
      </c>
      <c r="P12" s="1014"/>
      <c r="Q12" s="1013"/>
      <c r="R12" s="1012">
        <v>4004</v>
      </c>
      <c r="S12" s="1013">
        <v>13.64</v>
      </c>
      <c r="T12" s="1012">
        <v>4312</v>
      </c>
      <c r="U12" s="1013">
        <v>13.64</v>
      </c>
      <c r="V12" s="1012">
        <v>4620</v>
      </c>
      <c r="W12" s="1013">
        <v>13.64</v>
      </c>
      <c r="X12" s="1012">
        <v>4928</v>
      </c>
      <c r="Y12" s="1013">
        <v>13.64</v>
      </c>
      <c r="Z12" s="1012">
        <v>5236</v>
      </c>
      <c r="AA12" s="1013">
        <v>13.64</v>
      </c>
    </row>
    <row r="13" spans="1:27" ht="14.25" customHeight="1" thickBot="1">
      <c r="A13" s="579">
        <v>1000000</v>
      </c>
      <c r="B13" s="579">
        <v>100000001</v>
      </c>
      <c r="C13" s="579">
        <v>150000000</v>
      </c>
      <c r="D13" t="b">
        <f>IF(AND(
'WVAG - Preisrechner'!B$4&gt;=$A13,
'WVAG - Preisrechner'!B$4&lt;$A16,
'WVAG - Preisrechner'!B$5&gt;$B13,
'WVAG - Preisrechner'!B$5&lt;=$C13),
TRUE,FALSE)</f>
        <v>0</v>
      </c>
      <c r="E13" t="b">
        <f>IF(AND('WVAG - Preisrechner'!C$4&gt;=$A13,'WVAG - Preisrechner'!C$4&lt;$A16,'WVAG - Preisrechner'!C$5&gt;=$B13,'WVAG - Preisrechner'!C$5&lt;=$C13),TRUE,FALSE)</f>
        <v>0</v>
      </c>
      <c r="F13" t="b">
        <f>IF(AND('WVAG - Preisrechner'!D$4&gt;=$A13,'WVAG - Preisrechner'!D$4&lt;$A16,'WVAG - Preisrechner'!D$5&gt;=$B13,'WVAG - Preisrechner'!D$5&lt;=$C13),TRUE,FALSE)</f>
        <v>0</v>
      </c>
      <c r="G13" t="b">
        <f>IF(AND(
'WVAG - Preisrechner'!E$4&gt;=$A13,
'WVAG - Preisrechner'!E$4&lt;$A16,
'WVAG - Preisrechner'!E$5&gt;=$B13,
'WVAG - Preisrechner'!E$5&lt;=$C13),
TRUE,FALSE)</f>
        <v>0</v>
      </c>
      <c r="H13" s="19" t="b">
        <f>IF(AND(
'WVAG - Preisrechner'!F$4&gt;=$A13,
'WVAG - Preisrechner'!F$4&lt;$A16,
'WVAG - Preisrechner'!F$5&gt;=$B13,
'WVAG - Preisrechner'!F$5&lt;=$C13),
TRUE,FALSE)</f>
        <v>0</v>
      </c>
      <c r="I13" s="19" t="b">
        <f>IF(AND(
'WVAG - Preisrechner'!G$4&gt;=$A13,
'WVAG - Preisrechner'!G$4&lt;$A16,
'WVAG - Preisrechner'!G$5&gt;=$B13,
'WVAG - Preisrechner'!G$5&lt;=$C13),
TRUE,FALSE)</f>
        <v>0</v>
      </c>
      <c r="J13" s="256">
        <v>1900</v>
      </c>
      <c r="O13" s="1011">
        <v>4000000</v>
      </c>
      <c r="P13" s="1014"/>
      <c r="Q13" s="1013"/>
      <c r="R13" s="1012">
        <v>4472</v>
      </c>
      <c r="S13" s="1013">
        <v>16.28</v>
      </c>
      <c r="T13" s="1012">
        <v>4816</v>
      </c>
      <c r="U13" s="1013">
        <v>16.28</v>
      </c>
      <c r="V13" s="1012">
        <v>5160</v>
      </c>
      <c r="W13" s="1013">
        <v>16.28</v>
      </c>
      <c r="X13" s="1012">
        <v>5504</v>
      </c>
      <c r="Y13" s="1013">
        <v>16.28</v>
      </c>
      <c r="Z13" s="1012">
        <v>5848</v>
      </c>
      <c r="AA13" s="1013">
        <v>16.28</v>
      </c>
    </row>
    <row r="14" spans="1:27" ht="14.25" customHeight="1" thickBot="1">
      <c r="A14" s="580">
        <v>1500000</v>
      </c>
      <c r="B14" s="580">
        <v>0</v>
      </c>
      <c r="C14" s="580">
        <v>50000000</v>
      </c>
      <c r="D14" t="b">
        <f>IF(AND(
'WVAG - Preisrechner'!B$4&gt;=$A14,
'WVAG - Preisrechner'!B$4&lt;$A17,
'WVAG - Preisrechner'!B$5&gt;=$B14,
'WVAG - Preisrechner'!B$5&lt;=$C14),
TRUE,FALSE)</f>
        <v>0</v>
      </c>
      <c r="E14" t="b">
        <f>IF(AND('WVAG - Preisrechner'!C$4&gt;=$A14,'WVAG - Preisrechner'!C$4&lt;$A17,'WVAG - Preisrechner'!C$5&gt;=$B14,'WVAG - Preisrechner'!C$5&lt;=$C14),TRUE,FALSE)</f>
        <v>0</v>
      </c>
      <c r="F14" t="b">
        <f>IF(AND('WVAG - Preisrechner'!D$4&gt;=$A14,'WVAG - Preisrechner'!D$4&lt;$A17,'WVAG - Preisrechner'!D$5&gt;=$B14,'WVAG - Preisrechner'!D$5&lt;=$C14),TRUE,FALSE)</f>
        <v>0</v>
      </c>
      <c r="G14" t="b">
        <f>IF(AND(
'WVAG - Preisrechner'!E$4&gt;=$A14,
'WVAG - Preisrechner'!E$4&lt;$A17,
'WVAG - Preisrechner'!E$5&gt;=$B14,
'WVAG - Preisrechner'!E$5&lt;=$C14),
TRUE,FALSE)</f>
        <v>0</v>
      </c>
      <c r="H14" s="19" t="b">
        <f>IF(AND(
'WVAG - Preisrechner'!F$4&gt;=$A14,
'WVAG - Preisrechner'!F$4&lt;$A17,
'WVAG - Preisrechner'!F$5&gt;=$B14,
'WVAG - Preisrechner'!F$5&lt;=$C14),
TRUE,FALSE)</f>
        <v>0</v>
      </c>
      <c r="I14" s="19" t="b">
        <f>IF(AND(
'WVAG - Preisrechner'!G$4&gt;=$A14,
'WVAG - Preisrechner'!G$4&lt;$A17,
'WVAG - Preisrechner'!G$5&gt;=$B14,
'WVAG - Preisrechner'!G$5&lt;=$C14),
TRUE,FALSE)</f>
        <v>0</v>
      </c>
      <c r="J14" s="581">
        <v>1852.5</v>
      </c>
      <c r="O14" s="1011">
        <v>5000000</v>
      </c>
      <c r="P14" s="1014"/>
      <c r="Q14" s="1013"/>
      <c r="R14" s="1012">
        <v>5590</v>
      </c>
      <c r="S14" s="1013">
        <v>21.65</v>
      </c>
      <c r="T14" s="1012">
        <v>6020</v>
      </c>
      <c r="U14" s="1013">
        <v>16.28</v>
      </c>
      <c r="V14" s="1012">
        <v>6450</v>
      </c>
      <c r="W14" s="1013">
        <v>16.28</v>
      </c>
      <c r="X14" s="1012">
        <v>6880</v>
      </c>
      <c r="Y14" s="1013">
        <v>16.28</v>
      </c>
      <c r="Z14" s="1012">
        <v>7310</v>
      </c>
      <c r="AA14" s="1013">
        <v>16.28</v>
      </c>
    </row>
    <row r="15" spans="1:27" ht="14.25" customHeight="1" thickBot="1">
      <c r="A15" s="579">
        <v>1500000</v>
      </c>
      <c r="B15" s="579">
        <v>50000001</v>
      </c>
      <c r="C15" s="579">
        <v>100000000</v>
      </c>
      <c r="D15" t="b">
        <f>IF(AND(
'WVAG - Preisrechner'!B$4&gt;=$A15,
'WVAG - Preisrechner'!B$4&lt;$A18,
'WVAG - Preisrechner'!B$5&gt;$B15,
'WVAG - Preisrechner'!B$5&lt;=$C15),
TRUE,FALSE)</f>
        <v>0</v>
      </c>
      <c r="E15" t="b">
        <f>IF(AND('WVAG - Preisrechner'!C$4&gt;=$A15,'WVAG - Preisrechner'!C$4&lt;$A18,'WVAG - Preisrechner'!C$5&gt;=$B15,'WVAG - Preisrechner'!C$5&lt;=$C15),TRUE,FALSE)</f>
        <v>0</v>
      </c>
      <c r="F15" t="b">
        <f>IF(AND('WVAG - Preisrechner'!D$4&gt;=$A15,'WVAG - Preisrechner'!D$4&lt;$A18,'WVAG - Preisrechner'!D$5&gt;=$B15,'WVAG - Preisrechner'!D$5&lt;=$C15),TRUE,FALSE)</f>
        <v>0</v>
      </c>
      <c r="G15" t="b">
        <f>IF(AND(
'WVAG - Preisrechner'!E$4&gt;=$A15,
'WVAG - Preisrechner'!E$4&lt;$A18,
'WVAG - Preisrechner'!E$5&gt;=$B15,
'WVAG - Preisrechner'!E$5&lt;=$C15),
TRUE,FALSE)</f>
        <v>0</v>
      </c>
      <c r="H15" s="19" t="b">
        <f>IF(AND(
'WVAG - Preisrechner'!F$4&gt;=$A15,
'WVAG - Preisrechner'!F$4&lt;$A18,
'WVAG - Preisrechner'!F$5&gt;=$B15,
'WVAG - Preisrechner'!F$5&lt;=$C15),
TRUE,FALSE)</f>
        <v>0</v>
      </c>
      <c r="I15" s="19" t="b">
        <f>IF(AND(
'WVAG - Preisrechner'!G$4&gt;=$A15,
'WVAG - Preisrechner'!G$4&lt;$A18,
'WVAG - Preisrechner'!G$5&gt;=$B15,
'WVAG - Preisrechner'!G$5&lt;=$C15),
TRUE,FALSE)</f>
        <v>0</v>
      </c>
      <c r="J15" s="256">
        <v>1995</v>
      </c>
      <c r="O15" s="1011">
        <v>7500000</v>
      </c>
      <c r="P15" s="1014"/>
      <c r="Q15" s="1013"/>
      <c r="R15" s="1012">
        <v>8400</v>
      </c>
      <c r="S15" s="1013">
        <v>17.86</v>
      </c>
      <c r="T15" s="1012">
        <v>8400</v>
      </c>
      <c r="U15" s="1013">
        <v>25</v>
      </c>
      <c r="V15" s="1012">
        <v>9000</v>
      </c>
      <c r="W15" s="1013">
        <v>25</v>
      </c>
      <c r="X15" s="1012">
        <v>9600</v>
      </c>
      <c r="Y15" s="1013">
        <v>25</v>
      </c>
      <c r="Z15" s="1012">
        <v>10200</v>
      </c>
      <c r="AA15" s="1013">
        <v>25</v>
      </c>
    </row>
    <row r="16" spans="1:27" ht="14.25" customHeight="1" thickBot="1">
      <c r="A16" s="579">
        <v>1500000</v>
      </c>
      <c r="B16" s="579">
        <v>100000001</v>
      </c>
      <c r="C16" s="579">
        <v>150000000</v>
      </c>
      <c r="D16" t="b">
        <f>IF(AND(
'WVAG - Preisrechner'!B$4&gt;=$A16,
'WVAG - Preisrechner'!B$4&lt;$A19,
'WVAG - Preisrechner'!B$5&gt;$B16,
'WVAG - Preisrechner'!B$5&lt;=$C16),
TRUE,FALSE)</f>
        <v>0</v>
      </c>
      <c r="E16" t="b">
        <f>IF(AND('WVAG - Preisrechner'!C$4&gt;=$A16,'WVAG - Preisrechner'!C$4&lt;$A19,'WVAG - Preisrechner'!C$5&gt;=$B16,'WVAG - Preisrechner'!C$5&lt;=$C16),TRUE,FALSE)</f>
        <v>0</v>
      </c>
      <c r="F16" t="b">
        <f>IF(AND('WVAG - Preisrechner'!D$4&gt;=$A16,'WVAG - Preisrechner'!D$4&lt;$A19,'WVAG - Preisrechner'!D$5&gt;=$B16,'WVAG - Preisrechner'!D$5&lt;=$C16),TRUE,FALSE)</f>
        <v>0</v>
      </c>
      <c r="G16" t="b">
        <f>IF(AND(
'WVAG - Preisrechner'!E$4&gt;=$A16,
'WVAG - Preisrechner'!E$4&lt;$A19,
'WVAG - Preisrechner'!E$5&gt;=$B16,
'WVAG - Preisrechner'!E$5&lt;=$C16),
TRUE,FALSE)</f>
        <v>0</v>
      </c>
      <c r="H16" s="19" t="b">
        <f>IF(AND(
'WVAG - Preisrechner'!F$4&gt;=$A16,
'WVAG - Preisrechner'!F$4&lt;$A19,
'WVAG - Preisrechner'!F$5&gt;=$B16,
'WVAG - Preisrechner'!F$5&lt;=$C16),
TRUE,FALSE)</f>
        <v>0</v>
      </c>
      <c r="I16" s="19" t="b">
        <f>IF(AND(
'WVAG - Preisrechner'!G$4&gt;=$A16,
'WVAG - Preisrechner'!G$4&lt;$A19,
'WVAG - Preisrechner'!G$5&gt;=$B16,
'WVAG - Preisrechner'!G$5&lt;=$C16),
TRUE,FALSE)</f>
        <v>0</v>
      </c>
      <c r="J16" s="256">
        <v>2850</v>
      </c>
      <c r="O16" s="1011">
        <v>10000000</v>
      </c>
      <c r="P16" s="1014"/>
      <c r="Q16" s="1013"/>
      <c r="R16" s="1012">
        <v>11200</v>
      </c>
      <c r="S16" s="1013">
        <v>16.07</v>
      </c>
      <c r="T16" s="1012">
        <v>11200</v>
      </c>
      <c r="U16" s="1013">
        <v>25</v>
      </c>
      <c r="V16" s="1012">
        <v>12000</v>
      </c>
      <c r="W16" s="1013">
        <v>25</v>
      </c>
      <c r="X16" s="1012">
        <v>12800</v>
      </c>
      <c r="Y16" s="1013">
        <v>25</v>
      </c>
      <c r="Z16" s="1012">
        <v>13600</v>
      </c>
      <c r="AA16" s="1013">
        <v>25</v>
      </c>
    </row>
    <row r="17" spans="1:10" ht="14.25" customHeight="1">
      <c r="A17" s="580">
        <v>2000000</v>
      </c>
      <c r="B17" s="580">
        <v>0</v>
      </c>
      <c r="C17" s="580">
        <v>50000000</v>
      </c>
      <c r="D17" t="b">
        <f>IF(AND(
'WVAG - Preisrechner'!B$4&gt;=$A17,
'WVAG - Preisrechner'!B$4&lt;$A20,
'WVAG - Preisrechner'!B$5&gt;=$B17,
'WVAG - Preisrechner'!B$5&lt;=$C17),
TRUE,FALSE)</f>
        <v>0</v>
      </c>
      <c r="E17" t="b">
        <f>IF(AND('WVAG - Preisrechner'!C$4&gt;=$A17,'WVAG - Preisrechner'!C$4&lt;$A20,'WVAG - Preisrechner'!C$5&gt;=$B17,'WVAG - Preisrechner'!C$5&lt;=$C17),TRUE,FALSE)</f>
        <v>0</v>
      </c>
      <c r="F17" t="b">
        <f>IF(AND('WVAG - Preisrechner'!D$4&gt;=$A17,'WVAG - Preisrechner'!D$4&lt;$A20,'WVAG - Preisrechner'!D$5&gt;=$B17,'WVAG - Preisrechner'!D$5&lt;=$C17),TRUE,FALSE)</f>
        <v>0</v>
      </c>
      <c r="G17" t="b">
        <f>IF(AND(
'WVAG - Preisrechner'!E$4&gt;=$A17,
'WVAG - Preisrechner'!E$4&lt;$A20,
'WVAG - Preisrechner'!E$5&gt;=$B17,
'WVAG - Preisrechner'!E$5&lt;=$C17),
TRUE,FALSE)</f>
        <v>0</v>
      </c>
      <c r="H17" s="19" t="b">
        <f>IF(AND(
'WVAG - Preisrechner'!F$4&gt;=$A17,
'WVAG - Preisrechner'!F$4&lt;$A20,
'WVAG - Preisrechner'!F$5&gt;=$B17,
'WVAG - Preisrechner'!F$5&lt;=$C17),
TRUE,FALSE)</f>
        <v>0</v>
      </c>
      <c r="I17" s="19" t="b">
        <f>IF(AND(
'WVAG - Preisrechner'!G$4&gt;=$A17,
'WVAG - Preisrechner'!G$4&lt;$A20,
'WVAG - Preisrechner'!G$5&gt;=$B17,
'WVAG - Preisrechner'!G$5&lt;=$C17),
TRUE,FALSE)</f>
        <v>0</v>
      </c>
      <c r="J17" s="581">
        <v>2418</v>
      </c>
    </row>
    <row r="18" spans="1:10" ht="14.25" customHeight="1">
      <c r="A18" s="579">
        <v>2000000</v>
      </c>
      <c r="B18" s="579">
        <v>50000001</v>
      </c>
      <c r="C18" s="579">
        <v>100000000</v>
      </c>
      <c r="D18" t="b">
        <f>IF(AND(
'WVAG - Preisrechner'!B$4&gt;=$A18,
'WVAG - Preisrechner'!B$4&lt;$A21,
'WVAG - Preisrechner'!B$5&gt;$B18,
'WVAG - Preisrechner'!B$5&lt;=$C18),
TRUE,FALSE)</f>
        <v>0</v>
      </c>
      <c r="E18" t="b">
        <f>IF(AND('WVAG - Preisrechner'!C$4&gt;=$A18,'WVAG - Preisrechner'!C$4&lt;$A21,'WVAG - Preisrechner'!C$5&gt;=$B18,'WVAG - Preisrechner'!C$5&lt;=$C18),TRUE,FALSE)</f>
        <v>0</v>
      </c>
      <c r="F18" t="b">
        <f>IF(AND('WVAG - Preisrechner'!D$4&gt;=$A18,'WVAG - Preisrechner'!D$4&lt;$A21,'WVAG - Preisrechner'!D$5&gt;=$B18,'WVAG - Preisrechner'!D$5&lt;=$C18),TRUE,FALSE)</f>
        <v>0</v>
      </c>
      <c r="G18" t="b">
        <f>IF(AND(
'WVAG - Preisrechner'!E$4&gt;=$A18,
'WVAG - Preisrechner'!E$4&lt;$A21,
'WVAG - Preisrechner'!E$5&gt;=$B18,
'WVAG - Preisrechner'!E$5&lt;=$C18),
TRUE,FALSE)</f>
        <v>0</v>
      </c>
      <c r="H18" s="19" t="b">
        <f>IF(AND(
'WVAG - Preisrechner'!F$4&gt;=$A18,
'WVAG - Preisrechner'!F$4&lt;$A21,
'WVAG - Preisrechner'!F$5&gt;=$B18,
'WVAG - Preisrechner'!F$5&lt;=$C18),
TRUE,FALSE)</f>
        <v>0</v>
      </c>
      <c r="I18" s="19" t="b">
        <f>IF(AND(
'WVAG - Preisrechner'!G$4&gt;=$A18,
'WVAG - Preisrechner'!G$4&lt;$A21,
'WVAG - Preisrechner'!G$5&gt;=$B18,
'WVAG - Preisrechner'!G$5&lt;=$C18),
TRUE,FALSE)</f>
        <v>0</v>
      </c>
      <c r="J18" s="256">
        <v>2604</v>
      </c>
    </row>
    <row r="19" spans="1:10" ht="14.25" customHeight="1">
      <c r="A19" s="579">
        <v>2000000</v>
      </c>
      <c r="B19" s="579">
        <v>100000001</v>
      </c>
      <c r="C19" s="579">
        <v>150000000</v>
      </c>
      <c r="D19" t="b">
        <f>IF(AND(
'WVAG - Preisrechner'!B$4&gt;=$A19,
'WVAG - Preisrechner'!B$4&lt;$A22,
'WVAG - Preisrechner'!B$5&gt;$B19,
'WVAG - Preisrechner'!B$5&lt;=$C19),
TRUE,FALSE)</f>
        <v>0</v>
      </c>
      <c r="E19" t="b">
        <f>IF(AND('WVAG - Preisrechner'!C$4&gt;=$A19,'WVAG - Preisrechner'!C$4&lt;$A22,'WVAG - Preisrechner'!C$5&gt;=$B19,'WVAG - Preisrechner'!C$5&lt;=$C19),TRUE,FALSE)</f>
        <v>0</v>
      </c>
      <c r="F19" t="b">
        <f>IF(AND('WVAG - Preisrechner'!D$4&gt;=$A19,'WVAG - Preisrechner'!D$4&lt;$A22,'WVAG - Preisrechner'!D$5&gt;=$B19,'WVAG - Preisrechner'!D$5&lt;=$C19),TRUE,FALSE)</f>
        <v>0</v>
      </c>
      <c r="G19" t="b">
        <f>IF(AND(
'WVAG - Preisrechner'!E$4&gt;=$A19,
'WVAG - Preisrechner'!E$4&lt;$A22,
'WVAG - Preisrechner'!E$5&gt;=$B19,
'WVAG - Preisrechner'!E$5&lt;=$C19),
TRUE,FALSE)</f>
        <v>0</v>
      </c>
      <c r="H19" s="19" t="b">
        <f>IF(AND(
'WVAG - Preisrechner'!F$4&gt;=$A19,
'WVAG - Preisrechner'!F$4&lt;$A22,
'WVAG - Preisrechner'!F$5&gt;=$B19,
'WVAG - Preisrechner'!F$5&lt;=$C19),
TRUE,FALSE)</f>
        <v>0</v>
      </c>
      <c r="I19" s="19" t="b">
        <f>IF(AND(
'WVAG - Preisrechner'!G$4&gt;=$A19,
'WVAG - Preisrechner'!G$4&lt;$A22,
'WVAG - Preisrechner'!G$5&gt;=$B19,
'WVAG - Preisrechner'!G$5&lt;=$C19),
TRUE,FALSE)</f>
        <v>0</v>
      </c>
      <c r="J19" s="256">
        <v>3255</v>
      </c>
    </row>
    <row r="20" spans="1:10" ht="14.25" customHeight="1">
      <c r="A20" s="580">
        <v>2500000</v>
      </c>
      <c r="B20" s="580">
        <v>0</v>
      </c>
      <c r="C20" s="580">
        <v>50000000</v>
      </c>
      <c r="D20" t="b">
        <f>IF(AND(
'WVAG - Preisrechner'!B$4&gt;=$A20,
'WVAG - Preisrechner'!B$4&lt;$A23,
'WVAG - Preisrechner'!B$5&gt;=$B20,
'WVAG - Preisrechner'!B$5&lt;=$C20),
TRUE,FALSE)</f>
        <v>0</v>
      </c>
      <c r="E20" t="b">
        <f>IF(AND('WVAG - Preisrechner'!C$4&gt;=$A20,'WVAG - Preisrechner'!C$4&lt;$A23,'WVAG - Preisrechner'!C$5&gt;=$B20,'WVAG - Preisrechner'!C$5&lt;=$C20),TRUE,FALSE)</f>
        <v>0</v>
      </c>
      <c r="F20" t="b">
        <f>IF(AND('WVAG - Preisrechner'!D$4&gt;=$A20,'WVAG - Preisrechner'!D$4&lt;$A23,'WVAG - Preisrechner'!D$5&gt;=$B20,'WVAG - Preisrechner'!D$5&lt;=$C20),TRUE,FALSE)</f>
        <v>0</v>
      </c>
      <c r="G20" t="b">
        <f>IF(AND(
'WVAG - Preisrechner'!E$4&gt;=$A20,
'WVAG - Preisrechner'!E$4&lt;$A23,
'WVAG - Preisrechner'!E$5&gt;=$B20,
'WVAG - Preisrechner'!E$5&lt;=$C20),
TRUE,FALSE)</f>
        <v>0</v>
      </c>
      <c r="H20" s="19" t="b">
        <f>IF(AND(
'WVAG - Preisrechner'!F$4&gt;=$A20,
'WVAG - Preisrechner'!F$4&lt;$A23,
'WVAG - Preisrechner'!F$5&gt;=$B20,
'WVAG - Preisrechner'!F$5&lt;=$C20),
TRUE,FALSE)</f>
        <v>0</v>
      </c>
      <c r="I20" s="19" t="b">
        <f>IF(AND(
'WVAG - Preisrechner'!G$4&gt;=$A20,
'WVAG - Preisrechner'!G$4&lt;$A23,
'WVAG - Preisrechner'!G$5&gt;=$B20,
'WVAG - Preisrechner'!G$5&lt;=$C20),
TRUE,FALSE)</f>
        <v>0</v>
      </c>
      <c r="J20" s="581">
        <v>3022.5</v>
      </c>
    </row>
    <row r="21" spans="1:10" ht="14.25" customHeight="1">
      <c r="A21" s="579">
        <v>2500000</v>
      </c>
      <c r="B21" s="579">
        <v>50000001</v>
      </c>
      <c r="C21" s="579">
        <v>100000000</v>
      </c>
      <c r="D21" t="b">
        <f>IF(AND(
'WVAG - Preisrechner'!B$4&gt;=$A21,
'WVAG - Preisrechner'!B$4&lt;$A24,
'WVAG - Preisrechner'!B$5&gt;$B21,
'WVAG - Preisrechner'!B$5&lt;=$C21),
TRUE,FALSE)</f>
        <v>0</v>
      </c>
      <c r="E21" t="b">
        <f>IF(AND('WVAG - Preisrechner'!C$4&gt;=$A21,'WVAG - Preisrechner'!C$4&lt;$A24,'WVAG - Preisrechner'!C$5&gt;=$B21,'WVAG - Preisrechner'!C$5&lt;=$C21),TRUE,FALSE)</f>
        <v>0</v>
      </c>
      <c r="F21" t="b">
        <f>IF(AND('WVAG - Preisrechner'!D$4&gt;=$A21,'WVAG - Preisrechner'!D$4&lt;$A24,'WVAG - Preisrechner'!D$5&gt;=$B21,'WVAG - Preisrechner'!D$5&lt;=$C21),TRUE,FALSE)</f>
        <v>0</v>
      </c>
      <c r="G21" t="b">
        <f>IF(AND(
'WVAG - Preisrechner'!E$4&gt;=$A21,
'WVAG - Preisrechner'!E$4&lt;$A24,
'WVAG - Preisrechner'!E$5&gt;=$B21,
'WVAG - Preisrechner'!E$5&lt;=$C21),
TRUE,FALSE)</f>
        <v>0</v>
      </c>
      <c r="H21" s="19" t="b">
        <f>IF(AND(
'WVAG - Preisrechner'!F$4&gt;=$A21,
'WVAG - Preisrechner'!F$4&lt;$A24,
'WVAG - Preisrechner'!F$5&gt;=$B21,
'WVAG - Preisrechner'!F$5&lt;=$C21),
TRUE,FALSE)</f>
        <v>0</v>
      </c>
      <c r="I21" s="19" t="b">
        <f>IF(AND(
'WVAG - Preisrechner'!G$4&gt;=$A21,
'WVAG - Preisrechner'!G$4&lt;$A24,
'WVAG - Preisrechner'!G$5&gt;=$B21,
'WVAG - Preisrechner'!G$5&lt;=$C21),
TRUE,FALSE)</f>
        <v>0</v>
      </c>
      <c r="J21" s="256">
        <v>3255</v>
      </c>
    </row>
    <row r="22" spans="1:10" ht="14.25" customHeight="1">
      <c r="A22" s="579">
        <v>2500000</v>
      </c>
      <c r="B22" s="579">
        <v>100000001</v>
      </c>
      <c r="C22" s="579">
        <v>150000000</v>
      </c>
      <c r="D22" t="b">
        <f>IF(AND(
'WVAG - Preisrechner'!B$4&gt;=$A22,
'WVAG - Preisrechner'!B$4&lt;$A25,
'WVAG - Preisrechner'!B$5&gt;$B22,
'WVAG - Preisrechner'!B$5&lt;=$C22),
TRUE,FALSE)</f>
        <v>0</v>
      </c>
      <c r="E22" t="b">
        <f>IF(AND('WVAG - Preisrechner'!C$4&gt;=$A22,'WVAG - Preisrechner'!C$4&lt;$A25,'WVAG - Preisrechner'!C$5&gt;=$B22,'WVAG - Preisrechner'!C$5&lt;=$C22),TRUE,FALSE)</f>
        <v>0</v>
      </c>
      <c r="F22" t="b">
        <f>IF(AND('WVAG - Preisrechner'!D$4&gt;=$A22,'WVAG - Preisrechner'!D$4&lt;$A25,'WVAG - Preisrechner'!D$5&gt;=$B22,'WVAG - Preisrechner'!D$5&lt;=$C22),TRUE,FALSE)</f>
        <v>0</v>
      </c>
      <c r="G22" t="b">
        <f>IF(AND(
'WVAG - Preisrechner'!E$4&gt;=$A22,
'WVAG - Preisrechner'!E$4&lt;$A25,
'WVAG - Preisrechner'!E$5&gt;=$B22,
'WVAG - Preisrechner'!E$5&lt;=$C22),
TRUE,FALSE)</f>
        <v>0</v>
      </c>
      <c r="H22" s="19" t="b">
        <f>IF(AND(
'WVAG - Preisrechner'!F$4&gt;=$A22,
'WVAG - Preisrechner'!F$4&lt;$A25,
'WVAG - Preisrechner'!F$5&gt;=$B22,
'WVAG - Preisrechner'!F$5&lt;=$C22),
TRUE,FALSE)</f>
        <v>0</v>
      </c>
      <c r="I22" s="19" t="b">
        <f>IF(AND(
'WVAG - Preisrechner'!G$4&gt;=$A22,
'WVAG - Preisrechner'!G$4&lt;$A25,
'WVAG - Preisrechner'!G$5&gt;=$B22,
'WVAG - Preisrechner'!G$5&lt;=$C22),
TRUE,FALSE)</f>
        <v>0</v>
      </c>
      <c r="J22" s="256">
        <v>3720</v>
      </c>
    </row>
    <row r="23" spans="1:10" ht="14.25" customHeight="1">
      <c r="A23" s="580">
        <v>3000000</v>
      </c>
      <c r="B23" s="580">
        <v>0</v>
      </c>
      <c r="C23" s="580">
        <v>50000000</v>
      </c>
      <c r="D23" t="b">
        <f>IF(AND(
'WVAG - Preisrechner'!B$4&gt;=$A23,
'WVAG - Preisrechner'!B$4&lt;$A28,
'WVAG - Preisrechner'!B$5&gt;=$B23,
'WVAG - Preisrechner'!B$5&lt;=$C23),
TRUE,FALSE)</f>
        <v>0</v>
      </c>
      <c r="E23" t="b">
        <f>IF(AND('WVAG - Preisrechner'!C$4&gt;=$A23,'WVAG - Preisrechner'!C$4&lt;$A28,'WVAG - Preisrechner'!C$5&gt;=$B23,'WVAG - Preisrechner'!C$5&lt;=$C23),TRUE,FALSE)</f>
        <v>0</v>
      </c>
      <c r="F23" t="b">
        <f>IF(AND('WVAG - Preisrechner'!D$4&gt;=$A23,'WVAG - Preisrechner'!D$4&lt;$A28,'WVAG - Preisrechner'!D$5&gt;=$B23,'WVAG - Preisrechner'!D$5&lt;=$C23),TRUE,FALSE)</f>
        <v>0</v>
      </c>
      <c r="G23" t="b">
        <f>IF(AND(
'WVAG - Preisrechner'!E$4&gt;=$A23,
'WVAG - Preisrechner'!E$4&lt;$A28,
'WVAG - Preisrechner'!E$5&gt;=$B23,
'WVAG - Preisrechner'!E$5&lt;=$C23),
TRUE,FALSE)</f>
        <v>0</v>
      </c>
      <c r="H23" s="19" t="b">
        <f>IF(AND(
'WVAG - Preisrechner'!F$4&gt;=$A23,
'WVAG - Preisrechner'!F$4&lt;$A28,
'WVAG - Preisrechner'!F$5&gt;=$B23,
'WVAG - Preisrechner'!F$5&lt;=$C23),
TRUE,FALSE)</f>
        <v>0</v>
      </c>
      <c r="I23" s="19" t="b">
        <f>IF(AND(
'WVAG - Preisrechner'!G$4&gt;=$A23,
'WVAG - Preisrechner'!G$4&lt;$A28,
'WVAG - Preisrechner'!G$5&gt;=$B23,
'WVAG - Preisrechner'!G$5&lt;=$C23),
TRUE,FALSE)</f>
        <v>0</v>
      </c>
      <c r="J23" s="581">
        <v>3432</v>
      </c>
    </row>
    <row r="24" spans="1:10" ht="14.25" customHeight="1">
      <c r="A24" s="579">
        <v>3000000</v>
      </c>
      <c r="B24" s="579">
        <v>50000001</v>
      </c>
      <c r="C24" s="579">
        <v>100000000</v>
      </c>
      <c r="D24" t="b">
        <f>IF(AND(
'WVAG - Preisrechner'!B$4&gt;=$A24,
'WVAG - Preisrechner'!B$4&lt;$A29,
'WVAG - Preisrechner'!B$5&gt;$B24,
'WVAG - Preisrechner'!B$5&lt;=$C24),
TRUE,FALSE)</f>
        <v>0</v>
      </c>
      <c r="E24" t="b">
        <f>IF(AND('WVAG - Preisrechner'!C$4&gt;=$A24,'WVAG - Preisrechner'!C$4&lt;$A29,'WVAG - Preisrechner'!C$5&gt;=$B24,'WVAG - Preisrechner'!C$5&lt;=$C24),TRUE,FALSE)</f>
        <v>0</v>
      </c>
      <c r="F24" t="b">
        <f>IF(AND('WVAG - Preisrechner'!D$4&gt;=$A24,'WVAG - Preisrechner'!D$4&lt;$A29,'WVAG - Preisrechner'!D$5&gt;=$B24,'WVAG - Preisrechner'!D$5&lt;=$C24),TRUE,FALSE)</f>
        <v>0</v>
      </c>
      <c r="G24" t="b">
        <f>IF(AND(
'WVAG - Preisrechner'!E$4&gt;=$A24,
'WVAG - Preisrechner'!E$4&lt;$A29,
'WVAG - Preisrechner'!E$5&gt;=$B24,
'WVAG - Preisrechner'!E$5&lt;=$C24),
TRUE,FALSE)</f>
        <v>0</v>
      </c>
      <c r="H24" s="19" t="b">
        <f>IF(AND(
'WVAG - Preisrechner'!F$4&gt;=$A24,
'WVAG - Preisrechner'!F$4&lt;$A29,
'WVAG - Preisrechner'!F$5&gt;=$B24,
'WVAG - Preisrechner'!F$5&lt;=$C24),
TRUE,FALSE)</f>
        <v>0</v>
      </c>
      <c r="I24" s="19" t="b">
        <f>IF(AND(
'WVAG - Preisrechner'!G$4&gt;=$A24,
'WVAG - Preisrechner'!G$4&lt;$A29,
'WVAG - Preisrechner'!G$5&gt;=$B24,
'WVAG - Preisrechner'!G$5&lt;=$C24),
TRUE,FALSE)</f>
        <v>0</v>
      </c>
      <c r="J24" s="256">
        <v>3696</v>
      </c>
    </row>
    <row r="25" spans="1:10" ht="14.25" customHeight="1">
      <c r="A25" s="579">
        <v>3000000</v>
      </c>
      <c r="B25" s="579">
        <v>100000001</v>
      </c>
      <c r="C25" s="579">
        <v>150000000</v>
      </c>
      <c r="D25" t="b">
        <f>IF(AND(
'WVAG - Preisrechner'!B$4&gt;=$A25,
'WVAG - Preisrechner'!B$4&lt;A30,
'WVAG - Preisrechner'!B$5&gt;$B25,
'WVAG - Preisrechner'!B$5&lt;=$C25),
TRUE,FALSE)</f>
        <v>0</v>
      </c>
      <c r="E25" t="b">
        <f>IF(AND('WVAG - Preisrechner'!C$4&gt;=$A25,'WVAG - Preisrechner'!C$4&lt;$A30,'WVAG - Preisrechner'!C$5&gt;=$B25,'WVAG - Preisrechner'!C$5&lt;=$C25),TRUE,FALSE)</f>
        <v>0</v>
      </c>
      <c r="F25" t="b">
        <f>IF(AND('WVAG - Preisrechner'!D$4&gt;=$A25,'WVAG - Preisrechner'!D$4&lt;$A30,'WVAG - Preisrechner'!D$5&gt;=$B25,'WVAG - Preisrechner'!D$5&lt;=$C25),TRUE,FALSE)</f>
        <v>0</v>
      </c>
      <c r="G25" t="b">
        <f>IF(AND(
'WVAG - Preisrechner'!E$4&gt;=$A25,
'WVAG - Preisrechner'!E$4&lt;$A30,
'WVAG - Preisrechner'!E$5&gt;=$B25,
'WVAG - Preisrechner'!E$5&lt;=$C25),
TRUE,FALSE)</f>
        <v>0</v>
      </c>
      <c r="H25" s="19" t="b">
        <f>IF(AND(
'WVAG - Preisrechner'!F$4&gt;=$A25,
'WVAG - Preisrechner'!F$4&lt;$A30,
'WVAG - Preisrechner'!F$5&gt;=$B25,
'WVAG - Preisrechner'!F$5&lt;=$C25),
TRUE,FALSE)</f>
        <v>0</v>
      </c>
      <c r="I25" s="19" t="b">
        <f>IF(AND(
'WVAG - Preisrechner'!G$4&gt;=$A25,
'WVAG - Preisrechner'!G$4&lt;$A30,
'WVAG - Preisrechner'!G$5&gt;=$B25,
'WVAG - Preisrechner'!G$5&lt;=$C25),
TRUE,FALSE)</f>
        <v>0</v>
      </c>
      <c r="J25" s="256">
        <v>3960</v>
      </c>
    </row>
    <row r="26" spans="1:10" ht="14.25" customHeight="1">
      <c r="A26" s="579">
        <v>3000000</v>
      </c>
      <c r="B26" s="579">
        <v>150000001</v>
      </c>
      <c r="C26" s="579">
        <v>200000000</v>
      </c>
      <c r="D26" t="b">
        <f>IF(AND(
'WVAG - Preisrechner'!B$4&gt;=$A26,
'WVAG - Preisrechner'!B$4&lt;A31,
'WVAG - Preisrechner'!B$5&gt;$B26,
'WVAG - Preisrechner'!B$5&lt;=$C26),
TRUE,FALSE)</f>
        <v>0</v>
      </c>
      <c r="E26" t="b">
        <f>IF(AND('WVAG - Preisrechner'!C$4&gt;=$A26,'WVAG - Preisrechner'!C$4&lt;$A31,'WVAG - Preisrechner'!C$5&gt;=$B26,'WVAG - Preisrechner'!C$5&lt;=$C26),TRUE,FALSE)</f>
        <v>0</v>
      </c>
      <c r="F26" t="b">
        <f>IF(AND('WVAG - Preisrechner'!D$4&gt;=$A26,'WVAG - Preisrechner'!D$4&lt;$A31,'WVAG - Preisrechner'!D$5&gt;=$B26,'WVAG - Preisrechner'!D$5&lt;=$C26),TRUE,FALSE)</f>
        <v>0</v>
      </c>
      <c r="G26" t="b">
        <f>IF(AND(
'WVAG - Preisrechner'!E$4&gt;=$A26,
'WVAG - Preisrechner'!E$4&lt;$A31,
'WVAG - Preisrechner'!E$5&gt;=$B26,
'WVAG - Preisrechner'!E$5&lt;=$C26),
TRUE,FALSE)</f>
        <v>0</v>
      </c>
      <c r="H26" s="19" t="b">
        <f>IF(AND(
'WVAG - Preisrechner'!F$4&gt;=$A26,
'WVAG - Preisrechner'!F$4&lt;$A31,
'WVAG - Preisrechner'!F$5&gt;=$B26,
'WVAG - Preisrechner'!F$5&lt;=$C26),
TRUE,FALSE)</f>
        <v>0</v>
      </c>
      <c r="I26" s="19" t="b">
        <f>IF(AND(
'WVAG - Preisrechner'!G$4&gt;=$A26,
'WVAG - Preisrechner'!G$4&lt;$A31,
'WVAG - Preisrechner'!G$5&gt;=$B26,
'WVAG - Preisrechner'!G$5&lt;=$C26),
TRUE,FALSE)</f>
        <v>0</v>
      </c>
      <c r="J26" s="256">
        <v>4224</v>
      </c>
    </row>
    <row r="27" spans="1:10" ht="14.25" customHeight="1">
      <c r="A27" s="579">
        <v>3000000</v>
      </c>
      <c r="B27" s="579">
        <v>200000001</v>
      </c>
      <c r="C27" s="579">
        <v>250000000</v>
      </c>
      <c r="D27" t="b">
        <f>IF(AND(
'WVAG - Preisrechner'!B$4&gt;=$A27,
'WVAG - Preisrechner'!B$4&lt;A32,
'WVAG - Preisrechner'!B$5&gt;$B27,
'WVAG - Preisrechner'!B$5&lt;=$C27),
TRUE,FALSE)</f>
        <v>0</v>
      </c>
      <c r="E27" t="b">
        <f>IF(AND('WVAG - Preisrechner'!C$4&gt;=$A27,'WVAG - Preisrechner'!C$4&lt;$A32,'WVAG - Preisrechner'!C$5&gt;=$B27,'WVAG - Preisrechner'!C$5&lt;=$C27),TRUE,FALSE)</f>
        <v>0</v>
      </c>
      <c r="F27" t="b">
        <f>IF(AND('WVAG - Preisrechner'!D$4&gt;=$A27,'WVAG - Preisrechner'!D$4&lt;$A32,'WVAG - Preisrechner'!D$5&gt;=$B27,'WVAG - Preisrechner'!D$5&lt;=$C27),TRUE,FALSE)</f>
        <v>0</v>
      </c>
      <c r="G27" t="b">
        <f>IF(AND(
'WVAG - Preisrechner'!E$4&gt;=$A27,
'WVAG - Preisrechner'!E$4&lt;$A32,
'WVAG - Preisrechner'!E$5&gt;=$B27,
'WVAG - Preisrechner'!E$5&lt;=$C27),
TRUE,FALSE)</f>
        <v>0</v>
      </c>
      <c r="H27" s="19" t="b">
        <f>IF(AND(
'WVAG - Preisrechner'!F$4&gt;=$A27,
'WVAG - Preisrechner'!F$4&lt;$A32,
'WVAG - Preisrechner'!F$5&gt;=$B27,
'WVAG - Preisrechner'!F$5&lt;=$C27),
TRUE,FALSE)</f>
        <v>0</v>
      </c>
      <c r="I27" s="19" t="b">
        <f>IF(AND(
'WVAG - Preisrechner'!G$4&gt;=$A27,
'WVAG - Preisrechner'!G$4&lt;$A32,
'WVAG - Preisrechner'!G$5&gt;=$B27,
'WVAG - Preisrechner'!G$5&lt;=$C27),
TRUE,FALSE)</f>
        <v>0</v>
      </c>
      <c r="J27" s="256">
        <v>4488</v>
      </c>
    </row>
    <row r="28" spans="1:10" ht="14.25" customHeight="1">
      <c r="A28" s="579">
        <v>3500000</v>
      </c>
      <c r="B28" s="580">
        <v>0</v>
      </c>
      <c r="C28" s="580">
        <v>50000000</v>
      </c>
      <c r="D28" t="b">
        <f>IF(AND(
'WVAG - Preisrechner'!B$4&gt;=$A28,
'WVAG - Preisrechner'!B$4&lt;A33,
'WVAG - Preisrechner'!B$5&gt;$B28,
'WVAG - Preisrechner'!B$5&lt;=$C28),
TRUE,FALSE)</f>
        <v>0</v>
      </c>
      <c r="E28" t="b">
        <f>IF(AND('WVAG - Preisrechner'!C$4&gt;=$A28,'WVAG - Preisrechner'!C$4&lt;$A33,'WVAG - Preisrechner'!C$5&gt;=$B28,'WVAG - Preisrechner'!C$5&lt;=$C28),TRUE,FALSE)</f>
        <v>0</v>
      </c>
      <c r="F28" t="b">
        <f>IF(AND('WVAG - Preisrechner'!D$4&gt;=$A28,'WVAG - Preisrechner'!D$4&lt;$A33,'WVAG - Preisrechner'!D$5&gt;=$B28,'WVAG - Preisrechner'!D$5&lt;=$C28),TRUE,FALSE)</f>
        <v>0</v>
      </c>
      <c r="G28" t="b">
        <f>IF(AND(
'WVAG - Preisrechner'!E$4&gt;=$A28,
'WVAG - Preisrechner'!E$4&lt;$A33,
'WVAG - Preisrechner'!E$5&gt;=$B28,
'WVAG - Preisrechner'!E$5&lt;=$C28),
TRUE,FALSE)</f>
        <v>0</v>
      </c>
      <c r="H28" s="19" t="b">
        <f>IF(AND(
'WVAG - Preisrechner'!F$4&gt;=$A28,
'WVAG - Preisrechner'!F$4&lt;$A33,
'WVAG - Preisrechner'!F$5&gt;=$B28,
'WVAG - Preisrechner'!F$5&lt;=$C28),
TRUE,FALSE)</f>
        <v>0</v>
      </c>
      <c r="I28" s="19" t="b">
        <f>IF(AND(
'WVAG - Preisrechner'!G$4&gt;=$A28,
'WVAG - Preisrechner'!G$4&lt;$A33,
'WVAG - Preisrechner'!G$5&gt;=$B28,
'WVAG - Preisrechner'!G$5&lt;=$C28),
TRUE,FALSE)</f>
        <v>0</v>
      </c>
      <c r="J28" s="256">
        <v>4004</v>
      </c>
    </row>
    <row r="29" spans="1:10" ht="14.25" customHeight="1">
      <c r="A29" s="579">
        <v>3500000</v>
      </c>
      <c r="B29" s="579">
        <v>50000001</v>
      </c>
      <c r="C29" s="579">
        <v>100000000</v>
      </c>
      <c r="D29" t="b">
        <f>IF(AND(
'WVAG - Preisrechner'!B$4&gt;=$A29,
'WVAG - Preisrechner'!B$4&lt;A34,
'WVAG - Preisrechner'!B$5&gt;$B29,
'WVAG - Preisrechner'!B$5&lt;=$C29),
TRUE,FALSE)</f>
        <v>0</v>
      </c>
      <c r="E29" t="b">
        <f>IF(AND('WVAG - Preisrechner'!C$4&gt;=$A29,'WVAG - Preisrechner'!C$4&lt;$A34,'WVAG - Preisrechner'!C$5&gt;=$B29,'WVAG - Preisrechner'!C$5&lt;=$C29),TRUE,FALSE)</f>
        <v>0</v>
      </c>
      <c r="F29" t="b">
        <f>IF(AND('WVAG - Preisrechner'!D$4&gt;=$A29,'WVAG - Preisrechner'!D$4&lt;$A34,'WVAG - Preisrechner'!D$5&gt;=$B29,'WVAG - Preisrechner'!D$5&lt;=$C29),TRUE,FALSE)</f>
        <v>0</v>
      </c>
      <c r="G29" t="b">
        <f>IF(AND(
'WVAG - Preisrechner'!E$4&gt;=$A29,
'WVAG - Preisrechner'!E$4&lt;$A34,
'WVAG - Preisrechner'!E$5&gt;=$B29,
'WVAG - Preisrechner'!E$5&lt;=$C29),
TRUE,FALSE)</f>
        <v>0</v>
      </c>
      <c r="H29" s="19" t="b">
        <f>IF(AND(
'WVAG - Preisrechner'!F$4&gt;=$A29,
'WVAG - Preisrechner'!F$4&lt;$A34,
'WVAG - Preisrechner'!F$5&gt;=$B29,
'WVAG - Preisrechner'!F$5&lt;=$C29),
TRUE,FALSE)</f>
        <v>0</v>
      </c>
      <c r="I29" s="19" t="b">
        <f>IF(AND(
'WVAG - Preisrechner'!G$4&gt;=$A29,
'WVAG - Preisrechner'!G$4&lt;$A34,
'WVAG - Preisrechner'!G$5&gt;=$B29,
'WVAG - Preisrechner'!G$5&lt;=$C29),
TRUE,FALSE)</f>
        <v>0</v>
      </c>
      <c r="J29" s="256">
        <v>4312</v>
      </c>
    </row>
    <row r="30" spans="1:10" ht="14.25" customHeight="1">
      <c r="A30" s="579">
        <v>3500000</v>
      </c>
      <c r="B30" s="579">
        <v>100000001</v>
      </c>
      <c r="C30" s="579">
        <v>150000000</v>
      </c>
      <c r="D30" t="b">
        <f>IF(AND(
'WVAG - Preisrechner'!B$4&gt;=$A30,
'WVAG - Preisrechner'!B$4&lt;A35,
'WVAG - Preisrechner'!B$5&gt;$B30,
'WVAG - Preisrechner'!B$5&lt;=$C30),
TRUE,FALSE)</f>
        <v>0</v>
      </c>
      <c r="E30" t="b">
        <f>IF(AND('WVAG - Preisrechner'!C$4&gt;=$A30,'WVAG - Preisrechner'!C$4&lt;$A35,'WVAG - Preisrechner'!C$5&gt;=$B30,'WVAG - Preisrechner'!C$5&lt;=$C30),TRUE,FALSE)</f>
        <v>0</v>
      </c>
      <c r="F30" t="b">
        <f>IF(AND('WVAG - Preisrechner'!D$4&gt;=$A30,'WVAG - Preisrechner'!D$4&lt;$A35,'WVAG - Preisrechner'!D$5&gt;=$B30,'WVAG - Preisrechner'!D$5&lt;=$C30),TRUE,FALSE)</f>
        <v>0</v>
      </c>
      <c r="G30" t="b">
        <f>IF(AND(
'WVAG - Preisrechner'!E$4&gt;=$A30,
'WVAG - Preisrechner'!E$4&lt;$A35,
'WVAG - Preisrechner'!E$5&gt;=$B30,
'WVAG - Preisrechner'!E$5&lt;=$C30),
TRUE,FALSE)</f>
        <v>0</v>
      </c>
      <c r="H30" s="19" t="b">
        <f>IF(AND(
'WVAG - Preisrechner'!F$4&gt;=$A30,
'WVAG - Preisrechner'!F$4&lt;$A35,
'WVAG - Preisrechner'!F$5&gt;=$B30,
'WVAG - Preisrechner'!F$5&lt;=$C30),
TRUE,FALSE)</f>
        <v>0</v>
      </c>
      <c r="I30" s="19" t="b">
        <f>IF(AND(
'WVAG - Preisrechner'!G$4&gt;=$A30,
'WVAG - Preisrechner'!G$4&lt;$A35,
'WVAG - Preisrechner'!G$5&gt;=$B30,
'WVAG - Preisrechner'!G$5&lt;=$C30),
TRUE,FALSE)</f>
        <v>0</v>
      </c>
      <c r="J30" s="256">
        <v>4620</v>
      </c>
    </row>
    <row r="31" spans="1:10" ht="14.25" customHeight="1">
      <c r="A31" s="579">
        <v>3500000</v>
      </c>
      <c r="B31" s="579">
        <v>150000001</v>
      </c>
      <c r="C31" s="579">
        <v>200000000</v>
      </c>
      <c r="D31" t="b">
        <f>IF(AND(
'WVAG - Preisrechner'!B$4&gt;=$A31,
'WVAG - Preisrechner'!B$4&lt;A36,
'WVAG - Preisrechner'!B$5&gt;$B31,
'WVAG - Preisrechner'!B$5&lt;=$C31),
TRUE,FALSE)</f>
        <v>0</v>
      </c>
      <c r="E31" t="b">
        <f>IF(AND('WVAG - Preisrechner'!C$4&gt;=$A31,'WVAG - Preisrechner'!C$4&lt;$A36,'WVAG - Preisrechner'!C$5&gt;=$B31,'WVAG - Preisrechner'!C$5&lt;=$C31),TRUE,FALSE)</f>
        <v>0</v>
      </c>
      <c r="F31" t="b">
        <f>IF(AND('WVAG - Preisrechner'!D$4&gt;=$A31,'WVAG - Preisrechner'!D$4&lt;$A36,'WVAG - Preisrechner'!D$5&gt;=$B31,'WVAG - Preisrechner'!D$5&lt;=$C31),TRUE,FALSE)</f>
        <v>0</v>
      </c>
      <c r="G31" t="b">
        <f>IF(AND(
'WVAG - Preisrechner'!E$4&gt;=$A31,
'WVAG - Preisrechner'!E$4&lt;$A36,
'WVAG - Preisrechner'!E$5&gt;=$B31,
'WVAG - Preisrechner'!E$5&lt;=$C31),
TRUE,FALSE)</f>
        <v>0</v>
      </c>
      <c r="H31" s="19" t="b">
        <f>IF(AND(
'WVAG - Preisrechner'!F$4&gt;=$A31,
'WVAG - Preisrechner'!F$4&lt;$A36,
'WVAG - Preisrechner'!F$5&gt;=$B31,
'WVAG - Preisrechner'!F$5&lt;=$C31),
TRUE,FALSE)</f>
        <v>0</v>
      </c>
      <c r="I31" s="19" t="b">
        <f>IF(AND(
'WVAG - Preisrechner'!G$4&gt;=$A31,
'WVAG - Preisrechner'!G$4&lt;$A36,
'WVAG - Preisrechner'!G$5&gt;=$B31,
'WVAG - Preisrechner'!G$5&lt;=$C31),
TRUE,FALSE)</f>
        <v>0</v>
      </c>
      <c r="J31" s="256">
        <v>4928</v>
      </c>
    </row>
    <row r="32" spans="1:10" ht="14.25" customHeight="1">
      <c r="A32" s="579">
        <v>3500000</v>
      </c>
      <c r="B32" s="579">
        <v>200000001</v>
      </c>
      <c r="C32" s="579">
        <v>250000000</v>
      </c>
      <c r="D32" t="b">
        <f>IF(AND(
'WVAG - Preisrechner'!B$4&gt;=$A32,
'WVAG - Preisrechner'!B$4&lt;A37,
'WVAG - Preisrechner'!B$5&gt;$B32,
'WVAG - Preisrechner'!B$5&lt;=$C32),
TRUE,FALSE)</f>
        <v>0</v>
      </c>
      <c r="E32" t="b">
        <f>IF(AND('WVAG - Preisrechner'!C$4&gt;=$A32,'WVAG - Preisrechner'!C$4&lt;$A37,'WVAG - Preisrechner'!C$5&gt;=$B32,'WVAG - Preisrechner'!C$5&lt;=$C32),TRUE,FALSE)</f>
        <v>0</v>
      </c>
      <c r="F32" t="b">
        <f>IF(AND('WVAG - Preisrechner'!D$4&gt;=$A32,'WVAG - Preisrechner'!D$4&lt;$A37,'WVAG - Preisrechner'!D$5&gt;=$B32,'WVAG - Preisrechner'!D$5&lt;=$C32),TRUE,FALSE)</f>
        <v>0</v>
      </c>
      <c r="G32" t="b">
        <f>IF(AND(
'WVAG - Preisrechner'!E$4&gt;=$A32,
'WVAG - Preisrechner'!E$4&lt;$A37,
'WVAG - Preisrechner'!E$5&gt;=$B32,
'WVAG - Preisrechner'!E$5&lt;=$C32),
TRUE,FALSE)</f>
        <v>0</v>
      </c>
      <c r="H32" s="19" t="b">
        <f>IF(AND(
'WVAG - Preisrechner'!F$4&gt;=$A32,
'WVAG - Preisrechner'!F$4&lt;$A37,
'WVAG - Preisrechner'!F$5&gt;=$B32,
'WVAG - Preisrechner'!F$5&lt;=$C32),
TRUE,FALSE)</f>
        <v>0</v>
      </c>
      <c r="I32" s="19" t="b">
        <f>IF(AND(
'WVAG - Preisrechner'!G$4&gt;=$A32,
'WVAG - Preisrechner'!G$4&lt;$A37,
'WVAG - Preisrechner'!G$5&gt;=$B32,
'WVAG - Preisrechner'!G$5&lt;=$C32),
TRUE,FALSE)</f>
        <v>0</v>
      </c>
      <c r="J32" s="256">
        <v>5236</v>
      </c>
    </row>
    <row r="33" spans="1:10" ht="14.25" customHeight="1">
      <c r="A33" s="579">
        <v>4000000</v>
      </c>
      <c r="B33" s="579">
        <v>0</v>
      </c>
      <c r="C33" s="579">
        <v>50000000</v>
      </c>
      <c r="D33" t="b">
        <f>IF(AND(
'WVAG - Preisrechner'!B$4&gt;=$A33,
'WVAG - Preisrechner'!B$4&lt;$A38,
'WVAG - Preisrechner'!B$5&gt;=$B33,
'WVAG - Preisrechner'!B$5&lt;=$C33),
TRUE,FALSE)</f>
        <v>0</v>
      </c>
      <c r="E33" t="b">
        <f>IF(AND('WVAG - Preisrechner'!C$4&gt;=$A33,'WVAG - Preisrechner'!C$4&lt;$A38,'WVAG - Preisrechner'!C$5&gt;=$B33,'WVAG - Preisrechner'!C$5&lt;=$C33),TRUE,FALSE)</f>
        <v>0</v>
      </c>
      <c r="F33" t="b">
        <f>IF(AND('WVAG - Preisrechner'!D$4&gt;=$A33,'WVAG - Preisrechner'!D$4&lt;$A38,'WVAG - Preisrechner'!D$5&gt;=$B33,'WVAG - Preisrechner'!D$5&lt;=$C33),TRUE,FALSE)</f>
        <v>0</v>
      </c>
      <c r="G33" t="b">
        <f>IF(AND(
'WVAG - Preisrechner'!E$4&gt;=$A33,
'WVAG - Preisrechner'!E$4&lt;$A38,
'WVAG - Preisrechner'!E$5&gt;=$B33,
'WVAG - Preisrechner'!E$5&lt;=$C33),
TRUE,FALSE)</f>
        <v>0</v>
      </c>
      <c r="H33" s="19" t="b">
        <f>IF(AND(
'WVAG - Preisrechner'!F$4&gt;=$A33,
'WVAG - Preisrechner'!F$4&lt;$A38,
'WVAG - Preisrechner'!F$5&gt;=$B33,
'WVAG - Preisrechner'!F$5&lt;=$C33),
TRUE,FALSE)</f>
        <v>0</v>
      </c>
      <c r="I33" s="19" t="b">
        <f>IF(AND(
'WVAG - Preisrechner'!G$4&gt;=$A33,
'WVAG - Preisrechner'!G$4&lt;$A38,
'WVAG - Preisrechner'!G$5&gt;=$B33,
'WVAG - Preisrechner'!G$5&lt;=$C33),
TRUE,FALSE)</f>
        <v>0</v>
      </c>
      <c r="J33" s="256">
        <v>4472</v>
      </c>
    </row>
    <row r="34" spans="1:10" ht="14.25" customHeight="1">
      <c r="A34" s="579">
        <v>4000000</v>
      </c>
      <c r="B34" s="579">
        <v>50000001</v>
      </c>
      <c r="C34" s="579">
        <v>100000000</v>
      </c>
      <c r="D34" t="b">
        <f>IF(AND(
'WVAG - Preisrechner'!B$4&gt;=$A34,
'WVAG - Preisrechner'!B$4&lt;$A39,
'WVAG - Preisrechner'!B$5&gt;$B34,
'WVAG - Preisrechner'!B$5&lt;=$C34),
TRUE,FALSE)</f>
        <v>0</v>
      </c>
      <c r="E34" t="b">
        <f>IF(AND('WVAG - Preisrechner'!C$4&gt;=$A34,'WVAG - Preisrechner'!C$4&lt;$A39,'WVAG - Preisrechner'!C$5&gt;=$B34,'WVAG - Preisrechner'!C$5&lt;=$C34),TRUE,FALSE)</f>
        <v>0</v>
      </c>
      <c r="F34" t="b">
        <f>IF(AND('WVAG - Preisrechner'!D$4&gt;=$A34,'WVAG - Preisrechner'!D$4&lt;$A39,'WVAG - Preisrechner'!D$5&gt;=$B34,'WVAG - Preisrechner'!D$5&lt;=$C34),TRUE,FALSE)</f>
        <v>0</v>
      </c>
      <c r="G34" t="b">
        <f>IF(AND(
'WVAG - Preisrechner'!E$4&gt;=$A34,
'WVAG - Preisrechner'!E$4&lt;$A39,
'WVAG - Preisrechner'!E$5&gt;=$B34,
'WVAG - Preisrechner'!E$5&lt;=$C34),
TRUE,FALSE)</f>
        <v>0</v>
      </c>
      <c r="H34" s="19" t="b">
        <f>IF(AND(
'WVAG - Preisrechner'!F$4&gt;=$A34,
'WVAG - Preisrechner'!F$4&lt;$A39,
'WVAG - Preisrechner'!F$5&gt;=$B34,
'WVAG - Preisrechner'!F$5&lt;=$C34),
TRUE,FALSE)</f>
        <v>0</v>
      </c>
      <c r="I34" s="19" t="b">
        <f>IF(AND(
'WVAG - Preisrechner'!G$4&gt;=$A34,
'WVAG - Preisrechner'!G$4&lt;$A39,
'WVAG - Preisrechner'!G$5&gt;=$B34,
'WVAG - Preisrechner'!G$5&lt;=$C34),
TRUE,FALSE)</f>
        <v>0</v>
      </c>
      <c r="J34" s="256">
        <v>4816</v>
      </c>
    </row>
    <row r="35" spans="1:10" ht="14.25" customHeight="1">
      <c r="A35" s="579">
        <v>4000000</v>
      </c>
      <c r="B35" s="579">
        <v>100000001</v>
      </c>
      <c r="C35" s="579">
        <v>150000000</v>
      </c>
      <c r="D35" t="b">
        <f>IF(AND(
'WVAG - Preisrechner'!B$4&gt;=$A35,
'WVAG - Preisrechner'!B$4&lt;$A40,
'WVAG - Preisrechner'!B$5&gt;$B35,
'WVAG - Preisrechner'!B$5&lt;=$C35),
TRUE,FALSE)</f>
        <v>0</v>
      </c>
      <c r="E35" t="b">
        <f>IF(AND('WVAG - Preisrechner'!C$4&gt;=$A35,'WVAG - Preisrechner'!C$4&lt;$A40,'WVAG - Preisrechner'!C$5&gt;=$B35,'WVAG - Preisrechner'!C$5&lt;=$C35),TRUE,FALSE)</f>
        <v>0</v>
      </c>
      <c r="F35" t="b">
        <f>IF(AND('WVAG - Preisrechner'!D$4&gt;=$A35,'WVAG - Preisrechner'!D$4&lt;$A40,'WVAG - Preisrechner'!D$5&gt;=$B35,'WVAG - Preisrechner'!D$5&lt;=$C35),TRUE,FALSE)</f>
        <v>0</v>
      </c>
      <c r="G35" t="b">
        <f>IF(AND(
'WVAG - Preisrechner'!E$4&gt;=$A35,
'WVAG - Preisrechner'!E$4&lt;$A40,
'WVAG - Preisrechner'!E$5&gt;=$B35,
'WVAG - Preisrechner'!E$5&lt;=$C35),
TRUE,FALSE)</f>
        <v>0</v>
      </c>
      <c r="H35" s="19" t="b">
        <f>IF(AND(
'WVAG - Preisrechner'!F$4&gt;=$A35,
'WVAG - Preisrechner'!F$4&lt;$A40,
'WVAG - Preisrechner'!F$5&gt;=$B35,
'WVAG - Preisrechner'!F$5&lt;=$C35),
TRUE,FALSE)</f>
        <v>0</v>
      </c>
      <c r="I35" s="19" t="b">
        <f>IF(AND(
'WVAG - Preisrechner'!G$4&gt;=$A35,
'WVAG - Preisrechner'!G$4&lt;$A40,
'WVAG - Preisrechner'!G$5&gt;=$B35,
'WVAG - Preisrechner'!G$5&lt;=$C35),
TRUE,FALSE)</f>
        <v>0</v>
      </c>
      <c r="J35" s="256">
        <v>5160</v>
      </c>
    </row>
    <row r="36" spans="1:10" ht="14.25" customHeight="1">
      <c r="A36" s="579">
        <v>4000000</v>
      </c>
      <c r="B36" s="579">
        <v>150000001</v>
      </c>
      <c r="C36" s="579">
        <v>200000000</v>
      </c>
      <c r="D36" t="b">
        <f>IF(AND(
'WVAG - Preisrechner'!B$4&gt;=$A36,
'WVAG - Preisrechner'!B$4&lt;$A43,
'WVAG - Preisrechner'!B$5&gt;$B36,
'WVAG - Preisrechner'!B$5&lt;=$C36),
TRUE,FALSE)</f>
        <v>0</v>
      </c>
      <c r="E36" t="b">
        <f>IF(AND('WVAG - Preisrechner'!C$4&gt;=$A36,'WVAG - Preisrechner'!C$4&lt;$A41,'WVAG - Preisrechner'!C$5&gt;=$B36,'WVAG - Preisrechner'!C$5&lt;=$C36),TRUE,FALSE)</f>
        <v>0</v>
      </c>
      <c r="F36" t="b">
        <f>IF(AND('WVAG - Preisrechner'!D$4&gt;=$A36,'WVAG - Preisrechner'!D$4&lt;$A41,'WVAG - Preisrechner'!D$5&gt;=$B36,'WVAG - Preisrechner'!D$5&lt;=$C36),TRUE,FALSE)</f>
        <v>0</v>
      </c>
      <c r="G36" t="b">
        <f>IF(AND(
'WVAG - Preisrechner'!E$4&gt;=$A36,
'WVAG - Preisrechner'!E$4&lt;$A41,
'WVAG - Preisrechner'!E$5&gt;=$B36,
'WVAG - Preisrechner'!E$5&lt;=$C36),
TRUE,FALSE)</f>
        <v>0</v>
      </c>
      <c r="H36" s="19" t="b">
        <f>IF(AND(
'WVAG - Preisrechner'!F$4&gt;=$A36,
'WVAG - Preisrechner'!F$4&lt;$A41,
'WVAG - Preisrechner'!F$5&gt;=$B36,
'WVAG - Preisrechner'!F$5&lt;=$C36),
TRUE,FALSE)</f>
        <v>0</v>
      </c>
      <c r="I36" s="19" t="b">
        <f>IF(AND(
'WVAG - Preisrechner'!G$4&gt;=$A36,
'WVAG - Preisrechner'!G$4&lt;$A41,
'WVAG - Preisrechner'!G$5&gt;=$B36,
'WVAG - Preisrechner'!G$5&lt;=$C36),
TRUE,FALSE)</f>
        <v>0</v>
      </c>
      <c r="J36" s="581">
        <v>5504</v>
      </c>
    </row>
    <row r="37" spans="1:10" ht="14.25" customHeight="1">
      <c r="A37" s="579">
        <v>4000000</v>
      </c>
      <c r="B37" s="579">
        <v>200000001</v>
      </c>
      <c r="C37" s="579">
        <v>250000000</v>
      </c>
      <c r="D37" t="b">
        <f>IF(AND(
'WVAG - Preisrechner'!B$4&gt;=$A37,
'WVAG - Preisrechner'!B$4&lt;$A44,
'WVAG - Preisrechner'!B$5&gt;$B37,
'WVAG - Preisrechner'!B$5&lt;=$C37),
TRUE,FALSE)</f>
        <v>0</v>
      </c>
      <c r="E37" t="b">
        <f>IF(AND('WVAG - Preisrechner'!C$4&gt;=$A37,'WVAG - Preisrechner'!C$4&lt;$A42,'WVAG - Preisrechner'!C$5&gt;=$B37,'WVAG - Preisrechner'!C$5&lt;=$C37),TRUE,FALSE)</f>
        <v>0</v>
      </c>
      <c r="F37" t="b">
        <f>IF(AND('WVAG - Preisrechner'!D$4&gt;=$A37,'WVAG - Preisrechner'!D$4&lt;$A42,'WVAG - Preisrechner'!D$5&gt;=$B37,'WVAG - Preisrechner'!D$5&lt;=$C37),TRUE,FALSE)</f>
        <v>0</v>
      </c>
      <c r="G37" t="b">
        <f>IF(AND(
'WVAG - Preisrechner'!E$4&gt;=$A37,
'WVAG - Preisrechner'!E$4&lt;$A42,
'WVAG - Preisrechner'!E$5&gt;=$B37,
'WVAG - Preisrechner'!E$5&lt;=$C37),
TRUE,FALSE)</f>
        <v>0</v>
      </c>
      <c r="H37" s="19" t="b">
        <f>IF(AND(
'WVAG - Preisrechner'!F$4&gt;=$A37,
'WVAG - Preisrechner'!F$4&lt;$A42,
'WVAG - Preisrechner'!F$5&gt;=$B37,
'WVAG - Preisrechner'!F$5&lt;=$C37),
TRUE,FALSE)</f>
        <v>0</v>
      </c>
      <c r="I37" s="19" t="b">
        <f>IF(AND(
'WVAG - Preisrechner'!G$4&gt;=$A37,
'WVAG - Preisrechner'!G$4&lt;$A42,
'WVAG - Preisrechner'!G$5&gt;=$B37,
'WVAG - Preisrechner'!G$5&lt;=$C37),
TRUE,FALSE)</f>
        <v>0</v>
      </c>
      <c r="J37" s="581">
        <v>5848</v>
      </c>
    </row>
    <row r="38" spans="1:10" ht="14.25" customHeight="1">
      <c r="A38" s="580">
        <v>5000000</v>
      </c>
      <c r="B38" s="580">
        <v>0</v>
      </c>
      <c r="C38" s="580">
        <v>50000000</v>
      </c>
      <c r="D38" t="b">
        <f>IF(AND(
'WVAG - Preisrechner'!B$4&gt;=$A38,
'WVAG - Preisrechner'!B$4&lt;$A43,
'WVAG - Preisrechner'!B$5&gt;=$B38,
'WVAG - Preisrechner'!B$5&lt;=$C38),
TRUE,FALSE)</f>
        <v>0</v>
      </c>
      <c r="E38" t="b">
        <f>IF(AND('WVAG - Preisrechner'!C$4&gt;=$A38,'WVAG - Preisrechner'!C$4&lt;$A43,'WVAG - Preisrechner'!C$5&gt;=$B38,'WVAG - Preisrechner'!C$5&lt;=$C38),TRUE,FALSE)</f>
        <v>0</v>
      </c>
      <c r="F38" t="b">
        <f>IF(AND('WVAG - Preisrechner'!D$4&gt;=$A38,'WVAG - Preisrechner'!D$4&lt;$A43,'WVAG - Preisrechner'!D$5&gt;=$B38,'WVAG - Preisrechner'!D$5&lt;=$C38),TRUE,FALSE)</f>
        <v>0</v>
      </c>
      <c r="G38" t="b">
        <f>IF(AND(
'WVAG - Preisrechner'!E$4&gt;=$A38,
'WVAG - Preisrechner'!E$4&lt;$A43,
'WVAG - Preisrechner'!E$5&gt;=$B38,
'WVAG - Preisrechner'!E$5&lt;=$C38),
TRUE,FALSE)</f>
        <v>0</v>
      </c>
      <c r="H38" s="19" t="b">
        <f>IF(AND(
'WVAG - Preisrechner'!F$4&gt;=$A38,
'WVAG - Preisrechner'!F$4&lt;$A43,
'WVAG - Preisrechner'!F$5&gt;=$B38,
'WVAG - Preisrechner'!F$5&lt;=$C38),
TRUE,FALSE)</f>
        <v>0</v>
      </c>
      <c r="I38" s="19" t="b">
        <f>IF(AND(
'WVAG - Preisrechner'!G$4&gt;=$A38,
'WVAG - Preisrechner'!G$4&lt;$A43,
'WVAG - Preisrechner'!G$5&gt;=$B38,
'WVAG - Preisrechner'!G$5&lt;=$C38),
TRUE,FALSE)</f>
        <v>0</v>
      </c>
      <c r="J38" s="581">
        <v>5590</v>
      </c>
    </row>
    <row r="39" spans="1:10" ht="14.25" customHeight="1">
      <c r="A39" s="579">
        <v>5000000</v>
      </c>
      <c r="B39" s="579">
        <v>50000001</v>
      </c>
      <c r="C39" s="579">
        <v>100000000</v>
      </c>
      <c r="D39" t="b">
        <f>IF(AND(
'WVAG - Preisrechner'!B$4&gt;=$A39,
'WVAG - Preisrechner'!B$4&lt;$A44,
'WVAG - Preisrechner'!B$5&gt;$B39,
'WVAG - Preisrechner'!B$5&lt;=$C39),
TRUE,FALSE)</f>
        <v>0</v>
      </c>
      <c r="E39" t="b">
        <f>IF(AND('WVAG - Preisrechner'!C$4&gt;=$A39,'WVAG - Preisrechner'!C$4&lt;$A44,'WVAG - Preisrechner'!C$5&gt;=$B39,'WVAG - Preisrechner'!C$5&lt;=$C39),TRUE,FALSE)</f>
        <v>0</v>
      </c>
      <c r="F39" t="b">
        <f>IF(AND('WVAG - Preisrechner'!D$4&gt;=$A39,'WVAG - Preisrechner'!D$4&lt;$A44,'WVAG - Preisrechner'!D$5&gt;=$B39,'WVAG - Preisrechner'!D$5&lt;=$C39),TRUE,FALSE)</f>
        <v>0</v>
      </c>
      <c r="G39" t="b">
        <f>IF(AND(
'WVAG - Preisrechner'!E$4&gt;=$A39,
'WVAG - Preisrechner'!E$4&lt;$A44,
'WVAG - Preisrechner'!E$5&gt;=$B39,
'WVAG - Preisrechner'!E$5&lt;=$C39),
TRUE,FALSE)</f>
        <v>0</v>
      </c>
      <c r="H39" s="19" t="b">
        <f>IF(AND(
'WVAG - Preisrechner'!F$4&gt;=$A39,
'WVAG - Preisrechner'!F$4&lt;$A44,
'WVAG - Preisrechner'!F$5&gt;=$B39,
'WVAG - Preisrechner'!F$5&lt;=$C39),
TRUE,FALSE)</f>
        <v>0</v>
      </c>
      <c r="I39" s="19" t="b">
        <f>IF(AND(
'WVAG - Preisrechner'!G$4&gt;=$A39,
'WVAG - Preisrechner'!G$4&lt;$A44,
'WVAG - Preisrechner'!G$5&gt;=$B39,
'WVAG - Preisrechner'!G$5&lt;=$C39),
TRUE,FALSE)</f>
        <v>0</v>
      </c>
      <c r="J39" s="256">
        <v>6020</v>
      </c>
    </row>
    <row r="40" spans="1:10" ht="14.25" customHeight="1">
      <c r="A40" s="579">
        <v>5000000</v>
      </c>
      <c r="B40" s="579">
        <v>100000001</v>
      </c>
      <c r="C40" s="579">
        <v>150000000</v>
      </c>
      <c r="D40" t="b">
        <f>IF(AND(
'WVAG - Preisrechner'!B$4&gt;=$A40,
'WVAG - Preisrechner'!B$4&lt;$A45,
'WVAG - Preisrechner'!B$5&gt;$B40,
'WVAG - Preisrechner'!B$5&lt;=$C40),
TRUE,FALSE)</f>
        <v>0</v>
      </c>
      <c r="E40" t="b">
        <f>IF(AND('WVAG - Preisrechner'!C$4&gt;=$A40,'WVAG - Preisrechner'!C$4&lt;$A45,'WVAG - Preisrechner'!C$5&gt;=$B40,'WVAG - Preisrechner'!C$5&lt;=$C40),TRUE,FALSE)</f>
        <v>0</v>
      </c>
      <c r="F40" t="b">
        <f>IF(AND('WVAG - Preisrechner'!D$4&gt;=$A40,'WVAG - Preisrechner'!D$4&lt;$A45,'WVAG - Preisrechner'!D$5&gt;=$B40,'WVAG - Preisrechner'!D$5&lt;=$C40),TRUE,FALSE)</f>
        <v>0</v>
      </c>
      <c r="G40" t="b">
        <f>IF(AND(
'WVAG - Preisrechner'!E$4&gt;=$A40,
'WVAG - Preisrechner'!E$4&lt;$A45,
'WVAG - Preisrechner'!E$5&gt;=$B40,
'WVAG - Preisrechner'!E$5&lt;=$C40),
TRUE,FALSE)</f>
        <v>0</v>
      </c>
      <c r="H40" s="19" t="b">
        <f>IF(AND(
'WVAG - Preisrechner'!F$4&gt;=$A40,
'WVAG - Preisrechner'!F$4&lt;$A45,
'WVAG - Preisrechner'!F$5&gt;=$B40,
'WVAG - Preisrechner'!F$5&lt;=$C40),
TRUE,FALSE)</f>
        <v>0</v>
      </c>
      <c r="I40" s="19" t="b">
        <f>IF(AND(
'WVAG - Preisrechner'!G$4&gt;=$A40,
'WVAG - Preisrechner'!G$4&lt;$A45,
'WVAG - Preisrechner'!G$5&gt;=$B40,
'WVAG - Preisrechner'!G$5&lt;=$C40),
TRUE,FALSE)</f>
        <v>0</v>
      </c>
      <c r="J40" s="256">
        <v>6450</v>
      </c>
    </row>
    <row r="41" spans="1:10" ht="14.25" customHeight="1">
      <c r="A41" s="579">
        <v>5000000</v>
      </c>
      <c r="B41" s="579">
        <v>150000001</v>
      </c>
      <c r="C41" s="579">
        <v>200000000</v>
      </c>
      <c r="D41" t="b">
        <f>IF(AND(
'WVAG - Preisrechner'!B$4&gt;=$A41,
'WVAG - Preisrechner'!B$4&lt;$A48,
'WVAG - Preisrechner'!B$5&gt;$B41,
'WVAG - Preisrechner'!B$5&lt;=$C41),
TRUE,FALSE)</f>
        <v>0</v>
      </c>
      <c r="E41" t="b">
        <f>IF(AND('WVAG - Preisrechner'!C$4&gt;=$A41,'WVAG - Preisrechner'!C$4&lt;$A46,'WVAG - Preisrechner'!C$5&gt;=$B41,'WVAG - Preisrechner'!C$5&lt;=$C41),TRUE,FALSE)</f>
        <v>0</v>
      </c>
      <c r="F41" t="b">
        <f>IF(AND('WVAG - Preisrechner'!D$4&gt;=$A41,'WVAG - Preisrechner'!D$4&lt;$A46,'WVAG - Preisrechner'!D$5&gt;=$B41,'WVAG - Preisrechner'!D$5&lt;=$C41),TRUE,FALSE)</f>
        <v>0</v>
      </c>
      <c r="G41" t="b">
        <f>IF(AND(
'WVAG - Preisrechner'!E$4&gt;=$A41,
'WVAG - Preisrechner'!E$4&lt;$A46,
'WVAG - Preisrechner'!E$5&gt;=$B41,
'WVAG - Preisrechner'!E$5&lt;=$C41),
TRUE,FALSE)</f>
        <v>0</v>
      </c>
      <c r="H41" s="19" t="b">
        <f>IF(AND(
'WVAG - Preisrechner'!F$4&gt;=$A41,
'WVAG - Preisrechner'!F$4&lt;$A46,
'WVAG - Preisrechner'!F$5&gt;=$B41,
'WVAG - Preisrechner'!F$5&lt;=$C41),
TRUE,FALSE)</f>
        <v>0</v>
      </c>
      <c r="I41" s="19" t="b">
        <f>IF(AND(
'WVAG - Preisrechner'!G$4&gt;=$A41,
'WVAG - Preisrechner'!G$4&lt;$A46,
'WVAG - Preisrechner'!G$5&gt;=$B41,
'WVAG - Preisrechner'!G$5&lt;=$C41),
TRUE,FALSE)</f>
        <v>0</v>
      </c>
      <c r="J41" s="581">
        <v>6880</v>
      </c>
    </row>
    <row r="42" spans="1:10" ht="14.25" customHeight="1">
      <c r="A42" s="579">
        <v>5000000</v>
      </c>
      <c r="B42" s="579">
        <v>200000001</v>
      </c>
      <c r="C42" s="579">
        <v>250000000</v>
      </c>
      <c r="D42" t="b">
        <f>IF(AND(
'WVAG - Preisrechner'!B$4&gt;=$A42,
'WVAG - Preisrechner'!B$4&lt;$A49,
'WVAG - Preisrechner'!B$5&gt;$B42,
'WVAG - Preisrechner'!B$5&lt;=$C42),
TRUE,FALSE)</f>
        <v>0</v>
      </c>
      <c r="E42" t="b">
        <f>IF(AND('WVAG - Preisrechner'!C$4&gt;=$A42,'WVAG - Preisrechner'!C$4&lt;$A47,'WVAG - Preisrechner'!C$5&gt;=$B42,'WVAG - Preisrechner'!C$5&lt;=$C42),TRUE,FALSE)</f>
        <v>0</v>
      </c>
      <c r="F42" t="b">
        <f>IF(AND('WVAG - Preisrechner'!D$4&gt;=$A42,'WVAG - Preisrechner'!D$4&lt;$A47,'WVAG - Preisrechner'!D$5&gt;=$B42,'WVAG - Preisrechner'!D$5&lt;=$C42),TRUE,FALSE)</f>
        <v>0</v>
      </c>
      <c r="G42" t="b">
        <f>IF(AND(
'WVAG - Preisrechner'!E$4&gt;=$A42,
'WVAG - Preisrechner'!E$4&lt;$A47,
'WVAG - Preisrechner'!E$5&gt;=$B42,
'WVAG - Preisrechner'!E$5&lt;=$C42),
TRUE,FALSE)</f>
        <v>0</v>
      </c>
      <c r="H42" s="19" t="b">
        <f>IF(AND(
'WVAG - Preisrechner'!F$4&gt;=$A42,
'WVAG - Preisrechner'!F$4&lt;$A47,
'WVAG - Preisrechner'!F$5&gt;=$B42,
'WVAG - Preisrechner'!F$5&lt;=$C42),
TRUE,FALSE)</f>
        <v>0</v>
      </c>
      <c r="I42" s="19" t="b">
        <f>IF(AND(
'WVAG - Preisrechner'!G$4&gt;=$A42,
'WVAG - Preisrechner'!G$4&lt;$A47,
'WVAG - Preisrechner'!G$5&gt;=$B42,
'WVAG - Preisrechner'!G$5&lt;=$C42),
TRUE,FALSE)</f>
        <v>0</v>
      </c>
      <c r="J42" s="581">
        <v>7310</v>
      </c>
    </row>
    <row r="43" spans="1:10" ht="14.25" customHeight="1">
      <c r="A43" s="580">
        <v>7500000</v>
      </c>
      <c r="B43" s="580">
        <v>0</v>
      </c>
      <c r="C43" s="580">
        <v>50000000</v>
      </c>
      <c r="D43" t="b">
        <f>IF(AND(
'WVAG - Preisrechner'!B$4&gt;=$A43,
'WVAG - Preisrechner'!B$4&lt;$A48,
'WVAG - Preisrechner'!B$5&gt;=$B43,
'WVAG - Preisrechner'!B$5&lt;=$C43),
TRUE,FALSE)</f>
        <v>0</v>
      </c>
      <c r="E43" t="b">
        <f>IF(AND('WVAG - Preisrechner'!C$4&gt;=$A43,'WVAG - Preisrechner'!C$4&lt;$A48,'WVAG - Preisrechner'!C$5&gt;=$B43,'WVAG - Preisrechner'!C$5&lt;=$C43),TRUE,FALSE)</f>
        <v>0</v>
      </c>
      <c r="F43" t="b">
        <f>IF(AND('WVAG - Preisrechner'!D$4&gt;=$A43,'WVAG - Preisrechner'!D$4&lt;$A48,'WVAG - Preisrechner'!D$5&gt;=$B43,'WVAG - Preisrechner'!D$5&lt;=$C43),TRUE,FALSE)</f>
        <v>0</v>
      </c>
      <c r="G43" t="b">
        <f>IF(AND(
'WVAG - Preisrechner'!E$4&gt;=$A43,
'WVAG - Preisrechner'!E$4&lt;$A48,
'WVAG - Preisrechner'!E$5&gt;=$B43,
'WVAG - Preisrechner'!E$5&lt;=$C43),
TRUE,FALSE)</f>
        <v>0</v>
      </c>
      <c r="H43" s="19" t="b">
        <f>IF(AND(
'WVAG - Preisrechner'!F$4&gt;=$A43,
'WVAG - Preisrechner'!F$4&lt;$A48,
'WVAG - Preisrechner'!F$5&gt;=$B43,
'WVAG - Preisrechner'!F$5&lt;=$C43),
TRUE,FALSE)</f>
        <v>0</v>
      </c>
      <c r="I43" s="19" t="b">
        <f>IF(AND(
'WVAG - Preisrechner'!G$4&gt;=$A43,
'WVAG - Preisrechner'!G$4&lt;$A48,
'WVAG - Preisrechner'!G$5&gt;=$B43,
'WVAG - Preisrechner'!G$5&lt;=$C43),
TRUE,FALSE)</f>
        <v>0</v>
      </c>
      <c r="J43" s="581">
        <v>8400</v>
      </c>
    </row>
    <row r="44" spans="1:10" ht="14.25" customHeight="1">
      <c r="A44" s="579">
        <v>7500000</v>
      </c>
      <c r="B44" s="579">
        <v>50000001</v>
      </c>
      <c r="C44" s="579">
        <v>100000000</v>
      </c>
      <c r="D44" t="b">
        <f>IF(AND(
'WVAG - Preisrechner'!B$4&gt;=$A44,
'WVAG - Preisrechner'!B$4&lt;$A49,
'WVAG - Preisrechner'!B$5&gt;$B44,
'WVAG - Preisrechner'!B$5&lt;=$C44),
TRUE,FALSE)</f>
        <v>0</v>
      </c>
      <c r="E44" t="b">
        <f>IF(AND('WVAG - Preisrechner'!C$4&gt;=$A44,'WVAG - Preisrechner'!C$4&lt;$A49,'WVAG - Preisrechner'!C$5&gt;=$B44,'WVAG - Preisrechner'!C$5&lt;=$C44),TRUE,FALSE)</f>
        <v>0</v>
      </c>
      <c r="F44" t="b">
        <f>IF(AND('WVAG - Preisrechner'!D$4&gt;=$A44,'WVAG - Preisrechner'!D$4&lt;$A49,'WVAG - Preisrechner'!D$5&gt;=$B44,'WVAG - Preisrechner'!D$5&lt;=$C44),TRUE,FALSE)</f>
        <v>0</v>
      </c>
      <c r="G44" t="b">
        <f>IF(AND(
'WVAG - Preisrechner'!E$4&gt;=$A44,
'WVAG - Preisrechner'!E$4&lt;$A49,
'WVAG - Preisrechner'!E$5&gt;=$B44,
'WVAG - Preisrechner'!E$5&lt;=$C44),
TRUE,FALSE)</f>
        <v>0</v>
      </c>
      <c r="H44" s="19" t="b">
        <f>IF(AND(
'WVAG - Preisrechner'!F$4&gt;=$A44,
'WVAG - Preisrechner'!F$4&lt;$A49,
'WVAG - Preisrechner'!F$5&gt;=$B44,
'WVAG - Preisrechner'!F$5&lt;=$C44),
TRUE,FALSE)</f>
        <v>0</v>
      </c>
      <c r="I44" s="19" t="b">
        <f>IF(AND(
'WVAG - Preisrechner'!G$4&gt;=$A44,
'WVAG - Preisrechner'!G$4&lt;$A49,
'WVAG - Preisrechner'!G$5&gt;=$B44,
'WVAG - Preisrechner'!G$5&lt;=$C44),
TRUE,FALSE)</f>
        <v>0</v>
      </c>
      <c r="J44" s="256">
        <v>8400</v>
      </c>
    </row>
    <row r="45" spans="1:10" ht="14.25" customHeight="1">
      <c r="A45" s="579">
        <v>7500000</v>
      </c>
      <c r="B45" s="579">
        <v>100000001</v>
      </c>
      <c r="C45" s="579">
        <v>150000000</v>
      </c>
      <c r="D45" t="b">
        <f>IF(AND(
'WVAG - Preisrechner'!B$4&gt;=$A45,
'WVAG - Preisrechner'!B$4&lt;$A50,
'WVAG - Preisrechner'!B$5&gt;$B45,
'WVAG - Preisrechner'!B$5&lt;=$C45),
TRUE,FALSE)</f>
        <v>0</v>
      </c>
      <c r="E45" t="b">
        <f>IF(AND('WVAG - Preisrechner'!C$4&gt;=$A45,'WVAG - Preisrechner'!C$4&lt;$A50,'WVAG - Preisrechner'!C$5&gt;=$B45,'WVAG - Preisrechner'!C$5&lt;=$C45),TRUE,FALSE)</f>
        <v>0</v>
      </c>
      <c r="F45" t="b">
        <f>IF(AND('WVAG - Preisrechner'!D$4&gt;=$A45,'WVAG - Preisrechner'!D$4&lt;$A50,'WVAG - Preisrechner'!D$5&gt;=$B45,'WVAG - Preisrechner'!D$5&lt;=$C45),TRUE,FALSE)</f>
        <v>0</v>
      </c>
      <c r="G45" t="b">
        <f>IF(AND(
'WVAG - Preisrechner'!E$4&gt;=$A45,
'WVAG - Preisrechner'!E$4&lt;$A50,
'WVAG - Preisrechner'!E$5&gt;=$B45,
'WVAG - Preisrechner'!E$5&lt;=$C45),
TRUE,FALSE)</f>
        <v>0</v>
      </c>
      <c r="H45" s="19" t="b">
        <f>IF(AND(
'WVAG - Preisrechner'!F$4&gt;=$A45,
'WVAG - Preisrechner'!F$4&lt;$A50,
'WVAG - Preisrechner'!F$5&gt;=$B45,
'WVAG - Preisrechner'!F$5&lt;=$C45),
TRUE,FALSE)</f>
        <v>0</v>
      </c>
      <c r="I45" s="19" t="b">
        <f>IF(AND(
'WVAG - Preisrechner'!G$4&gt;=$A45,
'WVAG - Preisrechner'!G$4&lt;$A50,
'WVAG - Preisrechner'!G$5&gt;=$B45,
'WVAG - Preisrechner'!G$5&lt;=$C45),
TRUE,FALSE)</f>
        <v>0</v>
      </c>
      <c r="J45" s="256">
        <v>9000</v>
      </c>
    </row>
    <row r="46" spans="1:10" ht="14.25" customHeight="1">
      <c r="A46" s="579">
        <v>7500000</v>
      </c>
      <c r="B46" s="579">
        <v>150000001</v>
      </c>
      <c r="C46" s="579">
        <v>200000000</v>
      </c>
      <c r="D46" t="b">
        <f>IF(AND(
'WVAG - Preisrechner'!B$4&gt;=$A46,
'WVAG - Preisrechner'!B$4&lt;$A53,
'WVAG - Preisrechner'!B$5&gt;$B46,
'WVAG - Preisrechner'!B$5&lt;=$C46),
TRUE,FALSE)</f>
        <v>0</v>
      </c>
      <c r="E46" t="b">
        <f>IF(AND('WVAG - Preisrechner'!C$4&gt;=$A46,'WVAG - Preisrechner'!C$4&lt;$A51,'WVAG - Preisrechner'!C$5&gt;=$B46,'WVAG - Preisrechner'!C$5&lt;=$C46),TRUE,FALSE)</f>
        <v>0</v>
      </c>
      <c r="F46" t="b">
        <f>IF(AND('WVAG - Preisrechner'!D$4&gt;=$A46,'WVAG - Preisrechner'!D$4&lt;$A51,'WVAG - Preisrechner'!D$5&gt;=$B46,'WVAG - Preisrechner'!D$5&lt;=$C46),TRUE,FALSE)</f>
        <v>0</v>
      </c>
      <c r="G46" t="b">
        <f>IF(AND(
'WVAG - Preisrechner'!E$4&gt;=$A46,
'WVAG - Preisrechner'!E$4&lt;$A51,
'WVAG - Preisrechner'!E$5&gt;=$B46,
'WVAG - Preisrechner'!E$5&lt;=$C46),
TRUE,FALSE)</f>
        <v>0</v>
      </c>
      <c r="H46" s="19" t="b">
        <f>IF(AND(
'WVAG - Preisrechner'!F$4&gt;=$A46,
'WVAG - Preisrechner'!F$4&lt;$A51,
'WVAG - Preisrechner'!F$5&gt;=$B46,
'WVAG - Preisrechner'!F$5&lt;=$C46),
TRUE,FALSE)</f>
        <v>0</v>
      </c>
      <c r="I46" s="19" t="b">
        <f>IF(AND(
'WVAG - Preisrechner'!G$4&gt;=$A46,
'WVAG - Preisrechner'!G$4&lt;$A51,
'WVAG - Preisrechner'!G$5&gt;=$B46,
'WVAG - Preisrechner'!G$5&lt;=$C46),
TRUE,FALSE)</f>
        <v>0</v>
      </c>
      <c r="J46" s="581">
        <v>9600</v>
      </c>
    </row>
    <row r="47" spans="1:10" ht="14.25" customHeight="1">
      <c r="A47" s="579">
        <v>7500000</v>
      </c>
      <c r="B47" s="579">
        <v>200000001</v>
      </c>
      <c r="C47" s="579">
        <v>250000000</v>
      </c>
      <c r="D47" t="b">
        <f>IF(AND(
'WVAG - Preisrechner'!B$4&gt;=$A47,
'WVAG - Preisrechner'!B$4&lt;$A54,
'WVAG - Preisrechner'!B$5&gt;$B47,
'WVAG - Preisrechner'!B$5&lt;=$C47),
TRUE,FALSE)</f>
        <v>0</v>
      </c>
      <c r="E47" t="b">
        <f>IF(AND('WVAG - Preisrechner'!C$4&gt;=$A47,'WVAG - Preisrechner'!C$4&lt;$A52,'WVAG - Preisrechner'!C$5&gt;=$B47,'WVAG - Preisrechner'!C$5&lt;=$C47),TRUE,FALSE)</f>
        <v>0</v>
      </c>
      <c r="F47" t="b">
        <f>IF(AND('WVAG - Preisrechner'!D$4&gt;=$A47,'WVAG - Preisrechner'!D$4&lt;$A52,'WVAG - Preisrechner'!D$5&gt;=$B47,'WVAG - Preisrechner'!D$5&lt;=$C47),TRUE,FALSE)</f>
        <v>0</v>
      </c>
      <c r="G47" t="b">
        <f>IF(AND(
'WVAG - Preisrechner'!E$4&gt;=$A47,
'WVAG - Preisrechner'!E$4&lt;$A52,
'WVAG - Preisrechner'!E$5&gt;=$B47,
'WVAG - Preisrechner'!E$5&lt;=$C47),
TRUE,FALSE)</f>
        <v>0</v>
      </c>
      <c r="H47" s="19" t="b">
        <f>IF(AND(
'WVAG - Preisrechner'!F$4&gt;=$A47,
'WVAG - Preisrechner'!F$4&lt;$A52,
'WVAG - Preisrechner'!F$5&gt;=$B47,
'WVAG - Preisrechner'!F$5&lt;=$C47),
TRUE,FALSE)</f>
        <v>0</v>
      </c>
      <c r="I47" s="19" t="b">
        <f>IF(AND(
'WVAG - Preisrechner'!G$4&gt;=$A47,
'WVAG - Preisrechner'!G$4&lt;$A52,
'WVAG - Preisrechner'!G$5&gt;=$B47,
'WVAG - Preisrechner'!G$5&lt;=$C47),
TRUE,FALSE)</f>
        <v>0</v>
      </c>
      <c r="J47" s="581">
        <v>10200</v>
      </c>
    </row>
    <row r="48" spans="1:10" ht="14.25" customHeight="1">
      <c r="A48" s="580">
        <v>10000000</v>
      </c>
      <c r="B48" s="580">
        <v>0</v>
      </c>
      <c r="C48" s="580">
        <v>50000000</v>
      </c>
      <c r="D48" t="b">
        <f>IF(AND(
'WVAG - Preisrechner'!B$4&gt;=$A48,
'WVAG - Preisrechner'!B$4&lt;$A53,
'WVAG - Preisrechner'!B$5&gt;=$B48,
'WVAG - Preisrechner'!B$5&lt;=$C48),
TRUE,FALSE)</f>
        <v>0</v>
      </c>
      <c r="E48" t="b">
        <f>IF(AND('WVAG - Preisrechner'!C$4&gt;=$A48,'WVAG - Preisrechner'!C$4&lt;$A53,'WVAG - Preisrechner'!C$5&gt;=$B48,'WVAG - Preisrechner'!C$5&lt;=$C48),TRUE,FALSE)</f>
        <v>0</v>
      </c>
      <c r="F48" t="b">
        <f>IF(AND('WVAG - Preisrechner'!D$4&gt;=$A48,'WVAG - Preisrechner'!D$4&lt;$A53,'WVAG - Preisrechner'!D$5&gt;=$B48,'WVAG - Preisrechner'!D$5&lt;=$C48),TRUE,FALSE)</f>
        <v>0</v>
      </c>
      <c r="G48" t="b">
        <f>IF(AND(
'WVAG - Preisrechner'!E$4&gt;=$A48,
'WVAG - Preisrechner'!E$4&lt;$A53,
'WVAG - Preisrechner'!E$5&gt;=$B48,
'WVAG - Preisrechner'!E$5&lt;=$C48),
TRUE,FALSE)</f>
        <v>0</v>
      </c>
      <c r="H48" s="19" t="b">
        <f>IF(AND(
'WVAG - Preisrechner'!F$4&gt;=$A48,
'WVAG - Preisrechner'!F$4&lt;$A53,
'WVAG - Preisrechner'!F$5&gt;=$B48,
'WVAG - Preisrechner'!F$5&lt;=$C48),
TRUE,FALSE)</f>
        <v>0</v>
      </c>
      <c r="I48" s="19" t="b">
        <f>IF(AND(
'WVAG - Preisrechner'!G$4&gt;=$A48,
'WVAG - Preisrechner'!G$4&lt;$A53,
'WVAG - Preisrechner'!G$5&gt;=$B48,
'WVAG - Preisrechner'!G$5&lt;=$C48),
TRUE,FALSE)</f>
        <v>0</v>
      </c>
      <c r="J48" s="581">
        <v>11200</v>
      </c>
    </row>
    <row r="49" spans="1:10" ht="14.25" customHeight="1">
      <c r="A49" s="579">
        <v>10000000</v>
      </c>
      <c r="B49" s="579">
        <v>50000001</v>
      </c>
      <c r="C49" s="579">
        <v>100000000</v>
      </c>
      <c r="D49" t="b">
        <f>IF(AND(
'WVAG - Preisrechner'!B$4&gt;=$A49,
'WVAG - Preisrechner'!B$4&lt;$A54,
'WVAG - Preisrechner'!B$5&gt;$B49,
'WVAG - Preisrechner'!B$5&lt;=$C49),
TRUE,FALSE)</f>
        <v>0</v>
      </c>
      <c r="E49" t="b">
        <f>IF(AND('WVAG - Preisrechner'!C$4&gt;=$A49,'WVAG - Preisrechner'!C$4&lt;$A54,'WVAG - Preisrechner'!C$5&gt;=$B49,'WVAG - Preisrechner'!C$5&lt;=$C49),TRUE,FALSE)</f>
        <v>0</v>
      </c>
      <c r="F49" t="b">
        <f>IF(AND('WVAG - Preisrechner'!D$4&gt;=$A49,'WVAG - Preisrechner'!D$4&lt;$A54,'WVAG - Preisrechner'!D$5&gt;=$B49,'WVAG - Preisrechner'!D$5&lt;=$C49),TRUE,FALSE)</f>
        <v>0</v>
      </c>
      <c r="G49" t="b">
        <f>IF(AND(
'WVAG - Preisrechner'!E$4&gt;=$A49,
'WVAG - Preisrechner'!E$4&lt;$A54,
'WVAG - Preisrechner'!E$5&gt;=$B49,
'WVAG - Preisrechner'!E$5&lt;=$C49),
TRUE,FALSE)</f>
        <v>0</v>
      </c>
      <c r="H49" s="19" t="b">
        <f>IF(AND(
'WVAG - Preisrechner'!F$4&gt;=$A49,
'WVAG - Preisrechner'!F$4&lt;$A54,
'WVAG - Preisrechner'!F$5&gt;=$B49,
'WVAG - Preisrechner'!F$5&lt;=$C49),
TRUE,FALSE)</f>
        <v>0</v>
      </c>
      <c r="I49" s="19" t="b">
        <f>IF(AND(
'WVAG - Preisrechner'!G$4&gt;=$A49,
'WVAG - Preisrechner'!G$4&lt;$A54,
'WVAG - Preisrechner'!G$5&gt;=$B49,
'WVAG - Preisrechner'!G$5&lt;=$C49),
TRUE,FALSE)</f>
        <v>0</v>
      </c>
      <c r="J49" s="256">
        <v>11200</v>
      </c>
    </row>
    <row r="50" spans="1:10" ht="14.25" customHeight="1">
      <c r="A50" s="579">
        <v>10000000</v>
      </c>
      <c r="B50" s="579">
        <v>100000001</v>
      </c>
      <c r="C50" s="579">
        <v>150000000</v>
      </c>
      <c r="D50" t="b">
        <f>IF(AND(
'WVAG - Preisrechner'!B$4&gt;=$A50,
'WVAG - Preisrechner'!B$4&lt;$A55,
'WVAG - Preisrechner'!B$5&gt;$B50,
'WVAG - Preisrechner'!B$5&lt;=$C50),
TRUE,FALSE)</f>
        <v>0</v>
      </c>
      <c r="E50" t="b">
        <f>IF(AND('WVAG - Preisrechner'!C$4&gt;=$A50,'WVAG - Preisrechner'!C$4&lt;$A55,'WVAG - Preisrechner'!C$5&gt;=$B50,'WVAG - Preisrechner'!C$5&lt;=$C50),TRUE,FALSE)</f>
        <v>0</v>
      </c>
      <c r="F50" t="b">
        <f>IF(AND('WVAG - Preisrechner'!D$4&gt;=$A50,'WVAG - Preisrechner'!D$4&lt;$A55,'WVAG - Preisrechner'!D$5&gt;=$B50,'WVAG - Preisrechner'!D$5&lt;=$C50),TRUE,FALSE)</f>
        <v>0</v>
      </c>
      <c r="G50" t="b">
        <f>IF(AND(
'WVAG - Preisrechner'!E$4&gt;=$A50,
'WVAG - Preisrechner'!E$4&lt;$A55,
'WVAG - Preisrechner'!E$5&gt;=$B50,
'WVAG - Preisrechner'!E$5&lt;=$C50),
TRUE,FALSE)</f>
        <v>0</v>
      </c>
      <c r="H50" s="19" t="b">
        <f>IF(AND(
'WVAG - Preisrechner'!F$4&gt;=$A50,
'WVAG - Preisrechner'!F$4&lt;$A55,
'WVAG - Preisrechner'!F$5&gt;=$B50,
'WVAG - Preisrechner'!F$5&lt;=$C50),
TRUE,FALSE)</f>
        <v>0</v>
      </c>
      <c r="I50" s="19" t="b">
        <f>IF(AND(
'WVAG - Preisrechner'!G$4&gt;=$A50,
'WVAG - Preisrechner'!G$4&lt;$A55,
'WVAG - Preisrechner'!G$5&gt;=$B50,
'WVAG - Preisrechner'!G$5&lt;=$C50),
TRUE,FALSE)</f>
        <v>0</v>
      </c>
      <c r="J50" s="256">
        <v>12000</v>
      </c>
    </row>
    <row r="51" spans="1:10" ht="14.25" customHeight="1">
      <c r="A51" s="579">
        <v>10000000</v>
      </c>
      <c r="B51" s="579">
        <v>150000001</v>
      </c>
      <c r="C51" s="579">
        <v>200000000</v>
      </c>
      <c r="D51" t="b">
        <f>IF(AND(
'WVAG - Preisrechner'!B$4&gt;=$A51,
'WVAG - Preisrechner'!B$4&lt;$A56,
'WVAG - Preisrechner'!B$5&gt;$B51,
'WVAG - Preisrechner'!B$5&lt;=$C51),
TRUE,FALSE)</f>
        <v>0</v>
      </c>
      <c r="E51" t="b">
        <f>IF(AND('WVAG - Preisrechner'!C$4&gt;=$A51,'WVAG - Preisrechner'!C$4&lt;$A56,'WVAG - Preisrechner'!C$5&gt;=$B51,'WVAG - Preisrechner'!C$5&lt;=$C51),TRUE,FALSE)</f>
        <v>0</v>
      </c>
      <c r="F51" t="b">
        <f>IF(AND('WVAG - Preisrechner'!D$4&gt;=$A51,'WVAG - Preisrechner'!D$4&lt;$A56,'WVAG - Preisrechner'!D$5&gt;=$B51,'WVAG - Preisrechner'!D$5&lt;=$C51),TRUE,FALSE)</f>
        <v>0</v>
      </c>
      <c r="G51" t="b">
        <f>IF(AND(
'WVAG - Preisrechner'!E$4&gt;=$A51,
'WVAG - Preisrechner'!E$4&lt;$A56,
'WVAG - Preisrechner'!E$5&gt;=$B51,
'WVAG - Preisrechner'!E$5&lt;=$C51),
TRUE,FALSE)</f>
        <v>0</v>
      </c>
      <c r="H51" s="19" t="b">
        <f>IF(AND(
'WVAG - Preisrechner'!F$4&gt;=$A51,
'WVAG - Preisrechner'!F$4&lt;$A56,
'WVAG - Preisrechner'!F$5&gt;=$B51,
'WVAG - Preisrechner'!F$5&lt;=$C51),
TRUE,FALSE)</f>
        <v>0</v>
      </c>
      <c r="I51" s="19" t="b">
        <f>IF(AND(
'WVAG - Preisrechner'!G$4&gt;=$A51,
'WVAG - Preisrechner'!G$4&lt;$A56,
'WVAG - Preisrechner'!G$5&gt;=$B51,
'WVAG - Preisrechner'!G$5&lt;=$C51),
TRUE,FALSE)</f>
        <v>0</v>
      </c>
      <c r="J51" s="256">
        <v>12800</v>
      </c>
    </row>
    <row r="52" spans="1:10" ht="14.25" customHeight="1">
      <c r="A52" s="579">
        <v>10000000</v>
      </c>
      <c r="B52" s="579">
        <v>200000001</v>
      </c>
      <c r="C52" s="579">
        <v>250000000</v>
      </c>
      <c r="D52" t="b">
        <f>IF(AND(
'WVAG - Preisrechner'!B$4&gt;=$A52,
'WVAG - Preisrechner'!B$4&lt;$A57,
'WVAG - Preisrechner'!B$5&gt;$B52,
'WVAG - Preisrechner'!B$5&lt;=$C52),
TRUE,FALSE)</f>
        <v>0</v>
      </c>
      <c r="E52" t="b">
        <f>IF(AND('WVAG - Preisrechner'!C$4&gt;=$A52,'WVAG - Preisrechner'!C$4&lt;$A57,'WVAG - Preisrechner'!C$5&gt;=$B52,'WVAG - Preisrechner'!C$5&lt;=$C52),TRUE,FALSE)</f>
        <v>0</v>
      </c>
      <c r="F52" t="b">
        <f>IF(AND('WVAG - Preisrechner'!D$4&gt;=$A52,'WVAG - Preisrechner'!D$4&lt;$A57,'WVAG - Preisrechner'!D$5&gt;=$B52,'WVAG - Preisrechner'!D$5&lt;=$C52),TRUE,FALSE)</f>
        <v>0</v>
      </c>
      <c r="G52" t="b">
        <f>IF(AND(
'WVAG - Preisrechner'!E$4&gt;=$A52,
'WVAG - Preisrechner'!E$4&lt;$A57,
'WVAG - Preisrechner'!E$5&gt;=$B52,
'WVAG - Preisrechner'!E$5&lt;=$C52),
TRUE,FALSE)</f>
        <v>0</v>
      </c>
      <c r="H52" s="19" t="b">
        <f>IF(AND(
'WVAG - Preisrechner'!F$4&gt;=$A52,
'WVAG - Preisrechner'!F$4&lt;$A57,
'WVAG - Preisrechner'!F$5&gt;=$B52,
'WVAG - Preisrechner'!F$5&lt;=$C52),
TRUE,FALSE)</f>
        <v>0</v>
      </c>
      <c r="I52" s="19" t="b">
        <f>IF(AND(
'WVAG - Preisrechner'!G$4&gt;=$A52,
'WVAG - Preisrechner'!G$4&lt;$A57,
'WVAG - Preisrechner'!G$5&gt;=$B52,
'WVAG - Preisrechner'!G$5&lt;=$C52),
TRUE,FALSE)</f>
        <v>0</v>
      </c>
      <c r="J52" s="256">
        <v>13600</v>
      </c>
    </row>
    <row r="53" spans="1:10" ht="14.25" customHeight="1">
      <c r="A53" s="580">
        <v>10000001</v>
      </c>
    </row>
    <row r="54" spans="1:10" ht="14.25" customHeight="1">
      <c r="A54" s="580">
        <v>10000001</v>
      </c>
      <c r="B54" s="446"/>
    </row>
    <row r="55" spans="1:10" ht="14.25" customHeight="1">
      <c r="A55" s="580">
        <v>10000001</v>
      </c>
      <c r="B55" s="446"/>
      <c r="G55" s="446"/>
    </row>
    <row r="56" spans="1:10" ht="14.25" customHeight="1">
      <c r="A56" s="580">
        <v>10000001</v>
      </c>
    </row>
    <row r="57" spans="1:10" ht="14.25" customHeight="1">
      <c r="A57" s="580">
        <v>10000001</v>
      </c>
    </row>
    <row r="58" spans="1:10" ht="14.25" customHeight="1"/>
    <row r="59" spans="1:10" ht="14.25" customHeight="1">
      <c r="A59" s="168" t="s">
        <v>3646</v>
      </c>
      <c r="B59" s="472">
        <v>250000</v>
      </c>
    </row>
    <row r="60" spans="1:10" ht="14.25" customHeight="1">
      <c r="A60" s="168" t="s">
        <v>3647</v>
      </c>
      <c r="B60" s="472">
        <v>10000000</v>
      </c>
    </row>
    <row r="61" spans="1:10" ht="14.25" customHeight="1">
      <c r="A61" s="168" t="s">
        <v>3648</v>
      </c>
      <c r="B61" s="472">
        <v>250000000</v>
      </c>
    </row>
    <row r="62" spans="1:10" ht="14.25" customHeight="1"/>
    <row r="63" spans="1:10" ht="14.25" customHeight="1"/>
    <row r="64" spans="1:10"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sheetData>
  <conditionalFormatting sqref="D4:I52 E53">
    <cfRule type="cellIs" dxfId="74" priority="1" operator="equal">
      <formula>"TRUE"</formula>
    </cfRule>
  </conditionalFormatting>
  <pageMargins left="0.7" right="0.7" top="0.78740157499999996" bottom="0.78740157499999996" header="0" footer="0"/>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W47"/>
  <sheetViews>
    <sheetView topLeftCell="D1" zoomScaleNormal="100" workbookViewId="0">
      <selection activeCell="M30" sqref="M30"/>
    </sheetView>
  </sheetViews>
  <sheetFormatPr baseColWidth="10" defaultColWidth="11.5546875" defaultRowHeight="14.4"/>
  <cols>
    <col min="1" max="1" width="20.33203125" customWidth="1"/>
    <col min="2" max="2" width="22.33203125" customWidth="1"/>
    <col min="3" max="3" width="25.6640625" customWidth="1"/>
    <col min="4" max="4" width="16" customWidth="1"/>
    <col min="5" max="5" width="13.5546875" customWidth="1"/>
    <col min="6" max="6" width="15.33203125" customWidth="1"/>
    <col min="7" max="8" width="16.6640625" customWidth="1"/>
    <col min="9" max="9" width="17.33203125" customWidth="1"/>
    <col min="10" max="10" width="15" customWidth="1"/>
  </cols>
  <sheetData>
    <row r="2" spans="1:23" ht="15" thickBot="1">
      <c r="N2" t="s">
        <v>4102</v>
      </c>
    </row>
    <row r="3" spans="1:23" ht="53.4" thickBot="1">
      <c r="A3" s="578" t="s">
        <v>3128</v>
      </c>
      <c r="B3" s="578" t="s">
        <v>3745</v>
      </c>
      <c r="C3" s="578" t="s">
        <v>3746</v>
      </c>
      <c r="D3" s="537" t="s">
        <v>3678</v>
      </c>
      <c r="E3" s="537" t="s">
        <v>3679</v>
      </c>
      <c r="F3" s="537" t="s">
        <v>3680</v>
      </c>
      <c r="G3" s="537" t="s">
        <v>3681</v>
      </c>
      <c r="H3" s="537" t="s">
        <v>3682</v>
      </c>
      <c r="I3" s="537" t="s">
        <v>3683</v>
      </c>
      <c r="J3" s="578" t="s">
        <v>3160</v>
      </c>
      <c r="O3" s="1008" t="s">
        <v>3752</v>
      </c>
      <c r="P3" s="1009" t="s">
        <v>4109</v>
      </c>
      <c r="Q3" s="1009"/>
      <c r="R3" s="1009" t="s">
        <v>4110</v>
      </c>
      <c r="S3" s="1009"/>
      <c r="T3" s="1010" t="s">
        <v>4111</v>
      </c>
      <c r="U3" s="1010"/>
      <c r="V3" s="1010" t="s">
        <v>4112</v>
      </c>
      <c r="W3" s="1010"/>
    </row>
    <row r="4" spans="1:23" ht="15" thickBot="1">
      <c r="A4" s="579">
        <v>250000</v>
      </c>
      <c r="B4" s="579">
        <v>0</v>
      </c>
      <c r="C4" s="579">
        <v>5000000</v>
      </c>
      <c r="D4" s="557" t="b">
        <f>IF(AND('WVAG - Preisrechner'!B$4&gt;=$A4,'WVAG - Preisrechner'!B$4&lt;$A5,'WVAG - Preisrechner'!B$5&gt;=$B4,'WVAG - Preisrechner'!B$5&lt;=$C4),TRUE,FALSE)</f>
        <v>1</v>
      </c>
      <c r="E4" s="557" t="b">
        <f>IF(AND('WVAG - Preisrechner'!C$4&gt;=$A4,'WVAG - Preisrechner'!C$4&lt;$A5,'WVAG - Preisrechner'!C$5&gt;=$B4,'WVAG - Preisrechner'!C$5&lt;=$C4),TRUE,FALSE)</f>
        <v>1</v>
      </c>
      <c r="F4" s="557" t="b">
        <f>IF(AND('WVAG - Preisrechner'!D$4&gt;=$A4,'WVAG - Preisrechner'!D$4&lt;$A5,'WVAG - Preisrechner'!D$5&gt;=$B4,'WVAG - Preisrechner'!D$5&lt;=$C4),TRUE,FALSE)</f>
        <v>1</v>
      </c>
      <c r="G4" s="557" t="b">
        <f>IF(AND('WVAG - Preisrechner'!E$4&gt;=$A4,'WVAG - Preisrechner'!E$4&lt;$A5,'WVAG - Preisrechner'!E$5&gt;=$B4,'WVAG - Preisrechner'!E$5&lt;=$C4),TRUE,FALSE)</f>
        <v>1</v>
      </c>
      <c r="H4" s="557" t="b">
        <f>IF(AND('WVAG - Preisrechner'!F$4&gt;=$A4,'WVAG - Preisrechner'!F$4&lt;$A5,'WVAG - Preisrechner'!F$5&gt;=$B4,'WVAG - Preisrechner'!F$5&lt;=$C4),TRUE,FALSE)</f>
        <v>1</v>
      </c>
      <c r="I4" s="557" t="b">
        <f>IF(AND('WVAG - Preisrechner'!G$4&gt;=$A4,'WVAG - Preisrechner'!G$4&lt;$A5,'WVAG - Preisrechner'!G$5&gt;=$B4,'WVAG - Preisrechner'!G$5&lt;=$C4),TRUE,FALSE)</f>
        <v>1</v>
      </c>
      <c r="J4" s="256">
        <v>675</v>
      </c>
      <c r="O4" s="1011">
        <v>250000</v>
      </c>
      <c r="P4" s="1016">
        <v>675</v>
      </c>
      <c r="Q4" s="1013">
        <v>0</v>
      </c>
      <c r="R4" s="1014"/>
      <c r="S4" s="1014"/>
      <c r="T4" s="1014"/>
      <c r="U4" s="1014"/>
      <c r="V4" s="1015"/>
      <c r="W4" s="1013"/>
    </row>
    <row r="5" spans="1:23" ht="15" thickBot="1">
      <c r="A5" s="580">
        <v>500000</v>
      </c>
      <c r="B5" s="580">
        <v>0</v>
      </c>
      <c r="C5" s="580">
        <v>50000000</v>
      </c>
      <c r="D5" t="b">
        <f>IF(AND(
'WVAG - Preisrechner'!B$4&gt;=$A5,
'WVAG - Preisrechner'!B$4&lt;$A8,
'WVAG - Preisrechner'!B$5&gt;=$B5,
'WVAG - Preisrechner'!B$5&lt;=$C5),
TRUE,FALSE)</f>
        <v>0</v>
      </c>
      <c r="E5" t="b">
        <f>IF(AND('WVAG - Preisrechner'!C$4&gt;=$A5,'WVAG - Preisrechner'!C$4&lt;$A8,'WVAG - Preisrechner'!C$5&gt;=$B5,'WVAG - Preisrechner'!C$5&lt;=$C5),TRUE,FALSE)</f>
        <v>0</v>
      </c>
      <c r="F5" t="b">
        <f>IF(AND('WVAG - Preisrechner'!D$4&gt;=$A5,'WVAG - Preisrechner'!D$4&lt;$A8,'WVAG - Preisrechner'!D$5&gt;=$B5,'WVAG - Preisrechner'!D$5&lt;=$C5),TRUE,FALSE)</f>
        <v>0</v>
      </c>
      <c r="G5" t="b">
        <f>IF(AND(
'WVAG - Preisrechner'!E$4&gt;=$A5,
'WVAG - Preisrechner'!E$4&lt;$A8,
'WVAG - Preisrechner'!E$5&gt;=$B5,
'WVAG - Preisrechner'!E$5&lt;=$C5),
TRUE,FALSE)</f>
        <v>0</v>
      </c>
      <c r="H5" s="19" t="b">
        <f>IF(AND(
'WVAG - Preisrechner'!F$4&gt;=$A5,
'WVAG - Preisrechner'!F$4&lt;$A8,
'WVAG - Preisrechner'!F$5&gt;=$B5,
'WVAG - Preisrechner'!F$5&lt;=$C5),
TRUE,FALSE)</f>
        <v>0</v>
      </c>
      <c r="I5" s="19" t="b">
        <f>IF(AND(
'WVAG - Preisrechner'!G$4&gt;=$A5,
'WVAG - Preisrechner'!G$4&lt;$A8,
'WVAG - Preisrechner'!G$5&gt;=$B5,
'WVAG - Preisrechner'!G$5&lt;=$C5),
TRUE,FALSE)</f>
        <v>0</v>
      </c>
      <c r="J5" s="581">
        <v>801</v>
      </c>
      <c r="O5" s="1011">
        <v>500000</v>
      </c>
      <c r="P5" s="1014"/>
      <c r="Q5" s="1014"/>
      <c r="R5" s="1016">
        <v>801</v>
      </c>
      <c r="S5" s="1013">
        <v>0</v>
      </c>
      <c r="T5" s="1016">
        <v>900</v>
      </c>
      <c r="U5" s="1013">
        <v>0</v>
      </c>
      <c r="V5" s="1016">
        <v>1080</v>
      </c>
      <c r="W5" s="1013">
        <v>0</v>
      </c>
    </row>
    <row r="6" spans="1:23" ht="15" thickBot="1">
      <c r="A6" s="579">
        <v>500000</v>
      </c>
      <c r="B6" s="579">
        <v>50000001</v>
      </c>
      <c r="C6" s="579">
        <v>100000000</v>
      </c>
      <c r="D6" t="b">
        <f>IF(AND(
'WVAG - Preisrechner'!B$4&gt;=$A6,
'WVAG - Preisrechner'!B$4&lt;$A9,
'WVAG - Preisrechner'!B$5&gt;=$B6,
'WVAG - Preisrechner'!B$5&lt;=$C6),
TRUE,FALSE)</f>
        <v>0</v>
      </c>
      <c r="E6" t="b">
        <f>IF(AND('WVAG - Preisrechner'!C$4&gt;=$A6,'WVAG - Preisrechner'!C$4&lt;$A9,'WVAG - Preisrechner'!C$5&gt;=$B6,'WVAG - Preisrechner'!C$5&lt;=$C6),TRUE,FALSE)</f>
        <v>0</v>
      </c>
      <c r="F6" t="b">
        <f>IF(AND('WVAG - Preisrechner'!D$4&gt;=$A6,'WVAG - Preisrechner'!D$4&lt;$A9,'WVAG - Preisrechner'!D$5&gt;=$B6,'WVAG - Preisrechner'!D$5&lt;=$C6),TRUE,FALSE)</f>
        <v>0</v>
      </c>
      <c r="G6" t="b">
        <f>IF(AND(
'WVAG - Preisrechner'!E$4&gt;=$A6,
'WVAG - Preisrechner'!E$4&lt;$A9,
'WVAG - Preisrechner'!E$5&gt;=$B6,
'WVAG - Preisrechner'!E$5&lt;=$C6),
TRUE,FALSE)</f>
        <v>0</v>
      </c>
      <c r="H6" s="19" t="b">
        <f>IF(AND(
'WVAG - Preisrechner'!F$4&gt;=$A6,
'WVAG - Preisrechner'!F$4&lt;$A9,
'WVAG - Preisrechner'!F$5&gt;=$B6,
'WVAG - Preisrechner'!F$5&lt;=$C6),
TRUE,FALSE)</f>
        <v>0</v>
      </c>
      <c r="I6" s="19" t="b">
        <f>IF(AND(
'WVAG - Preisrechner'!G$4&gt;=$A6,
'WVAG - Preisrechner'!G$4&lt;$A9,
'WVAG - Preisrechner'!G$5&gt;=$B6,
'WVAG - Preisrechner'!G$5&lt;=$C6),
TRUE,FALSE)</f>
        <v>0</v>
      </c>
      <c r="J6" s="256">
        <v>900</v>
      </c>
      <c r="O6" s="1011">
        <v>750000</v>
      </c>
      <c r="P6" s="1014"/>
      <c r="Q6" s="1014"/>
      <c r="R6" s="1016">
        <v>985.5</v>
      </c>
      <c r="S6" s="1013">
        <v>0</v>
      </c>
      <c r="T6" s="1016">
        <v>1125</v>
      </c>
      <c r="U6" s="1013">
        <v>0</v>
      </c>
      <c r="V6" s="1016">
        <v>1440</v>
      </c>
      <c r="W6" s="1013">
        <v>0</v>
      </c>
    </row>
    <row r="7" spans="1:23" ht="15" thickBot="1">
      <c r="A7" s="579">
        <v>500000</v>
      </c>
      <c r="B7" s="579">
        <v>100000001</v>
      </c>
      <c r="C7" s="579">
        <v>150000000</v>
      </c>
      <c r="D7" t="b">
        <f>IF(AND(
'WVAG - Preisrechner'!B$4&gt;=$A7,
'WVAG - Preisrechner'!B$4&lt;$A10,
'WVAG - Preisrechner'!B$5&gt;=$B7,
'WVAG - Preisrechner'!B$5&lt;=$C7),
TRUE,FALSE)</f>
        <v>0</v>
      </c>
      <c r="E7" t="b">
        <f>IF(AND('WVAG - Preisrechner'!C$4&gt;=$A7,'WVAG - Preisrechner'!C$4&lt;$A10,'WVAG - Preisrechner'!C$5&gt;=$B7,'WVAG - Preisrechner'!C$5&lt;=$C7),TRUE,FALSE)</f>
        <v>0</v>
      </c>
      <c r="F7" t="b">
        <f>IF(AND('WVAG - Preisrechner'!D$4&gt;=$A7,'WVAG - Preisrechner'!D$4&lt;$A10,'WVAG - Preisrechner'!D$5&gt;=$B7,'WVAG - Preisrechner'!D$5&lt;=$C7),TRUE,FALSE)</f>
        <v>0</v>
      </c>
      <c r="G7" t="b">
        <f>IF(AND(
'WVAG - Preisrechner'!E$4&gt;=$A7,
'WVAG - Preisrechner'!E$4&lt;$A10,
'WVAG - Preisrechner'!E$5&gt;=$B7,
'WVAG - Preisrechner'!E$5&lt;=$C7),
TRUE,FALSE)</f>
        <v>0</v>
      </c>
      <c r="H7" s="19" t="b">
        <f>IF(AND(
'WVAG - Preisrechner'!F$4&gt;=$A7,
'WVAG - Preisrechner'!F$4&lt;$A10,
'WVAG - Preisrechner'!F$5&gt;=$B7,
'WVAG - Preisrechner'!F$5&lt;=$C7),
TRUE,FALSE)</f>
        <v>0</v>
      </c>
      <c r="I7" s="19" t="b">
        <f>IF(AND(
'WVAG - Preisrechner'!G$4&gt;=$A7,
'WVAG - Preisrechner'!G$4&lt;$A10,
'WVAG - Preisrechner'!G$5&gt;=$B7,
'WVAG - Preisrechner'!G$5&lt;=$C7),
TRUE,FALSE)</f>
        <v>0</v>
      </c>
      <c r="J7" s="256">
        <v>1080</v>
      </c>
      <c r="O7" s="1011">
        <v>1000000</v>
      </c>
      <c r="P7" s="1014"/>
      <c r="Q7" s="1014"/>
      <c r="R7" s="1016">
        <v>1111.5</v>
      </c>
      <c r="S7" s="1013">
        <v>5.26</v>
      </c>
      <c r="T7" s="1016">
        <v>1197</v>
      </c>
      <c r="U7" s="1013">
        <v>5.26</v>
      </c>
      <c r="V7" s="1016">
        <v>1710</v>
      </c>
      <c r="W7" s="1013">
        <v>5.26</v>
      </c>
    </row>
    <row r="8" spans="1:23" ht="15" thickBot="1">
      <c r="A8" s="579">
        <v>750000</v>
      </c>
      <c r="B8" s="580">
        <v>0</v>
      </c>
      <c r="C8" s="580">
        <v>50000000</v>
      </c>
      <c r="D8" t="b">
        <f>IF(AND(
'WVAG - Preisrechner'!B$4&gt;=$A8,
'WVAG - Preisrechner'!B$4&lt;$A11,
'WVAG - Preisrechner'!B$5&gt;=$B8,
'WVAG - Preisrechner'!B$5&lt;=$C8),
TRUE,FALSE)</f>
        <v>0</v>
      </c>
      <c r="E8" t="b">
        <f>IF(AND('WVAG - Preisrechner'!C$4&gt;=$A8,'WVAG - Preisrechner'!C$4&lt;$A11,'WVAG - Preisrechner'!C$5&gt;=$B8,'WVAG - Preisrechner'!C$5&lt;=$C8),TRUE,FALSE)</f>
        <v>0</v>
      </c>
      <c r="F8" t="b">
        <f>IF(AND('WVAG - Preisrechner'!D$4&gt;=$A8,'WVAG - Preisrechner'!D$4&lt;$A11,'WVAG - Preisrechner'!D$5&gt;=$B8,'WVAG - Preisrechner'!D$5&lt;=$C8),TRUE,FALSE)</f>
        <v>0</v>
      </c>
      <c r="G8" t="b">
        <f>IF(AND(
'WVAG - Preisrechner'!E$4&gt;=$A8,
'WVAG - Preisrechner'!E$4&lt;$A11,
'WVAG - Preisrechner'!E$5&gt;=$B8,
'WVAG - Preisrechner'!E$5&lt;=$C8),
TRUE,FALSE)</f>
        <v>0</v>
      </c>
      <c r="H8" s="19" t="b">
        <f>IF(AND(
'WVAG - Preisrechner'!F$4&gt;=$A8,
'WVAG - Preisrechner'!F$4&lt;$A11,
'WVAG - Preisrechner'!F$5&gt;=$B8,
'WVAG - Preisrechner'!F$5&lt;=$C8),
TRUE,FALSE)</f>
        <v>0</v>
      </c>
      <c r="I8" s="19" t="b">
        <f>IF(AND(
'WVAG - Preisrechner'!G$4&gt;=$A8,
'WVAG - Preisrechner'!G$4&lt;$A11,
'WVAG - Preisrechner'!G$5&gt;=$B8,
'WVAG - Preisrechner'!G$5&lt;=$C8),
TRUE,FALSE)</f>
        <v>0</v>
      </c>
      <c r="J8" s="581">
        <v>985.49999999999989</v>
      </c>
      <c r="O8" s="1011">
        <v>1500000</v>
      </c>
      <c r="P8" s="1014"/>
      <c r="Q8" s="1014"/>
      <c r="R8" s="1016">
        <v>1667.25</v>
      </c>
      <c r="S8" s="1013">
        <v>5.26</v>
      </c>
      <c r="T8" s="1016">
        <v>1795.5</v>
      </c>
      <c r="U8" s="1013">
        <v>5.26</v>
      </c>
      <c r="V8" s="1016">
        <v>2565</v>
      </c>
      <c r="W8" s="1013">
        <v>5.26</v>
      </c>
    </row>
    <row r="9" spans="1:23" ht="15" thickBot="1">
      <c r="A9" s="579">
        <v>750000</v>
      </c>
      <c r="B9" s="579">
        <v>50000001</v>
      </c>
      <c r="C9" s="579">
        <v>100000000</v>
      </c>
      <c r="D9" t="b">
        <f>IF(AND(
'WVAG - Preisrechner'!B$4&gt;=$A9,
'WVAG - Preisrechner'!B$4&lt;$A12,
'WVAG - Preisrechner'!B$5&gt;=$B9,
'WVAG - Preisrechner'!B$5&lt;=$C9),
TRUE,FALSE)</f>
        <v>0</v>
      </c>
      <c r="E9" t="b">
        <f>IF(AND('WVAG - Preisrechner'!C$4&gt;=$A9,'WVAG - Preisrechner'!C$4&lt;$A12,'WVAG - Preisrechner'!C$5&gt;=$B9,'WVAG - Preisrechner'!C$5&lt;=$C9),TRUE,FALSE)</f>
        <v>0</v>
      </c>
      <c r="F9" t="b">
        <f>IF(AND('WVAG - Preisrechner'!D$4&gt;=$A9,'WVAG - Preisrechner'!D$4&lt;$A12,'WVAG - Preisrechner'!D$5&gt;=$B9,'WVAG - Preisrechner'!D$5&lt;=$C9),TRUE,FALSE)</f>
        <v>0</v>
      </c>
      <c r="G9" t="b">
        <f>IF(AND(
'WVAG - Preisrechner'!E$4&gt;=$A9,
'WVAG - Preisrechner'!E$4&lt;$A12,
'WVAG - Preisrechner'!E$5&gt;=$B9,
'WVAG - Preisrechner'!E$5&lt;=$C9),
TRUE,FALSE)</f>
        <v>0</v>
      </c>
      <c r="H9" s="19" t="b">
        <f>IF(AND(
'WVAG - Preisrechner'!F$4&gt;=$A9,
'WVAG - Preisrechner'!F$4&lt;$A12,
'WVAG - Preisrechner'!F$5&gt;=$B9,
'WVAG - Preisrechner'!F$5&lt;=$C9),
TRUE,FALSE)</f>
        <v>0</v>
      </c>
      <c r="I9" s="19" t="b">
        <f>IF(AND(
'WVAG - Preisrechner'!G$4&gt;=$A9,
'WVAG - Preisrechner'!G$4&lt;$A12,
'WVAG - Preisrechner'!G$5&gt;=$B9,
'WVAG - Preisrechner'!G$5&lt;=$C9),
TRUE,FALSE)</f>
        <v>0</v>
      </c>
      <c r="J9" s="581">
        <v>1125</v>
      </c>
      <c r="O9" s="1011">
        <v>2000000</v>
      </c>
      <c r="P9" s="1014"/>
      <c r="Q9" s="1014"/>
      <c r="R9" s="1016">
        <v>2176.1999999999998</v>
      </c>
      <c r="S9" s="1013">
        <v>7.53</v>
      </c>
      <c r="T9" s="1016">
        <v>2343.6</v>
      </c>
      <c r="U9" s="1013">
        <v>7.53</v>
      </c>
      <c r="V9" s="1016">
        <v>2929.5</v>
      </c>
      <c r="W9" s="1013">
        <v>7.53</v>
      </c>
    </row>
    <row r="10" spans="1:23" ht="15" thickBot="1">
      <c r="A10" s="579">
        <v>750000</v>
      </c>
      <c r="B10" s="579">
        <v>100000001</v>
      </c>
      <c r="C10" s="579">
        <v>150000000</v>
      </c>
      <c r="D10" t="b">
        <f>IF(AND(
'WVAG - Preisrechner'!B$4&gt;=$A10,
'WVAG - Preisrechner'!B$4&lt;$A13,
'WVAG - Preisrechner'!B$5&gt;=$B10,
'WVAG - Preisrechner'!B$5&lt;=$C10),
TRUE,FALSE)</f>
        <v>0</v>
      </c>
      <c r="E10" t="b">
        <f>IF(AND('WVAG - Preisrechner'!C$4&gt;=$A10,'WVAG - Preisrechner'!C$4&lt;$A13,'WVAG - Preisrechner'!C$5&gt;=$B10,'WVAG - Preisrechner'!C$5&lt;=$C10),TRUE,FALSE)</f>
        <v>0</v>
      </c>
      <c r="F10" t="b">
        <f>IF(AND('WVAG - Preisrechner'!D$4&gt;=$A10,'WVAG - Preisrechner'!D$4&lt;$A13,'WVAG - Preisrechner'!D$5&gt;=$B10,'WVAG - Preisrechner'!D$5&lt;=$C10),TRUE,FALSE)</f>
        <v>0</v>
      </c>
      <c r="G10" t="b">
        <f>IF(AND(
'WVAG - Preisrechner'!E$4&gt;=$A10,
'WVAG - Preisrechner'!E$4&lt;$A13,
'WVAG - Preisrechner'!E$5&gt;=$B10,
'WVAG - Preisrechner'!E$5&lt;=$C10),
TRUE,FALSE)</f>
        <v>0</v>
      </c>
      <c r="H10" s="19" t="b">
        <f>IF(AND(
'WVAG - Preisrechner'!F$4&gt;=$A10,
'WVAG - Preisrechner'!F$4&lt;$A13,
'WVAG - Preisrechner'!F$5&gt;=$B10,
'WVAG - Preisrechner'!F$5&lt;=$C10),
TRUE,FALSE)</f>
        <v>0</v>
      </c>
      <c r="I10" s="19" t="b">
        <f>IF(AND(
'WVAG - Preisrechner'!G$4&gt;=$A10,
'WVAG - Preisrechner'!G$4&lt;$A13,
'WVAG - Preisrechner'!G$5&gt;=$B10,
'WVAG - Preisrechner'!G$5&lt;=$C10),
TRUE,FALSE)</f>
        <v>0</v>
      </c>
      <c r="J10" s="581">
        <v>1440</v>
      </c>
      <c r="O10" s="1011">
        <v>2500000</v>
      </c>
      <c r="P10" s="1014"/>
      <c r="Q10" s="1014"/>
      <c r="R10" s="1016">
        <v>2720.25</v>
      </c>
      <c r="S10" s="1013">
        <v>7.53</v>
      </c>
      <c r="T10" s="1016">
        <v>2929.5</v>
      </c>
      <c r="U10" s="1013">
        <v>7.53</v>
      </c>
      <c r="V10" s="1016">
        <v>3348</v>
      </c>
      <c r="W10" s="1013">
        <v>7.53</v>
      </c>
    </row>
    <row r="11" spans="1:23" ht="15" thickBot="1">
      <c r="A11" s="580">
        <v>1000000</v>
      </c>
      <c r="B11" s="580">
        <v>0</v>
      </c>
      <c r="C11" s="580">
        <v>50000000</v>
      </c>
      <c r="D11" t="b">
        <f>IF(AND(
'WVAG - Preisrechner'!B$4&gt;=$A11,
'WVAG - Preisrechner'!B$4&lt;$A14,
'WVAG - Preisrechner'!B$5&gt;=$B11,
'WVAG - Preisrechner'!B$5&lt;=$C11),
TRUE,FALSE)</f>
        <v>0</v>
      </c>
      <c r="E11" t="b">
        <f>IF(AND('WVAG - Preisrechner'!C$4&gt;=$A11,'WVAG - Preisrechner'!C$4&lt;$A14,'WVAG - Preisrechner'!C$5&gt;=$B11,'WVAG - Preisrechner'!C$5&lt;=$C11),TRUE,FALSE)</f>
        <v>0</v>
      </c>
      <c r="F11" t="b">
        <f>IF(AND('WVAG - Preisrechner'!D$4&gt;=$A11,'WVAG - Preisrechner'!D$4&lt;$A14,'WVAG - Preisrechner'!D$5&gt;=$B11,'WVAG - Preisrechner'!D$5&lt;=$C11),TRUE,FALSE)</f>
        <v>0</v>
      </c>
      <c r="G11" t="b">
        <f>IF(AND(
'WVAG - Preisrechner'!E$4&gt;=$A11,
'WVAG - Preisrechner'!E$4&lt;$A14,
'WVAG - Preisrechner'!E$5&gt;=$B11,
'WVAG - Preisrechner'!E$5&lt;=$C11),
TRUE,FALSE)</f>
        <v>0</v>
      </c>
      <c r="H11" s="19" t="b">
        <f>IF(AND(
'WVAG - Preisrechner'!F$4&gt;=$A11,
'WVAG - Preisrechner'!F$4&lt;$A14,
'WVAG - Preisrechner'!F$5&gt;=$B11,
'WVAG - Preisrechner'!F$5&lt;=$C11),
TRUE,FALSE)</f>
        <v>0</v>
      </c>
      <c r="I11" s="19" t="b">
        <f>IF(AND(
'WVAG - Preisrechner'!G$4&gt;=$A11,
'WVAG - Preisrechner'!G$4&lt;$A14,
'WVAG - Preisrechner'!G$5&gt;=$B11,
'WVAG - Preisrechner'!G$5&lt;=$C11),
TRUE,FALSE)</f>
        <v>0</v>
      </c>
      <c r="J11" s="581">
        <v>1111.5</v>
      </c>
      <c r="O11" s="1011">
        <v>3000000</v>
      </c>
      <c r="P11" s="1014"/>
      <c r="Q11" s="1014"/>
      <c r="R11" s="1016">
        <v>3088.8</v>
      </c>
      <c r="S11" s="1013">
        <v>13.64</v>
      </c>
      <c r="T11" s="1016">
        <v>3326.4</v>
      </c>
      <c r="U11" s="1013">
        <v>13.64</v>
      </c>
      <c r="V11" s="1016">
        <v>3564</v>
      </c>
      <c r="W11" s="1013">
        <v>13.64</v>
      </c>
    </row>
    <row r="12" spans="1:23" ht="15" thickBot="1">
      <c r="A12" s="579">
        <v>1000000</v>
      </c>
      <c r="B12" s="579">
        <v>50000001</v>
      </c>
      <c r="C12" s="579">
        <v>100000000</v>
      </c>
      <c r="D12" t="b">
        <f>IF(AND(
'WVAG - Preisrechner'!B$4&gt;=$A12,
'WVAG - Preisrechner'!B$4&lt;$A15,
'WVAG - Preisrechner'!B$5&gt;=$B12,
'WVAG - Preisrechner'!B$5&lt;=$C12),
TRUE,FALSE)</f>
        <v>0</v>
      </c>
      <c r="E12" t="b">
        <f>IF(AND('WVAG - Preisrechner'!C$4&gt;=$A12,'WVAG - Preisrechner'!C$4&lt;$A15,'WVAG - Preisrechner'!C$5&gt;=$B12,'WVAG - Preisrechner'!C$5&lt;=$C12),TRUE,FALSE)</f>
        <v>0</v>
      </c>
      <c r="F12" t="b">
        <f>IF(AND('WVAG - Preisrechner'!D$4&gt;=$A12,'WVAG - Preisrechner'!D$4&lt;$A15,'WVAG - Preisrechner'!D$5&gt;=$B12,'WVAG - Preisrechner'!D$5&lt;=$C12),TRUE,FALSE)</f>
        <v>0</v>
      </c>
      <c r="G12" t="b">
        <f>IF(AND(
'WVAG - Preisrechner'!E$4&gt;=$A12,
'WVAG - Preisrechner'!E$4&lt;$A15,
'WVAG - Preisrechner'!E$5&gt;=$B12,
'WVAG - Preisrechner'!E$5&lt;=$C12),
TRUE,FALSE)</f>
        <v>0</v>
      </c>
      <c r="H12" s="19" t="b">
        <f>IF(AND(
'WVAG - Preisrechner'!F$4&gt;=$A12,
'WVAG - Preisrechner'!F$4&lt;$A15,
'WVAG - Preisrechner'!F$5&gt;=$B12,
'WVAG - Preisrechner'!F$5&lt;=$C12),
TRUE,FALSE)</f>
        <v>0</v>
      </c>
      <c r="I12" s="19" t="b">
        <f>IF(AND(
'WVAG - Preisrechner'!G$4&gt;=$A12,
'WVAG - Preisrechner'!G$4&lt;$A15,
'WVAG - Preisrechner'!G$5&gt;=$B12,
'WVAG - Preisrechner'!G$5&lt;=$C12),
TRUE,FALSE)</f>
        <v>0</v>
      </c>
      <c r="J12" s="256">
        <v>1197</v>
      </c>
      <c r="O12" s="1011">
        <v>3500000</v>
      </c>
      <c r="P12" s="1014"/>
      <c r="Q12" s="1014"/>
      <c r="R12" s="1016">
        <v>3603.6</v>
      </c>
      <c r="S12" s="1013">
        <v>13.64</v>
      </c>
      <c r="T12" s="1016">
        <v>3880.8</v>
      </c>
      <c r="U12" s="1013">
        <v>13.64</v>
      </c>
      <c r="V12" s="1016">
        <v>4158</v>
      </c>
      <c r="W12" s="1013">
        <v>13.64</v>
      </c>
    </row>
    <row r="13" spans="1:23" ht="15" thickBot="1">
      <c r="A13" s="579">
        <v>1000000</v>
      </c>
      <c r="B13" s="579">
        <v>100000001</v>
      </c>
      <c r="C13" s="579">
        <v>150000000</v>
      </c>
      <c r="D13" t="b">
        <f>IF(AND(
'WVAG - Preisrechner'!B$4&gt;=$A13,
'WVAG - Preisrechner'!B$4&lt;$A16,
'WVAG - Preisrechner'!B$5&gt;=$B13,
'WVAG - Preisrechner'!B$5&lt;=$C13),
TRUE,FALSE)</f>
        <v>0</v>
      </c>
      <c r="E13" t="b">
        <f>IF(AND('WVAG - Preisrechner'!C$4&gt;=$A13,'WVAG - Preisrechner'!C$4&lt;$A16,'WVAG - Preisrechner'!C$5&gt;=$B13,'WVAG - Preisrechner'!C$5&lt;=$C13),TRUE,FALSE)</f>
        <v>0</v>
      </c>
      <c r="F13" t="b">
        <f>IF(AND('WVAG - Preisrechner'!D$4&gt;=$A13,'WVAG - Preisrechner'!D$4&lt;$A16,'WVAG - Preisrechner'!D$5&gt;=$B13,'WVAG - Preisrechner'!D$5&lt;=$C13),TRUE,FALSE)</f>
        <v>0</v>
      </c>
      <c r="G13" t="b">
        <f>IF(AND(
'WVAG - Preisrechner'!E$4&gt;=$A13,
'WVAG - Preisrechner'!E$4&lt;$A16,
'WVAG - Preisrechner'!E$5&gt;=$B13,
'WVAG - Preisrechner'!E$5&lt;=$C13),
TRUE,FALSE)</f>
        <v>0</v>
      </c>
      <c r="H13" s="19" t="b">
        <f>IF(AND(
'WVAG - Preisrechner'!F$4&gt;=$A13,
'WVAG - Preisrechner'!F$4&lt;$A16,
'WVAG - Preisrechner'!F$5&gt;=$B13,
'WVAG - Preisrechner'!F$5&lt;=$C13),
TRUE,FALSE)</f>
        <v>0</v>
      </c>
      <c r="I13" s="19" t="b">
        <f>IF(AND(
'WVAG - Preisrechner'!G$4&gt;=$A13,
'WVAG - Preisrechner'!G$4&lt;$A16,
'WVAG - Preisrechner'!G$5&gt;=$B13,
'WVAG - Preisrechner'!G$5&lt;=$C13),
TRUE,FALSE)</f>
        <v>0</v>
      </c>
      <c r="J13" s="256">
        <v>1710</v>
      </c>
      <c r="O13" s="1011">
        <v>4000000</v>
      </c>
      <c r="P13" s="1014"/>
      <c r="Q13" s="1014"/>
      <c r="R13" s="1016">
        <v>4024.8</v>
      </c>
      <c r="S13" s="1013">
        <v>16.28</v>
      </c>
      <c r="T13" s="1016">
        <v>4334.3999999999996</v>
      </c>
      <c r="U13" s="1013">
        <v>16.28</v>
      </c>
      <c r="V13" s="1016">
        <v>4644</v>
      </c>
      <c r="W13" s="1013">
        <v>16.28</v>
      </c>
    </row>
    <row r="14" spans="1:23" ht="15" thickBot="1">
      <c r="A14" s="580">
        <v>1500000</v>
      </c>
      <c r="B14" s="580">
        <v>0</v>
      </c>
      <c r="C14" s="580">
        <v>50000000</v>
      </c>
      <c r="D14" t="b">
        <f>IF(AND(
'WVAG - Preisrechner'!B$4&gt;=$A14,
'WVAG - Preisrechner'!B$4&lt;$A17,
'WVAG - Preisrechner'!B$5&gt;=$B14,
'WVAG - Preisrechner'!B$5&lt;=$C14),
TRUE,FALSE)</f>
        <v>0</v>
      </c>
      <c r="E14" t="b">
        <f>IF(AND('WVAG - Preisrechner'!C$4&gt;=$A14,'WVAG - Preisrechner'!C$4&lt;$A17,'WVAG - Preisrechner'!C$5&gt;=$B14,'WVAG - Preisrechner'!C$5&lt;=$C14),TRUE,FALSE)</f>
        <v>0</v>
      </c>
      <c r="F14" t="b">
        <f>IF(AND('WVAG - Preisrechner'!D$4&gt;=$A14,'WVAG - Preisrechner'!D$4&lt;$A17,'WVAG - Preisrechner'!D$5&gt;=$B14,'WVAG - Preisrechner'!D$5&lt;=$C14),TRUE,FALSE)</f>
        <v>0</v>
      </c>
      <c r="G14" t="b">
        <f>IF(AND(
'WVAG - Preisrechner'!E$4&gt;=$A14,
'WVAG - Preisrechner'!E$4&lt;$A17,
'WVAG - Preisrechner'!E$5&gt;=$B14,
'WVAG - Preisrechner'!E$5&lt;=$C14),
TRUE,FALSE)</f>
        <v>0</v>
      </c>
      <c r="H14" s="19" t="b">
        <f>IF(AND(
'WVAG - Preisrechner'!F$4&gt;=$A14,
'WVAG - Preisrechner'!F$4&lt;$A17,
'WVAG - Preisrechner'!F$5&gt;=$B14,
'WVAG - Preisrechner'!F$5&lt;=$C14),
TRUE,FALSE)</f>
        <v>0</v>
      </c>
      <c r="I14" s="19" t="b">
        <f>IF(AND(
'WVAG - Preisrechner'!G$4&gt;=$A14,
'WVAG - Preisrechner'!G$4&lt;$A17,
'WVAG - Preisrechner'!G$5&gt;=$B14,
'WVAG - Preisrechner'!G$5&lt;=$C14),
TRUE,FALSE)</f>
        <v>0</v>
      </c>
      <c r="J14" s="581">
        <v>1667.25</v>
      </c>
      <c r="O14" s="1011">
        <v>5000000</v>
      </c>
      <c r="P14" s="1014"/>
      <c r="Q14" s="1014"/>
      <c r="R14" s="1017">
        <v>5031</v>
      </c>
      <c r="S14" s="1013">
        <v>21.65</v>
      </c>
      <c r="T14" s="1017">
        <v>5418</v>
      </c>
      <c r="U14" s="1013">
        <v>16.28</v>
      </c>
      <c r="V14" s="1017">
        <v>5805</v>
      </c>
      <c r="W14" s="1013">
        <v>16.28</v>
      </c>
    </row>
    <row r="15" spans="1:23" ht="15" thickBot="1">
      <c r="A15" s="579">
        <v>1500000</v>
      </c>
      <c r="B15" s="579">
        <v>50000001</v>
      </c>
      <c r="C15" s="579">
        <v>100000000</v>
      </c>
      <c r="D15" t="b">
        <f>IF(AND(
'WVAG - Preisrechner'!B$4&gt;=$A15,
'WVAG - Preisrechner'!B$4&lt;$A18,
'WVAG - Preisrechner'!B$5&gt;=$B15,
'WVAG - Preisrechner'!B$5&lt;=$C15),
TRUE,FALSE)</f>
        <v>0</v>
      </c>
      <c r="E15" t="b">
        <f>IF(AND('WVAG - Preisrechner'!C$4&gt;=$A15,'WVAG - Preisrechner'!C$4&lt;$A18,'WVAG - Preisrechner'!C$5&gt;=$B15,'WVAG - Preisrechner'!C$5&lt;=$C15),TRUE,FALSE)</f>
        <v>0</v>
      </c>
      <c r="F15" t="b">
        <f>IF(AND('WVAG - Preisrechner'!D$4&gt;=$A15,'WVAG - Preisrechner'!D$4&lt;$A18,'WVAG - Preisrechner'!D$5&gt;=$B15,'WVAG - Preisrechner'!D$5&lt;=$C15),TRUE,FALSE)</f>
        <v>0</v>
      </c>
      <c r="G15" t="b">
        <f>IF(AND(
'WVAG - Preisrechner'!E$4&gt;=$A15,
'WVAG - Preisrechner'!E$4&lt;$A18,
'WVAG - Preisrechner'!E$5&gt;=$B15,
'WVAG - Preisrechner'!E$5&lt;=$C15),
TRUE,FALSE)</f>
        <v>0</v>
      </c>
      <c r="H15" s="19" t="b">
        <f>IF(AND(
'WVAG - Preisrechner'!F$4&gt;=$A15,
'WVAG - Preisrechner'!F$4&lt;$A18,
'WVAG - Preisrechner'!F$5&gt;=$B15,
'WVAG - Preisrechner'!F$5&lt;=$C15),
TRUE,FALSE)</f>
        <v>0</v>
      </c>
      <c r="I15" s="19" t="b">
        <f>IF(AND(
'WVAG - Preisrechner'!G$4&gt;=$A15,
'WVAG - Preisrechner'!G$4&lt;$A18,
'WVAG - Preisrechner'!G$5&gt;=$B15,
'WVAG - Preisrechner'!G$5&lt;=$C15),
TRUE,FALSE)</f>
        <v>0</v>
      </c>
      <c r="J15" s="256">
        <v>1795.5</v>
      </c>
      <c r="O15" s="1011">
        <v>7500000</v>
      </c>
      <c r="P15" s="1014"/>
      <c r="Q15" s="1014"/>
      <c r="R15" s="1017">
        <v>7560</v>
      </c>
      <c r="S15" s="1013">
        <v>17.86</v>
      </c>
      <c r="T15" s="1017">
        <v>7560</v>
      </c>
      <c r="U15" s="1013">
        <v>25</v>
      </c>
      <c r="V15" s="1017">
        <v>8100</v>
      </c>
      <c r="W15" s="1013">
        <v>25</v>
      </c>
    </row>
    <row r="16" spans="1:23" ht="15" thickBot="1">
      <c r="A16" s="579">
        <v>1500000</v>
      </c>
      <c r="B16" s="579">
        <v>100000001</v>
      </c>
      <c r="C16" s="579">
        <v>150000000</v>
      </c>
      <c r="D16" t="b">
        <f>IF(AND(
'WVAG - Preisrechner'!B$4&gt;=$A16,
'WVAG - Preisrechner'!B$4&lt;$A19,
'WVAG - Preisrechner'!B$5&gt;=$B16,
'WVAG - Preisrechner'!B$5&lt;=$C16),
TRUE,FALSE)</f>
        <v>0</v>
      </c>
      <c r="E16" t="b">
        <f>IF(AND('WVAG - Preisrechner'!C$4&gt;=$A16,'WVAG - Preisrechner'!C$4&lt;$A19,'WVAG - Preisrechner'!C$5&gt;=$B16,'WVAG - Preisrechner'!C$5&lt;=$C16),TRUE,FALSE)</f>
        <v>0</v>
      </c>
      <c r="F16" t="b">
        <f>IF(AND('WVAG - Preisrechner'!D$4&gt;=$A16,'WVAG - Preisrechner'!D$4&lt;$A19,'WVAG - Preisrechner'!D$5&gt;=$B16,'WVAG - Preisrechner'!D$5&lt;=$C16),TRUE,FALSE)</f>
        <v>0</v>
      </c>
      <c r="G16" t="b">
        <f>IF(AND(
'WVAG - Preisrechner'!E$4&gt;=$A16,
'WVAG - Preisrechner'!E$4&lt;$A19,
'WVAG - Preisrechner'!E$5&gt;=$B16,
'WVAG - Preisrechner'!E$5&lt;=$C16),
TRUE,FALSE)</f>
        <v>0</v>
      </c>
      <c r="H16" s="19" t="b">
        <f>IF(AND(
'WVAG - Preisrechner'!F$4&gt;=$A16,
'WVAG - Preisrechner'!F$4&lt;$A19,
'WVAG - Preisrechner'!F$5&gt;=$B16,
'WVAG - Preisrechner'!F$5&lt;=$C16),
TRUE,FALSE)</f>
        <v>0</v>
      </c>
      <c r="I16" s="19" t="b">
        <f>IF(AND(
'WVAG - Preisrechner'!G$4&gt;=$A16,
'WVAG - Preisrechner'!G$4&lt;$A19,
'WVAG - Preisrechner'!G$5&gt;=$B16,
'WVAG - Preisrechner'!G$5&lt;=$C16),
TRUE,FALSE)</f>
        <v>0</v>
      </c>
      <c r="J16" s="256">
        <v>2565</v>
      </c>
      <c r="O16" s="1011">
        <v>10000000</v>
      </c>
      <c r="P16" s="1014"/>
      <c r="Q16" s="1018"/>
      <c r="R16" s="1017">
        <v>10080</v>
      </c>
      <c r="S16" s="1013">
        <v>16.07</v>
      </c>
      <c r="T16" s="1017">
        <v>10080</v>
      </c>
      <c r="U16" s="1013">
        <v>25</v>
      </c>
      <c r="V16" s="1017">
        <v>10800</v>
      </c>
      <c r="W16" s="1013">
        <v>25</v>
      </c>
    </row>
    <row r="17" spans="1:10">
      <c r="A17" s="580">
        <v>2000000</v>
      </c>
      <c r="B17" s="580">
        <v>0</v>
      </c>
      <c r="C17" s="580">
        <v>50000000</v>
      </c>
      <c r="D17" t="b">
        <f>IF(AND(
'WVAG - Preisrechner'!B$4&gt;=$A17,
'WVAG - Preisrechner'!B$4&lt;$A20,
'WVAG - Preisrechner'!B$5&gt;=$B17,
'WVAG - Preisrechner'!B$5&lt;=$C17),
TRUE,FALSE)</f>
        <v>0</v>
      </c>
      <c r="E17" t="b">
        <f>IF(AND('WVAG - Preisrechner'!C$4&gt;=$A17,'WVAG - Preisrechner'!C$4&lt;$A20,'WVAG - Preisrechner'!C$5&gt;=$B17,'WVAG - Preisrechner'!C$5&lt;=$C17),TRUE,FALSE)</f>
        <v>0</v>
      </c>
      <c r="F17" t="b">
        <f>IF(AND('WVAG - Preisrechner'!D$4&gt;=$A17,'WVAG - Preisrechner'!D$4&lt;$A20,'WVAG - Preisrechner'!D$5&gt;=$B17,'WVAG - Preisrechner'!D$5&lt;=$C17),TRUE,FALSE)</f>
        <v>0</v>
      </c>
      <c r="G17" t="b">
        <f>IF(AND(
'WVAG - Preisrechner'!E$4&gt;=$A17,
'WVAG - Preisrechner'!E$4&lt;$A20,
'WVAG - Preisrechner'!E$5&gt;=$B17,
'WVAG - Preisrechner'!E$5&lt;=$C17),
TRUE,FALSE)</f>
        <v>0</v>
      </c>
      <c r="H17" s="19" t="b">
        <f>IF(AND(
'WVAG - Preisrechner'!F$4&gt;=$A17,
'WVAG - Preisrechner'!F$4&lt;$A20,
'WVAG - Preisrechner'!F$5&gt;=$B17,
'WVAG - Preisrechner'!F$5&lt;=$C17),
TRUE,FALSE)</f>
        <v>0</v>
      </c>
      <c r="I17" s="19" t="b">
        <f>IF(AND(
'WVAG - Preisrechner'!G$4&gt;=$A17,
'WVAG - Preisrechner'!G$4&lt;$A20,
'WVAG - Preisrechner'!G$5&gt;=$B17,
'WVAG - Preisrechner'!G$5&lt;=$C17),
TRUE,FALSE)</f>
        <v>0</v>
      </c>
      <c r="J17" s="581">
        <v>2176.1999999999998</v>
      </c>
    </row>
    <row r="18" spans="1:10">
      <c r="A18" s="579">
        <v>2000000</v>
      </c>
      <c r="B18" s="579">
        <v>50000001</v>
      </c>
      <c r="C18" s="579">
        <v>100000000</v>
      </c>
      <c r="D18" t="b">
        <f>IF(AND(
'WVAG - Preisrechner'!B$4&gt;=$A18,
'WVAG - Preisrechner'!B$4&lt;$A21,
'WVAG - Preisrechner'!B$5&gt;=$B18,
'WVAG - Preisrechner'!B$5&lt;=$C18),
TRUE,FALSE)</f>
        <v>0</v>
      </c>
      <c r="E18" t="b">
        <f>IF(AND('WVAG - Preisrechner'!C$4&gt;=$A18,'WVAG - Preisrechner'!C$4&lt;$A21,'WVAG - Preisrechner'!C$5&gt;=$B18,'WVAG - Preisrechner'!C$5&lt;=$C18),TRUE,FALSE)</f>
        <v>0</v>
      </c>
      <c r="F18" t="b">
        <f>IF(AND('WVAG - Preisrechner'!D$4&gt;=$A18,'WVAG - Preisrechner'!D$4&lt;$A21,'WVAG - Preisrechner'!D$5&gt;=$B18,'WVAG - Preisrechner'!D$5&lt;=$C18),TRUE,FALSE)</f>
        <v>0</v>
      </c>
      <c r="G18" t="b">
        <f>IF(AND(
'WVAG - Preisrechner'!E$4&gt;=$A18,
'WVAG - Preisrechner'!E$4&lt;$A21,
'WVAG - Preisrechner'!E$5&gt;=$B18,
'WVAG - Preisrechner'!E$5&lt;=$C18),
TRUE,FALSE)</f>
        <v>0</v>
      </c>
      <c r="H18" s="19" t="b">
        <f>IF(AND(
'WVAG - Preisrechner'!F$4&gt;=$A18,
'WVAG - Preisrechner'!F$4&lt;$A21,
'WVAG - Preisrechner'!F$5&gt;=$B18,
'WVAG - Preisrechner'!F$5&lt;=$C18),
TRUE,FALSE)</f>
        <v>0</v>
      </c>
      <c r="I18" s="19" t="b">
        <f>IF(AND(
'WVAG - Preisrechner'!G$4&gt;=$A18,
'WVAG - Preisrechner'!G$4&lt;$A21,
'WVAG - Preisrechner'!G$5&gt;=$B18,
'WVAG - Preisrechner'!G$5&lt;=$C18),
TRUE,FALSE)</f>
        <v>0</v>
      </c>
      <c r="J18" s="256">
        <v>2343.6</v>
      </c>
    </row>
    <row r="19" spans="1:10">
      <c r="A19" s="579">
        <v>2000000</v>
      </c>
      <c r="B19" s="579">
        <v>100000001</v>
      </c>
      <c r="C19" s="579">
        <v>150000000</v>
      </c>
      <c r="D19" t="b">
        <f>IF(AND(
'WVAG - Preisrechner'!B$4&gt;=$A19,
'WVAG - Preisrechner'!B$4&lt;$A22,
'WVAG - Preisrechner'!B$5&gt;=$B19,
'WVAG - Preisrechner'!B$5&lt;=$C19),
TRUE,FALSE)</f>
        <v>0</v>
      </c>
      <c r="E19" t="b">
        <f>IF(AND('WVAG - Preisrechner'!C$4&gt;=$A19,'WVAG - Preisrechner'!C$4&lt;$A22,'WVAG - Preisrechner'!C$5&gt;=$B19,'WVAG - Preisrechner'!C$5&lt;=$C19),TRUE,FALSE)</f>
        <v>0</v>
      </c>
      <c r="F19" t="b">
        <f>IF(AND('WVAG - Preisrechner'!D$4&gt;=$A19,'WVAG - Preisrechner'!D$4&lt;$A22,'WVAG - Preisrechner'!D$5&gt;=$B19,'WVAG - Preisrechner'!D$5&lt;=$C19),TRUE,FALSE)</f>
        <v>0</v>
      </c>
      <c r="G19" t="b">
        <f>IF(AND(
'WVAG - Preisrechner'!E$4&gt;=$A19,
'WVAG - Preisrechner'!E$4&lt;$A22,
'WVAG - Preisrechner'!E$5&gt;=$B19,
'WVAG - Preisrechner'!E$5&lt;=$C19),
TRUE,FALSE)</f>
        <v>0</v>
      </c>
      <c r="H19" s="19" t="b">
        <f>IF(AND(
'WVAG - Preisrechner'!F$4&gt;=$A19,
'WVAG - Preisrechner'!F$4&lt;$A22,
'WVAG - Preisrechner'!F$5&gt;=$B19,
'WVAG - Preisrechner'!F$5&lt;=$C19),
TRUE,FALSE)</f>
        <v>0</v>
      </c>
      <c r="I19" s="19" t="b">
        <f>IF(AND(
'WVAG - Preisrechner'!G$4&gt;=$A19,
'WVAG - Preisrechner'!G$4&lt;$A22,
'WVAG - Preisrechner'!G$5&gt;=$B19,
'WVAG - Preisrechner'!G$5&lt;=$C19),
TRUE,FALSE)</f>
        <v>0</v>
      </c>
      <c r="J19" s="256">
        <v>2929.5</v>
      </c>
    </row>
    <row r="20" spans="1:10">
      <c r="A20" s="580">
        <v>2500000</v>
      </c>
      <c r="B20" s="580">
        <v>0</v>
      </c>
      <c r="C20" s="580">
        <v>50000000</v>
      </c>
      <c r="D20" t="b">
        <f>IF(AND(
'WVAG - Preisrechner'!B$4&gt;=$A20,
'WVAG - Preisrechner'!B$4&lt;$A23,
'WVAG - Preisrechner'!B$5&gt;=$B20,
'WVAG - Preisrechner'!B$5&lt;=$C20),
TRUE,FALSE)</f>
        <v>0</v>
      </c>
      <c r="E20" t="b">
        <f>IF(AND('WVAG - Preisrechner'!C$4&gt;=$A20,'WVAG - Preisrechner'!C$4&lt;$A23,'WVAG - Preisrechner'!C$5&gt;=$B20,'WVAG - Preisrechner'!C$5&lt;=$C20),TRUE,FALSE)</f>
        <v>0</v>
      </c>
      <c r="F20" t="b">
        <f>IF(AND('WVAG - Preisrechner'!D$4&gt;=$A20,'WVAG - Preisrechner'!D$4&lt;$A23,'WVAG - Preisrechner'!D$5&gt;=$B20,'WVAG - Preisrechner'!D$5&lt;=$C20),TRUE,FALSE)</f>
        <v>0</v>
      </c>
      <c r="G20" t="b">
        <f>IF(AND(
'WVAG - Preisrechner'!E$4&gt;=$A20,
'WVAG - Preisrechner'!E$4&lt;$A23,
'WVAG - Preisrechner'!E$5&gt;=$B20,
'WVAG - Preisrechner'!E$5&lt;=$C20),
TRUE,FALSE)</f>
        <v>0</v>
      </c>
      <c r="H20" s="19" t="b">
        <f>IF(AND(
'WVAG - Preisrechner'!F$4&gt;=$A20,
'WVAG - Preisrechner'!F$4&lt;$A23,
'WVAG - Preisrechner'!F$5&gt;=$B20,
'WVAG - Preisrechner'!F$5&lt;=$C20),
TRUE,FALSE)</f>
        <v>0</v>
      </c>
      <c r="I20" s="19" t="b">
        <f>IF(AND(
'WVAG - Preisrechner'!G$4&gt;=$A20,
'WVAG - Preisrechner'!G$4&lt;$A23,
'WVAG - Preisrechner'!G$5&gt;=$B20,
'WVAG - Preisrechner'!G$5&lt;=$C20),
TRUE,FALSE)</f>
        <v>0</v>
      </c>
      <c r="J20" s="581">
        <v>2720.25</v>
      </c>
    </row>
    <row r="21" spans="1:10">
      <c r="A21" s="579">
        <v>2500000</v>
      </c>
      <c r="B21" s="579">
        <v>50000001</v>
      </c>
      <c r="C21" s="579">
        <v>100000000</v>
      </c>
      <c r="D21" t="b">
        <f>IF(AND(
'WVAG - Preisrechner'!B$4&gt;=$A21,
'WVAG - Preisrechner'!B$4&lt;$A24,
'WVAG - Preisrechner'!B$5&gt;=$B21,
'WVAG - Preisrechner'!B$5&lt;=$C21),
TRUE,FALSE)</f>
        <v>0</v>
      </c>
      <c r="E21" t="b">
        <f>IF(AND('WVAG - Preisrechner'!C$4&gt;=$A21,'WVAG - Preisrechner'!C$4&lt;$A24,'WVAG - Preisrechner'!C$5&gt;=$B21,'WVAG - Preisrechner'!C$5&lt;=$C21),TRUE,FALSE)</f>
        <v>0</v>
      </c>
      <c r="F21" t="b">
        <f>IF(AND('WVAG - Preisrechner'!D$4&gt;=$A21,'WVAG - Preisrechner'!D$4&lt;$A24,'WVAG - Preisrechner'!D$5&gt;=$B21,'WVAG - Preisrechner'!D$5&lt;=$C21),TRUE,FALSE)</f>
        <v>0</v>
      </c>
      <c r="G21" t="b">
        <f>IF(AND(
'WVAG - Preisrechner'!E$4&gt;=$A21,
'WVAG - Preisrechner'!E$4&lt;$A24,
'WVAG - Preisrechner'!E$5&gt;=$B21,
'WVAG - Preisrechner'!E$5&lt;=$C21),
TRUE,FALSE)</f>
        <v>0</v>
      </c>
      <c r="H21" s="19" t="b">
        <f>IF(AND(
'WVAG - Preisrechner'!F$4&gt;=$A21,
'WVAG - Preisrechner'!F$4&lt;$A24,
'WVAG - Preisrechner'!F$5&gt;=$B21,
'WVAG - Preisrechner'!F$5&lt;=$C21),
TRUE,FALSE)</f>
        <v>0</v>
      </c>
      <c r="I21" s="19" t="b">
        <f>IF(AND(
'WVAG - Preisrechner'!G$4&gt;=$A21,
'WVAG - Preisrechner'!G$4&lt;$A24,
'WVAG - Preisrechner'!G$5&gt;=$B21,
'WVAG - Preisrechner'!G$5&lt;=$C21),
TRUE,FALSE)</f>
        <v>0</v>
      </c>
      <c r="J21" s="256">
        <v>2929.5</v>
      </c>
    </row>
    <row r="22" spans="1:10">
      <c r="A22" s="579">
        <v>2500000</v>
      </c>
      <c r="B22" s="579">
        <v>100000001</v>
      </c>
      <c r="C22" s="579">
        <v>150000000</v>
      </c>
      <c r="D22" t="b">
        <f>IF(AND(
'WVAG - Preisrechner'!B$4&gt;=$A22,
'WVAG - Preisrechner'!B$4&lt;$A25,
'WVAG - Preisrechner'!B$5&gt;=$B22,
'WVAG - Preisrechner'!B$5&lt;=$C22),
TRUE,FALSE)</f>
        <v>0</v>
      </c>
      <c r="E22" t="b">
        <f>IF(AND('WVAG - Preisrechner'!C$4&gt;=$A22,'WVAG - Preisrechner'!C$4&lt;$A25,'WVAG - Preisrechner'!C$5&gt;=$B22,'WVAG - Preisrechner'!C$5&lt;=$C22),TRUE,FALSE)</f>
        <v>0</v>
      </c>
      <c r="F22" t="b">
        <f>IF(AND('WVAG - Preisrechner'!D$4&gt;=$A22,'WVAG - Preisrechner'!D$4&lt;$A25,'WVAG - Preisrechner'!D$5&gt;=$B22,'WVAG - Preisrechner'!D$5&lt;=$C22),TRUE,FALSE)</f>
        <v>0</v>
      </c>
      <c r="G22" t="b">
        <f>IF(AND(
'WVAG - Preisrechner'!E$4&gt;=$A22,
'WVAG - Preisrechner'!E$4&lt;$A25,
'WVAG - Preisrechner'!E$5&gt;=$B22,
'WVAG - Preisrechner'!E$5&lt;=$C22),
TRUE,FALSE)</f>
        <v>0</v>
      </c>
      <c r="H22" s="19" t="b">
        <f>IF(AND(
'WVAG - Preisrechner'!F$4&gt;=$A22,
'WVAG - Preisrechner'!F$4&lt;$A25,
'WVAG - Preisrechner'!F$5&gt;=$B22,
'WVAG - Preisrechner'!F$5&lt;=$C22),
TRUE,FALSE)</f>
        <v>0</v>
      </c>
      <c r="I22" s="19" t="b">
        <f>IF(AND(
'WVAG - Preisrechner'!G$4&gt;=$A22,
'WVAG - Preisrechner'!G$4&lt;$A25,
'WVAG - Preisrechner'!G$5&gt;=$B22,
'WVAG - Preisrechner'!G$5&lt;=$C22),
TRUE,FALSE)</f>
        <v>0</v>
      </c>
      <c r="J22" s="256">
        <v>3348</v>
      </c>
    </row>
    <row r="23" spans="1:10">
      <c r="A23" s="580">
        <v>3000000</v>
      </c>
      <c r="B23" s="580">
        <v>0</v>
      </c>
      <c r="C23" s="580">
        <v>50000000</v>
      </c>
      <c r="D23" t="b">
        <f>IF(AND(
'WVAG - Preisrechner'!B$4&gt;=$A23,
'WVAG - Preisrechner'!B$4&lt;$A26,
'WVAG - Preisrechner'!B$5&gt;=$B23,
'WVAG - Preisrechner'!B$5&lt;=$C23),
TRUE,FALSE)</f>
        <v>0</v>
      </c>
      <c r="E23" t="b">
        <f>IF(AND('WVAG - Preisrechner'!C$4&gt;=$A23,'WVAG - Preisrechner'!C$4&lt;$A26,'WVAG - Preisrechner'!C$5&gt;=$B23,'WVAG - Preisrechner'!C$5&lt;=$C23),TRUE,FALSE)</f>
        <v>0</v>
      </c>
      <c r="F23" t="b">
        <f>IF(AND('WVAG - Preisrechner'!D$4&gt;=$A23,'WVAG - Preisrechner'!D$4&lt;$A26,'WVAG - Preisrechner'!D$5&gt;=$B23,'WVAG - Preisrechner'!D$5&lt;=$C23),TRUE,FALSE)</f>
        <v>0</v>
      </c>
      <c r="G23" t="b">
        <f>IF(AND(
'WVAG - Preisrechner'!E$4&gt;=$A23,
'WVAG - Preisrechner'!E$4&lt;$A26,
'WVAG - Preisrechner'!E$5&gt;=$B23,
'WVAG - Preisrechner'!E$5&lt;=$C23),
TRUE,FALSE)</f>
        <v>0</v>
      </c>
      <c r="H23" s="19" t="b">
        <f>IF(AND(
'WVAG - Preisrechner'!F$4&gt;=$A23,
'WVAG - Preisrechner'!F$4&lt;$A26,
'WVAG - Preisrechner'!F$5&gt;=$B23,
'WVAG - Preisrechner'!F$5&lt;=$C23),
TRUE,FALSE)</f>
        <v>0</v>
      </c>
      <c r="I23" s="19" t="b">
        <f>IF(AND(
'WVAG - Preisrechner'!G$4&gt;=$A23,
'WVAG - Preisrechner'!G$4&lt;$A26,
'WVAG - Preisrechner'!G$5&gt;=$B23,
'WVAG - Preisrechner'!G$5&lt;=$C23),
TRUE,FALSE)</f>
        <v>0</v>
      </c>
      <c r="J23" s="581">
        <v>3088.8</v>
      </c>
    </row>
    <row r="24" spans="1:10">
      <c r="A24" s="579">
        <v>3000000</v>
      </c>
      <c r="B24" s="579">
        <v>50000001</v>
      </c>
      <c r="C24" s="579">
        <v>100000000</v>
      </c>
      <c r="D24" t="b">
        <f>IF(AND(
'WVAG - Preisrechner'!B$4&gt;=$A24,
'WVAG - Preisrechner'!B$4&lt;$A27,
'WVAG - Preisrechner'!B$5&gt;=$B24,
'WVAG - Preisrechner'!B$5&lt;=$C24),
TRUE,FALSE)</f>
        <v>0</v>
      </c>
      <c r="E24" t="b">
        <f>IF(AND('WVAG - Preisrechner'!C$4&gt;=$A24,'WVAG - Preisrechner'!C$4&lt;$A27,'WVAG - Preisrechner'!C$5&gt;=$B24,'WVAG - Preisrechner'!C$5&lt;=$C24),TRUE,FALSE)</f>
        <v>0</v>
      </c>
      <c r="F24" t="b">
        <f>IF(AND('WVAG - Preisrechner'!D$4&gt;=$A24,'WVAG - Preisrechner'!D$4&lt;$A27,'WVAG - Preisrechner'!D$5&gt;=$B24,'WVAG - Preisrechner'!D$5&lt;=$C24),TRUE,FALSE)</f>
        <v>0</v>
      </c>
      <c r="G24" t="b">
        <f>IF(AND(
'WVAG - Preisrechner'!E$4&gt;=$A24,
'WVAG - Preisrechner'!E$4&lt;$A27,
'WVAG - Preisrechner'!E$5&gt;=$B24,
'WVAG - Preisrechner'!E$5&lt;=$C24),
TRUE,FALSE)</f>
        <v>0</v>
      </c>
      <c r="H24" s="19" t="b">
        <f>IF(AND(
'WVAG - Preisrechner'!F$4&gt;=$A24,
'WVAG - Preisrechner'!F$4&lt;$A27,
'WVAG - Preisrechner'!F$5&gt;=$B24,
'WVAG - Preisrechner'!F$5&lt;=$C24),
TRUE,FALSE)</f>
        <v>0</v>
      </c>
      <c r="I24" s="19" t="b">
        <f>IF(AND(
'WVAG - Preisrechner'!G$4&gt;=$A24,
'WVAG - Preisrechner'!G$4&lt;$A27,
'WVAG - Preisrechner'!G$5&gt;=$B24,
'WVAG - Preisrechner'!G$5&lt;=$C24),
TRUE,FALSE)</f>
        <v>0</v>
      </c>
      <c r="J24" s="256">
        <v>3326.4</v>
      </c>
    </row>
    <row r="25" spans="1:10">
      <c r="A25" s="579">
        <v>3000000</v>
      </c>
      <c r="B25" s="579">
        <v>100000001</v>
      </c>
      <c r="C25" s="579">
        <v>150000000</v>
      </c>
      <c r="D25" t="b">
        <f>IF(AND(
'WVAG - Preisrechner'!B$4&gt;=$A25,
'WVAG - Preisrechner'!B$4&lt;$A28,
'WVAG - Preisrechner'!B$5&gt;=$B25,
'WVAG - Preisrechner'!B$5&lt;=$C25),
TRUE,FALSE)</f>
        <v>0</v>
      </c>
      <c r="E25" t="b">
        <f>IF(AND('WVAG - Preisrechner'!C$4&gt;=$A25,'WVAG - Preisrechner'!C$4&lt;$A28,'WVAG - Preisrechner'!C$5&gt;=$B25,'WVAG - Preisrechner'!C$5&lt;=$C25),TRUE,FALSE)</f>
        <v>0</v>
      </c>
      <c r="F25" t="b">
        <f>IF(AND('WVAG - Preisrechner'!D$4&gt;=$A25,'WVAG - Preisrechner'!D$4&lt;$A28,'WVAG - Preisrechner'!D$5&gt;=$B25,'WVAG - Preisrechner'!D$5&lt;=$C25),TRUE,FALSE)</f>
        <v>0</v>
      </c>
      <c r="G25" t="b">
        <f>IF(AND(
'WVAG - Preisrechner'!E$4&gt;=$A25,
'WVAG - Preisrechner'!E$4&lt;$A28,
'WVAG - Preisrechner'!E$5&gt;=$B25,
'WVAG - Preisrechner'!E$5&lt;=$C25),
TRUE,FALSE)</f>
        <v>0</v>
      </c>
      <c r="H25" s="19" t="b">
        <f>IF(AND(
'WVAG - Preisrechner'!F$4&gt;=$A25,
'WVAG - Preisrechner'!F$4&lt;$A28,
'WVAG - Preisrechner'!F$5&gt;=$B25,
'WVAG - Preisrechner'!F$5&lt;=$C25),
TRUE,FALSE)</f>
        <v>0</v>
      </c>
      <c r="I25" s="19" t="b">
        <f>IF(AND(
'WVAG - Preisrechner'!G$4&gt;=$A25,
'WVAG - Preisrechner'!G$4&lt;$A28,
'WVAG - Preisrechner'!G$5&gt;=$B25,
'WVAG - Preisrechner'!G$5&lt;=$C25),
TRUE,FALSE)</f>
        <v>0</v>
      </c>
      <c r="J25" s="256">
        <v>3564</v>
      </c>
    </row>
    <row r="26" spans="1:10">
      <c r="A26" s="579">
        <v>3500000</v>
      </c>
      <c r="B26" s="580">
        <v>0</v>
      </c>
      <c r="C26" s="580">
        <v>50000000</v>
      </c>
      <c r="D26" t="b">
        <f>IF(AND(
'WVAG - Preisrechner'!B$4&gt;=$A26,
'WVAG - Preisrechner'!B$4&lt;$A29,
'WVAG - Preisrechner'!B$5&gt;=$B26,
'WVAG - Preisrechner'!B$5&lt;=$C26),
TRUE,FALSE)</f>
        <v>0</v>
      </c>
      <c r="E26" t="b">
        <f>IF(AND('WVAG - Preisrechner'!C$4&gt;=$A26,'WVAG - Preisrechner'!C$4&lt;$A29,'WVAG - Preisrechner'!C$5&gt;=$B26,'WVAG - Preisrechner'!C$5&lt;=$C26),TRUE,FALSE)</f>
        <v>0</v>
      </c>
      <c r="F26" t="b">
        <f>IF(AND('WVAG - Preisrechner'!D$4&gt;=$A26,'WVAG - Preisrechner'!D$4&lt;$A29,'WVAG - Preisrechner'!D$5&gt;=$B26,'WVAG - Preisrechner'!D$5&lt;=$C26),TRUE,FALSE)</f>
        <v>0</v>
      </c>
      <c r="G26" t="b">
        <f>IF(AND(
'WVAG - Preisrechner'!E$4&gt;=$A26,
'WVAG - Preisrechner'!E$4&lt;$A29,
'WVAG - Preisrechner'!E$5&gt;=$B26,
'WVAG - Preisrechner'!E$5&lt;=$C26),
TRUE,FALSE)</f>
        <v>0</v>
      </c>
      <c r="H26" s="19" t="b">
        <f>IF(AND(
'WVAG - Preisrechner'!F$4&gt;=$A26,
'WVAG - Preisrechner'!F$4&lt;$A29,
'WVAG - Preisrechner'!F$5&gt;=$B26,
'WVAG - Preisrechner'!F$5&lt;=$C26),
TRUE,FALSE)</f>
        <v>0</v>
      </c>
      <c r="I26" s="19" t="b">
        <f>IF(AND(
'WVAG - Preisrechner'!G$4&gt;=$A26,
'WVAG - Preisrechner'!G$4&lt;$A29,
'WVAG - Preisrechner'!G$5&gt;=$B26,
'WVAG - Preisrechner'!G$5&lt;=$C26),
TRUE,FALSE)</f>
        <v>0</v>
      </c>
      <c r="J26" s="256">
        <v>3603.6</v>
      </c>
    </row>
    <row r="27" spans="1:10">
      <c r="A27" s="579">
        <v>3500000</v>
      </c>
      <c r="B27" s="579">
        <v>50000001</v>
      </c>
      <c r="C27" s="579">
        <v>100000000</v>
      </c>
      <c r="D27" t="b">
        <f>IF(AND(
'WVAG - Preisrechner'!B$4&gt;=$A27,
'WVAG - Preisrechner'!B$4&lt;$A30,
'WVAG - Preisrechner'!B$5&gt;=$B27,
'WVAG - Preisrechner'!B$5&lt;=$C27),
TRUE,FALSE)</f>
        <v>0</v>
      </c>
      <c r="E27" t="b">
        <f>IF(AND('WVAG - Preisrechner'!C$4&gt;=$A27,'WVAG - Preisrechner'!C$4&lt;$A30,'WVAG - Preisrechner'!C$5&gt;=$B27,'WVAG - Preisrechner'!C$5&lt;=$C27),TRUE,FALSE)</f>
        <v>0</v>
      </c>
      <c r="F27" t="b">
        <f>IF(AND('WVAG - Preisrechner'!D$4&gt;=$A27,'WVAG - Preisrechner'!D$4&lt;$A30,'WVAG - Preisrechner'!D$5&gt;=$B27,'WVAG - Preisrechner'!D$5&lt;=$C27),TRUE,FALSE)</f>
        <v>0</v>
      </c>
      <c r="G27" t="b">
        <f>IF(AND(
'WVAG - Preisrechner'!E$4&gt;=$A27,
'WVAG - Preisrechner'!E$4&lt;$A30,
'WVAG - Preisrechner'!E$5&gt;=$B27,
'WVAG - Preisrechner'!E$5&lt;=$C27),
TRUE,FALSE)</f>
        <v>0</v>
      </c>
      <c r="H27" s="19" t="b">
        <f>IF(AND(
'WVAG - Preisrechner'!F$4&gt;=$A27,
'WVAG - Preisrechner'!F$4&lt;$A30,
'WVAG - Preisrechner'!F$5&gt;=$B27,
'WVAG - Preisrechner'!F$5&lt;=$C27),
TRUE,FALSE)</f>
        <v>0</v>
      </c>
      <c r="I27" s="19" t="b">
        <f>IF(AND(
'WVAG - Preisrechner'!G$4&gt;=$A27,
'WVAG - Preisrechner'!G$4&lt;$A30,
'WVAG - Preisrechner'!G$5&gt;=$B27,
'WVAG - Preisrechner'!G$5&lt;=$C27),
TRUE,FALSE)</f>
        <v>0</v>
      </c>
      <c r="J27" s="256">
        <v>3880.8</v>
      </c>
    </row>
    <row r="28" spans="1:10">
      <c r="A28" s="579">
        <v>3500000</v>
      </c>
      <c r="B28" s="579">
        <v>100000001</v>
      </c>
      <c r="C28" s="579">
        <v>150000000</v>
      </c>
      <c r="D28" t="b">
        <f>IF(AND(
'WVAG - Preisrechner'!B$4&gt;=$A28,
'WVAG - Preisrechner'!B$4&lt;$A31,
'WVAG - Preisrechner'!B$5&gt;=$B28,
'WVAG - Preisrechner'!B$5&lt;=$C28),
TRUE,FALSE)</f>
        <v>0</v>
      </c>
      <c r="E28" t="b">
        <f>IF(AND('WVAG - Preisrechner'!C$4&gt;=$A28,'WVAG - Preisrechner'!C$4&lt;$A31,'WVAG - Preisrechner'!C$5&gt;=$B28,'WVAG - Preisrechner'!C$5&lt;=$C28),TRUE,FALSE)</f>
        <v>0</v>
      </c>
      <c r="F28" t="b">
        <f>IF(AND('WVAG - Preisrechner'!D$4&gt;=$A28,'WVAG - Preisrechner'!D$4&lt;$A31,'WVAG - Preisrechner'!D$5&gt;=$B28,'WVAG - Preisrechner'!D$5&lt;=$C28),TRUE,FALSE)</f>
        <v>0</v>
      </c>
      <c r="G28" t="b">
        <f>IF(AND(
'WVAG - Preisrechner'!E$4&gt;=$A28,
'WVAG - Preisrechner'!E$4&lt;$A31,
'WVAG - Preisrechner'!E$5&gt;=$B28,
'WVAG - Preisrechner'!E$5&lt;=$C28),
TRUE,FALSE)</f>
        <v>0</v>
      </c>
      <c r="H28" s="19" t="b">
        <f>IF(AND(
'WVAG - Preisrechner'!F$4&gt;=$A28,
'WVAG - Preisrechner'!F$4&lt;$A31,
'WVAG - Preisrechner'!F$5&gt;=$B28,
'WVAG - Preisrechner'!F$5&lt;=$C28),
TRUE,FALSE)</f>
        <v>0</v>
      </c>
      <c r="I28" s="19" t="b">
        <f>IF(AND(
'WVAG - Preisrechner'!G$4&gt;=$A28,
'WVAG - Preisrechner'!G$4&lt;$A31,
'WVAG - Preisrechner'!G$5&gt;=$B28,
'WVAG - Preisrechner'!G$5&lt;=$C28),
TRUE,FALSE)</f>
        <v>0</v>
      </c>
      <c r="J28" s="256">
        <v>4158</v>
      </c>
    </row>
    <row r="29" spans="1:10">
      <c r="A29" s="579">
        <v>4000000</v>
      </c>
      <c r="B29" s="579">
        <v>0</v>
      </c>
      <c r="C29" s="579">
        <v>50000000</v>
      </c>
      <c r="D29" t="b">
        <f>IF(AND(
'WVAG - Preisrechner'!B$4&gt;=$A29,
'WVAG - Preisrechner'!B$4&lt;$A32,
'WVAG - Preisrechner'!B$5&gt;=$B29,
'WVAG - Preisrechner'!B$5&lt;=$C29),
TRUE,FALSE)</f>
        <v>0</v>
      </c>
      <c r="E29" t="b">
        <f>IF(AND('WVAG - Preisrechner'!C$4&gt;=$A29,'WVAG - Preisrechner'!C$4&lt;$A32,'WVAG - Preisrechner'!C$5&gt;=$B29,'WVAG - Preisrechner'!C$5&lt;=$C29),TRUE,FALSE)</f>
        <v>0</v>
      </c>
      <c r="F29" t="b">
        <f>IF(AND('WVAG - Preisrechner'!D$4&gt;=$A29,'WVAG - Preisrechner'!D$4&lt;$A32,'WVAG - Preisrechner'!D$5&gt;=$B29,'WVAG - Preisrechner'!D$5&lt;=$C29),TRUE,FALSE)</f>
        <v>0</v>
      </c>
      <c r="G29" t="b">
        <f>IF(AND(
'WVAG - Preisrechner'!E$4&gt;=$A29,
'WVAG - Preisrechner'!E$4&lt;$A32,
'WVAG - Preisrechner'!E$5&gt;=$B29,
'WVAG - Preisrechner'!E$5&lt;=$C29),
TRUE,FALSE)</f>
        <v>0</v>
      </c>
      <c r="H29" s="19" t="b">
        <f>IF(AND(
'WVAG - Preisrechner'!F$4&gt;=$A29,
'WVAG - Preisrechner'!F$4&lt;$A32,
'WVAG - Preisrechner'!F$5&gt;=$B29,
'WVAG - Preisrechner'!F$5&lt;=$C29),
TRUE,FALSE)</f>
        <v>0</v>
      </c>
      <c r="I29" s="19" t="b">
        <f>IF(AND(
'WVAG - Preisrechner'!G$4&gt;=$A29,
'WVAG - Preisrechner'!G$4&lt;$A32,
'WVAG - Preisrechner'!G$5&gt;=$B29,
'WVAG - Preisrechner'!G$5&lt;=$C29),
TRUE,FALSE)</f>
        <v>0</v>
      </c>
      <c r="J29" s="256">
        <v>4024.8</v>
      </c>
    </row>
    <row r="30" spans="1:10">
      <c r="A30" s="579">
        <v>4000000</v>
      </c>
      <c r="B30" s="579">
        <v>50000001</v>
      </c>
      <c r="C30" s="579">
        <v>100000000</v>
      </c>
      <c r="D30" t="b">
        <f>IF(AND(
'WVAG - Preisrechner'!B$4&gt;=$A30,
'WVAG - Preisrechner'!B$4&lt;$A33,
'WVAG - Preisrechner'!B$5&gt;=$B30,
'WVAG - Preisrechner'!B$5&lt;=$C30),
TRUE,FALSE)</f>
        <v>0</v>
      </c>
      <c r="E30" t="b">
        <f>IF(AND('WVAG - Preisrechner'!C$4&gt;=$A30,'WVAG - Preisrechner'!C$4&lt;$A33,'WVAG - Preisrechner'!C$5&gt;=$B30,'WVAG - Preisrechner'!C$5&lt;=$C30),TRUE,FALSE)</f>
        <v>0</v>
      </c>
      <c r="F30" t="b">
        <f>IF(AND('WVAG - Preisrechner'!D$4&gt;=$A30,'WVAG - Preisrechner'!D$4&lt;$A33,'WVAG - Preisrechner'!D$5&gt;=$B30,'WVAG - Preisrechner'!D$5&lt;=$C30),TRUE,FALSE)</f>
        <v>0</v>
      </c>
      <c r="G30" t="b">
        <f>IF(AND(
'WVAG - Preisrechner'!E$4&gt;=$A30,
'WVAG - Preisrechner'!E$4&lt;$A33,
'WVAG - Preisrechner'!E$5&gt;=$B30,
'WVAG - Preisrechner'!E$5&lt;=$C30),
TRUE,FALSE)</f>
        <v>0</v>
      </c>
      <c r="H30" s="19" t="b">
        <f>IF(AND(
'WVAG - Preisrechner'!F$4&gt;=$A30,
'WVAG - Preisrechner'!F$4&lt;$A33,
'WVAG - Preisrechner'!F$5&gt;=$B30,
'WVAG - Preisrechner'!F$5&lt;=$C30),
TRUE,FALSE)</f>
        <v>0</v>
      </c>
      <c r="I30" s="19" t="b">
        <f>IF(AND(
'WVAG - Preisrechner'!G$4&gt;=$A30,
'WVAG - Preisrechner'!G$4&lt;$A33,
'WVAG - Preisrechner'!G$5&gt;=$B30,
'WVAG - Preisrechner'!G$5&lt;=$C30),
TRUE,FALSE)</f>
        <v>0</v>
      </c>
      <c r="J30" s="256">
        <v>4334.3999999999996</v>
      </c>
    </row>
    <row r="31" spans="1:10">
      <c r="A31" s="579">
        <v>4000000</v>
      </c>
      <c r="B31" s="579">
        <v>100000001</v>
      </c>
      <c r="C31" s="579">
        <v>150000000</v>
      </c>
      <c r="D31" t="b">
        <f>IF(AND(
'WVAG - Preisrechner'!B$4&gt;=$A31,
'WVAG - Preisrechner'!B$4&lt;$A34,
'WVAG - Preisrechner'!B$5&gt;=$B31,
'WVAG - Preisrechner'!B$5&lt;=$C31),
TRUE,FALSE)</f>
        <v>0</v>
      </c>
      <c r="E31" t="b">
        <f>IF(AND('WVAG - Preisrechner'!C$4&gt;=$A31,'WVAG - Preisrechner'!C$4&lt;$A34,'WVAG - Preisrechner'!C$5&gt;=$B31,'WVAG - Preisrechner'!C$5&lt;=$C31),TRUE,FALSE)</f>
        <v>0</v>
      </c>
      <c r="F31" t="b">
        <f>IF(AND('WVAG - Preisrechner'!D$4&gt;=$A31,'WVAG - Preisrechner'!D$4&lt;$A34,'WVAG - Preisrechner'!D$5&gt;=$B31,'WVAG - Preisrechner'!D$5&lt;=$C31),TRUE,FALSE)</f>
        <v>0</v>
      </c>
      <c r="G31" t="b">
        <f>IF(AND(
'WVAG - Preisrechner'!E$4&gt;=$A31,
'WVAG - Preisrechner'!E$4&lt;$A34,
'WVAG - Preisrechner'!E$5&gt;=$B31,
'WVAG - Preisrechner'!E$5&lt;=$C31),
TRUE,FALSE)</f>
        <v>0</v>
      </c>
      <c r="H31" s="19" t="b">
        <f>IF(AND(
'WVAG - Preisrechner'!F$4&gt;=$A31,
'WVAG - Preisrechner'!F$4&lt;$A34,
'WVAG - Preisrechner'!F$5&gt;=$B31,
'WVAG - Preisrechner'!F$5&lt;=$C31),
TRUE,FALSE)</f>
        <v>0</v>
      </c>
      <c r="I31" s="19" t="b">
        <f>IF(AND(
'WVAG - Preisrechner'!G$4&gt;=$A31,
'WVAG - Preisrechner'!G$4&lt;$A34,
'WVAG - Preisrechner'!G$5&gt;=$B31,
'WVAG - Preisrechner'!G$5&lt;=$C31),
TRUE,FALSE)</f>
        <v>0</v>
      </c>
      <c r="J31" s="256">
        <v>4644</v>
      </c>
    </row>
    <row r="32" spans="1:10">
      <c r="A32" s="580">
        <v>5000000</v>
      </c>
      <c r="B32" s="580">
        <v>0</v>
      </c>
      <c r="C32" s="580">
        <v>50000000</v>
      </c>
      <c r="D32" t="b">
        <f>IF(AND(
'WVAG - Preisrechner'!B$4&gt;=$A32,
'WVAG - Preisrechner'!B$4&lt;$A35,
'WVAG - Preisrechner'!B$5&gt;=$B32,
'WVAG - Preisrechner'!B$5&lt;=$C32),
TRUE,FALSE)</f>
        <v>0</v>
      </c>
      <c r="E32" t="b">
        <f>IF(AND('WVAG - Preisrechner'!C$4&gt;=$A32,'WVAG - Preisrechner'!C$4&lt;$A35,'WVAG - Preisrechner'!C$5&gt;=$B32,'WVAG - Preisrechner'!C$5&lt;=$C32),TRUE,FALSE)</f>
        <v>0</v>
      </c>
      <c r="F32" t="b">
        <f>IF(AND('WVAG - Preisrechner'!D$4&gt;=$A32,'WVAG - Preisrechner'!D$4&lt;$A35,'WVAG - Preisrechner'!D$5&gt;=$B32,'WVAG - Preisrechner'!D$5&lt;=$C32),TRUE,FALSE)</f>
        <v>0</v>
      </c>
      <c r="G32" t="b">
        <f>IF(AND(
'WVAG - Preisrechner'!E$4&gt;=$A32,
'WVAG - Preisrechner'!E$4&lt;$A35,
'WVAG - Preisrechner'!E$5&gt;=$B32,
'WVAG - Preisrechner'!E$5&lt;=$C32),
TRUE,FALSE)</f>
        <v>0</v>
      </c>
      <c r="H32" s="19" t="b">
        <f>IF(AND(
'WVAG - Preisrechner'!F$4&gt;=$A32,
'WVAG - Preisrechner'!F$4&lt;$A35,
'WVAG - Preisrechner'!F$5&gt;=$B32,
'WVAG - Preisrechner'!F$5&lt;=$C32),
TRUE,FALSE)</f>
        <v>0</v>
      </c>
      <c r="I32" s="19" t="b">
        <f>IF(AND(
'WVAG - Preisrechner'!G$4&gt;=$A32,
'WVAG - Preisrechner'!G$4&lt;$A35,
'WVAG - Preisrechner'!G$5&gt;=$B32,
'WVAG - Preisrechner'!G$5&lt;=$C32),
TRUE,FALSE)</f>
        <v>0</v>
      </c>
      <c r="J32" s="581">
        <v>5031</v>
      </c>
    </row>
    <row r="33" spans="1:10">
      <c r="A33" s="579">
        <v>5000000</v>
      </c>
      <c r="B33" s="579">
        <v>50000001</v>
      </c>
      <c r="C33" s="579">
        <v>100000000</v>
      </c>
      <c r="D33" t="b">
        <f>IF(AND(
'WVAG - Preisrechner'!B$4&gt;=$A33,
'WVAG - Preisrechner'!B$4&lt;$A36,
'WVAG - Preisrechner'!B$5&gt;=$B33,
'WVAG - Preisrechner'!B$5&lt;=$C33),
TRUE,FALSE)</f>
        <v>0</v>
      </c>
      <c r="E33" t="b">
        <f>IF(AND('WVAG - Preisrechner'!C$4&gt;=$A33,'WVAG - Preisrechner'!C$4&lt;$A36,'WVAG - Preisrechner'!C$5&gt;=$B33,'WVAG - Preisrechner'!C$5&lt;=$C33),TRUE,FALSE)</f>
        <v>0</v>
      </c>
      <c r="F33" t="b">
        <f>IF(AND('WVAG - Preisrechner'!D$4&gt;=$A33,'WVAG - Preisrechner'!D$4&lt;$A36,'WVAG - Preisrechner'!D$5&gt;=$B33,'WVAG - Preisrechner'!D$5&lt;=$C33),TRUE,FALSE)</f>
        <v>0</v>
      </c>
      <c r="G33" t="b">
        <f>IF(AND(
'WVAG - Preisrechner'!E$4&gt;=$A33,
'WVAG - Preisrechner'!E$4&lt;$A36,
'WVAG - Preisrechner'!E$5&gt;=$B33,
'WVAG - Preisrechner'!E$5&lt;=$C33),
TRUE,FALSE)</f>
        <v>0</v>
      </c>
      <c r="H33" s="19" t="b">
        <f>IF(AND(
'WVAG - Preisrechner'!F$4&gt;=$A33,
'WVAG - Preisrechner'!F$4&lt;$A36,
'WVAG - Preisrechner'!F$5&gt;=$B33,
'WVAG - Preisrechner'!F$5&lt;=$C33),
TRUE,FALSE)</f>
        <v>0</v>
      </c>
      <c r="I33" s="19" t="b">
        <f>IF(AND(
'WVAG - Preisrechner'!G$4&gt;=$A33,
'WVAG - Preisrechner'!G$4&lt;$A36,
'WVAG - Preisrechner'!G$5&gt;=$B33,
'WVAG - Preisrechner'!G$5&lt;=$C33),
TRUE,FALSE)</f>
        <v>0</v>
      </c>
      <c r="J33" s="256">
        <v>5418</v>
      </c>
    </row>
    <row r="34" spans="1:10">
      <c r="A34" s="579">
        <v>5000000</v>
      </c>
      <c r="B34" s="579">
        <v>100000001</v>
      </c>
      <c r="C34" s="579">
        <v>150000000</v>
      </c>
      <c r="D34" t="b">
        <f>IF(AND(
'WVAG - Preisrechner'!B$4&gt;=$A34,
'WVAG - Preisrechner'!B$4&lt;$A37,
'WVAG - Preisrechner'!B$5&gt;=$B34,
'WVAG - Preisrechner'!B$5&lt;=$C34),
TRUE,FALSE)</f>
        <v>0</v>
      </c>
      <c r="E34" t="b">
        <f>IF(AND('WVAG - Preisrechner'!C$4&gt;=$A34,'WVAG - Preisrechner'!C$4&lt;$A37,'WVAG - Preisrechner'!C$5&gt;=$B34,'WVAG - Preisrechner'!C$5&lt;=$C34),TRUE,FALSE)</f>
        <v>0</v>
      </c>
      <c r="F34" t="b">
        <f>IF(AND('WVAG - Preisrechner'!D$4&gt;=$A34,'WVAG - Preisrechner'!D$4&lt;$A37,'WVAG - Preisrechner'!D$5&gt;=$B34,'WVAG - Preisrechner'!D$5&lt;=$C34),TRUE,FALSE)</f>
        <v>0</v>
      </c>
      <c r="G34" t="b">
        <f>IF(AND(
'WVAG - Preisrechner'!E$4&gt;=$A34,
'WVAG - Preisrechner'!E$4&lt;$A37,
'WVAG - Preisrechner'!E$5&gt;=$B34,
'WVAG - Preisrechner'!E$5&lt;=$C34),
TRUE,FALSE)</f>
        <v>0</v>
      </c>
      <c r="H34" s="19" t="b">
        <f>IF(AND(
'WVAG - Preisrechner'!F$4&gt;=$A34,
'WVAG - Preisrechner'!F$4&lt;$A37,
'WVAG - Preisrechner'!F$5&gt;=$B34,
'WVAG - Preisrechner'!F$5&lt;=$C34),
TRUE,FALSE)</f>
        <v>0</v>
      </c>
      <c r="I34" s="19" t="b">
        <f>IF(AND(
'WVAG - Preisrechner'!G$4&gt;=$A34,
'WVAG - Preisrechner'!G$4&lt;$A37,
'WVAG - Preisrechner'!G$5&gt;=$B34,
'WVAG - Preisrechner'!G$5&lt;=$C34),
TRUE,FALSE)</f>
        <v>0</v>
      </c>
      <c r="J34" s="256">
        <v>5805</v>
      </c>
    </row>
    <row r="35" spans="1:10">
      <c r="A35" s="580">
        <v>7500000</v>
      </c>
      <c r="B35" s="580">
        <v>0</v>
      </c>
      <c r="C35" s="580">
        <v>50000000</v>
      </c>
      <c r="D35" t="b">
        <f>IF(AND(
'WVAG - Preisrechner'!B$4&gt;=$A35,
'WVAG - Preisrechner'!B$4&lt;$A38,
'WVAG - Preisrechner'!B$5&gt;=$B35,
'WVAG - Preisrechner'!B$5&lt;=$C35),
TRUE,FALSE)</f>
        <v>0</v>
      </c>
      <c r="E35" t="b">
        <f>IF(AND('WVAG - Preisrechner'!C$4&gt;=$A35,'WVAG - Preisrechner'!C$4&lt;$A38,'WVAG - Preisrechner'!C$5&gt;=$B35,'WVAG - Preisrechner'!C$5&lt;=$C35),TRUE,FALSE)</f>
        <v>0</v>
      </c>
      <c r="F35" t="b">
        <f>IF(AND('WVAG - Preisrechner'!D$4&gt;=$A35,'WVAG - Preisrechner'!D$4&lt;$A38,'WVAG - Preisrechner'!D$5&gt;=$B35,'WVAG - Preisrechner'!D$5&lt;=$C35),TRUE,FALSE)</f>
        <v>0</v>
      </c>
      <c r="G35" t="b">
        <f>IF(AND(
'WVAG - Preisrechner'!E$4&gt;=$A35,
'WVAG - Preisrechner'!E$4&lt;$A38,
'WVAG - Preisrechner'!E$5&gt;=$B35,
'WVAG - Preisrechner'!E$5&lt;=$C35),
TRUE,FALSE)</f>
        <v>0</v>
      </c>
      <c r="H35" s="19" t="b">
        <f>IF(AND(
'WVAG - Preisrechner'!F$4&gt;=$A35,
'WVAG - Preisrechner'!F$4&lt;$A38,
'WVAG - Preisrechner'!F$5&gt;=$B35,
'WVAG - Preisrechner'!F$5&lt;=$C35),
TRUE,FALSE)</f>
        <v>0</v>
      </c>
      <c r="I35" s="19" t="b">
        <f>IF(AND(
'WVAG - Preisrechner'!G$4&gt;=$A35,
'WVAG - Preisrechner'!G$4&lt;$A38,
'WVAG - Preisrechner'!G$5&gt;=$B35,
'WVAG - Preisrechner'!G$5&lt;=$C35),
TRUE,FALSE)</f>
        <v>0</v>
      </c>
      <c r="J35" s="581">
        <v>7560</v>
      </c>
    </row>
    <row r="36" spans="1:10">
      <c r="A36" s="579">
        <v>7500000</v>
      </c>
      <c r="B36" s="579">
        <v>50000001</v>
      </c>
      <c r="C36" s="579">
        <v>100000000</v>
      </c>
      <c r="D36" t="b">
        <f>IF(AND(
'WVAG - Preisrechner'!B$4&gt;=$A36,
'WVAG - Preisrechner'!B$4&lt;$A39,
'WVAG - Preisrechner'!B$5&gt;=$B36,
'WVAG - Preisrechner'!B$5&lt;=$C36),
TRUE,FALSE)</f>
        <v>0</v>
      </c>
      <c r="E36" t="b">
        <f>IF(AND('WVAG - Preisrechner'!C$4&gt;=$A36,'WVAG - Preisrechner'!C$4&lt;$A39,'WVAG - Preisrechner'!C$5&gt;=$B36,'WVAG - Preisrechner'!C$5&lt;=$C36),TRUE,FALSE)</f>
        <v>0</v>
      </c>
      <c r="F36" t="b">
        <f>IF(AND('WVAG - Preisrechner'!D$4&gt;=$A36,'WVAG - Preisrechner'!D$4&lt;$A39,'WVAG - Preisrechner'!D$5&gt;=$B36,'WVAG - Preisrechner'!D$5&lt;=$C36),TRUE,FALSE)</f>
        <v>0</v>
      </c>
      <c r="G36" t="b">
        <f>IF(AND(
'WVAG - Preisrechner'!E$4&gt;=$A36,
'WVAG - Preisrechner'!E$4&lt;$A39,
'WVAG - Preisrechner'!E$5&gt;=$B36,
'WVAG - Preisrechner'!E$5&lt;=$C36),
TRUE,FALSE)</f>
        <v>0</v>
      </c>
      <c r="H36" s="19" t="b">
        <f>IF(AND(
'WVAG - Preisrechner'!F$4&gt;=$A36,
'WVAG - Preisrechner'!F$4&lt;$A39,
'WVAG - Preisrechner'!F$5&gt;=$B36,
'WVAG - Preisrechner'!F$5&lt;=$C36),
TRUE,FALSE)</f>
        <v>0</v>
      </c>
      <c r="I36" s="19" t="b">
        <f>IF(AND(
'WVAG - Preisrechner'!G$4&gt;=$A36,
'WVAG - Preisrechner'!G$4&lt;$A39,
'WVAG - Preisrechner'!G$5&gt;=$B36,
'WVAG - Preisrechner'!G$5&lt;=$C36),
TRUE,FALSE)</f>
        <v>0</v>
      </c>
      <c r="J36" s="256">
        <v>7560</v>
      </c>
    </row>
    <row r="37" spans="1:10">
      <c r="A37" s="579">
        <v>7500000</v>
      </c>
      <c r="B37" s="579">
        <v>100000001</v>
      </c>
      <c r="C37" s="579">
        <v>150000000</v>
      </c>
      <c r="D37" t="b">
        <f>IF(AND(
'WVAG - Preisrechner'!B$4&gt;=$A37,
'WVAG - Preisrechner'!B$4&lt;$A40,
'WVAG - Preisrechner'!B$5&gt;=$B37,
'WVAG - Preisrechner'!B$5&lt;=$C37),
TRUE,FALSE)</f>
        <v>0</v>
      </c>
      <c r="E37" t="b">
        <f>IF(AND('WVAG - Preisrechner'!C$4&gt;=$A37,'WVAG - Preisrechner'!C$4&lt;$A40,'WVAG - Preisrechner'!C$5&gt;=$B37,'WVAG - Preisrechner'!C$5&lt;=$C37),TRUE,FALSE)</f>
        <v>0</v>
      </c>
      <c r="F37" t="b">
        <f>IF(AND('WVAG - Preisrechner'!D$4&gt;=$A37,'WVAG - Preisrechner'!D$4&lt;$A40,'WVAG - Preisrechner'!D$5&gt;=$B37,'WVAG - Preisrechner'!D$5&lt;=$C37),TRUE,FALSE)</f>
        <v>0</v>
      </c>
      <c r="G37" t="b">
        <f>IF(AND(
'WVAG - Preisrechner'!E$4&gt;=$A37,
'WVAG - Preisrechner'!E$4&lt;$A40,
'WVAG - Preisrechner'!E$5&gt;=$B37,
'WVAG - Preisrechner'!E$5&lt;=$C37),
TRUE,FALSE)</f>
        <v>0</v>
      </c>
      <c r="H37" s="19" t="b">
        <f>IF(AND(
'WVAG - Preisrechner'!F$4&gt;=$A37,
'WVAG - Preisrechner'!F$4&lt;$A40,
'WVAG - Preisrechner'!F$5&gt;=$B37,
'WVAG - Preisrechner'!F$5&lt;=$C37),
TRUE,FALSE)</f>
        <v>0</v>
      </c>
      <c r="I37" s="19" t="b">
        <f>IF(AND(
'WVAG - Preisrechner'!G$4&gt;=$A37,
'WVAG - Preisrechner'!G$4&lt;$A40,
'WVAG - Preisrechner'!G$5&gt;=$B37,
'WVAG - Preisrechner'!G$5&lt;=$C37),
TRUE,FALSE)</f>
        <v>0</v>
      </c>
      <c r="J37" s="256">
        <v>8100</v>
      </c>
    </row>
    <row r="38" spans="1:10">
      <c r="A38" s="580">
        <v>10000000</v>
      </c>
      <c r="B38" s="580">
        <v>0</v>
      </c>
      <c r="C38" s="580">
        <v>50000000</v>
      </c>
      <c r="D38" t="b">
        <f>IF(AND(
'WVAG - Preisrechner'!B$4&gt;=$A38,
'WVAG - Preisrechner'!B$4&lt;$A41,
'WVAG - Preisrechner'!B$5&gt;=$B38,
'WVAG - Preisrechner'!B$5&lt;=$C38),
TRUE,FALSE)</f>
        <v>0</v>
      </c>
      <c r="E38" t="b">
        <f>IF(AND('WVAG - Preisrechner'!C$4&gt;=$A38,'WVAG - Preisrechner'!C$4&lt;$A41,'WVAG - Preisrechner'!C$5&gt;=$B38,'WVAG - Preisrechner'!C$5&lt;=$C38),TRUE,FALSE)</f>
        <v>0</v>
      </c>
      <c r="F38" t="b">
        <f>IF(AND('WVAG - Preisrechner'!D$4&gt;=$A38,'WVAG - Preisrechner'!D$4&lt;$A41,'WVAG - Preisrechner'!D$5&gt;=$B38,'WVAG - Preisrechner'!D$5&lt;=$C38),TRUE,FALSE)</f>
        <v>0</v>
      </c>
      <c r="G38" t="b">
        <f>IF(AND(
'WVAG - Preisrechner'!E$4&gt;=$A38,
'WVAG - Preisrechner'!E$4&lt;$A41,
'WVAG - Preisrechner'!E$5&gt;=$B38,
'WVAG - Preisrechner'!E$5&lt;=$C38),
TRUE,FALSE)</f>
        <v>0</v>
      </c>
      <c r="H38" s="19" t="b">
        <f>IF(AND(
'WVAG - Preisrechner'!F$4&gt;=$A38,
'WVAG - Preisrechner'!F$4&lt;$A41,
'WVAG - Preisrechner'!F$5&gt;=$B38,
'WVAG - Preisrechner'!F$5&lt;=$C38),
TRUE,FALSE)</f>
        <v>0</v>
      </c>
      <c r="I38" s="19" t="b">
        <f>IF(AND(
'WVAG - Preisrechner'!G$4&gt;=$A38,
'WVAG - Preisrechner'!G$4&lt;$A41,
'WVAG - Preisrechner'!G$5&gt;=$B38,
'WVAG - Preisrechner'!G$5&lt;=$C38),
TRUE,FALSE)</f>
        <v>0</v>
      </c>
      <c r="J38" s="581">
        <v>10080</v>
      </c>
    </row>
    <row r="39" spans="1:10">
      <c r="A39" s="579">
        <v>10000000</v>
      </c>
      <c r="B39" s="579">
        <v>50000001</v>
      </c>
      <c r="C39" s="579">
        <v>100000000</v>
      </c>
      <c r="D39" t="b">
        <f>IF(AND(
'WVAG - Preisrechner'!B$4&gt;=$A39,
'WVAG - Preisrechner'!B$4&lt;$A42,
'WVAG - Preisrechner'!B$5&gt;=$B39,
'WVAG - Preisrechner'!B$5&lt;=$C39),
TRUE,FALSE)</f>
        <v>0</v>
      </c>
      <c r="E39" t="b">
        <f>IF(AND('WVAG - Preisrechner'!C$4&gt;=$A39,'WVAG - Preisrechner'!C$4&lt;$A42,'WVAG - Preisrechner'!C$5&gt;=$B39,'WVAG - Preisrechner'!C$5&lt;=$C39),TRUE,FALSE)</f>
        <v>0</v>
      </c>
      <c r="F39" t="b">
        <f>IF(AND('WVAG - Preisrechner'!D$4&gt;=$A39,'WVAG - Preisrechner'!D$4&lt;$A42,'WVAG - Preisrechner'!D$5&gt;=$B39,'WVAG - Preisrechner'!D$5&lt;=$C39),TRUE,FALSE)</f>
        <v>0</v>
      </c>
      <c r="G39" t="b">
        <f>IF(AND(
'WVAG - Preisrechner'!E$4&gt;=$A39,
'WVAG - Preisrechner'!E$4&lt;$A42,
'WVAG - Preisrechner'!E$5&gt;=$B39,
'WVAG - Preisrechner'!E$5&lt;=$C39),
TRUE,FALSE)</f>
        <v>0</v>
      </c>
      <c r="H39" s="19" t="b">
        <f>IF(AND(
'WVAG - Preisrechner'!F$4&gt;=$A39,
'WVAG - Preisrechner'!F$4&lt;$A42,
'WVAG - Preisrechner'!F$5&gt;=$B39,
'WVAG - Preisrechner'!F$5&lt;=$C39),
TRUE,FALSE)</f>
        <v>0</v>
      </c>
      <c r="I39" s="19" t="b">
        <f>IF(AND(
'WVAG - Preisrechner'!G$4&gt;=$A39,
'WVAG - Preisrechner'!G$4&lt;$A42,
'WVAG - Preisrechner'!G$5&gt;=$B39,
'WVAG - Preisrechner'!G$5&lt;=$C39),
TRUE,FALSE)</f>
        <v>0</v>
      </c>
      <c r="J39" s="256">
        <v>10080</v>
      </c>
    </row>
    <row r="40" spans="1:10">
      <c r="A40" s="579">
        <v>10000000</v>
      </c>
      <c r="B40" s="579">
        <v>100000001</v>
      </c>
      <c r="C40" s="579">
        <v>150000000</v>
      </c>
      <c r="D40" t="b">
        <f>IF(AND(
'WVAG - Preisrechner'!B$4&gt;=$A40,
'WVAG - Preisrechner'!B$4&lt;$A43,
'WVAG - Preisrechner'!B$5&gt;=$B40,
'WVAG - Preisrechner'!B$5&lt;=$C40),
TRUE,FALSE)</f>
        <v>0</v>
      </c>
      <c r="E40" t="b">
        <f>IF(AND('WVAG - Preisrechner'!C$4&gt;=$A40,'WVAG - Preisrechner'!C$4&lt;$A43,'WVAG - Preisrechner'!C$5&gt;=$B40,'WVAG - Preisrechner'!C$5&lt;=$C40),TRUE,FALSE)</f>
        <v>0</v>
      </c>
      <c r="F40" t="b">
        <f>IF(AND('WVAG - Preisrechner'!D$4&gt;=$A40,'WVAG - Preisrechner'!D$4&lt;$A43,'WVAG - Preisrechner'!D$5&gt;=$B40,'WVAG - Preisrechner'!D$5&lt;=$C40),TRUE,FALSE)</f>
        <v>0</v>
      </c>
      <c r="G40" t="b">
        <f>IF(AND(
'WVAG - Preisrechner'!E$4&gt;=$A40,
'WVAG - Preisrechner'!E$4&lt;$A43,
'WVAG - Preisrechner'!E$5&gt;=$B40,
'WVAG - Preisrechner'!E$5&lt;=$C40),
TRUE,FALSE)</f>
        <v>0</v>
      </c>
      <c r="H40" s="19" t="b">
        <f>IF(AND(
'WVAG - Preisrechner'!F$4&gt;=$A40,
'WVAG - Preisrechner'!F$4&lt;$A43,
'WVAG - Preisrechner'!F$5&gt;=$B40,
'WVAG - Preisrechner'!F$5&lt;=$C40),
TRUE,FALSE)</f>
        <v>0</v>
      </c>
      <c r="I40" s="19" t="b">
        <f>IF(AND(
'WVAG - Preisrechner'!G$4&gt;=$A40,
'WVAG - Preisrechner'!G$4&lt;$A43,
'WVAG - Preisrechner'!G$5&gt;=$B40,
'WVAG - Preisrechner'!G$5&lt;=$C40),
TRUE,FALSE)</f>
        <v>0</v>
      </c>
      <c r="J40" s="256">
        <v>10800</v>
      </c>
    </row>
    <row r="41" spans="1:10">
      <c r="A41" s="580">
        <v>10000001</v>
      </c>
    </row>
    <row r="42" spans="1:10">
      <c r="A42" s="580">
        <v>10000001</v>
      </c>
      <c r="B42" s="446"/>
    </row>
    <row r="43" spans="1:10">
      <c r="A43" s="580">
        <v>10000001</v>
      </c>
      <c r="B43" s="446"/>
      <c r="G43" s="446"/>
    </row>
    <row r="45" spans="1:10">
      <c r="A45" s="168" t="s">
        <v>3646</v>
      </c>
      <c r="B45" s="472">
        <v>250000</v>
      </c>
    </row>
    <row r="46" spans="1:10">
      <c r="A46" s="168" t="s">
        <v>3647</v>
      </c>
      <c r="B46" s="472">
        <v>10000000</v>
      </c>
    </row>
    <row r="47" spans="1:10">
      <c r="A47" s="168" t="s">
        <v>3648</v>
      </c>
      <c r="B47" s="472">
        <v>150000000</v>
      </c>
    </row>
  </sheetData>
  <conditionalFormatting sqref="D4:I40">
    <cfRule type="cellIs" dxfId="73" priority="1" operator="equal">
      <formula>"TRUE"</formula>
    </cfRule>
  </conditionalFormatting>
  <pageMargins left="0.7" right="0.7" top="0.78740157499999996" bottom="0.78740157499999996"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O41"/>
  <sheetViews>
    <sheetView workbookViewId="0">
      <selection activeCell="N19" sqref="N19"/>
    </sheetView>
  </sheetViews>
  <sheetFormatPr baseColWidth="10" defaultColWidth="14.33203125" defaultRowHeight="14.4"/>
  <cols>
    <col min="1" max="1" width="2.33203125" customWidth="1"/>
    <col min="2" max="2" width="25.33203125" customWidth="1"/>
    <col min="3" max="3" width="27.6640625" customWidth="1"/>
    <col min="11" max="11" width="27.33203125" customWidth="1"/>
    <col min="12" max="12" width="15.44140625" bestFit="1" customWidth="1"/>
    <col min="13" max="14" width="16.5546875" bestFit="1" customWidth="1"/>
  </cols>
  <sheetData>
    <row r="1" spans="2:15" ht="30.75" customHeight="1">
      <c r="D1" s="1110" t="s">
        <v>3128</v>
      </c>
      <c r="E1" s="1110"/>
      <c r="F1" s="1110"/>
      <c r="G1" s="1110"/>
      <c r="H1" s="1110"/>
      <c r="I1" s="1110"/>
      <c r="J1" s="1110"/>
      <c r="K1" s="1110"/>
      <c r="L1" s="1110"/>
    </row>
    <row r="2" spans="2:15">
      <c r="B2" s="1020" t="s">
        <v>3806</v>
      </c>
      <c r="C2" s="1020" t="s">
        <v>3809</v>
      </c>
      <c r="D2" s="1021">
        <v>100000</v>
      </c>
      <c r="E2" s="1021">
        <v>250000</v>
      </c>
      <c r="F2" s="1021">
        <v>500000</v>
      </c>
      <c r="G2" s="1021">
        <v>1000000</v>
      </c>
      <c r="H2" s="1021">
        <v>2000000</v>
      </c>
      <c r="I2" s="1021">
        <v>3000000</v>
      </c>
      <c r="J2" s="1021">
        <v>5000000</v>
      </c>
      <c r="K2" s="1021">
        <v>7500000</v>
      </c>
      <c r="L2" s="1021">
        <v>10000000</v>
      </c>
    </row>
    <row r="3" spans="2:15">
      <c r="B3" s="502">
        <v>1000000</v>
      </c>
      <c r="C3" s="1019">
        <v>0</v>
      </c>
      <c r="D3" s="1022">
        <v>448.5</v>
      </c>
      <c r="E3" s="1023">
        <v>559</v>
      </c>
      <c r="F3" s="1023">
        <v>754</v>
      </c>
      <c r="G3" s="1023">
        <v>871</v>
      </c>
      <c r="H3" s="1023">
        <v>955</v>
      </c>
      <c r="I3" s="1023">
        <v>1820</v>
      </c>
      <c r="J3" s="1023">
        <v>2892.5</v>
      </c>
      <c r="K3" s="1023"/>
      <c r="L3" s="1024"/>
    </row>
    <row r="4" spans="2:15">
      <c r="B4" s="502">
        <v>2000000</v>
      </c>
      <c r="C4" s="1019">
        <v>1000000.01</v>
      </c>
      <c r="D4" s="1025">
        <v>474.5</v>
      </c>
      <c r="E4" s="1026">
        <v>591.5</v>
      </c>
      <c r="F4" s="1026">
        <v>767</v>
      </c>
      <c r="G4" s="1026">
        <v>923</v>
      </c>
      <c r="H4" s="1026">
        <v>1300</v>
      </c>
      <c r="I4" s="1026">
        <v>1917.5</v>
      </c>
      <c r="J4" s="1026">
        <v>3048.5</v>
      </c>
      <c r="K4" s="1026"/>
      <c r="L4" s="1027"/>
    </row>
    <row r="5" spans="2:15">
      <c r="B5" s="502">
        <v>3000000</v>
      </c>
      <c r="C5" s="1019">
        <v>2000000.01</v>
      </c>
      <c r="D5" s="1025">
        <v>494</v>
      </c>
      <c r="E5" s="1026">
        <v>624</v>
      </c>
      <c r="F5" s="1026">
        <v>780</v>
      </c>
      <c r="G5" s="1026">
        <v>1014</v>
      </c>
      <c r="H5" s="1026">
        <v>1436.5</v>
      </c>
      <c r="I5" s="1026">
        <v>2106</v>
      </c>
      <c r="J5" s="1026">
        <v>3347.5</v>
      </c>
      <c r="K5" s="1026"/>
      <c r="L5" s="1027"/>
    </row>
    <row r="6" spans="2:15">
      <c r="B6" s="502">
        <v>5000000</v>
      </c>
      <c r="C6" s="1019">
        <v>3000000.01</v>
      </c>
      <c r="D6" s="1025">
        <v>520</v>
      </c>
      <c r="E6" s="1026">
        <v>656.5</v>
      </c>
      <c r="F6" s="1026">
        <v>806</v>
      </c>
      <c r="G6" s="1026">
        <v>1092</v>
      </c>
      <c r="H6" s="1026">
        <v>1573</v>
      </c>
      <c r="I6" s="1026">
        <v>2314</v>
      </c>
      <c r="J6" s="1026">
        <v>3679</v>
      </c>
      <c r="K6" s="1026"/>
      <c r="L6" s="1027"/>
      <c r="O6" s="508"/>
    </row>
    <row r="7" spans="2:15">
      <c r="B7" s="502">
        <v>10000000</v>
      </c>
      <c r="C7" s="1019">
        <v>5000000.01</v>
      </c>
      <c r="D7" s="1025">
        <v>546</v>
      </c>
      <c r="E7" s="1026">
        <v>689</v>
      </c>
      <c r="F7" s="1026">
        <v>871</v>
      </c>
      <c r="G7" s="1026">
        <v>1118</v>
      </c>
      <c r="H7" s="1026">
        <v>1976</v>
      </c>
      <c r="I7" s="1026">
        <v>2938</v>
      </c>
      <c r="J7" s="1026">
        <v>4901</v>
      </c>
      <c r="K7" s="1026">
        <v>6300</v>
      </c>
      <c r="L7" s="1027">
        <v>8400</v>
      </c>
      <c r="O7" s="508"/>
    </row>
    <row r="8" spans="2:15">
      <c r="B8" s="502">
        <v>15000000</v>
      </c>
      <c r="C8" s="1019">
        <v>10000000.01</v>
      </c>
      <c r="D8" s="1025"/>
      <c r="E8" s="1026">
        <v>741</v>
      </c>
      <c r="F8" s="1026">
        <v>871</v>
      </c>
      <c r="G8" s="1026">
        <v>1118</v>
      </c>
      <c r="H8" s="1026">
        <v>2145</v>
      </c>
      <c r="I8" s="1026">
        <v>3107</v>
      </c>
      <c r="J8" s="1026">
        <v>5135</v>
      </c>
      <c r="K8" s="1026">
        <v>6500</v>
      </c>
      <c r="L8" s="1027">
        <v>8667</v>
      </c>
      <c r="O8" s="508"/>
    </row>
    <row r="9" spans="2:15">
      <c r="B9" s="502">
        <v>30000000</v>
      </c>
      <c r="C9" s="1019">
        <v>15000000.01</v>
      </c>
      <c r="D9" s="1025"/>
      <c r="E9" s="1026">
        <v>806</v>
      </c>
      <c r="F9" s="1026">
        <v>936</v>
      </c>
      <c r="G9" s="1026">
        <v>1157</v>
      </c>
      <c r="H9" s="1026">
        <v>2275</v>
      </c>
      <c r="I9" s="1026">
        <v>3315</v>
      </c>
      <c r="J9" s="1026">
        <v>5499</v>
      </c>
      <c r="K9" s="1026">
        <v>6900</v>
      </c>
      <c r="L9" s="1027">
        <v>9200</v>
      </c>
      <c r="O9" s="508"/>
    </row>
    <row r="10" spans="2:15">
      <c r="B10" s="502">
        <v>50000000</v>
      </c>
      <c r="C10" s="1019">
        <v>30000000.010000002</v>
      </c>
      <c r="D10" s="1025"/>
      <c r="E10" s="1026">
        <v>1001</v>
      </c>
      <c r="F10" s="1026">
        <v>1066</v>
      </c>
      <c r="G10" s="1026">
        <v>1209</v>
      </c>
      <c r="H10" s="1026">
        <v>2366</v>
      </c>
      <c r="I10" s="1026">
        <v>3445</v>
      </c>
      <c r="J10" s="1026">
        <v>5720</v>
      </c>
      <c r="K10" s="1026">
        <v>7200</v>
      </c>
      <c r="L10" s="1027">
        <v>9600</v>
      </c>
      <c r="O10" s="508"/>
    </row>
    <row r="11" spans="2:15">
      <c r="B11" s="502">
        <v>100000000</v>
      </c>
      <c r="C11" s="1019">
        <v>50000000.009999998</v>
      </c>
      <c r="D11" s="1025"/>
      <c r="E11" s="1026">
        <v>1397.5</v>
      </c>
      <c r="F11" s="1026">
        <v>1488.5</v>
      </c>
      <c r="G11" s="1026">
        <v>1690</v>
      </c>
      <c r="H11" s="1026">
        <v>3250</v>
      </c>
      <c r="I11" s="1026">
        <v>4810</v>
      </c>
      <c r="J11" s="1026">
        <v>7020</v>
      </c>
      <c r="K11" s="1026">
        <v>7900</v>
      </c>
      <c r="L11" s="1027">
        <v>10534</v>
      </c>
      <c r="O11" s="508"/>
    </row>
    <row r="12" spans="2:15">
      <c r="B12" s="502">
        <v>150000000</v>
      </c>
      <c r="C12" s="1019">
        <v>100000000.01000001</v>
      </c>
      <c r="D12" s="1025"/>
      <c r="E12" s="1026">
        <v>1930.5</v>
      </c>
      <c r="F12" s="1026">
        <v>2054</v>
      </c>
      <c r="G12" s="1026">
        <v>2327</v>
      </c>
      <c r="H12" s="1026">
        <v>4550</v>
      </c>
      <c r="I12" s="1026">
        <v>5590</v>
      </c>
      <c r="J12" s="1026">
        <v>7345</v>
      </c>
      <c r="K12" s="1026">
        <v>8300</v>
      </c>
      <c r="L12" s="1027">
        <v>11066</v>
      </c>
      <c r="O12" s="508"/>
    </row>
    <row r="13" spans="2:15">
      <c r="B13" s="502">
        <v>250000000</v>
      </c>
      <c r="C13" s="1019">
        <v>150000000.00999999</v>
      </c>
      <c r="D13" s="1025"/>
      <c r="E13" s="1026">
        <v>2853.5</v>
      </c>
      <c r="F13" s="1026">
        <v>3042</v>
      </c>
      <c r="G13" s="1026">
        <v>3451.5</v>
      </c>
      <c r="H13" s="1026">
        <v>6760</v>
      </c>
      <c r="I13" s="1026">
        <v>8190</v>
      </c>
      <c r="J13" s="1026">
        <v>9620</v>
      </c>
      <c r="K13" s="1026">
        <v>8900</v>
      </c>
      <c r="L13" s="1027">
        <v>11866</v>
      </c>
      <c r="O13" s="508"/>
    </row>
    <row r="14" spans="2:15">
      <c r="B14" s="502">
        <v>350000000</v>
      </c>
      <c r="C14" s="1019">
        <v>250000000.00999999</v>
      </c>
      <c r="D14" s="1028"/>
      <c r="E14" s="1029"/>
      <c r="F14" s="1029"/>
      <c r="G14" s="1029"/>
      <c r="H14" s="1029"/>
      <c r="I14" s="1029"/>
      <c r="J14" s="1029">
        <v>10000</v>
      </c>
      <c r="K14" s="1029">
        <v>9200</v>
      </c>
      <c r="L14" s="1030">
        <v>12266</v>
      </c>
      <c r="O14" s="508"/>
    </row>
    <row r="15" spans="2:15">
      <c r="B15" s="502"/>
      <c r="C15" s="502"/>
      <c r="D15" s="1019"/>
      <c r="E15" s="560"/>
      <c r="F15" s="255"/>
      <c r="G15" s="255"/>
      <c r="H15" s="255"/>
      <c r="I15" s="255"/>
      <c r="J15" s="255"/>
      <c r="K15" s="255"/>
      <c r="L15" s="255"/>
    </row>
    <row r="16" spans="2:15">
      <c r="B16" s="502"/>
      <c r="C16" s="502"/>
      <c r="D16" s="560"/>
      <c r="E16" s="560"/>
      <c r="F16" s="560"/>
      <c r="G16" s="560"/>
      <c r="H16" s="560"/>
      <c r="I16" s="560"/>
      <c r="J16" s="560"/>
      <c r="K16" s="560"/>
      <c r="L16" s="560"/>
    </row>
    <row r="17" spans="2:15">
      <c r="G17" s="126"/>
    </row>
    <row r="18" spans="2:15" ht="15" thickBot="1">
      <c r="G18" s="126"/>
      <c r="K18" s="625" t="s">
        <v>3646</v>
      </c>
      <c r="L18" s="626">
        <v>100000</v>
      </c>
    </row>
    <row r="19" spans="2:15" ht="15" thickBot="1">
      <c r="D19" s="1083" t="s">
        <v>2398</v>
      </c>
      <c r="E19" s="1111"/>
      <c r="F19" s="1100"/>
      <c r="G19" s="1083" t="s">
        <v>3111</v>
      </c>
      <c r="H19" s="1111"/>
      <c r="I19" s="1100"/>
      <c r="K19" s="625" t="s">
        <v>3647</v>
      </c>
      <c r="L19" s="626">
        <v>10000000</v>
      </c>
    </row>
    <row r="20" spans="2:15" ht="15" thickBot="1">
      <c r="D20" s="473" t="s">
        <v>3113</v>
      </c>
      <c r="E20" s="627" t="s">
        <v>3114</v>
      </c>
      <c r="F20" s="627" t="s">
        <v>3115</v>
      </c>
      <c r="G20" s="473" t="str">
        <f>'Preisrechner Alle Tarife'!B3</f>
        <v>DS 1</v>
      </c>
      <c r="H20" s="627" t="str">
        <f>'Preisrechner Alle Tarife'!C3</f>
        <v>DS 2</v>
      </c>
      <c r="I20" s="628" t="str">
        <f>'Preisrechner Alle Tarife'!D3</f>
        <v>DS 3</v>
      </c>
      <c r="K20" s="625" t="s">
        <v>3648</v>
      </c>
      <c r="L20" s="626">
        <v>350000000</v>
      </c>
    </row>
    <row r="21" spans="2:15">
      <c r="C21" s="476" t="s">
        <v>3117</v>
      </c>
      <c r="D21" s="477">
        <f>IF(Deckungssumme1GI&gt;L19,L19,Deckungssumme1GI)</f>
        <v>0</v>
      </c>
      <c r="E21" s="629">
        <f>IF(Deckungssumme2GI&gt;L19,L19,Deckungssumme2GI)</f>
        <v>0</v>
      </c>
      <c r="F21" s="629">
        <f>IF(Deckungssumme3GI&gt;L19,L19,Deckungssumme3GI)</f>
        <v>0</v>
      </c>
      <c r="G21" s="477">
        <f>IF(Deckungssumme1&gt;L19,L19,Deckungssumme1)</f>
        <v>0</v>
      </c>
      <c r="H21" s="629">
        <f>IF(Deckungssumme2&gt;L19,L19,Deckungssumme2)</f>
        <v>0</v>
      </c>
      <c r="I21" s="630">
        <f>IF(Deckungssumme3&gt;L19,L19,Deckungssumme3)</f>
        <v>0</v>
      </c>
    </row>
    <row r="22" spans="2:15">
      <c r="C22" s="480" t="s">
        <v>3119</v>
      </c>
      <c r="D22" s="477" t="str">
        <f>IF(Deckungssumme1GI=0,"",E41)</f>
        <v/>
      </c>
      <c r="E22" s="629" t="str">
        <f>IF(Deckungssumme2GI=0,"",G41)</f>
        <v/>
      </c>
      <c r="F22" s="629" t="str">
        <f>IF(Deckungssumme3GI=0,"",I41)</f>
        <v/>
      </c>
      <c r="G22" s="477" t="str">
        <f>IF(Deckungssumme1=0,"",K41)</f>
        <v/>
      </c>
      <c r="H22" s="629" t="str">
        <f>IF(Deckungssumme2=0,"",M41)</f>
        <v/>
      </c>
      <c r="I22" s="630" t="str">
        <f>IF(Deckungssumme3=0,"",O41)</f>
        <v/>
      </c>
    </row>
    <row r="23" spans="2:15">
      <c r="C23" s="480" t="s">
        <v>3649</v>
      </c>
      <c r="D23" s="477">
        <f>IF(MAX(AußenumsatzGI,VereinsvermögenGI,BilanzsummeGI)&gt;markel_MaxUmsatz,"Umsatz zu groß!",MAX(AußenumsatzGI,VereinsvermögenGI,BilanzsummeGI))</f>
        <v>0</v>
      </c>
      <c r="E23" s="629">
        <f>IF(MAX(AußenumsatzGI,VereinsvermögenGI,BilanzsummeGI)&gt;markel_MaxUmsatz,"Umsatz zu groß!",MAX(AußenumsatzGI,VereinsvermögenGI,BilanzsummeGI))</f>
        <v>0</v>
      </c>
      <c r="F23" s="629">
        <f>IF(MAX(AußenumsatzGI,VereinsvermögenGI,BilanzsummeGI)&gt;markel_MaxUmsatz,"Umsatz zu groß!",MAX(AußenumsatzGI,VereinsvermögenGI,BilanzsummeGI))</f>
        <v>0</v>
      </c>
      <c r="G23" s="477">
        <f>IF(MAX(Außenumsatz,Vereinsvermögen,Bilanzsumme)&gt;markel_MaxUmsatz,"Umsatz zu groß!",MAX(Außenumsatz,Vereinsvermögen,Bilanzsumme))</f>
        <v>0</v>
      </c>
      <c r="H23" s="629">
        <f>IF(MAX(Außenumsatz,Vereinsvermögen,Bilanzsumme)&gt;markel_MaxUmsatz,"Umsatz zu groß!",MAX(Außenumsatz,Vereinsvermögen,Bilanzsumme))</f>
        <v>0</v>
      </c>
      <c r="I23" s="630">
        <f>IF(MAX(Außenumsatz,Vereinsvermögen,Bilanzsumme)&gt;markel_MaxUmsatz,"Umsatz zu groß!",MAX(Außenumsatz,Vereinsvermögen,Bilanzsumme))</f>
        <v>0</v>
      </c>
    </row>
    <row r="24" spans="2:15">
      <c r="C24" s="480" t="s">
        <v>3650</v>
      </c>
      <c r="D24" s="477" t="e">
        <f>MATCH(D22,$D$2:$L$2,1)</f>
        <v>#N/A</v>
      </c>
      <c r="E24" s="629" t="e">
        <f t="shared" ref="E24:F24" si="0">MATCH(E22,$D$2:$L$2,1)</f>
        <v>#N/A</v>
      </c>
      <c r="F24" s="629" t="e">
        <f t="shared" si="0"/>
        <v>#N/A</v>
      </c>
      <c r="G24" s="477" t="e">
        <f>MATCH(G22,$D$2:$L$2,1)</f>
        <v>#N/A</v>
      </c>
      <c r="H24" s="629" t="e">
        <f>MATCH(H22,$D$2:$L$2,1)</f>
        <v>#N/A</v>
      </c>
      <c r="I24" s="630" t="e">
        <f>MATCH(I22,$D$2:$L$2,1)</f>
        <v>#N/A</v>
      </c>
    </row>
    <row r="25" spans="2:15">
      <c r="C25" s="480" t="s">
        <v>3651</v>
      </c>
      <c r="D25" s="477">
        <f>MATCH(D23,$C$3:$C$14,1)</f>
        <v>1</v>
      </c>
      <c r="E25" s="629">
        <f>MATCH(E23,$C$3:$C$14,1)</f>
        <v>1</v>
      </c>
      <c r="F25" s="629">
        <f>MATCH(F23,$C$3:$C$14,1)</f>
        <v>1</v>
      </c>
      <c r="G25" s="477">
        <f t="shared" ref="G25:I25" si="1">MATCH(G23,$C$3:$C$14,1)</f>
        <v>1</v>
      </c>
      <c r="H25" s="629">
        <f t="shared" si="1"/>
        <v>1</v>
      </c>
      <c r="I25" s="630">
        <f t="shared" si="1"/>
        <v>1</v>
      </c>
    </row>
    <row r="26" spans="2:15" ht="15" thickBot="1">
      <c r="C26" s="481" t="s">
        <v>3118</v>
      </c>
      <c r="D26" s="631" t="str">
        <f t="shared" ref="D26:I26" si="2">IFERROR(INDEX($D$3:$L$14,D25,D24),"")</f>
        <v/>
      </c>
      <c r="E26" s="631" t="str">
        <f t="shared" si="2"/>
        <v/>
      </c>
      <c r="F26" s="631" t="str">
        <f t="shared" si="2"/>
        <v/>
      </c>
      <c r="G26" s="631" t="str">
        <f t="shared" si="2"/>
        <v/>
      </c>
      <c r="H26" s="631" t="str">
        <f t="shared" si="2"/>
        <v/>
      </c>
      <c r="I26" s="631" t="str">
        <f t="shared" si="2"/>
        <v/>
      </c>
    </row>
    <row r="28" spans="2:15" ht="15" thickBot="1"/>
    <row r="29" spans="2:15" ht="15" thickBot="1">
      <c r="C29" s="485" t="s">
        <v>3733</v>
      </c>
      <c r="D29" s="1083" t="s">
        <v>3113</v>
      </c>
      <c r="E29" s="1084"/>
      <c r="F29" s="1083" t="s">
        <v>3114</v>
      </c>
      <c r="G29" s="1093"/>
      <c r="H29" s="1083" t="s">
        <v>3115</v>
      </c>
      <c r="I29" s="1084"/>
      <c r="J29" s="1083" t="s">
        <v>3113</v>
      </c>
      <c r="K29" s="1084"/>
      <c r="L29" s="1083" t="s">
        <v>3114</v>
      </c>
      <c r="M29" s="1084"/>
      <c r="N29" s="514" t="s">
        <v>3115</v>
      </c>
      <c r="O29" s="515"/>
    </row>
    <row r="30" spans="2:15">
      <c r="B30" s="560"/>
      <c r="C30" s="486">
        <v>100000</v>
      </c>
      <c r="D30" s="634">
        <f t="shared" ref="D30:D38" si="3">$D$21</f>
        <v>0</v>
      </c>
      <c r="E30" s="635">
        <f t="shared" ref="E30:E38" si="4">IF(D30&lt;=C30,C30,"")</f>
        <v>100000</v>
      </c>
      <c r="F30" s="634">
        <f t="shared" ref="F30:F38" si="5">$E$21</f>
        <v>0</v>
      </c>
      <c r="G30" s="635">
        <f t="shared" ref="G30:G38" si="6">IF(F30&lt;=C30,C30,"")</f>
        <v>100000</v>
      </c>
      <c r="H30" s="634">
        <f t="shared" ref="H30:H38" si="7">$F$21</f>
        <v>0</v>
      </c>
      <c r="I30" s="635">
        <f t="shared" ref="I30:I38" si="8">IF(H30&lt;=C30,C30,"")</f>
        <v>100000</v>
      </c>
      <c r="J30" s="634">
        <f t="shared" ref="J30:J38" si="9">$G$21</f>
        <v>0</v>
      </c>
      <c r="K30" s="635">
        <f t="shared" ref="K30:K38" si="10">IF(J30&lt;=C30,C30,"")</f>
        <v>100000</v>
      </c>
      <c r="L30" s="634">
        <f t="shared" ref="L30:L38" si="11">$H$21</f>
        <v>0</v>
      </c>
      <c r="M30" s="635">
        <f t="shared" ref="M30:M38" si="12">IF(L30&lt;=C30,C30,"")</f>
        <v>100000</v>
      </c>
      <c r="N30" s="634">
        <f t="shared" ref="N30:N38" si="13">$I$21</f>
        <v>0</v>
      </c>
      <c r="O30" s="635">
        <f t="shared" ref="O30:O38" si="14">IF(N30&lt;=C30,C30,"")</f>
        <v>100000</v>
      </c>
    </row>
    <row r="31" spans="2:15">
      <c r="B31" s="560"/>
      <c r="C31" s="486">
        <v>250000</v>
      </c>
      <c r="D31" s="634">
        <f t="shared" si="3"/>
        <v>0</v>
      </c>
      <c r="E31" s="635">
        <f t="shared" si="4"/>
        <v>250000</v>
      </c>
      <c r="F31" s="634">
        <f t="shared" si="5"/>
        <v>0</v>
      </c>
      <c r="G31" s="635">
        <f t="shared" si="6"/>
        <v>250000</v>
      </c>
      <c r="H31" s="634">
        <f t="shared" si="7"/>
        <v>0</v>
      </c>
      <c r="I31" s="635">
        <f t="shared" si="8"/>
        <v>250000</v>
      </c>
      <c r="J31" s="634">
        <f t="shared" si="9"/>
        <v>0</v>
      </c>
      <c r="K31" s="635">
        <f t="shared" si="10"/>
        <v>250000</v>
      </c>
      <c r="L31" s="634">
        <f t="shared" si="11"/>
        <v>0</v>
      </c>
      <c r="M31" s="635">
        <f t="shared" si="12"/>
        <v>250000</v>
      </c>
      <c r="N31" s="634">
        <f t="shared" si="13"/>
        <v>0</v>
      </c>
      <c r="O31" s="635">
        <f t="shared" si="14"/>
        <v>250000</v>
      </c>
    </row>
    <row r="32" spans="2:15">
      <c r="B32" s="560"/>
      <c r="C32" s="486">
        <v>500000</v>
      </c>
      <c r="D32" s="634">
        <f t="shared" si="3"/>
        <v>0</v>
      </c>
      <c r="E32" s="635">
        <f t="shared" si="4"/>
        <v>500000</v>
      </c>
      <c r="F32" s="634">
        <f t="shared" si="5"/>
        <v>0</v>
      </c>
      <c r="G32" s="635">
        <f t="shared" si="6"/>
        <v>500000</v>
      </c>
      <c r="H32" s="634">
        <f t="shared" si="7"/>
        <v>0</v>
      </c>
      <c r="I32" s="635">
        <f t="shared" si="8"/>
        <v>500000</v>
      </c>
      <c r="J32" s="634">
        <f t="shared" si="9"/>
        <v>0</v>
      </c>
      <c r="K32" s="635">
        <f t="shared" si="10"/>
        <v>500000</v>
      </c>
      <c r="L32" s="634">
        <f t="shared" si="11"/>
        <v>0</v>
      </c>
      <c r="M32" s="635">
        <f t="shared" si="12"/>
        <v>500000</v>
      </c>
      <c r="N32" s="634">
        <f t="shared" si="13"/>
        <v>0</v>
      </c>
      <c r="O32" s="635">
        <f t="shared" si="14"/>
        <v>500000</v>
      </c>
    </row>
    <row r="33" spans="2:15">
      <c r="B33" s="560"/>
      <c r="C33" s="486">
        <v>1000000</v>
      </c>
      <c r="D33" s="634">
        <f t="shared" si="3"/>
        <v>0</v>
      </c>
      <c r="E33" s="635">
        <f t="shared" si="4"/>
        <v>1000000</v>
      </c>
      <c r="F33" s="634">
        <f t="shared" si="5"/>
        <v>0</v>
      </c>
      <c r="G33" s="635">
        <f t="shared" si="6"/>
        <v>1000000</v>
      </c>
      <c r="H33" s="634">
        <f t="shared" si="7"/>
        <v>0</v>
      </c>
      <c r="I33" s="635">
        <f t="shared" si="8"/>
        <v>1000000</v>
      </c>
      <c r="J33" s="634">
        <f t="shared" si="9"/>
        <v>0</v>
      </c>
      <c r="K33" s="635">
        <f t="shared" si="10"/>
        <v>1000000</v>
      </c>
      <c r="L33" s="634">
        <f t="shared" si="11"/>
        <v>0</v>
      </c>
      <c r="M33" s="635">
        <f t="shared" si="12"/>
        <v>1000000</v>
      </c>
      <c r="N33" s="634">
        <f t="shared" si="13"/>
        <v>0</v>
      </c>
      <c r="O33" s="635">
        <f t="shared" si="14"/>
        <v>1000000</v>
      </c>
    </row>
    <row r="34" spans="2:15">
      <c r="B34" s="560"/>
      <c r="C34" s="486">
        <v>2000000</v>
      </c>
      <c r="D34" s="634">
        <f t="shared" si="3"/>
        <v>0</v>
      </c>
      <c r="E34" s="635">
        <f t="shared" si="4"/>
        <v>2000000</v>
      </c>
      <c r="F34" s="634">
        <f t="shared" si="5"/>
        <v>0</v>
      </c>
      <c r="G34" s="635">
        <f t="shared" si="6"/>
        <v>2000000</v>
      </c>
      <c r="H34" s="634">
        <f t="shared" si="7"/>
        <v>0</v>
      </c>
      <c r="I34" s="635">
        <f t="shared" si="8"/>
        <v>2000000</v>
      </c>
      <c r="J34" s="634">
        <f t="shared" si="9"/>
        <v>0</v>
      </c>
      <c r="K34" s="635">
        <f t="shared" si="10"/>
        <v>2000000</v>
      </c>
      <c r="L34" s="634">
        <f t="shared" si="11"/>
        <v>0</v>
      </c>
      <c r="M34" s="635">
        <f t="shared" si="12"/>
        <v>2000000</v>
      </c>
      <c r="N34" s="634">
        <f t="shared" si="13"/>
        <v>0</v>
      </c>
      <c r="O34" s="635">
        <f t="shared" si="14"/>
        <v>2000000</v>
      </c>
    </row>
    <row r="35" spans="2:15">
      <c r="B35" s="560"/>
      <c r="C35" s="486">
        <v>3000000</v>
      </c>
      <c r="D35" s="634">
        <f t="shared" si="3"/>
        <v>0</v>
      </c>
      <c r="E35" s="635">
        <f t="shared" si="4"/>
        <v>3000000</v>
      </c>
      <c r="F35" s="634">
        <f t="shared" si="5"/>
        <v>0</v>
      </c>
      <c r="G35" s="635">
        <f t="shared" si="6"/>
        <v>3000000</v>
      </c>
      <c r="H35" s="634">
        <f t="shared" si="7"/>
        <v>0</v>
      </c>
      <c r="I35" s="635">
        <f t="shared" si="8"/>
        <v>3000000</v>
      </c>
      <c r="J35" s="634">
        <f t="shared" si="9"/>
        <v>0</v>
      </c>
      <c r="K35" s="635">
        <f t="shared" si="10"/>
        <v>3000000</v>
      </c>
      <c r="L35" s="634">
        <f t="shared" si="11"/>
        <v>0</v>
      </c>
      <c r="M35" s="635">
        <f t="shared" si="12"/>
        <v>3000000</v>
      </c>
      <c r="N35" s="634">
        <f t="shared" si="13"/>
        <v>0</v>
      </c>
      <c r="O35" s="635">
        <f t="shared" si="14"/>
        <v>3000000</v>
      </c>
    </row>
    <row r="36" spans="2:15">
      <c r="B36" s="560"/>
      <c r="C36" s="486">
        <v>5000000</v>
      </c>
      <c r="D36" s="634">
        <f t="shared" si="3"/>
        <v>0</v>
      </c>
      <c r="E36" s="635">
        <f t="shared" si="4"/>
        <v>5000000</v>
      </c>
      <c r="F36" s="634">
        <f t="shared" si="5"/>
        <v>0</v>
      </c>
      <c r="G36" s="635">
        <f t="shared" si="6"/>
        <v>5000000</v>
      </c>
      <c r="H36" s="634">
        <f t="shared" si="7"/>
        <v>0</v>
      </c>
      <c r="I36" s="635">
        <f t="shared" si="8"/>
        <v>5000000</v>
      </c>
      <c r="J36" s="634">
        <f t="shared" si="9"/>
        <v>0</v>
      </c>
      <c r="K36" s="635">
        <f t="shared" si="10"/>
        <v>5000000</v>
      </c>
      <c r="L36" s="634">
        <f t="shared" si="11"/>
        <v>0</v>
      </c>
      <c r="M36" s="635">
        <f t="shared" si="12"/>
        <v>5000000</v>
      </c>
      <c r="N36" s="634">
        <f t="shared" si="13"/>
        <v>0</v>
      </c>
      <c r="O36" s="635">
        <f t="shared" si="14"/>
        <v>5000000</v>
      </c>
    </row>
    <row r="37" spans="2:15">
      <c r="B37" s="560"/>
      <c r="C37" s="486">
        <v>7500000</v>
      </c>
      <c r="D37" s="634">
        <f t="shared" si="3"/>
        <v>0</v>
      </c>
      <c r="E37" s="635">
        <f t="shared" si="4"/>
        <v>7500000</v>
      </c>
      <c r="F37" s="634">
        <f t="shared" si="5"/>
        <v>0</v>
      </c>
      <c r="G37" s="635">
        <f t="shared" si="6"/>
        <v>7500000</v>
      </c>
      <c r="H37" s="634">
        <f t="shared" si="7"/>
        <v>0</v>
      </c>
      <c r="I37" s="635">
        <f t="shared" si="8"/>
        <v>7500000</v>
      </c>
      <c r="J37" s="634">
        <f t="shared" si="9"/>
        <v>0</v>
      </c>
      <c r="K37" s="635">
        <f t="shared" si="10"/>
        <v>7500000</v>
      </c>
      <c r="L37" s="634">
        <f t="shared" si="11"/>
        <v>0</v>
      </c>
      <c r="M37" s="635">
        <f t="shared" si="12"/>
        <v>7500000</v>
      </c>
      <c r="N37" s="634">
        <f t="shared" si="13"/>
        <v>0</v>
      </c>
      <c r="O37" s="635">
        <f t="shared" si="14"/>
        <v>7500000</v>
      </c>
    </row>
    <row r="38" spans="2:15">
      <c r="B38" s="560"/>
      <c r="C38" s="486">
        <v>10000000</v>
      </c>
      <c r="D38" s="634">
        <f t="shared" si="3"/>
        <v>0</v>
      </c>
      <c r="E38" s="635">
        <f t="shared" si="4"/>
        <v>10000000</v>
      </c>
      <c r="F38" s="634">
        <f t="shared" si="5"/>
        <v>0</v>
      </c>
      <c r="G38" s="635">
        <f t="shared" si="6"/>
        <v>10000000</v>
      </c>
      <c r="H38" s="634">
        <f t="shared" si="7"/>
        <v>0</v>
      </c>
      <c r="I38" s="635">
        <f t="shared" si="8"/>
        <v>10000000</v>
      </c>
      <c r="J38" s="634">
        <f t="shared" si="9"/>
        <v>0</v>
      </c>
      <c r="K38" s="635">
        <f t="shared" si="10"/>
        <v>10000000</v>
      </c>
      <c r="L38" s="634">
        <f t="shared" si="11"/>
        <v>0</v>
      </c>
      <c r="M38" s="635">
        <f t="shared" si="12"/>
        <v>10000000</v>
      </c>
      <c r="N38" s="634">
        <f t="shared" si="13"/>
        <v>0</v>
      </c>
      <c r="O38" s="635">
        <f t="shared" si="14"/>
        <v>10000000</v>
      </c>
    </row>
    <row r="39" spans="2:15" ht="15" thickBot="1">
      <c r="C39" s="516"/>
      <c r="D39" s="634"/>
      <c r="E39" s="635"/>
      <c r="F39" s="634"/>
      <c r="G39" s="635"/>
      <c r="H39" s="634"/>
      <c r="I39" s="635"/>
      <c r="J39" s="634"/>
      <c r="K39" s="635"/>
      <c r="L39" s="634"/>
      <c r="M39" s="635"/>
      <c r="N39" s="634"/>
      <c r="O39" s="635"/>
    </row>
    <row r="40" spans="2:15">
      <c r="D40" s="634"/>
      <c r="E40" s="635"/>
      <c r="F40" s="634"/>
      <c r="G40" s="635"/>
      <c r="H40" s="634"/>
      <c r="I40" s="635"/>
      <c r="J40" s="634"/>
      <c r="K40" s="635"/>
      <c r="L40" s="634"/>
      <c r="M40" s="635"/>
      <c r="N40" s="634"/>
      <c r="O40" s="635"/>
    </row>
    <row r="41" spans="2:15" ht="15" thickBot="1">
      <c r="D41" s="636"/>
      <c r="E41" s="637">
        <f>MIN(E30:E39)</f>
        <v>100000</v>
      </c>
      <c r="F41" s="636"/>
      <c r="G41" s="637">
        <f>MIN(G30:G39)</f>
        <v>100000</v>
      </c>
      <c r="H41" s="636"/>
      <c r="I41" s="637">
        <f>MIN(I30:I39)</f>
        <v>100000</v>
      </c>
      <c r="J41" s="636"/>
      <c r="K41" s="637">
        <f>MIN(K30:K39)</f>
        <v>100000</v>
      </c>
      <c r="L41" s="636"/>
      <c r="M41" s="637">
        <f>MIN(M30:M39)</f>
        <v>100000</v>
      </c>
      <c r="N41" s="636"/>
      <c r="O41" s="637">
        <f>MIN(O30:O39)</f>
        <v>100000</v>
      </c>
    </row>
  </sheetData>
  <mergeCells count="8">
    <mergeCell ref="J29:K29"/>
    <mergeCell ref="L29:M29"/>
    <mergeCell ref="D1:L1"/>
    <mergeCell ref="D19:F19"/>
    <mergeCell ref="G19:I19"/>
    <mergeCell ref="D29:E29"/>
    <mergeCell ref="F29:G29"/>
    <mergeCell ref="H29:I29"/>
  </mergeCells>
  <pageMargins left="0.7" right="0.7" top="0.78740157499999996" bottom="0.78740157499999996"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O37"/>
  <sheetViews>
    <sheetView workbookViewId="0"/>
  </sheetViews>
  <sheetFormatPr baseColWidth="10" defaultColWidth="14.33203125" defaultRowHeight="15" customHeight="1"/>
  <cols>
    <col min="1" max="1" width="2.5546875" customWidth="1"/>
    <col min="2" max="2" width="24.33203125" customWidth="1"/>
    <col min="3" max="3" width="29.5546875" customWidth="1"/>
    <col min="11" max="11" width="29.6640625" customWidth="1"/>
  </cols>
  <sheetData>
    <row r="1" spans="2:13" ht="14.4">
      <c r="D1" s="1112" t="s">
        <v>3128</v>
      </c>
      <c r="E1" s="1105"/>
      <c r="F1" s="1105"/>
      <c r="G1" s="1105"/>
      <c r="H1" s="1105"/>
      <c r="I1" s="1105"/>
      <c r="J1" s="1105"/>
      <c r="K1" s="1105"/>
      <c r="L1" s="1105"/>
      <c r="M1" s="1105"/>
    </row>
    <row r="2" spans="2:13" ht="14.4">
      <c r="B2" s="1113" t="s">
        <v>3672</v>
      </c>
      <c r="C2" s="1064"/>
      <c r="D2" s="559">
        <v>250000</v>
      </c>
      <c r="E2" s="559">
        <v>500000</v>
      </c>
      <c r="F2" s="559">
        <v>1000000</v>
      </c>
      <c r="G2" s="559">
        <v>1500000</v>
      </c>
      <c r="H2" s="559">
        <v>2000000</v>
      </c>
      <c r="I2" s="559">
        <v>2500000</v>
      </c>
      <c r="J2" s="559">
        <v>3000000</v>
      </c>
      <c r="K2" s="559">
        <v>5000000</v>
      </c>
      <c r="L2" s="559">
        <v>7500000</v>
      </c>
      <c r="M2" s="559">
        <v>10000000</v>
      </c>
    </row>
    <row r="3" spans="2:13" ht="14.4">
      <c r="B3" s="502" t="s">
        <v>3655</v>
      </c>
      <c r="C3" s="502">
        <v>0</v>
      </c>
      <c r="D3" s="255">
        <v>716.3</v>
      </c>
      <c r="E3" s="255">
        <v>854.05</v>
      </c>
      <c r="F3" s="255">
        <v>984.91</v>
      </c>
      <c r="G3" s="255">
        <v>1446.38</v>
      </c>
      <c r="H3" s="560">
        <v>1859.63</v>
      </c>
      <c r="I3" s="560">
        <v>2350</v>
      </c>
      <c r="J3" s="560">
        <v>2727.45</v>
      </c>
      <c r="K3" s="560">
        <v>4339.13</v>
      </c>
      <c r="L3" s="560"/>
      <c r="M3" s="560"/>
    </row>
    <row r="4" spans="2:13" ht="14.4">
      <c r="B4" s="502" t="s">
        <v>3734</v>
      </c>
      <c r="C4" s="502">
        <v>5000001</v>
      </c>
      <c r="D4" s="255">
        <v>764.51</v>
      </c>
      <c r="E4" s="255">
        <v>902.26</v>
      </c>
      <c r="F4" s="255">
        <v>1033.1300000000001</v>
      </c>
      <c r="G4" s="255">
        <v>1515.25</v>
      </c>
      <c r="H4" s="255">
        <v>1962.94</v>
      </c>
      <c r="I4" s="255">
        <v>2470</v>
      </c>
      <c r="J4" s="255">
        <v>2878.98</v>
      </c>
      <c r="K4" s="255">
        <v>4580.1899999999996</v>
      </c>
      <c r="L4" s="560"/>
      <c r="M4" s="560"/>
    </row>
    <row r="5" spans="2:13" ht="14.4">
      <c r="B5" s="502" t="s">
        <v>3735</v>
      </c>
      <c r="C5" s="502">
        <v>20000001</v>
      </c>
      <c r="D5" s="255">
        <v>826.5</v>
      </c>
      <c r="E5" s="255">
        <v>964.25</v>
      </c>
      <c r="F5" s="255">
        <v>1198.43</v>
      </c>
      <c r="G5" s="255">
        <v>1770.09</v>
      </c>
      <c r="H5" s="255">
        <v>2341.75</v>
      </c>
      <c r="I5" s="255">
        <v>2680</v>
      </c>
      <c r="J5" s="255">
        <v>3361.1</v>
      </c>
      <c r="K5" s="255">
        <v>5103.6400000000003</v>
      </c>
      <c r="L5" s="255"/>
      <c r="M5" s="255"/>
    </row>
    <row r="14" spans="2:13" thickBot="1">
      <c r="K14" s="625" t="s">
        <v>3646</v>
      </c>
      <c r="L14" s="626">
        <v>250000</v>
      </c>
    </row>
    <row r="15" spans="2:13" thickBot="1">
      <c r="D15" s="1083" t="s">
        <v>2398</v>
      </c>
      <c r="E15" s="1093"/>
      <c r="F15" s="1093"/>
      <c r="G15" s="1083" t="s">
        <v>3111</v>
      </c>
      <c r="H15" s="1093"/>
      <c r="I15" s="1084"/>
      <c r="K15" s="625" t="s">
        <v>3647</v>
      </c>
      <c r="L15" s="626">
        <v>10000000</v>
      </c>
    </row>
    <row r="16" spans="2:13" thickBot="1">
      <c r="D16" s="473" t="s">
        <v>3113</v>
      </c>
      <c r="E16" s="627" t="s">
        <v>3114</v>
      </c>
      <c r="F16" s="627" t="s">
        <v>3115</v>
      </c>
      <c r="G16" s="473" t="str">
        <f>'Preisrechner Alle Tarife'!B3</f>
        <v>DS 1</v>
      </c>
      <c r="H16" s="627" t="str">
        <f>'Preisrechner Alle Tarife'!C3</f>
        <v>DS 2</v>
      </c>
      <c r="I16" s="628" t="str">
        <f>'Preisrechner Alle Tarife'!D3</f>
        <v>DS 3</v>
      </c>
      <c r="K16" s="625" t="s">
        <v>3648</v>
      </c>
      <c r="L16" s="626">
        <v>50000000</v>
      </c>
    </row>
    <row r="17" spans="3:15" ht="14.4">
      <c r="C17" s="476" t="s">
        <v>3117</v>
      </c>
      <c r="D17" s="477">
        <f>IF(Deckungssumme1GI&gt;L15,L15,Deckungssumme1GI)</f>
        <v>0</v>
      </c>
      <c r="E17" s="629">
        <f>IF(Deckungssumme2GI&gt;L15,L15,Deckungssumme2GI)</f>
        <v>0</v>
      </c>
      <c r="F17" s="629">
        <f>IF(Deckungssumme3GI&gt;L15,L15,Deckungssumme3GI)</f>
        <v>0</v>
      </c>
      <c r="G17" s="477">
        <f>IF(Deckungssumme1&gt;L15,L15,Deckungssumme1)</f>
        <v>0</v>
      </c>
      <c r="H17" s="629">
        <f>IF(Deckungssumme2&gt;L15,L15,Deckungssumme2)</f>
        <v>0</v>
      </c>
      <c r="I17" s="630">
        <f>IF(Deckungssumme3&gt;L15,L15,Deckungssumme3)</f>
        <v>0</v>
      </c>
    </row>
    <row r="18" spans="3:15" ht="14.4">
      <c r="C18" s="480" t="s">
        <v>3119</v>
      </c>
      <c r="D18" s="477" t="str">
        <f>IF(Deckungssumme1GI=0,"",E37)</f>
        <v/>
      </c>
      <c r="E18" s="629" t="str">
        <f>IF(Deckungssumme2GI=0,"",G37)</f>
        <v/>
      </c>
      <c r="F18" s="629" t="str">
        <f>IF(Deckungssumme3GI=0,"",I37)</f>
        <v/>
      </c>
      <c r="G18" s="477" t="str">
        <f>IF(Deckungssumme1=0,"",K37)</f>
        <v/>
      </c>
      <c r="H18" s="629" t="str">
        <f>IF(Deckungssumme2=0,"",M37)</f>
        <v/>
      </c>
      <c r="I18" s="630" t="str">
        <f>IF(Deckungssumme3=0,"",O37)</f>
        <v/>
      </c>
    </row>
    <row r="19" spans="3:15" ht="14.4">
      <c r="C19" s="480" t="s">
        <v>3649</v>
      </c>
      <c r="D19" s="477">
        <f>IF(MAX(AußenumsatzGI,VereinsvermögenGI,BilanzsummeGI)&gt;markelClubs_MaxUmsatz,"Umsatz zu groß!",MAX(AußenumsatzGI,VereinsvermögenGI,BilanzsummeGI))</f>
        <v>0</v>
      </c>
      <c r="E19" s="629">
        <f>IF(MAX(AußenumsatzGI,VereinsvermögenGI,BilanzsummeGI)&gt;markelClubs_MaxUmsatz,"Umsatz zu groß!",MAX(AußenumsatzGI,VereinsvermögenGI,BilanzsummeGI))</f>
        <v>0</v>
      </c>
      <c r="F19" s="629">
        <f>IF(MAX(AußenumsatzGI,VereinsvermögenGI,BilanzsummeGI)&gt;markelClubs_MaxUmsatz,"Umsatz zu groß!",MAX(AußenumsatzGI,VereinsvermögenGI,BilanzsummeGI))</f>
        <v>0</v>
      </c>
      <c r="G19" s="477">
        <f>IF(MAX(Außenumsatz,Vereinsvermögen,Bilanzsumme)&gt;markelClubs_MaxUmsatz,"Umsatz zu groß!",MAX(Außenumsatz,Vereinsvermögen,Bilanzsumme))</f>
        <v>0</v>
      </c>
      <c r="H19" s="629">
        <f>IF(MAX(Außenumsatz,Vereinsvermögen,Bilanzsumme)&gt;markelClubs_MaxUmsatz,"Umsatz zu groß!",MAX(Außenumsatz,Vereinsvermögen,Bilanzsumme))</f>
        <v>0</v>
      </c>
      <c r="I19" s="630">
        <f>IF(MAX(Außenumsatz,Vereinsvermögen,Bilanzsumme)&gt;markelClubs_MaxUmsatz,"Umsatz zu groß!",MAX(Außenumsatz,Vereinsvermögen,Bilanzsumme))</f>
        <v>0</v>
      </c>
    </row>
    <row r="20" spans="3:15" ht="14.4">
      <c r="C20" s="480" t="s">
        <v>3650</v>
      </c>
      <c r="D20" s="477" t="e">
        <f t="shared" ref="D20:I20" si="0">MATCH(D18,$D$2:$M$2,1)</f>
        <v>#N/A</v>
      </c>
      <c r="E20" s="629" t="e">
        <f t="shared" si="0"/>
        <v>#N/A</v>
      </c>
      <c r="F20" s="629" t="e">
        <f t="shared" si="0"/>
        <v>#N/A</v>
      </c>
      <c r="G20" s="477" t="e">
        <f t="shared" si="0"/>
        <v>#N/A</v>
      </c>
      <c r="H20" s="629" t="e">
        <f t="shared" si="0"/>
        <v>#N/A</v>
      </c>
      <c r="I20" s="630" t="e">
        <f t="shared" si="0"/>
        <v>#N/A</v>
      </c>
    </row>
    <row r="21" spans="3:15" ht="14.4">
      <c r="C21" s="480" t="s">
        <v>3651</v>
      </c>
      <c r="D21" s="477">
        <f t="shared" ref="D21:I21" si="1">MATCH(D19,$C$3:$C$5,1)</f>
        <v>1</v>
      </c>
      <c r="E21" s="629">
        <f t="shared" si="1"/>
        <v>1</v>
      </c>
      <c r="F21" s="629">
        <f t="shared" si="1"/>
        <v>1</v>
      </c>
      <c r="G21" s="477">
        <f t="shared" si="1"/>
        <v>1</v>
      </c>
      <c r="H21" s="629">
        <f t="shared" si="1"/>
        <v>1</v>
      </c>
      <c r="I21" s="630">
        <f t="shared" si="1"/>
        <v>1</v>
      </c>
    </row>
    <row r="22" spans="3:15" thickBot="1">
      <c r="C22" s="481" t="s">
        <v>3118</v>
      </c>
      <c r="D22" s="631" t="str">
        <f t="shared" ref="D22:I22" si="2">IFERROR(INDEX($D$3:$M$5,D21,D20),"")</f>
        <v/>
      </c>
      <c r="E22" s="632" t="str">
        <f t="shared" si="2"/>
        <v/>
      </c>
      <c r="F22" s="632" t="str">
        <f t="shared" si="2"/>
        <v/>
      </c>
      <c r="G22" s="631" t="str">
        <f t="shared" si="2"/>
        <v/>
      </c>
      <c r="H22" s="632" t="str">
        <f t="shared" si="2"/>
        <v/>
      </c>
      <c r="I22" s="633" t="str">
        <f t="shared" si="2"/>
        <v/>
      </c>
    </row>
    <row r="24" spans="3:15" thickBot="1"/>
    <row r="25" spans="3:15" thickBot="1">
      <c r="C25" s="485" t="s">
        <v>3733</v>
      </c>
      <c r="D25" s="1083" t="s">
        <v>3113</v>
      </c>
      <c r="E25" s="1084"/>
      <c r="F25" s="1083" t="s">
        <v>3114</v>
      </c>
      <c r="G25" s="1093"/>
      <c r="H25" s="1083" t="s">
        <v>3115</v>
      </c>
      <c r="I25" s="1084"/>
      <c r="J25" s="1083" t="s">
        <v>3113</v>
      </c>
      <c r="K25" s="1084"/>
      <c r="L25" s="1083" t="s">
        <v>3114</v>
      </c>
      <c r="M25" s="1084"/>
      <c r="N25" s="514" t="s">
        <v>3115</v>
      </c>
      <c r="O25" s="515"/>
    </row>
    <row r="26" spans="3:15" ht="14.4">
      <c r="C26" s="486">
        <v>250000</v>
      </c>
      <c r="D26" s="634">
        <f t="shared" ref="D26:D35" si="3">$D$17</f>
        <v>0</v>
      </c>
      <c r="E26" s="635">
        <f t="shared" ref="E26:E35" si="4">IF(D26&lt;=C26,C26,"")</f>
        <v>250000</v>
      </c>
      <c r="F26" s="634">
        <f t="shared" ref="F26:F35" si="5">$E$17</f>
        <v>0</v>
      </c>
      <c r="G26" s="635">
        <f t="shared" ref="G26:G35" si="6">IF(F26&lt;=C26,C26,"")</f>
        <v>250000</v>
      </c>
      <c r="H26" s="634">
        <f t="shared" ref="H26:H35" si="7">$F$17</f>
        <v>0</v>
      </c>
      <c r="I26" s="635">
        <f t="shared" ref="I26:I35" si="8">IF(H26&lt;=C26,C26,"")</f>
        <v>250000</v>
      </c>
      <c r="J26" s="634">
        <f t="shared" ref="J26:J35" si="9">$G$17</f>
        <v>0</v>
      </c>
      <c r="K26" s="635">
        <f t="shared" ref="K26:K35" si="10">IF(J26&lt;=C26,C26,"")</f>
        <v>250000</v>
      </c>
      <c r="L26" s="634">
        <f t="shared" ref="L26:L35" si="11">$H$17</f>
        <v>0</v>
      </c>
      <c r="M26" s="635">
        <f t="shared" ref="M26:M35" si="12">IF(L26&lt;=C26,C26,"")</f>
        <v>250000</v>
      </c>
      <c r="N26" s="634">
        <f t="shared" ref="N26:N35" si="13">$I$17</f>
        <v>0</v>
      </c>
      <c r="O26" s="635">
        <f t="shared" ref="O26:O35" si="14">IF(N26&lt;=C26,C26,"")</f>
        <v>250000</v>
      </c>
    </row>
    <row r="27" spans="3:15" ht="14.4">
      <c r="C27" s="486">
        <v>500000</v>
      </c>
      <c r="D27" s="634">
        <f t="shared" si="3"/>
        <v>0</v>
      </c>
      <c r="E27" s="635">
        <f t="shared" si="4"/>
        <v>500000</v>
      </c>
      <c r="F27" s="634">
        <f t="shared" si="5"/>
        <v>0</v>
      </c>
      <c r="G27" s="635">
        <f t="shared" si="6"/>
        <v>500000</v>
      </c>
      <c r="H27" s="634">
        <f t="shared" si="7"/>
        <v>0</v>
      </c>
      <c r="I27" s="635">
        <f t="shared" si="8"/>
        <v>500000</v>
      </c>
      <c r="J27" s="634">
        <f t="shared" si="9"/>
        <v>0</v>
      </c>
      <c r="K27" s="635">
        <f t="shared" si="10"/>
        <v>500000</v>
      </c>
      <c r="L27" s="634">
        <f t="shared" si="11"/>
        <v>0</v>
      </c>
      <c r="M27" s="635">
        <f t="shared" si="12"/>
        <v>500000</v>
      </c>
      <c r="N27" s="634">
        <f t="shared" si="13"/>
        <v>0</v>
      </c>
      <c r="O27" s="635">
        <f t="shared" si="14"/>
        <v>500000</v>
      </c>
    </row>
    <row r="28" spans="3:15" ht="14.4">
      <c r="C28" s="486">
        <v>1000000</v>
      </c>
      <c r="D28" s="634">
        <f t="shared" si="3"/>
        <v>0</v>
      </c>
      <c r="E28" s="635">
        <f t="shared" si="4"/>
        <v>1000000</v>
      </c>
      <c r="F28" s="634">
        <f t="shared" si="5"/>
        <v>0</v>
      </c>
      <c r="G28" s="635">
        <f t="shared" si="6"/>
        <v>1000000</v>
      </c>
      <c r="H28" s="634">
        <f t="shared" si="7"/>
        <v>0</v>
      </c>
      <c r="I28" s="635">
        <f t="shared" si="8"/>
        <v>1000000</v>
      </c>
      <c r="J28" s="634">
        <f t="shared" si="9"/>
        <v>0</v>
      </c>
      <c r="K28" s="635">
        <f t="shared" si="10"/>
        <v>1000000</v>
      </c>
      <c r="L28" s="634">
        <f t="shared" si="11"/>
        <v>0</v>
      </c>
      <c r="M28" s="635">
        <f t="shared" si="12"/>
        <v>1000000</v>
      </c>
      <c r="N28" s="634">
        <f t="shared" si="13"/>
        <v>0</v>
      </c>
      <c r="O28" s="635">
        <f t="shared" si="14"/>
        <v>1000000</v>
      </c>
    </row>
    <row r="29" spans="3:15" ht="14.4">
      <c r="C29" s="486">
        <v>1500000</v>
      </c>
      <c r="D29" s="634">
        <f t="shared" si="3"/>
        <v>0</v>
      </c>
      <c r="E29" s="635">
        <f t="shared" si="4"/>
        <v>1500000</v>
      </c>
      <c r="F29" s="634">
        <f t="shared" si="5"/>
        <v>0</v>
      </c>
      <c r="G29" s="635">
        <f t="shared" si="6"/>
        <v>1500000</v>
      </c>
      <c r="H29" s="634">
        <f t="shared" si="7"/>
        <v>0</v>
      </c>
      <c r="I29" s="635">
        <f t="shared" si="8"/>
        <v>1500000</v>
      </c>
      <c r="J29" s="634">
        <f t="shared" si="9"/>
        <v>0</v>
      </c>
      <c r="K29" s="635">
        <f t="shared" si="10"/>
        <v>1500000</v>
      </c>
      <c r="L29" s="634">
        <f t="shared" si="11"/>
        <v>0</v>
      </c>
      <c r="M29" s="635">
        <f t="shared" si="12"/>
        <v>1500000</v>
      </c>
      <c r="N29" s="634">
        <f t="shared" si="13"/>
        <v>0</v>
      </c>
      <c r="O29" s="635">
        <f t="shared" si="14"/>
        <v>1500000</v>
      </c>
    </row>
    <row r="30" spans="3:15" ht="14.4">
      <c r="C30" s="486">
        <v>2000000</v>
      </c>
      <c r="D30" s="634">
        <f t="shared" si="3"/>
        <v>0</v>
      </c>
      <c r="E30" s="635">
        <f t="shared" si="4"/>
        <v>2000000</v>
      </c>
      <c r="F30" s="634">
        <f t="shared" si="5"/>
        <v>0</v>
      </c>
      <c r="G30" s="635">
        <f t="shared" si="6"/>
        <v>2000000</v>
      </c>
      <c r="H30" s="634">
        <f t="shared" si="7"/>
        <v>0</v>
      </c>
      <c r="I30" s="635">
        <f t="shared" si="8"/>
        <v>2000000</v>
      </c>
      <c r="J30" s="634">
        <f t="shared" si="9"/>
        <v>0</v>
      </c>
      <c r="K30" s="635">
        <f t="shared" si="10"/>
        <v>2000000</v>
      </c>
      <c r="L30" s="634">
        <f t="shared" si="11"/>
        <v>0</v>
      </c>
      <c r="M30" s="635">
        <f t="shared" si="12"/>
        <v>2000000</v>
      </c>
      <c r="N30" s="634">
        <f t="shared" si="13"/>
        <v>0</v>
      </c>
      <c r="O30" s="635">
        <f t="shared" si="14"/>
        <v>2000000</v>
      </c>
    </row>
    <row r="31" spans="3:15" ht="14.4">
      <c r="C31" s="486">
        <v>2500000</v>
      </c>
      <c r="D31" s="634">
        <f t="shared" si="3"/>
        <v>0</v>
      </c>
      <c r="E31" s="635">
        <f t="shared" si="4"/>
        <v>2500000</v>
      </c>
      <c r="F31" s="634">
        <f t="shared" si="5"/>
        <v>0</v>
      </c>
      <c r="G31" s="635">
        <f t="shared" si="6"/>
        <v>2500000</v>
      </c>
      <c r="H31" s="634">
        <f t="shared" si="7"/>
        <v>0</v>
      </c>
      <c r="I31" s="635">
        <f t="shared" si="8"/>
        <v>2500000</v>
      </c>
      <c r="J31" s="634">
        <f t="shared" si="9"/>
        <v>0</v>
      </c>
      <c r="K31" s="635">
        <f t="shared" si="10"/>
        <v>2500000</v>
      </c>
      <c r="L31" s="634">
        <f t="shared" si="11"/>
        <v>0</v>
      </c>
      <c r="M31" s="635">
        <f t="shared" si="12"/>
        <v>2500000</v>
      </c>
      <c r="N31" s="634">
        <f t="shared" si="13"/>
        <v>0</v>
      </c>
      <c r="O31" s="635">
        <f t="shared" si="14"/>
        <v>2500000</v>
      </c>
    </row>
    <row r="32" spans="3:15" ht="14.4">
      <c r="C32" s="486">
        <v>3000000</v>
      </c>
      <c r="D32" s="634">
        <f t="shared" si="3"/>
        <v>0</v>
      </c>
      <c r="E32" s="635">
        <f t="shared" si="4"/>
        <v>3000000</v>
      </c>
      <c r="F32" s="634">
        <f t="shared" si="5"/>
        <v>0</v>
      </c>
      <c r="G32" s="635">
        <f t="shared" si="6"/>
        <v>3000000</v>
      </c>
      <c r="H32" s="634">
        <f t="shared" si="7"/>
        <v>0</v>
      </c>
      <c r="I32" s="635">
        <f t="shared" si="8"/>
        <v>3000000</v>
      </c>
      <c r="J32" s="634">
        <f t="shared" si="9"/>
        <v>0</v>
      </c>
      <c r="K32" s="635">
        <f t="shared" si="10"/>
        <v>3000000</v>
      </c>
      <c r="L32" s="634">
        <f t="shared" si="11"/>
        <v>0</v>
      </c>
      <c r="M32" s="635">
        <f t="shared" si="12"/>
        <v>3000000</v>
      </c>
      <c r="N32" s="634">
        <f t="shared" si="13"/>
        <v>0</v>
      </c>
      <c r="O32" s="635">
        <f t="shared" si="14"/>
        <v>3000000</v>
      </c>
    </row>
    <row r="33" spans="3:15" ht="14.4">
      <c r="C33" s="486">
        <v>5000000</v>
      </c>
      <c r="D33" s="634">
        <f t="shared" si="3"/>
        <v>0</v>
      </c>
      <c r="E33" s="635">
        <f t="shared" si="4"/>
        <v>5000000</v>
      </c>
      <c r="F33" s="634">
        <f t="shared" si="5"/>
        <v>0</v>
      </c>
      <c r="G33" s="635">
        <f t="shared" si="6"/>
        <v>5000000</v>
      </c>
      <c r="H33" s="634">
        <f t="shared" si="7"/>
        <v>0</v>
      </c>
      <c r="I33" s="635">
        <f t="shared" si="8"/>
        <v>5000000</v>
      </c>
      <c r="J33" s="634">
        <f t="shared" si="9"/>
        <v>0</v>
      </c>
      <c r="K33" s="635">
        <f t="shared" si="10"/>
        <v>5000000</v>
      </c>
      <c r="L33" s="634">
        <f t="shared" si="11"/>
        <v>0</v>
      </c>
      <c r="M33" s="635">
        <f t="shared" si="12"/>
        <v>5000000</v>
      </c>
      <c r="N33" s="634">
        <f t="shared" si="13"/>
        <v>0</v>
      </c>
      <c r="O33" s="635">
        <f t="shared" si="14"/>
        <v>5000000</v>
      </c>
    </row>
    <row r="34" spans="3:15" ht="14.4">
      <c r="C34" s="486">
        <v>7500000</v>
      </c>
      <c r="D34" s="634">
        <f t="shared" si="3"/>
        <v>0</v>
      </c>
      <c r="E34" s="635">
        <f t="shared" si="4"/>
        <v>7500000</v>
      </c>
      <c r="F34" s="634">
        <f t="shared" si="5"/>
        <v>0</v>
      </c>
      <c r="G34" s="635">
        <f t="shared" si="6"/>
        <v>7500000</v>
      </c>
      <c r="H34" s="634">
        <f t="shared" si="7"/>
        <v>0</v>
      </c>
      <c r="I34" s="635">
        <f t="shared" si="8"/>
        <v>7500000</v>
      </c>
      <c r="J34" s="634">
        <f t="shared" si="9"/>
        <v>0</v>
      </c>
      <c r="K34" s="635">
        <f t="shared" si="10"/>
        <v>7500000</v>
      </c>
      <c r="L34" s="634">
        <f t="shared" si="11"/>
        <v>0</v>
      </c>
      <c r="M34" s="635">
        <f t="shared" si="12"/>
        <v>7500000</v>
      </c>
      <c r="N34" s="634">
        <f t="shared" si="13"/>
        <v>0</v>
      </c>
      <c r="O34" s="635">
        <f t="shared" si="14"/>
        <v>7500000</v>
      </c>
    </row>
    <row r="35" spans="3:15" thickBot="1">
      <c r="C35" s="516">
        <v>10000000</v>
      </c>
      <c r="D35" s="634">
        <f t="shared" si="3"/>
        <v>0</v>
      </c>
      <c r="E35" s="635">
        <f t="shared" si="4"/>
        <v>10000000</v>
      </c>
      <c r="F35" s="634">
        <f t="shared" si="5"/>
        <v>0</v>
      </c>
      <c r="G35" s="635">
        <f t="shared" si="6"/>
        <v>10000000</v>
      </c>
      <c r="H35" s="634">
        <f t="shared" si="7"/>
        <v>0</v>
      </c>
      <c r="I35" s="635">
        <f t="shared" si="8"/>
        <v>10000000</v>
      </c>
      <c r="J35" s="634">
        <f t="shared" si="9"/>
        <v>0</v>
      </c>
      <c r="K35" s="635">
        <f t="shared" si="10"/>
        <v>10000000</v>
      </c>
      <c r="L35" s="634">
        <f t="shared" si="11"/>
        <v>0</v>
      </c>
      <c r="M35" s="635">
        <f t="shared" si="12"/>
        <v>10000000</v>
      </c>
      <c r="N35" s="634">
        <f t="shared" si="13"/>
        <v>0</v>
      </c>
      <c r="O35" s="635">
        <f t="shared" si="14"/>
        <v>10000000</v>
      </c>
    </row>
    <row r="36" spans="3:15" ht="14.4">
      <c r="D36" s="634"/>
      <c r="E36" s="635"/>
      <c r="F36" s="634"/>
      <c r="G36" s="635"/>
      <c r="H36" s="634"/>
      <c r="I36" s="635"/>
      <c r="J36" s="634"/>
      <c r="K36" s="635"/>
      <c r="L36" s="634"/>
      <c r="M36" s="635"/>
      <c r="N36" s="634"/>
      <c r="O36" s="635"/>
    </row>
    <row r="37" spans="3:15" thickBot="1">
      <c r="D37" s="636"/>
      <c r="E37" s="637">
        <f>MIN(E26:E35)</f>
        <v>250000</v>
      </c>
      <c r="F37" s="636"/>
      <c r="G37" s="637">
        <f>MIN(G26:G35)</f>
        <v>250000</v>
      </c>
      <c r="H37" s="636"/>
      <c r="I37" s="637">
        <f>MIN(I26:I35)</f>
        <v>250000</v>
      </c>
      <c r="J37" s="636"/>
      <c r="K37" s="637">
        <f>MIN(K26:K35)</f>
        <v>250000</v>
      </c>
      <c r="L37" s="636"/>
      <c r="M37" s="637">
        <f>MIN(M26:M35)</f>
        <v>250000</v>
      </c>
      <c r="N37" s="636"/>
      <c r="O37" s="637">
        <f>MIN(O26:O35)</f>
        <v>250000</v>
      </c>
    </row>
  </sheetData>
  <mergeCells count="9">
    <mergeCell ref="D1:M1"/>
    <mergeCell ref="B2:C2"/>
    <mergeCell ref="D15:F15"/>
    <mergeCell ref="G15:I15"/>
    <mergeCell ref="D25:E25"/>
    <mergeCell ref="F25:G25"/>
    <mergeCell ref="H25:I25"/>
    <mergeCell ref="J25:K25"/>
    <mergeCell ref="L25:M25"/>
  </mergeCells>
  <pageMargins left="0.7" right="0.7" top="0.78740157499999996" bottom="0.78740157499999996"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55A11"/>
  </sheetPr>
  <dimension ref="A1:W1000"/>
  <sheetViews>
    <sheetView showGridLines="0" workbookViewId="0">
      <selection activeCell="A42" sqref="A42"/>
    </sheetView>
  </sheetViews>
  <sheetFormatPr baseColWidth="10" defaultColWidth="14.33203125" defaultRowHeight="15" customHeight="1"/>
  <cols>
    <col min="1" max="1" width="68.5546875" customWidth="1"/>
    <col min="2" max="2" width="11.33203125" customWidth="1"/>
    <col min="3" max="3" width="34" customWidth="1"/>
    <col min="4" max="23" width="11.33203125" customWidth="1"/>
  </cols>
  <sheetData>
    <row r="1" spans="1:23" ht="22.95" customHeight="1">
      <c r="A1" s="1" t="s">
        <v>0</v>
      </c>
      <c r="B1" s="2" t="s">
        <v>1</v>
      </c>
      <c r="C1" s="3"/>
      <c r="D1" s="3"/>
      <c r="E1" s="3"/>
      <c r="F1" s="3"/>
      <c r="G1" s="3"/>
      <c r="H1" s="3"/>
      <c r="I1" s="3"/>
      <c r="J1" s="3"/>
      <c r="K1" s="3"/>
      <c r="L1" s="3"/>
      <c r="M1" s="3"/>
      <c r="N1" s="3"/>
      <c r="O1" s="3"/>
      <c r="P1" s="3"/>
      <c r="Q1" s="3"/>
      <c r="R1" s="3"/>
      <c r="S1" s="3"/>
      <c r="T1" s="3"/>
      <c r="U1" s="3"/>
      <c r="V1" s="3"/>
      <c r="W1" s="3"/>
    </row>
    <row r="2" spans="1:23" ht="14.25" customHeight="1">
      <c r="A2" s="4" t="s">
        <v>2</v>
      </c>
      <c r="B2" s="5" t="s">
        <v>3</v>
      </c>
      <c r="C2" s="1114" t="s">
        <v>4</v>
      </c>
      <c r="D2" s="3"/>
      <c r="E2" s="3"/>
      <c r="F2" s="3"/>
      <c r="G2" s="3"/>
      <c r="H2" s="3"/>
      <c r="I2" s="3"/>
      <c r="J2" s="3"/>
      <c r="K2" s="3"/>
      <c r="L2" s="3"/>
      <c r="M2" s="3"/>
      <c r="N2" s="3"/>
      <c r="O2" s="3"/>
      <c r="P2" s="3"/>
      <c r="Q2" s="3"/>
      <c r="R2" s="3"/>
      <c r="S2" s="3"/>
      <c r="T2" s="3"/>
      <c r="U2" s="3"/>
      <c r="V2" s="3"/>
      <c r="W2" s="3"/>
    </row>
    <row r="3" spans="1:23" ht="14.25" customHeight="1">
      <c r="A3" s="4" t="s">
        <v>5</v>
      </c>
      <c r="B3" s="5" t="s">
        <v>3</v>
      </c>
      <c r="C3" s="1115"/>
      <c r="D3" s="3"/>
      <c r="E3" s="3"/>
      <c r="F3" s="3"/>
      <c r="G3" s="3"/>
      <c r="H3" s="3"/>
      <c r="I3" s="3"/>
      <c r="J3" s="3"/>
      <c r="K3" s="3"/>
      <c r="L3" s="3"/>
      <c r="M3" s="3"/>
      <c r="N3" s="3"/>
      <c r="O3" s="3"/>
      <c r="P3" s="3"/>
      <c r="Q3" s="3"/>
      <c r="R3" s="3"/>
      <c r="S3" s="3"/>
      <c r="T3" s="3"/>
      <c r="U3" s="3"/>
      <c r="V3" s="3"/>
      <c r="W3" s="3"/>
    </row>
    <row r="4" spans="1:23" ht="14.25" customHeight="1">
      <c r="A4" s="4" t="s">
        <v>6</v>
      </c>
      <c r="B4" s="5" t="s">
        <v>3</v>
      </c>
      <c r="C4" s="1115"/>
      <c r="D4" s="3"/>
      <c r="E4" s="3"/>
      <c r="F4" s="3"/>
      <c r="G4" s="3"/>
      <c r="H4" s="3"/>
      <c r="I4" s="3"/>
      <c r="J4" s="3"/>
      <c r="K4" s="3"/>
      <c r="L4" s="3"/>
      <c r="M4" s="3"/>
      <c r="N4" s="3"/>
      <c r="O4" s="3"/>
      <c r="P4" s="3"/>
      <c r="Q4" s="3"/>
      <c r="R4" s="3"/>
      <c r="S4" s="3"/>
      <c r="T4" s="3"/>
      <c r="U4" s="3"/>
      <c r="V4" s="3"/>
      <c r="W4" s="3"/>
    </row>
    <row r="5" spans="1:23" ht="14.25" customHeight="1">
      <c r="A5" s="4" t="s">
        <v>7</v>
      </c>
      <c r="B5" s="5" t="s">
        <v>3</v>
      </c>
      <c r="C5" s="1115"/>
      <c r="D5" s="3"/>
      <c r="E5" s="3"/>
      <c r="F5" s="3"/>
      <c r="G5" s="3"/>
      <c r="H5" s="3"/>
      <c r="I5" s="3"/>
      <c r="J5" s="3"/>
      <c r="K5" s="3"/>
      <c r="L5" s="3"/>
      <c r="M5" s="3"/>
      <c r="N5" s="3"/>
      <c r="O5" s="3"/>
      <c r="P5" s="3"/>
      <c r="Q5" s="3"/>
      <c r="R5" s="3"/>
      <c r="S5" s="3"/>
      <c r="T5" s="3"/>
      <c r="U5" s="3"/>
      <c r="V5" s="3"/>
      <c r="W5" s="3"/>
    </row>
    <row r="6" spans="1:23" ht="14.25" customHeight="1">
      <c r="A6" s="4" t="s">
        <v>8</v>
      </c>
      <c r="B6" s="5" t="s">
        <v>3</v>
      </c>
      <c r="C6" s="1068"/>
      <c r="D6" s="3"/>
      <c r="E6" s="3"/>
      <c r="F6" s="3"/>
      <c r="G6" s="3"/>
      <c r="H6" s="3"/>
      <c r="I6" s="3"/>
      <c r="J6" s="3"/>
      <c r="K6" s="3"/>
      <c r="L6" s="3"/>
      <c r="M6" s="3"/>
      <c r="N6" s="3"/>
      <c r="O6" s="3"/>
      <c r="P6" s="3"/>
      <c r="Q6" s="3"/>
      <c r="R6" s="3"/>
      <c r="S6" s="3"/>
      <c r="T6" s="3"/>
      <c r="U6" s="3"/>
      <c r="V6" s="3"/>
      <c r="W6" s="3"/>
    </row>
    <row r="7" spans="1:23" ht="14.25" customHeight="1">
      <c r="A7" s="3"/>
      <c r="B7" s="3"/>
      <c r="C7" s="3"/>
      <c r="D7" s="3"/>
      <c r="E7" s="3"/>
      <c r="F7" s="3"/>
      <c r="G7" s="3"/>
      <c r="H7" s="3"/>
      <c r="I7" s="3"/>
      <c r="J7" s="3"/>
      <c r="K7" s="3"/>
      <c r="L7" s="3"/>
      <c r="M7" s="3"/>
      <c r="N7" s="3"/>
      <c r="O7" s="3"/>
      <c r="P7" s="3"/>
      <c r="Q7" s="3"/>
      <c r="R7" s="3"/>
      <c r="S7" s="3"/>
      <c r="T7" s="3"/>
      <c r="U7" s="3"/>
      <c r="V7" s="3"/>
      <c r="W7" s="3"/>
    </row>
    <row r="8" spans="1:23" ht="14.25" customHeight="1">
      <c r="A8" s="3"/>
      <c r="B8" s="3"/>
      <c r="C8" s="3"/>
      <c r="D8" s="3"/>
      <c r="E8" s="3"/>
      <c r="F8" s="3"/>
      <c r="G8" s="3"/>
      <c r="H8" s="3"/>
      <c r="I8" s="3"/>
      <c r="J8" s="3"/>
      <c r="K8" s="3"/>
      <c r="L8" s="3"/>
      <c r="M8" s="3"/>
      <c r="N8" s="3"/>
      <c r="O8" s="3"/>
      <c r="P8" s="3"/>
      <c r="Q8" s="3"/>
      <c r="R8" s="3"/>
      <c r="S8" s="3"/>
      <c r="T8" s="3"/>
      <c r="U8" s="3"/>
      <c r="V8" s="3"/>
      <c r="W8" s="3"/>
    </row>
    <row r="9" spans="1:23" ht="22.95" customHeight="1">
      <c r="A9" s="6" t="s">
        <v>9</v>
      </c>
      <c r="B9" s="2" t="s">
        <v>1</v>
      </c>
      <c r="C9" s="3"/>
      <c r="D9" s="3"/>
      <c r="E9" s="3"/>
      <c r="F9" s="3"/>
      <c r="G9" s="3"/>
      <c r="H9" s="3"/>
      <c r="I9" s="3"/>
      <c r="J9" s="3"/>
      <c r="K9" s="3"/>
      <c r="L9" s="3"/>
      <c r="M9" s="3"/>
      <c r="N9" s="3"/>
      <c r="O9" s="3"/>
      <c r="P9" s="3"/>
      <c r="Q9" s="3"/>
      <c r="R9" s="3"/>
      <c r="S9" s="3"/>
      <c r="T9" s="3"/>
      <c r="U9" s="3"/>
      <c r="V9" s="3"/>
      <c r="W9" s="3"/>
    </row>
    <row r="10" spans="1:23" ht="14.25" customHeight="1">
      <c r="A10" s="7" t="s">
        <v>10</v>
      </c>
      <c r="B10" s="5" t="s">
        <v>11</v>
      </c>
      <c r="C10" s="1116" t="s">
        <v>12</v>
      </c>
      <c r="D10" s="3"/>
      <c r="E10" s="3"/>
      <c r="F10" s="3"/>
      <c r="G10" s="3"/>
      <c r="H10" s="3"/>
      <c r="I10" s="3"/>
      <c r="J10" s="3"/>
      <c r="K10" s="3"/>
      <c r="L10" s="3"/>
      <c r="M10" s="3"/>
      <c r="N10" s="3"/>
      <c r="O10" s="3"/>
      <c r="P10" s="3"/>
      <c r="Q10" s="3"/>
      <c r="R10" s="3"/>
      <c r="S10" s="3"/>
      <c r="T10" s="3"/>
      <c r="U10" s="3"/>
      <c r="V10" s="3"/>
      <c r="W10" s="3"/>
    </row>
    <row r="11" spans="1:23" ht="14.25" customHeight="1">
      <c r="A11" s="7" t="s">
        <v>13</v>
      </c>
      <c r="B11" s="5" t="s">
        <v>11</v>
      </c>
      <c r="C11" s="1068"/>
      <c r="D11" s="3"/>
      <c r="E11" s="3"/>
      <c r="F11" s="3"/>
      <c r="G11" s="3"/>
      <c r="H11" s="3"/>
      <c r="I11" s="3"/>
      <c r="J11" s="3"/>
      <c r="K11" s="3"/>
      <c r="L11" s="3"/>
      <c r="M11" s="3"/>
      <c r="N11" s="3"/>
      <c r="O11" s="3"/>
      <c r="P11" s="3"/>
      <c r="Q11" s="3"/>
      <c r="R11" s="3"/>
      <c r="S11" s="3"/>
      <c r="T11" s="3"/>
      <c r="U11" s="3"/>
      <c r="V11" s="3"/>
      <c r="W11" s="3"/>
    </row>
    <row r="12" spans="1:23" ht="14.25" customHeight="1">
      <c r="A12" s="3"/>
      <c r="B12" s="3"/>
      <c r="C12" s="3"/>
      <c r="D12" s="3"/>
      <c r="E12" s="3"/>
      <c r="F12" s="3"/>
      <c r="G12" s="3"/>
      <c r="H12" s="3"/>
      <c r="I12" s="3"/>
      <c r="J12" s="3"/>
      <c r="K12" s="3"/>
      <c r="L12" s="3"/>
      <c r="M12" s="3"/>
      <c r="N12" s="3"/>
      <c r="O12" s="3"/>
      <c r="P12" s="3"/>
      <c r="Q12" s="3"/>
      <c r="R12" s="3"/>
      <c r="S12" s="3"/>
      <c r="T12" s="3"/>
      <c r="U12" s="3"/>
      <c r="V12" s="3"/>
      <c r="W12" s="3"/>
    </row>
    <row r="13" spans="1:23" ht="14.25" customHeight="1">
      <c r="A13" s="3"/>
      <c r="B13" s="3"/>
      <c r="C13" s="3"/>
      <c r="D13" s="3"/>
      <c r="E13" s="3"/>
      <c r="F13" s="3"/>
      <c r="G13" s="3"/>
      <c r="H13" s="3"/>
      <c r="I13" s="3"/>
      <c r="J13" s="3"/>
      <c r="K13" s="3"/>
      <c r="L13" s="3"/>
      <c r="M13" s="3"/>
      <c r="N13" s="3"/>
      <c r="O13" s="3"/>
      <c r="P13" s="3"/>
      <c r="Q13" s="3"/>
      <c r="R13" s="3"/>
      <c r="S13" s="3"/>
      <c r="T13" s="3"/>
      <c r="U13" s="3"/>
      <c r="V13" s="3"/>
      <c r="W13" s="3"/>
    </row>
    <row r="14" spans="1:23" ht="14.25" customHeight="1">
      <c r="A14" s="3"/>
      <c r="B14" s="3"/>
      <c r="C14" s="3"/>
      <c r="D14" s="3"/>
      <c r="E14" s="3"/>
      <c r="F14" s="3"/>
      <c r="G14" s="3"/>
      <c r="H14" s="3"/>
      <c r="I14" s="3"/>
      <c r="J14" s="3"/>
      <c r="K14" s="3"/>
      <c r="L14" s="3"/>
      <c r="M14" s="3"/>
      <c r="N14" s="3"/>
      <c r="O14" s="3"/>
      <c r="P14" s="3"/>
      <c r="Q14" s="3"/>
      <c r="R14" s="3"/>
      <c r="S14" s="3"/>
      <c r="T14" s="3"/>
      <c r="U14" s="3"/>
      <c r="V14" s="3"/>
      <c r="W14" s="3"/>
    </row>
    <row r="15" spans="1:23" ht="14.25" customHeight="1">
      <c r="A15" s="3"/>
      <c r="B15" s="3"/>
      <c r="C15" s="3"/>
      <c r="D15" s="3"/>
      <c r="E15" s="3"/>
      <c r="F15" s="3"/>
      <c r="G15" s="3"/>
      <c r="H15" s="3"/>
      <c r="I15" s="3"/>
      <c r="J15" s="3"/>
      <c r="K15" s="3"/>
      <c r="L15" s="3"/>
      <c r="M15" s="3"/>
      <c r="N15" s="3"/>
      <c r="O15" s="3"/>
      <c r="P15" s="3"/>
      <c r="Q15" s="3"/>
      <c r="R15" s="3"/>
      <c r="S15" s="3"/>
      <c r="T15" s="3"/>
      <c r="U15" s="3"/>
      <c r="V15" s="3"/>
      <c r="W15" s="3"/>
    </row>
    <row r="16" spans="1:23" ht="14.25" customHeight="1">
      <c r="A16" s="3"/>
      <c r="B16" s="3"/>
      <c r="C16" s="3"/>
      <c r="D16" s="3"/>
      <c r="E16" s="3"/>
      <c r="F16" s="3"/>
      <c r="G16" s="3"/>
      <c r="H16" s="3"/>
      <c r="I16" s="3"/>
      <c r="J16" s="3"/>
      <c r="K16" s="3"/>
      <c r="L16" s="3"/>
      <c r="M16" s="3"/>
      <c r="N16" s="3"/>
      <c r="O16" s="3"/>
      <c r="P16" s="3"/>
      <c r="Q16" s="3"/>
      <c r="R16" s="3"/>
      <c r="S16" s="3"/>
      <c r="T16" s="3"/>
      <c r="U16" s="3"/>
      <c r="V16" s="3"/>
      <c r="W16" s="3"/>
    </row>
    <row r="17" spans="1:23" ht="14.25" customHeight="1">
      <c r="A17" s="3"/>
      <c r="B17" s="3"/>
      <c r="C17" s="3"/>
      <c r="D17" s="3"/>
      <c r="E17" s="3"/>
      <c r="F17" s="3"/>
      <c r="G17" s="3"/>
      <c r="H17" s="3"/>
      <c r="I17" s="3"/>
      <c r="J17" s="3"/>
      <c r="K17" s="3"/>
      <c r="L17" s="3"/>
      <c r="M17" s="3"/>
      <c r="N17" s="3"/>
      <c r="O17" s="3"/>
      <c r="P17" s="3"/>
      <c r="Q17" s="3"/>
      <c r="R17" s="3"/>
      <c r="S17" s="3"/>
      <c r="T17" s="3"/>
      <c r="U17" s="3"/>
      <c r="V17" s="3"/>
      <c r="W17" s="3"/>
    </row>
    <row r="18" spans="1:23" ht="14.25" customHeight="1">
      <c r="A18" s="3"/>
      <c r="B18" s="3"/>
      <c r="C18" s="3"/>
      <c r="D18" s="3"/>
      <c r="E18" s="3"/>
      <c r="F18" s="3"/>
      <c r="G18" s="3"/>
      <c r="H18" s="3"/>
      <c r="I18" s="3"/>
      <c r="J18" s="3"/>
      <c r="K18" s="3"/>
      <c r="L18" s="3"/>
      <c r="M18" s="3"/>
      <c r="N18" s="3"/>
      <c r="O18" s="3"/>
      <c r="P18" s="3"/>
      <c r="Q18" s="3"/>
      <c r="R18" s="3"/>
      <c r="S18" s="3"/>
      <c r="T18" s="3"/>
      <c r="U18" s="3"/>
      <c r="V18" s="3"/>
      <c r="W18" s="3"/>
    </row>
    <row r="19" spans="1:23" ht="14.25" customHeight="1">
      <c r="A19" s="3"/>
      <c r="B19" s="3"/>
      <c r="C19" s="3"/>
      <c r="D19" s="3"/>
      <c r="E19" s="3"/>
      <c r="F19" s="3"/>
      <c r="G19" s="3"/>
      <c r="H19" s="3"/>
      <c r="I19" s="3"/>
      <c r="J19" s="3"/>
      <c r="K19" s="3"/>
      <c r="L19" s="3"/>
      <c r="M19" s="3"/>
      <c r="N19" s="3"/>
      <c r="O19" s="3"/>
      <c r="P19" s="3"/>
      <c r="Q19" s="3"/>
      <c r="R19" s="3"/>
      <c r="S19" s="3"/>
      <c r="T19" s="3"/>
      <c r="U19" s="3"/>
      <c r="V19" s="3"/>
      <c r="W19" s="3"/>
    </row>
    <row r="20" spans="1:23" ht="14.25" customHeight="1">
      <c r="A20" s="3"/>
      <c r="B20" s="3"/>
      <c r="C20" s="3"/>
      <c r="D20" s="3"/>
      <c r="E20" s="3"/>
      <c r="F20" s="3"/>
      <c r="G20" s="3"/>
      <c r="H20" s="3"/>
      <c r="I20" s="3"/>
      <c r="J20" s="3"/>
      <c r="K20" s="3"/>
      <c r="L20" s="3"/>
      <c r="M20" s="3"/>
      <c r="N20" s="3"/>
      <c r="O20" s="3"/>
      <c r="P20" s="3"/>
      <c r="Q20" s="3"/>
      <c r="R20" s="3"/>
      <c r="S20" s="3"/>
      <c r="T20" s="3"/>
      <c r="U20" s="3"/>
      <c r="V20" s="3"/>
      <c r="W20" s="3"/>
    </row>
    <row r="21" spans="1:23" ht="14.25" customHeight="1">
      <c r="A21" s="3"/>
      <c r="B21" s="3"/>
      <c r="C21" s="3"/>
      <c r="D21" s="3"/>
      <c r="E21" s="3"/>
      <c r="F21" s="3"/>
      <c r="G21" s="3"/>
      <c r="H21" s="3"/>
      <c r="I21" s="3"/>
      <c r="J21" s="3"/>
      <c r="K21" s="3"/>
      <c r="L21" s="3"/>
      <c r="M21" s="3"/>
      <c r="N21" s="3"/>
      <c r="O21" s="3"/>
      <c r="P21" s="3"/>
      <c r="Q21" s="3"/>
      <c r="R21" s="3"/>
      <c r="S21" s="3"/>
      <c r="T21" s="3"/>
      <c r="U21" s="3"/>
      <c r="V21" s="3"/>
      <c r="W21" s="3"/>
    </row>
    <row r="22" spans="1:23" ht="14.25" customHeight="1">
      <c r="A22" s="3"/>
      <c r="B22" s="3"/>
      <c r="C22" s="3"/>
      <c r="D22" s="3"/>
      <c r="E22" s="3"/>
      <c r="F22" s="3"/>
      <c r="G22" s="3"/>
      <c r="H22" s="3"/>
      <c r="I22" s="3"/>
      <c r="J22" s="3"/>
      <c r="K22" s="3"/>
      <c r="L22" s="3"/>
      <c r="M22" s="3"/>
      <c r="N22" s="3"/>
      <c r="O22" s="3"/>
      <c r="P22" s="3"/>
      <c r="Q22" s="3"/>
      <c r="R22" s="3"/>
      <c r="S22" s="3"/>
      <c r="T22" s="3"/>
      <c r="U22" s="3"/>
      <c r="V22" s="3"/>
      <c r="W22" s="3"/>
    </row>
    <row r="23" spans="1:23" ht="14.25" customHeight="1">
      <c r="A23" s="3"/>
      <c r="B23" s="3"/>
      <c r="C23" s="3"/>
      <c r="D23" s="3"/>
      <c r="E23" s="3"/>
      <c r="F23" s="3"/>
      <c r="G23" s="3"/>
      <c r="H23" s="3"/>
      <c r="I23" s="3"/>
      <c r="J23" s="3"/>
      <c r="K23" s="3"/>
      <c r="L23" s="3"/>
      <c r="M23" s="3"/>
      <c r="N23" s="3"/>
      <c r="O23" s="3"/>
      <c r="P23" s="3"/>
      <c r="Q23" s="3"/>
      <c r="R23" s="3"/>
      <c r="S23" s="3"/>
      <c r="T23" s="3"/>
      <c r="U23" s="3"/>
      <c r="V23" s="3"/>
      <c r="W23" s="3"/>
    </row>
    <row r="24" spans="1:23" ht="14.25" customHeight="1">
      <c r="A24" s="3"/>
      <c r="B24" s="3"/>
      <c r="C24" s="3"/>
      <c r="D24" s="3"/>
      <c r="E24" s="3"/>
      <c r="F24" s="3"/>
      <c r="G24" s="3"/>
      <c r="H24" s="3"/>
      <c r="I24" s="3"/>
      <c r="J24" s="3"/>
      <c r="K24" s="3"/>
      <c r="L24" s="3"/>
      <c r="M24" s="3"/>
      <c r="N24" s="3"/>
      <c r="O24" s="3"/>
      <c r="P24" s="3"/>
      <c r="Q24" s="3"/>
      <c r="R24" s="3"/>
      <c r="S24" s="3"/>
      <c r="T24" s="3"/>
      <c r="U24" s="3"/>
      <c r="V24" s="3"/>
      <c r="W24" s="3"/>
    </row>
    <row r="25" spans="1:23" ht="14.25" customHeight="1">
      <c r="A25" s="3"/>
      <c r="B25" s="3"/>
      <c r="C25" s="3"/>
      <c r="D25" s="3"/>
      <c r="E25" s="3"/>
      <c r="F25" s="3"/>
      <c r="G25" s="3"/>
      <c r="H25" s="3"/>
      <c r="I25" s="3"/>
      <c r="J25" s="3"/>
      <c r="K25" s="3"/>
      <c r="L25" s="3"/>
      <c r="M25" s="3"/>
      <c r="N25" s="3"/>
      <c r="O25" s="3"/>
      <c r="P25" s="3"/>
      <c r="Q25" s="3"/>
      <c r="R25" s="3"/>
      <c r="S25" s="3"/>
      <c r="T25" s="3"/>
      <c r="U25" s="3"/>
      <c r="V25" s="3"/>
      <c r="W25" s="3"/>
    </row>
    <row r="26" spans="1:23" ht="14.25" customHeight="1">
      <c r="A26" s="3"/>
      <c r="B26" s="3"/>
      <c r="C26" s="3"/>
      <c r="D26" s="3"/>
      <c r="E26" s="3"/>
      <c r="F26" s="3"/>
      <c r="G26" s="3"/>
      <c r="H26" s="3"/>
      <c r="I26" s="3"/>
      <c r="J26" s="3"/>
      <c r="K26" s="3"/>
      <c r="L26" s="3"/>
      <c r="M26" s="3"/>
      <c r="N26" s="3"/>
      <c r="O26" s="3"/>
      <c r="P26" s="3"/>
      <c r="Q26" s="3"/>
      <c r="R26" s="3"/>
      <c r="S26" s="3"/>
      <c r="T26" s="3"/>
      <c r="U26" s="3"/>
      <c r="V26" s="3"/>
      <c r="W26" s="3"/>
    </row>
    <row r="27" spans="1:23" ht="14.25" customHeight="1">
      <c r="A27" s="3"/>
      <c r="B27" s="3"/>
      <c r="C27" s="3"/>
      <c r="D27" s="3"/>
      <c r="E27" s="3"/>
      <c r="F27" s="3"/>
      <c r="G27" s="3"/>
      <c r="H27" s="3"/>
      <c r="I27" s="3"/>
      <c r="J27" s="3"/>
      <c r="K27" s="3"/>
      <c r="L27" s="3"/>
      <c r="M27" s="3"/>
      <c r="N27" s="3"/>
      <c r="O27" s="3"/>
      <c r="P27" s="3"/>
      <c r="Q27" s="3"/>
      <c r="R27" s="3"/>
      <c r="S27" s="3"/>
      <c r="T27" s="3"/>
      <c r="U27" s="3"/>
      <c r="V27" s="3"/>
      <c r="W27" s="3"/>
    </row>
    <row r="28" spans="1:23" ht="14.25" customHeight="1">
      <c r="A28" s="3"/>
      <c r="B28" s="3"/>
      <c r="C28" s="3"/>
      <c r="D28" s="3"/>
      <c r="E28" s="3"/>
      <c r="F28" s="3"/>
      <c r="G28" s="3"/>
      <c r="H28" s="3"/>
      <c r="I28" s="3"/>
      <c r="J28" s="3"/>
      <c r="K28" s="3"/>
      <c r="L28" s="3"/>
      <c r="M28" s="3"/>
      <c r="N28" s="3"/>
      <c r="O28" s="3"/>
      <c r="P28" s="3"/>
      <c r="Q28" s="3"/>
      <c r="R28" s="3"/>
      <c r="S28" s="3"/>
      <c r="T28" s="3"/>
      <c r="U28" s="3"/>
      <c r="V28" s="3"/>
      <c r="W28" s="3"/>
    </row>
    <row r="29" spans="1:23" ht="14.25" customHeight="1">
      <c r="A29" s="3"/>
      <c r="B29" s="3"/>
      <c r="C29" s="3"/>
      <c r="D29" s="3"/>
      <c r="E29" s="3"/>
      <c r="F29" s="3"/>
      <c r="G29" s="3"/>
      <c r="H29" s="3"/>
      <c r="I29" s="3"/>
      <c r="J29" s="3"/>
      <c r="K29" s="3"/>
      <c r="L29" s="3"/>
      <c r="M29" s="3"/>
      <c r="N29" s="3"/>
      <c r="O29" s="3"/>
      <c r="P29" s="3"/>
      <c r="Q29" s="3"/>
      <c r="R29" s="3"/>
      <c r="S29" s="3"/>
      <c r="T29" s="3"/>
      <c r="U29" s="3"/>
      <c r="V29" s="3"/>
      <c r="W29" s="3"/>
    </row>
    <row r="30" spans="1:23" ht="14.25" customHeight="1">
      <c r="A30" s="3"/>
      <c r="B30" s="3"/>
      <c r="C30" s="3"/>
      <c r="D30" s="3"/>
      <c r="E30" s="3"/>
      <c r="F30" s="3"/>
      <c r="G30" s="3"/>
      <c r="H30" s="3"/>
      <c r="I30" s="3"/>
      <c r="J30" s="3"/>
      <c r="K30" s="3"/>
      <c r="L30" s="3"/>
      <c r="M30" s="3"/>
      <c r="N30" s="3"/>
      <c r="O30" s="3"/>
      <c r="P30" s="3"/>
      <c r="Q30" s="3"/>
      <c r="R30" s="3"/>
      <c r="S30" s="3"/>
      <c r="T30" s="3"/>
      <c r="U30" s="3"/>
      <c r="V30" s="3"/>
      <c r="W30" s="3"/>
    </row>
    <row r="31" spans="1:23" ht="14.25" customHeight="1">
      <c r="A31" s="3"/>
      <c r="B31" s="3"/>
      <c r="C31" s="3"/>
      <c r="D31" s="3"/>
      <c r="E31" s="3"/>
      <c r="F31" s="3"/>
      <c r="G31" s="3"/>
      <c r="H31" s="3"/>
      <c r="I31" s="3"/>
      <c r="J31" s="3"/>
      <c r="K31" s="3"/>
      <c r="L31" s="3"/>
      <c r="M31" s="3"/>
      <c r="N31" s="3"/>
      <c r="O31" s="3"/>
      <c r="P31" s="3"/>
      <c r="Q31" s="3"/>
      <c r="R31" s="3"/>
      <c r="S31" s="3"/>
      <c r="T31" s="3"/>
      <c r="U31" s="3"/>
      <c r="V31" s="3"/>
      <c r="W31" s="3"/>
    </row>
    <row r="32" spans="1:23" ht="14.25" customHeight="1">
      <c r="A32" s="3"/>
      <c r="B32" s="3"/>
      <c r="C32" s="3"/>
      <c r="D32" s="3"/>
      <c r="E32" s="3"/>
      <c r="F32" s="3"/>
      <c r="G32" s="3"/>
      <c r="H32" s="3"/>
      <c r="I32" s="3"/>
      <c r="J32" s="3"/>
      <c r="K32" s="3"/>
      <c r="L32" s="3"/>
      <c r="M32" s="3"/>
      <c r="N32" s="3"/>
      <c r="O32" s="3"/>
      <c r="P32" s="3"/>
      <c r="Q32" s="3"/>
      <c r="R32" s="3"/>
      <c r="S32" s="3"/>
      <c r="T32" s="3"/>
      <c r="U32" s="3"/>
      <c r="V32" s="3"/>
      <c r="W32" s="3"/>
    </row>
    <row r="33" spans="1:23" ht="14.25" customHeight="1">
      <c r="A33" s="3"/>
      <c r="B33" s="3"/>
      <c r="C33" s="3"/>
      <c r="D33" s="3"/>
      <c r="E33" s="3"/>
      <c r="F33" s="3"/>
      <c r="G33" s="3"/>
      <c r="H33" s="3"/>
      <c r="I33" s="3"/>
      <c r="J33" s="3"/>
      <c r="K33" s="3"/>
      <c r="L33" s="3"/>
      <c r="M33" s="3"/>
      <c r="N33" s="3"/>
      <c r="O33" s="3"/>
      <c r="P33" s="3"/>
      <c r="Q33" s="3"/>
      <c r="R33" s="3"/>
      <c r="S33" s="3"/>
      <c r="T33" s="3"/>
      <c r="U33" s="3"/>
      <c r="V33" s="3"/>
      <c r="W33" s="3"/>
    </row>
    <row r="34" spans="1:23" ht="14.25" customHeight="1">
      <c r="A34" s="3"/>
      <c r="B34" s="3"/>
      <c r="C34" s="3"/>
      <c r="D34" s="3"/>
      <c r="E34" s="3"/>
      <c r="F34" s="3"/>
      <c r="G34" s="3"/>
      <c r="H34" s="3"/>
      <c r="I34" s="3"/>
      <c r="J34" s="3"/>
      <c r="K34" s="3"/>
      <c r="L34" s="3"/>
      <c r="M34" s="3"/>
      <c r="N34" s="3"/>
      <c r="O34" s="3"/>
      <c r="P34" s="3"/>
      <c r="Q34" s="3"/>
      <c r="R34" s="3"/>
      <c r="S34" s="3"/>
      <c r="T34" s="3"/>
      <c r="U34" s="3"/>
      <c r="V34" s="3"/>
      <c r="W34" s="3"/>
    </row>
    <row r="35" spans="1:23" ht="14.25" customHeight="1">
      <c r="A35" s="3"/>
      <c r="B35" s="3"/>
      <c r="C35" s="3"/>
      <c r="D35" s="3"/>
      <c r="E35" s="3"/>
      <c r="F35" s="3"/>
      <c r="G35" s="3"/>
      <c r="H35" s="3"/>
      <c r="I35" s="3"/>
      <c r="J35" s="3"/>
      <c r="K35" s="3"/>
      <c r="L35" s="3"/>
      <c r="M35" s="3"/>
      <c r="N35" s="3"/>
      <c r="O35" s="3"/>
      <c r="P35" s="3"/>
      <c r="Q35" s="3"/>
      <c r="R35" s="3"/>
      <c r="S35" s="3"/>
      <c r="T35" s="3"/>
      <c r="U35" s="3"/>
      <c r="V35" s="3"/>
      <c r="W35" s="3"/>
    </row>
    <row r="36" spans="1:23" ht="14.25" customHeight="1">
      <c r="A36" s="3"/>
      <c r="B36" s="3"/>
      <c r="C36" s="3"/>
      <c r="D36" s="3"/>
      <c r="E36" s="3"/>
      <c r="F36" s="3"/>
      <c r="G36" s="3"/>
      <c r="H36" s="3"/>
      <c r="I36" s="3"/>
      <c r="J36" s="3"/>
      <c r="K36" s="3"/>
      <c r="L36" s="3"/>
      <c r="M36" s="3"/>
      <c r="N36" s="3"/>
      <c r="O36" s="3"/>
      <c r="P36" s="3"/>
      <c r="Q36" s="3"/>
      <c r="R36" s="3"/>
      <c r="S36" s="3"/>
      <c r="T36" s="3"/>
      <c r="U36" s="3"/>
      <c r="V36" s="3"/>
      <c r="W36" s="3"/>
    </row>
    <row r="37" spans="1:23" ht="14.25" customHeight="1">
      <c r="A37" s="3"/>
      <c r="B37" s="3"/>
      <c r="C37" s="3"/>
      <c r="D37" s="3"/>
      <c r="E37" s="3"/>
      <c r="F37" s="3"/>
      <c r="G37" s="3"/>
      <c r="H37" s="3"/>
      <c r="I37" s="3"/>
      <c r="J37" s="3"/>
      <c r="K37" s="3"/>
      <c r="L37" s="3"/>
      <c r="M37" s="3"/>
      <c r="N37" s="3"/>
      <c r="O37" s="3"/>
      <c r="P37" s="3"/>
      <c r="Q37" s="3"/>
      <c r="R37" s="3"/>
      <c r="S37" s="3"/>
      <c r="T37" s="3"/>
      <c r="U37" s="3"/>
      <c r="V37" s="3"/>
      <c r="W37" s="3"/>
    </row>
    <row r="38" spans="1:23" ht="14.25" customHeight="1">
      <c r="A38" s="3"/>
      <c r="B38" s="3"/>
      <c r="C38" s="3"/>
      <c r="D38" s="3"/>
      <c r="E38" s="3"/>
      <c r="F38" s="3"/>
      <c r="G38" s="3"/>
      <c r="H38" s="3"/>
      <c r="I38" s="3"/>
      <c r="J38" s="3"/>
      <c r="K38" s="3"/>
      <c r="L38" s="3"/>
      <c r="M38" s="3"/>
      <c r="N38" s="3"/>
      <c r="O38" s="3"/>
      <c r="P38" s="3"/>
      <c r="Q38" s="3"/>
      <c r="R38" s="3"/>
      <c r="S38" s="3"/>
      <c r="T38" s="3"/>
      <c r="U38" s="3"/>
      <c r="V38" s="3"/>
      <c r="W38" s="3"/>
    </row>
    <row r="39" spans="1:23" ht="14.25" customHeight="1">
      <c r="A39" s="3"/>
      <c r="B39" s="3"/>
      <c r="C39" s="3"/>
      <c r="D39" s="3"/>
      <c r="E39" s="3"/>
      <c r="F39" s="3"/>
      <c r="G39" s="3"/>
      <c r="H39" s="3"/>
      <c r="I39" s="3"/>
      <c r="J39" s="3"/>
      <c r="K39" s="3"/>
      <c r="L39" s="3"/>
      <c r="M39" s="3"/>
      <c r="N39" s="3"/>
      <c r="O39" s="3"/>
      <c r="P39" s="3"/>
      <c r="Q39" s="3"/>
      <c r="R39" s="3"/>
      <c r="S39" s="3"/>
      <c r="T39" s="3"/>
      <c r="U39" s="3"/>
      <c r="V39" s="3"/>
      <c r="W39" s="3"/>
    </row>
    <row r="40" spans="1:23" ht="14.25" customHeight="1">
      <c r="A40" s="3"/>
      <c r="B40" s="3"/>
      <c r="C40" s="3"/>
      <c r="D40" s="3"/>
      <c r="E40" s="3"/>
      <c r="F40" s="3"/>
      <c r="G40" s="3"/>
      <c r="H40" s="3"/>
      <c r="I40" s="3"/>
      <c r="J40" s="3"/>
      <c r="K40" s="3"/>
      <c r="L40" s="3"/>
      <c r="M40" s="3"/>
      <c r="N40" s="3"/>
      <c r="O40" s="3"/>
      <c r="P40" s="3"/>
      <c r="Q40" s="3"/>
      <c r="R40" s="3"/>
      <c r="S40" s="3"/>
      <c r="T40" s="3"/>
      <c r="U40" s="3"/>
      <c r="V40" s="3"/>
      <c r="W40" s="3"/>
    </row>
    <row r="41" spans="1:23" ht="14.25" customHeight="1">
      <c r="A41" s="3"/>
      <c r="B41" s="3"/>
      <c r="C41" s="3"/>
      <c r="D41" s="3"/>
      <c r="E41" s="3"/>
      <c r="F41" s="3"/>
      <c r="G41" s="3"/>
      <c r="H41" s="3"/>
      <c r="I41" s="3"/>
      <c r="J41" s="3"/>
      <c r="K41" s="3"/>
      <c r="L41" s="3"/>
      <c r="M41" s="3"/>
      <c r="N41" s="3"/>
      <c r="O41" s="3"/>
      <c r="P41" s="3"/>
      <c r="Q41" s="3"/>
      <c r="R41" s="3"/>
      <c r="S41" s="3"/>
      <c r="T41" s="3"/>
      <c r="U41" s="3"/>
      <c r="V41" s="3"/>
      <c r="W41" s="3"/>
    </row>
    <row r="42" spans="1:23" ht="14.25" customHeight="1">
      <c r="A42" s="3"/>
      <c r="B42" s="3"/>
      <c r="C42" s="3"/>
      <c r="D42" s="3"/>
      <c r="E42" s="3"/>
      <c r="F42" s="3"/>
      <c r="G42" s="3"/>
      <c r="H42" s="3"/>
      <c r="I42" s="3"/>
      <c r="J42" s="3"/>
      <c r="K42" s="3"/>
      <c r="L42" s="3"/>
      <c r="M42" s="3"/>
      <c r="N42" s="3"/>
      <c r="O42" s="3"/>
      <c r="P42" s="3"/>
      <c r="Q42" s="3"/>
      <c r="R42" s="3"/>
      <c r="S42" s="3"/>
      <c r="T42" s="3"/>
      <c r="U42" s="3"/>
      <c r="V42" s="3"/>
      <c r="W42" s="3"/>
    </row>
    <row r="43" spans="1:23" ht="14.25" customHeight="1">
      <c r="A43" s="3"/>
      <c r="B43" s="3"/>
      <c r="C43" s="3"/>
      <c r="D43" s="3"/>
      <c r="E43" s="3"/>
      <c r="F43" s="3"/>
      <c r="G43" s="3"/>
      <c r="H43" s="3"/>
      <c r="I43" s="3"/>
      <c r="J43" s="3"/>
      <c r="K43" s="3"/>
      <c r="L43" s="3"/>
      <c r="M43" s="3"/>
      <c r="N43" s="3"/>
      <c r="O43" s="3"/>
      <c r="P43" s="3"/>
      <c r="Q43" s="3"/>
      <c r="R43" s="3"/>
      <c r="S43" s="3"/>
      <c r="T43" s="3"/>
      <c r="U43" s="3"/>
      <c r="V43" s="3"/>
      <c r="W43" s="3"/>
    </row>
    <row r="44" spans="1:23" ht="14.25" customHeight="1">
      <c r="A44" s="3"/>
      <c r="B44" s="3"/>
      <c r="C44" s="3"/>
      <c r="D44" s="3"/>
      <c r="E44" s="3"/>
      <c r="F44" s="3"/>
      <c r="G44" s="3"/>
      <c r="H44" s="3"/>
      <c r="I44" s="3"/>
      <c r="J44" s="3"/>
      <c r="K44" s="3"/>
      <c r="L44" s="3"/>
      <c r="M44" s="3"/>
      <c r="N44" s="3"/>
      <c r="O44" s="3"/>
      <c r="P44" s="3"/>
      <c r="Q44" s="3"/>
      <c r="R44" s="3"/>
      <c r="S44" s="3"/>
      <c r="T44" s="3"/>
      <c r="U44" s="3"/>
      <c r="V44" s="3"/>
      <c r="W44" s="3"/>
    </row>
    <row r="45" spans="1:23" ht="14.25" customHeight="1">
      <c r="A45" s="3"/>
      <c r="B45" s="3"/>
      <c r="C45" s="3"/>
      <c r="D45" s="3"/>
      <c r="E45" s="3"/>
      <c r="F45" s="3"/>
      <c r="G45" s="3"/>
      <c r="H45" s="3"/>
      <c r="I45" s="3"/>
      <c r="J45" s="3"/>
      <c r="K45" s="3"/>
      <c r="L45" s="3"/>
      <c r="M45" s="3"/>
      <c r="N45" s="3"/>
      <c r="O45" s="3"/>
      <c r="P45" s="3"/>
      <c r="Q45" s="3"/>
      <c r="R45" s="3"/>
      <c r="S45" s="3"/>
      <c r="T45" s="3"/>
      <c r="U45" s="3"/>
      <c r="V45" s="3"/>
      <c r="W45" s="3"/>
    </row>
    <row r="46" spans="1:23" ht="14.25" customHeight="1">
      <c r="A46" s="3"/>
      <c r="B46" s="3"/>
      <c r="C46" s="3"/>
      <c r="D46" s="3"/>
      <c r="E46" s="3"/>
      <c r="F46" s="3"/>
      <c r="G46" s="3"/>
      <c r="H46" s="3"/>
      <c r="I46" s="3"/>
      <c r="J46" s="3"/>
      <c r="K46" s="3"/>
      <c r="L46" s="3"/>
      <c r="M46" s="3"/>
      <c r="N46" s="3"/>
      <c r="O46" s="3"/>
      <c r="P46" s="3"/>
      <c r="Q46" s="3"/>
      <c r="R46" s="3"/>
      <c r="S46" s="3"/>
      <c r="T46" s="3"/>
      <c r="U46" s="3"/>
      <c r="V46" s="3"/>
      <c r="W46" s="3"/>
    </row>
    <row r="47" spans="1:23" ht="14.25" customHeight="1">
      <c r="A47" s="3"/>
      <c r="B47" s="3"/>
      <c r="C47" s="3"/>
      <c r="D47" s="3"/>
      <c r="E47" s="3"/>
      <c r="F47" s="3"/>
      <c r="G47" s="3"/>
      <c r="H47" s="3"/>
      <c r="I47" s="3"/>
      <c r="J47" s="3"/>
      <c r="K47" s="3"/>
      <c r="L47" s="3"/>
      <c r="M47" s="3"/>
      <c r="N47" s="3"/>
      <c r="O47" s="3"/>
      <c r="P47" s="3"/>
      <c r="Q47" s="3"/>
      <c r="R47" s="3"/>
      <c r="S47" s="3"/>
      <c r="T47" s="3"/>
      <c r="U47" s="3"/>
      <c r="V47" s="3"/>
      <c r="W47" s="3"/>
    </row>
    <row r="48" spans="1:23" ht="14.25" customHeight="1">
      <c r="A48" s="3"/>
      <c r="B48" s="3"/>
      <c r="C48" s="3"/>
      <c r="D48" s="3"/>
      <c r="E48" s="3"/>
      <c r="F48" s="3"/>
      <c r="G48" s="3"/>
      <c r="H48" s="3"/>
      <c r="I48" s="3"/>
      <c r="J48" s="3"/>
      <c r="K48" s="3"/>
      <c r="L48" s="3"/>
      <c r="M48" s="3"/>
      <c r="N48" s="3"/>
      <c r="O48" s="3"/>
      <c r="P48" s="3"/>
      <c r="Q48" s="3"/>
      <c r="R48" s="3"/>
      <c r="S48" s="3"/>
      <c r="T48" s="3"/>
      <c r="U48" s="3"/>
      <c r="V48" s="3"/>
      <c r="W48" s="3"/>
    </row>
    <row r="49" spans="1:23" ht="14.25" customHeight="1">
      <c r="A49" s="3"/>
      <c r="B49" s="3"/>
      <c r="C49" s="3"/>
      <c r="D49" s="3"/>
      <c r="E49" s="3"/>
      <c r="F49" s="3"/>
      <c r="G49" s="3"/>
      <c r="H49" s="3"/>
      <c r="I49" s="3"/>
      <c r="J49" s="3"/>
      <c r="K49" s="3"/>
      <c r="L49" s="3"/>
      <c r="M49" s="3"/>
      <c r="N49" s="3"/>
      <c r="O49" s="3"/>
      <c r="P49" s="3"/>
      <c r="Q49" s="3"/>
      <c r="R49" s="3"/>
      <c r="S49" s="3"/>
      <c r="T49" s="3"/>
      <c r="U49" s="3"/>
      <c r="V49" s="3"/>
      <c r="W49" s="3"/>
    </row>
    <row r="50" spans="1:23" ht="14.25" customHeight="1">
      <c r="A50" s="3"/>
      <c r="B50" s="3"/>
      <c r="C50" s="3"/>
      <c r="D50" s="3"/>
      <c r="E50" s="3"/>
      <c r="F50" s="3"/>
      <c r="G50" s="3"/>
      <c r="H50" s="3"/>
      <c r="I50" s="3"/>
      <c r="J50" s="3"/>
      <c r="K50" s="3"/>
      <c r="L50" s="3"/>
      <c r="M50" s="3"/>
      <c r="N50" s="3"/>
      <c r="O50" s="3"/>
      <c r="P50" s="3"/>
      <c r="Q50" s="3"/>
      <c r="R50" s="3"/>
      <c r="S50" s="3"/>
      <c r="T50" s="3"/>
      <c r="U50" s="3"/>
      <c r="V50" s="3"/>
      <c r="W50" s="3"/>
    </row>
    <row r="51" spans="1:23" ht="14.25" customHeight="1">
      <c r="A51" s="3"/>
      <c r="B51" s="3"/>
      <c r="C51" s="3"/>
      <c r="D51" s="3"/>
      <c r="E51" s="3"/>
      <c r="F51" s="3"/>
      <c r="G51" s="3"/>
      <c r="H51" s="3"/>
      <c r="I51" s="3"/>
      <c r="J51" s="3"/>
      <c r="K51" s="3"/>
      <c r="L51" s="3"/>
      <c r="M51" s="3"/>
      <c r="N51" s="3"/>
      <c r="O51" s="3"/>
      <c r="P51" s="3"/>
      <c r="Q51" s="3"/>
      <c r="R51" s="3"/>
      <c r="S51" s="3"/>
      <c r="T51" s="3"/>
      <c r="U51" s="3"/>
      <c r="V51" s="3"/>
      <c r="W51" s="3"/>
    </row>
    <row r="52" spans="1:23" ht="14.25" customHeight="1">
      <c r="A52" s="3"/>
      <c r="B52" s="3"/>
      <c r="C52" s="3"/>
      <c r="D52" s="3"/>
      <c r="E52" s="3"/>
      <c r="F52" s="3"/>
      <c r="G52" s="3"/>
      <c r="H52" s="3"/>
      <c r="I52" s="3"/>
      <c r="J52" s="3"/>
      <c r="K52" s="3"/>
      <c r="L52" s="3"/>
      <c r="M52" s="3"/>
      <c r="N52" s="3"/>
      <c r="O52" s="3"/>
      <c r="P52" s="3"/>
      <c r="Q52" s="3"/>
      <c r="R52" s="3"/>
      <c r="S52" s="3"/>
      <c r="T52" s="3"/>
      <c r="U52" s="3"/>
      <c r="V52" s="3"/>
      <c r="W52" s="3"/>
    </row>
    <row r="53" spans="1:23" ht="14.25" customHeight="1">
      <c r="A53" s="3"/>
      <c r="B53" s="3"/>
      <c r="C53" s="3"/>
      <c r="D53" s="3"/>
      <c r="E53" s="3"/>
      <c r="F53" s="3"/>
      <c r="G53" s="3"/>
      <c r="H53" s="3"/>
      <c r="I53" s="3"/>
      <c r="J53" s="3"/>
      <c r="K53" s="3"/>
      <c r="L53" s="3"/>
      <c r="M53" s="3"/>
      <c r="N53" s="3"/>
      <c r="O53" s="3"/>
      <c r="P53" s="3"/>
      <c r="Q53" s="3"/>
      <c r="R53" s="3"/>
      <c r="S53" s="3"/>
      <c r="T53" s="3"/>
      <c r="U53" s="3"/>
      <c r="V53" s="3"/>
      <c r="W53" s="3"/>
    </row>
    <row r="54" spans="1:23" ht="14.25" customHeight="1">
      <c r="A54" s="3"/>
      <c r="B54" s="3"/>
      <c r="C54" s="3"/>
      <c r="D54" s="3"/>
      <c r="E54" s="3"/>
      <c r="F54" s="3"/>
      <c r="G54" s="3"/>
      <c r="H54" s="3"/>
      <c r="I54" s="3"/>
      <c r="J54" s="3"/>
      <c r="K54" s="3"/>
      <c r="L54" s="3"/>
      <c r="M54" s="3"/>
      <c r="N54" s="3"/>
      <c r="O54" s="3"/>
      <c r="P54" s="3"/>
      <c r="Q54" s="3"/>
      <c r="R54" s="3"/>
      <c r="S54" s="3"/>
      <c r="T54" s="3"/>
      <c r="U54" s="3"/>
      <c r="V54" s="3"/>
      <c r="W54" s="3"/>
    </row>
    <row r="55" spans="1:23" ht="14.25" customHeight="1">
      <c r="A55" s="3"/>
      <c r="B55" s="3"/>
      <c r="C55" s="3"/>
      <c r="D55" s="3"/>
      <c r="E55" s="3"/>
      <c r="F55" s="3"/>
      <c r="G55" s="3"/>
      <c r="H55" s="3"/>
      <c r="I55" s="3"/>
      <c r="J55" s="3"/>
      <c r="K55" s="3"/>
      <c r="L55" s="3"/>
      <c r="M55" s="3"/>
      <c r="N55" s="3"/>
      <c r="O55" s="3"/>
      <c r="P55" s="3"/>
      <c r="Q55" s="3"/>
      <c r="R55" s="3"/>
      <c r="S55" s="3"/>
      <c r="T55" s="3"/>
      <c r="U55" s="3"/>
      <c r="V55" s="3"/>
      <c r="W55" s="3"/>
    </row>
    <row r="56" spans="1:23" ht="14.25" customHeight="1">
      <c r="A56" s="3"/>
      <c r="B56" s="3"/>
      <c r="C56" s="3"/>
      <c r="D56" s="3"/>
      <c r="E56" s="3"/>
      <c r="F56" s="3"/>
      <c r="G56" s="3"/>
      <c r="H56" s="3"/>
      <c r="I56" s="3"/>
      <c r="J56" s="3"/>
      <c r="K56" s="3"/>
      <c r="L56" s="3"/>
      <c r="M56" s="3"/>
      <c r="N56" s="3"/>
      <c r="O56" s="3"/>
      <c r="P56" s="3"/>
      <c r="Q56" s="3"/>
      <c r="R56" s="3"/>
      <c r="S56" s="3"/>
      <c r="T56" s="3"/>
      <c r="U56" s="3"/>
      <c r="V56" s="3"/>
      <c r="W56" s="3"/>
    </row>
    <row r="57" spans="1:23" ht="14.25" customHeight="1">
      <c r="A57" s="3"/>
      <c r="B57" s="3"/>
      <c r="C57" s="3"/>
      <c r="D57" s="3"/>
      <c r="E57" s="3"/>
      <c r="F57" s="3"/>
      <c r="G57" s="3"/>
      <c r="H57" s="3"/>
      <c r="I57" s="3"/>
      <c r="J57" s="3"/>
      <c r="K57" s="3"/>
      <c r="L57" s="3"/>
      <c r="M57" s="3"/>
      <c r="N57" s="3"/>
      <c r="O57" s="3"/>
      <c r="P57" s="3"/>
      <c r="Q57" s="3"/>
      <c r="R57" s="3"/>
      <c r="S57" s="3"/>
      <c r="T57" s="3"/>
      <c r="U57" s="3"/>
      <c r="V57" s="3"/>
      <c r="W57" s="3"/>
    </row>
    <row r="58" spans="1:23" ht="14.25" customHeight="1">
      <c r="A58" s="3"/>
      <c r="B58" s="3"/>
      <c r="C58" s="3"/>
      <c r="D58" s="3"/>
      <c r="E58" s="3"/>
      <c r="F58" s="3"/>
      <c r="G58" s="3"/>
      <c r="H58" s="3"/>
      <c r="I58" s="3"/>
      <c r="J58" s="3"/>
      <c r="K58" s="3"/>
      <c r="L58" s="3"/>
      <c r="M58" s="3"/>
      <c r="N58" s="3"/>
      <c r="O58" s="3"/>
      <c r="P58" s="3"/>
      <c r="Q58" s="3"/>
      <c r="R58" s="3"/>
      <c r="S58" s="3"/>
      <c r="T58" s="3"/>
      <c r="U58" s="3"/>
      <c r="V58" s="3"/>
      <c r="W58" s="3"/>
    </row>
    <row r="59" spans="1:23" ht="14.25" customHeight="1">
      <c r="A59" s="3"/>
      <c r="B59" s="3"/>
      <c r="C59" s="3"/>
      <c r="D59" s="3"/>
      <c r="E59" s="3"/>
      <c r="F59" s="3"/>
      <c r="G59" s="3"/>
      <c r="H59" s="3"/>
      <c r="I59" s="3"/>
      <c r="J59" s="3"/>
      <c r="K59" s="3"/>
      <c r="L59" s="3"/>
      <c r="M59" s="3"/>
      <c r="N59" s="3"/>
      <c r="O59" s="3"/>
      <c r="P59" s="3"/>
      <c r="Q59" s="3"/>
      <c r="R59" s="3"/>
      <c r="S59" s="3"/>
      <c r="T59" s="3"/>
      <c r="U59" s="3"/>
      <c r="V59" s="3"/>
      <c r="W59" s="3"/>
    </row>
    <row r="60" spans="1:23" ht="14.25" customHeight="1">
      <c r="A60" s="3"/>
      <c r="B60" s="3"/>
      <c r="C60" s="3"/>
      <c r="D60" s="3"/>
      <c r="E60" s="3"/>
      <c r="F60" s="3"/>
      <c r="G60" s="3"/>
      <c r="H60" s="3"/>
      <c r="I60" s="3"/>
      <c r="J60" s="3"/>
      <c r="K60" s="3"/>
      <c r="L60" s="3"/>
      <c r="M60" s="3"/>
      <c r="N60" s="3"/>
      <c r="O60" s="3"/>
      <c r="P60" s="3"/>
      <c r="Q60" s="3"/>
      <c r="R60" s="3"/>
      <c r="S60" s="3"/>
      <c r="T60" s="3"/>
      <c r="U60" s="3"/>
      <c r="V60" s="3"/>
      <c r="W60" s="3"/>
    </row>
    <row r="61" spans="1:23" ht="14.25" customHeight="1">
      <c r="A61" s="3"/>
      <c r="B61" s="3"/>
      <c r="C61" s="3"/>
      <c r="D61" s="3"/>
      <c r="E61" s="3"/>
      <c r="F61" s="3"/>
      <c r="G61" s="3"/>
      <c r="H61" s="3"/>
      <c r="I61" s="3"/>
      <c r="J61" s="3"/>
      <c r="K61" s="3"/>
      <c r="L61" s="3"/>
      <c r="M61" s="3"/>
      <c r="N61" s="3"/>
      <c r="O61" s="3"/>
      <c r="P61" s="3"/>
      <c r="Q61" s="3"/>
      <c r="R61" s="3"/>
      <c r="S61" s="3"/>
      <c r="T61" s="3"/>
      <c r="U61" s="3"/>
      <c r="V61" s="3"/>
      <c r="W61" s="3"/>
    </row>
    <row r="62" spans="1:23" ht="14.25" customHeight="1">
      <c r="A62" s="3"/>
      <c r="B62" s="3"/>
      <c r="C62" s="3"/>
      <c r="D62" s="3"/>
      <c r="E62" s="3"/>
      <c r="F62" s="3"/>
      <c r="G62" s="3"/>
      <c r="H62" s="3"/>
      <c r="I62" s="3"/>
      <c r="J62" s="3"/>
      <c r="K62" s="3"/>
      <c r="L62" s="3"/>
      <c r="M62" s="3"/>
      <c r="N62" s="3"/>
      <c r="O62" s="3"/>
      <c r="P62" s="3"/>
      <c r="Q62" s="3"/>
      <c r="R62" s="3"/>
      <c r="S62" s="3"/>
      <c r="T62" s="3"/>
      <c r="U62" s="3"/>
      <c r="V62" s="3"/>
      <c r="W62" s="3"/>
    </row>
    <row r="63" spans="1:23" ht="14.25" customHeight="1">
      <c r="A63" s="3"/>
      <c r="B63" s="3"/>
      <c r="C63" s="3"/>
      <c r="D63" s="3"/>
      <c r="E63" s="3"/>
      <c r="F63" s="3"/>
      <c r="G63" s="3"/>
      <c r="H63" s="3"/>
      <c r="I63" s="3"/>
      <c r="J63" s="3"/>
      <c r="K63" s="3"/>
      <c r="L63" s="3"/>
      <c r="M63" s="3"/>
      <c r="N63" s="3"/>
      <c r="O63" s="3"/>
      <c r="P63" s="3"/>
      <c r="Q63" s="3"/>
      <c r="R63" s="3"/>
      <c r="S63" s="3"/>
      <c r="T63" s="3"/>
      <c r="U63" s="3"/>
      <c r="V63" s="3"/>
      <c r="W63" s="3"/>
    </row>
    <row r="64" spans="1:23" ht="14.25" customHeight="1">
      <c r="A64" s="3"/>
      <c r="B64" s="3"/>
      <c r="C64" s="3"/>
      <c r="D64" s="3"/>
      <c r="E64" s="3"/>
      <c r="F64" s="3"/>
      <c r="G64" s="3"/>
      <c r="H64" s="3"/>
      <c r="I64" s="3"/>
      <c r="J64" s="3"/>
      <c r="K64" s="3"/>
      <c r="L64" s="3"/>
      <c r="M64" s="3"/>
      <c r="N64" s="3"/>
      <c r="O64" s="3"/>
      <c r="P64" s="3"/>
      <c r="Q64" s="3"/>
      <c r="R64" s="3"/>
      <c r="S64" s="3"/>
      <c r="T64" s="3"/>
      <c r="U64" s="3"/>
      <c r="V64" s="3"/>
      <c r="W64" s="3"/>
    </row>
    <row r="65" spans="1:23" ht="14.25" customHeight="1">
      <c r="A65" s="3"/>
      <c r="B65" s="3"/>
      <c r="C65" s="3"/>
      <c r="D65" s="3"/>
      <c r="E65" s="3"/>
      <c r="F65" s="3"/>
      <c r="G65" s="3"/>
      <c r="H65" s="3"/>
      <c r="I65" s="3"/>
      <c r="J65" s="3"/>
      <c r="K65" s="3"/>
      <c r="L65" s="3"/>
      <c r="M65" s="3"/>
      <c r="N65" s="3"/>
      <c r="O65" s="3"/>
      <c r="P65" s="3"/>
      <c r="Q65" s="3"/>
      <c r="R65" s="3"/>
      <c r="S65" s="3"/>
      <c r="T65" s="3"/>
      <c r="U65" s="3"/>
      <c r="V65" s="3"/>
      <c r="W65" s="3"/>
    </row>
    <row r="66" spans="1:23" ht="14.25" customHeight="1">
      <c r="A66" s="3"/>
      <c r="B66" s="3"/>
      <c r="C66" s="3"/>
      <c r="D66" s="3"/>
      <c r="E66" s="3"/>
      <c r="F66" s="3"/>
      <c r="G66" s="3"/>
      <c r="H66" s="3"/>
      <c r="I66" s="3"/>
      <c r="J66" s="3"/>
      <c r="K66" s="3"/>
      <c r="L66" s="3"/>
      <c r="M66" s="3"/>
      <c r="N66" s="3"/>
      <c r="O66" s="3"/>
      <c r="P66" s="3"/>
      <c r="Q66" s="3"/>
      <c r="R66" s="3"/>
      <c r="S66" s="3"/>
      <c r="T66" s="3"/>
      <c r="U66" s="3"/>
      <c r="V66" s="3"/>
      <c r="W66" s="3"/>
    </row>
    <row r="67" spans="1:23" ht="14.25" customHeight="1">
      <c r="A67" s="3"/>
      <c r="B67" s="3"/>
      <c r="C67" s="3"/>
      <c r="D67" s="3"/>
      <c r="E67" s="3"/>
      <c r="F67" s="3"/>
      <c r="G67" s="3"/>
      <c r="H67" s="3"/>
      <c r="I67" s="3"/>
      <c r="J67" s="3"/>
      <c r="K67" s="3"/>
      <c r="L67" s="3"/>
      <c r="M67" s="3"/>
      <c r="N67" s="3"/>
      <c r="O67" s="3"/>
      <c r="P67" s="3"/>
      <c r="Q67" s="3"/>
      <c r="R67" s="3"/>
      <c r="S67" s="3"/>
      <c r="T67" s="3"/>
      <c r="U67" s="3"/>
      <c r="V67" s="3"/>
      <c r="W67" s="3"/>
    </row>
    <row r="68" spans="1:23" ht="14.25" customHeight="1">
      <c r="A68" s="3"/>
      <c r="B68" s="3"/>
      <c r="C68" s="3"/>
      <c r="D68" s="3"/>
      <c r="E68" s="3"/>
      <c r="F68" s="3"/>
      <c r="G68" s="3"/>
      <c r="H68" s="3"/>
      <c r="I68" s="3"/>
      <c r="J68" s="3"/>
      <c r="K68" s="3"/>
      <c r="L68" s="3"/>
      <c r="M68" s="3"/>
      <c r="N68" s="3"/>
      <c r="O68" s="3"/>
      <c r="P68" s="3"/>
      <c r="Q68" s="3"/>
      <c r="R68" s="3"/>
      <c r="S68" s="3"/>
      <c r="T68" s="3"/>
      <c r="U68" s="3"/>
      <c r="V68" s="3"/>
      <c r="W68" s="3"/>
    </row>
    <row r="69" spans="1:23" ht="14.25" customHeight="1">
      <c r="A69" s="3"/>
      <c r="B69" s="3"/>
      <c r="C69" s="3"/>
      <c r="D69" s="3"/>
      <c r="E69" s="3"/>
      <c r="F69" s="3"/>
      <c r="G69" s="3"/>
      <c r="H69" s="3"/>
      <c r="I69" s="3"/>
      <c r="J69" s="3"/>
      <c r="K69" s="3"/>
      <c r="L69" s="3"/>
      <c r="M69" s="3"/>
      <c r="N69" s="3"/>
      <c r="O69" s="3"/>
      <c r="P69" s="3"/>
      <c r="Q69" s="3"/>
      <c r="R69" s="3"/>
      <c r="S69" s="3"/>
      <c r="T69" s="3"/>
      <c r="U69" s="3"/>
      <c r="V69" s="3"/>
      <c r="W69" s="3"/>
    </row>
    <row r="70" spans="1:23" ht="14.25" customHeight="1">
      <c r="A70" s="3"/>
      <c r="B70" s="3"/>
      <c r="C70" s="3"/>
      <c r="D70" s="3"/>
      <c r="E70" s="3"/>
      <c r="F70" s="3"/>
      <c r="G70" s="3"/>
      <c r="H70" s="3"/>
      <c r="I70" s="3"/>
      <c r="J70" s="3"/>
      <c r="K70" s="3"/>
      <c r="L70" s="3"/>
      <c r="M70" s="3"/>
      <c r="N70" s="3"/>
      <c r="O70" s="3"/>
      <c r="P70" s="3"/>
      <c r="Q70" s="3"/>
      <c r="R70" s="3"/>
      <c r="S70" s="3"/>
      <c r="T70" s="3"/>
      <c r="U70" s="3"/>
      <c r="V70" s="3"/>
      <c r="W70" s="3"/>
    </row>
    <row r="71" spans="1:23" ht="14.25" customHeight="1">
      <c r="A71" s="3"/>
      <c r="B71" s="3"/>
      <c r="C71" s="3"/>
      <c r="D71" s="3"/>
      <c r="E71" s="3"/>
      <c r="F71" s="3"/>
      <c r="G71" s="3"/>
      <c r="H71" s="3"/>
      <c r="I71" s="3"/>
      <c r="J71" s="3"/>
      <c r="K71" s="3"/>
      <c r="L71" s="3"/>
      <c r="M71" s="3"/>
      <c r="N71" s="3"/>
      <c r="O71" s="3"/>
      <c r="P71" s="3"/>
      <c r="Q71" s="3"/>
      <c r="R71" s="3"/>
      <c r="S71" s="3"/>
      <c r="T71" s="3"/>
      <c r="U71" s="3"/>
      <c r="V71" s="3"/>
      <c r="W71" s="3"/>
    </row>
    <row r="72" spans="1:23" ht="14.25" customHeight="1">
      <c r="A72" s="3"/>
      <c r="B72" s="3"/>
      <c r="C72" s="3"/>
      <c r="D72" s="3"/>
      <c r="E72" s="3"/>
      <c r="F72" s="3"/>
      <c r="G72" s="3"/>
      <c r="H72" s="3"/>
      <c r="I72" s="3"/>
      <c r="J72" s="3"/>
      <c r="K72" s="3"/>
      <c r="L72" s="3"/>
      <c r="M72" s="3"/>
      <c r="N72" s="3"/>
      <c r="O72" s="3"/>
      <c r="P72" s="3"/>
      <c r="Q72" s="3"/>
      <c r="R72" s="3"/>
      <c r="S72" s="3"/>
      <c r="T72" s="3"/>
      <c r="U72" s="3"/>
      <c r="V72" s="3"/>
      <c r="W72" s="3"/>
    </row>
    <row r="73" spans="1:23" ht="14.25" customHeight="1">
      <c r="A73" s="3"/>
      <c r="B73" s="3"/>
      <c r="C73" s="3"/>
      <c r="D73" s="3"/>
      <c r="E73" s="3"/>
      <c r="F73" s="3"/>
      <c r="G73" s="3"/>
      <c r="H73" s="3"/>
      <c r="I73" s="3"/>
      <c r="J73" s="3"/>
      <c r="K73" s="3"/>
      <c r="L73" s="3"/>
      <c r="M73" s="3"/>
      <c r="N73" s="3"/>
      <c r="O73" s="3"/>
      <c r="P73" s="3"/>
      <c r="Q73" s="3"/>
      <c r="R73" s="3"/>
      <c r="S73" s="3"/>
      <c r="T73" s="3"/>
      <c r="U73" s="3"/>
      <c r="V73" s="3"/>
      <c r="W73" s="3"/>
    </row>
    <row r="74" spans="1:23" ht="14.25" customHeight="1">
      <c r="A74" s="3"/>
      <c r="B74" s="3"/>
      <c r="C74" s="3"/>
      <c r="D74" s="3"/>
      <c r="E74" s="3"/>
      <c r="F74" s="3"/>
      <c r="G74" s="3"/>
      <c r="H74" s="3"/>
      <c r="I74" s="3"/>
      <c r="J74" s="3"/>
      <c r="K74" s="3"/>
      <c r="L74" s="3"/>
      <c r="M74" s="3"/>
      <c r="N74" s="3"/>
      <c r="O74" s="3"/>
      <c r="P74" s="3"/>
      <c r="Q74" s="3"/>
      <c r="R74" s="3"/>
      <c r="S74" s="3"/>
      <c r="T74" s="3"/>
      <c r="U74" s="3"/>
      <c r="V74" s="3"/>
      <c r="W74" s="3"/>
    </row>
    <row r="75" spans="1:23" ht="14.25" customHeight="1">
      <c r="A75" s="3"/>
      <c r="B75" s="3"/>
      <c r="C75" s="3"/>
      <c r="D75" s="3"/>
      <c r="E75" s="3"/>
      <c r="F75" s="3"/>
      <c r="G75" s="3"/>
      <c r="H75" s="3"/>
      <c r="I75" s="3"/>
      <c r="J75" s="3"/>
      <c r="K75" s="3"/>
      <c r="L75" s="3"/>
      <c r="M75" s="3"/>
      <c r="N75" s="3"/>
      <c r="O75" s="3"/>
      <c r="P75" s="3"/>
      <c r="Q75" s="3"/>
      <c r="R75" s="3"/>
      <c r="S75" s="3"/>
      <c r="T75" s="3"/>
      <c r="U75" s="3"/>
      <c r="V75" s="3"/>
      <c r="W75" s="3"/>
    </row>
    <row r="76" spans="1:23" ht="14.25" customHeight="1">
      <c r="A76" s="3"/>
      <c r="B76" s="3"/>
      <c r="C76" s="3"/>
      <c r="D76" s="3"/>
      <c r="E76" s="3"/>
      <c r="F76" s="3"/>
      <c r="G76" s="3"/>
      <c r="H76" s="3"/>
      <c r="I76" s="3"/>
      <c r="J76" s="3"/>
      <c r="K76" s="3"/>
      <c r="L76" s="3"/>
      <c r="M76" s="3"/>
      <c r="N76" s="3"/>
      <c r="O76" s="3"/>
      <c r="P76" s="3"/>
      <c r="Q76" s="3"/>
      <c r="R76" s="3"/>
      <c r="S76" s="3"/>
      <c r="T76" s="3"/>
      <c r="U76" s="3"/>
      <c r="V76" s="3"/>
      <c r="W76" s="3"/>
    </row>
    <row r="77" spans="1:23" ht="14.25" customHeight="1">
      <c r="A77" s="3"/>
      <c r="B77" s="3"/>
      <c r="C77" s="3"/>
      <c r="D77" s="3"/>
      <c r="E77" s="3"/>
      <c r="F77" s="3"/>
      <c r="G77" s="3"/>
      <c r="H77" s="3"/>
      <c r="I77" s="3"/>
      <c r="J77" s="3"/>
      <c r="K77" s="3"/>
      <c r="L77" s="3"/>
      <c r="M77" s="3"/>
      <c r="N77" s="3"/>
      <c r="O77" s="3"/>
      <c r="P77" s="3"/>
      <c r="Q77" s="3"/>
      <c r="R77" s="3"/>
      <c r="S77" s="3"/>
      <c r="T77" s="3"/>
      <c r="U77" s="3"/>
      <c r="V77" s="3"/>
      <c r="W77" s="3"/>
    </row>
    <row r="78" spans="1:23" ht="14.25" customHeight="1">
      <c r="A78" s="3"/>
      <c r="B78" s="3"/>
      <c r="C78" s="3"/>
      <c r="D78" s="3"/>
      <c r="E78" s="3"/>
      <c r="F78" s="3"/>
      <c r="G78" s="3"/>
      <c r="H78" s="3"/>
      <c r="I78" s="3"/>
      <c r="J78" s="3"/>
      <c r="K78" s="3"/>
      <c r="L78" s="3"/>
      <c r="M78" s="3"/>
      <c r="N78" s="3"/>
      <c r="O78" s="3"/>
      <c r="P78" s="3"/>
      <c r="Q78" s="3"/>
      <c r="R78" s="3"/>
      <c r="S78" s="3"/>
      <c r="T78" s="3"/>
      <c r="U78" s="3"/>
      <c r="V78" s="3"/>
      <c r="W78" s="3"/>
    </row>
    <row r="79" spans="1:23" ht="14.25" customHeight="1">
      <c r="A79" s="3"/>
      <c r="B79" s="3"/>
      <c r="C79" s="3"/>
      <c r="D79" s="3"/>
      <c r="E79" s="3"/>
      <c r="F79" s="3"/>
      <c r="G79" s="3"/>
      <c r="H79" s="3"/>
      <c r="I79" s="3"/>
      <c r="J79" s="3"/>
      <c r="K79" s="3"/>
      <c r="L79" s="3"/>
      <c r="M79" s="3"/>
      <c r="N79" s="3"/>
      <c r="O79" s="3"/>
      <c r="P79" s="3"/>
      <c r="Q79" s="3"/>
      <c r="R79" s="3"/>
      <c r="S79" s="3"/>
      <c r="T79" s="3"/>
      <c r="U79" s="3"/>
      <c r="V79" s="3"/>
      <c r="W79" s="3"/>
    </row>
    <row r="80" spans="1:23" ht="14.25" customHeight="1">
      <c r="A80" s="3"/>
      <c r="B80" s="3"/>
      <c r="C80" s="3"/>
      <c r="D80" s="3"/>
      <c r="E80" s="3"/>
      <c r="F80" s="3"/>
      <c r="G80" s="3"/>
      <c r="H80" s="3"/>
      <c r="I80" s="3"/>
      <c r="J80" s="3"/>
      <c r="K80" s="3"/>
      <c r="L80" s="3"/>
      <c r="M80" s="3"/>
      <c r="N80" s="3"/>
      <c r="O80" s="3"/>
      <c r="P80" s="3"/>
      <c r="Q80" s="3"/>
      <c r="R80" s="3"/>
      <c r="S80" s="3"/>
      <c r="T80" s="3"/>
      <c r="U80" s="3"/>
      <c r="V80" s="3"/>
      <c r="W80" s="3"/>
    </row>
    <row r="81" spans="1:23" ht="14.25" customHeight="1">
      <c r="A81" s="3"/>
      <c r="B81" s="3"/>
      <c r="C81" s="3"/>
      <c r="D81" s="3"/>
      <c r="E81" s="3"/>
      <c r="F81" s="3"/>
      <c r="G81" s="3"/>
      <c r="H81" s="3"/>
      <c r="I81" s="3"/>
      <c r="J81" s="3"/>
      <c r="K81" s="3"/>
      <c r="L81" s="3"/>
      <c r="M81" s="3"/>
      <c r="N81" s="3"/>
      <c r="O81" s="3"/>
      <c r="P81" s="3"/>
      <c r="Q81" s="3"/>
      <c r="R81" s="3"/>
      <c r="S81" s="3"/>
      <c r="T81" s="3"/>
      <c r="U81" s="3"/>
      <c r="V81" s="3"/>
      <c r="W81" s="3"/>
    </row>
    <row r="82" spans="1:23" ht="14.25" customHeight="1">
      <c r="A82" s="3"/>
      <c r="B82" s="3"/>
      <c r="C82" s="3"/>
      <c r="D82" s="3"/>
      <c r="E82" s="3"/>
      <c r="F82" s="3"/>
      <c r="G82" s="3"/>
      <c r="H82" s="3"/>
      <c r="I82" s="3"/>
      <c r="J82" s="3"/>
      <c r="K82" s="3"/>
      <c r="L82" s="3"/>
      <c r="M82" s="3"/>
      <c r="N82" s="3"/>
      <c r="O82" s="3"/>
      <c r="P82" s="3"/>
      <c r="Q82" s="3"/>
      <c r="R82" s="3"/>
      <c r="S82" s="3"/>
      <c r="T82" s="3"/>
      <c r="U82" s="3"/>
      <c r="V82" s="3"/>
      <c r="W82" s="3"/>
    </row>
    <row r="83" spans="1:23" ht="14.25" customHeight="1">
      <c r="A83" s="3"/>
      <c r="B83" s="3"/>
      <c r="C83" s="3"/>
      <c r="D83" s="3"/>
      <c r="E83" s="3"/>
      <c r="F83" s="3"/>
      <c r="G83" s="3"/>
      <c r="H83" s="3"/>
      <c r="I83" s="3"/>
      <c r="J83" s="3"/>
      <c r="K83" s="3"/>
      <c r="L83" s="3"/>
      <c r="M83" s="3"/>
      <c r="N83" s="3"/>
      <c r="O83" s="3"/>
      <c r="P83" s="3"/>
      <c r="Q83" s="3"/>
      <c r="R83" s="3"/>
      <c r="S83" s="3"/>
      <c r="T83" s="3"/>
      <c r="U83" s="3"/>
      <c r="V83" s="3"/>
      <c r="W83" s="3"/>
    </row>
    <row r="84" spans="1:23" ht="14.25" customHeight="1">
      <c r="A84" s="3"/>
      <c r="B84" s="3"/>
      <c r="C84" s="3"/>
      <c r="D84" s="3"/>
      <c r="E84" s="3"/>
      <c r="F84" s="3"/>
      <c r="G84" s="3"/>
      <c r="H84" s="3"/>
      <c r="I84" s="3"/>
      <c r="J84" s="3"/>
      <c r="K84" s="3"/>
      <c r="L84" s="3"/>
      <c r="M84" s="3"/>
      <c r="N84" s="3"/>
      <c r="O84" s="3"/>
      <c r="P84" s="3"/>
      <c r="Q84" s="3"/>
      <c r="R84" s="3"/>
      <c r="S84" s="3"/>
      <c r="T84" s="3"/>
      <c r="U84" s="3"/>
      <c r="V84" s="3"/>
      <c r="W84" s="3"/>
    </row>
    <row r="85" spans="1:23" ht="14.25" customHeight="1">
      <c r="A85" s="3"/>
      <c r="B85" s="3"/>
      <c r="C85" s="3"/>
      <c r="D85" s="3"/>
      <c r="E85" s="3"/>
      <c r="F85" s="3"/>
      <c r="G85" s="3"/>
      <c r="H85" s="3"/>
      <c r="I85" s="3"/>
      <c r="J85" s="3"/>
      <c r="K85" s="3"/>
      <c r="L85" s="3"/>
      <c r="M85" s="3"/>
      <c r="N85" s="3"/>
      <c r="O85" s="3"/>
      <c r="P85" s="3"/>
      <c r="Q85" s="3"/>
      <c r="R85" s="3"/>
      <c r="S85" s="3"/>
      <c r="T85" s="3"/>
      <c r="U85" s="3"/>
      <c r="V85" s="3"/>
      <c r="W85" s="3"/>
    </row>
    <row r="86" spans="1:23" ht="14.25" customHeight="1">
      <c r="A86" s="3"/>
      <c r="B86" s="3"/>
      <c r="C86" s="3"/>
      <c r="D86" s="3"/>
      <c r="E86" s="3"/>
      <c r="F86" s="3"/>
      <c r="G86" s="3"/>
      <c r="H86" s="3"/>
      <c r="I86" s="3"/>
      <c r="J86" s="3"/>
      <c r="K86" s="3"/>
      <c r="L86" s="3"/>
      <c r="M86" s="3"/>
      <c r="N86" s="3"/>
      <c r="O86" s="3"/>
      <c r="P86" s="3"/>
      <c r="Q86" s="3"/>
      <c r="R86" s="3"/>
      <c r="S86" s="3"/>
      <c r="T86" s="3"/>
      <c r="U86" s="3"/>
      <c r="V86" s="3"/>
      <c r="W86" s="3"/>
    </row>
    <row r="87" spans="1:23" ht="14.25" customHeight="1">
      <c r="A87" s="3"/>
      <c r="B87" s="3"/>
      <c r="C87" s="3"/>
      <c r="D87" s="3"/>
      <c r="E87" s="3"/>
      <c r="F87" s="3"/>
      <c r="G87" s="3"/>
      <c r="H87" s="3"/>
      <c r="I87" s="3"/>
      <c r="J87" s="3"/>
      <c r="K87" s="3"/>
      <c r="L87" s="3"/>
      <c r="M87" s="3"/>
      <c r="N87" s="3"/>
      <c r="O87" s="3"/>
      <c r="P87" s="3"/>
      <c r="Q87" s="3"/>
      <c r="R87" s="3"/>
      <c r="S87" s="3"/>
      <c r="T87" s="3"/>
      <c r="U87" s="3"/>
      <c r="V87" s="3"/>
      <c r="W87" s="3"/>
    </row>
    <row r="88" spans="1:23" ht="14.25" customHeight="1">
      <c r="A88" s="3"/>
      <c r="B88" s="3"/>
      <c r="C88" s="3"/>
      <c r="D88" s="3"/>
      <c r="E88" s="3"/>
      <c r="F88" s="3"/>
      <c r="G88" s="3"/>
      <c r="H88" s="3"/>
      <c r="I88" s="3"/>
      <c r="J88" s="3"/>
      <c r="K88" s="3"/>
      <c r="L88" s="3"/>
      <c r="M88" s="3"/>
      <c r="N88" s="3"/>
      <c r="O88" s="3"/>
      <c r="P88" s="3"/>
      <c r="Q88" s="3"/>
      <c r="R88" s="3"/>
      <c r="S88" s="3"/>
      <c r="T88" s="3"/>
      <c r="U88" s="3"/>
      <c r="V88" s="3"/>
      <c r="W88" s="3"/>
    </row>
    <row r="89" spans="1:23" ht="14.25" customHeight="1">
      <c r="A89" s="3"/>
      <c r="B89" s="3"/>
      <c r="C89" s="3"/>
      <c r="D89" s="3"/>
      <c r="E89" s="3"/>
      <c r="F89" s="3"/>
      <c r="G89" s="3"/>
      <c r="H89" s="3"/>
      <c r="I89" s="3"/>
      <c r="J89" s="3"/>
      <c r="K89" s="3"/>
      <c r="L89" s="3"/>
      <c r="M89" s="3"/>
      <c r="N89" s="3"/>
      <c r="O89" s="3"/>
      <c r="P89" s="3"/>
      <c r="Q89" s="3"/>
      <c r="R89" s="3"/>
      <c r="S89" s="3"/>
      <c r="T89" s="3"/>
      <c r="U89" s="3"/>
      <c r="V89" s="3"/>
      <c r="W89" s="3"/>
    </row>
    <row r="90" spans="1:23" ht="14.25" customHeight="1">
      <c r="A90" s="3"/>
      <c r="B90" s="3"/>
      <c r="C90" s="3"/>
      <c r="D90" s="3"/>
      <c r="E90" s="3"/>
      <c r="F90" s="3"/>
      <c r="G90" s="3"/>
      <c r="H90" s="3"/>
      <c r="I90" s="3"/>
      <c r="J90" s="3"/>
      <c r="K90" s="3"/>
      <c r="L90" s="3"/>
      <c r="M90" s="3"/>
      <c r="N90" s="3"/>
      <c r="O90" s="3"/>
      <c r="P90" s="3"/>
      <c r="Q90" s="3"/>
      <c r="R90" s="3"/>
      <c r="S90" s="3"/>
      <c r="T90" s="3"/>
      <c r="U90" s="3"/>
      <c r="V90" s="3"/>
      <c r="W90" s="3"/>
    </row>
    <row r="91" spans="1:23" ht="14.25" customHeight="1">
      <c r="A91" s="3"/>
      <c r="B91" s="3"/>
      <c r="C91" s="3"/>
      <c r="D91" s="3"/>
      <c r="E91" s="3"/>
      <c r="F91" s="3"/>
      <c r="G91" s="3"/>
      <c r="H91" s="3"/>
      <c r="I91" s="3"/>
      <c r="J91" s="3"/>
      <c r="K91" s="3"/>
      <c r="L91" s="3"/>
      <c r="M91" s="3"/>
      <c r="N91" s="3"/>
      <c r="O91" s="3"/>
      <c r="P91" s="3"/>
      <c r="Q91" s="3"/>
      <c r="R91" s="3"/>
      <c r="S91" s="3"/>
      <c r="T91" s="3"/>
      <c r="U91" s="3"/>
      <c r="V91" s="3"/>
      <c r="W91" s="3"/>
    </row>
    <row r="92" spans="1:23" ht="14.25" customHeight="1">
      <c r="A92" s="3"/>
      <c r="B92" s="3"/>
      <c r="C92" s="3"/>
      <c r="D92" s="3"/>
      <c r="E92" s="3"/>
      <c r="F92" s="3"/>
      <c r="G92" s="3"/>
      <c r="H92" s="3"/>
      <c r="I92" s="3"/>
      <c r="J92" s="3"/>
      <c r="K92" s="3"/>
      <c r="L92" s="3"/>
      <c r="M92" s="3"/>
      <c r="N92" s="3"/>
      <c r="O92" s="3"/>
      <c r="P92" s="3"/>
      <c r="Q92" s="3"/>
      <c r="R92" s="3"/>
      <c r="S92" s="3"/>
      <c r="T92" s="3"/>
      <c r="U92" s="3"/>
      <c r="V92" s="3"/>
      <c r="W92" s="3"/>
    </row>
    <row r="93" spans="1:23" ht="14.25" customHeight="1">
      <c r="A93" s="3"/>
      <c r="B93" s="3"/>
      <c r="C93" s="3"/>
      <c r="D93" s="3"/>
      <c r="E93" s="3"/>
      <c r="F93" s="3"/>
      <c r="G93" s="3"/>
      <c r="H93" s="3"/>
      <c r="I93" s="3"/>
      <c r="J93" s="3"/>
      <c r="K93" s="3"/>
      <c r="L93" s="3"/>
      <c r="M93" s="3"/>
      <c r="N93" s="3"/>
      <c r="O93" s="3"/>
      <c r="P93" s="3"/>
      <c r="Q93" s="3"/>
      <c r="R93" s="3"/>
      <c r="S93" s="3"/>
      <c r="T93" s="3"/>
      <c r="U93" s="3"/>
      <c r="V93" s="3"/>
      <c r="W93" s="3"/>
    </row>
    <row r="94" spans="1:23" ht="14.25" customHeight="1">
      <c r="A94" s="3"/>
      <c r="B94" s="3"/>
      <c r="C94" s="3"/>
      <c r="D94" s="3"/>
      <c r="E94" s="3"/>
      <c r="F94" s="3"/>
      <c r="G94" s="3"/>
      <c r="H94" s="3"/>
      <c r="I94" s="3"/>
      <c r="J94" s="3"/>
      <c r="K94" s="3"/>
      <c r="L94" s="3"/>
      <c r="M94" s="3"/>
      <c r="N94" s="3"/>
      <c r="O94" s="3"/>
      <c r="P94" s="3"/>
      <c r="Q94" s="3"/>
      <c r="R94" s="3"/>
      <c r="S94" s="3"/>
      <c r="T94" s="3"/>
      <c r="U94" s="3"/>
      <c r="V94" s="3"/>
      <c r="W94" s="3"/>
    </row>
    <row r="95" spans="1:23" ht="14.25" customHeight="1">
      <c r="A95" s="3"/>
      <c r="B95" s="3"/>
      <c r="C95" s="3"/>
      <c r="D95" s="3"/>
      <c r="E95" s="3"/>
      <c r="F95" s="3"/>
      <c r="G95" s="3"/>
      <c r="H95" s="3"/>
      <c r="I95" s="3"/>
      <c r="J95" s="3"/>
      <c r="K95" s="3"/>
      <c r="L95" s="3"/>
      <c r="M95" s="3"/>
      <c r="N95" s="3"/>
      <c r="O95" s="3"/>
      <c r="P95" s="3"/>
      <c r="Q95" s="3"/>
      <c r="R95" s="3"/>
      <c r="S95" s="3"/>
      <c r="T95" s="3"/>
      <c r="U95" s="3"/>
      <c r="V95" s="3"/>
      <c r="W95" s="3"/>
    </row>
    <row r="96" spans="1:23" ht="14.25" customHeight="1">
      <c r="A96" s="3"/>
      <c r="B96" s="3"/>
      <c r="C96" s="3"/>
      <c r="D96" s="3"/>
      <c r="E96" s="3"/>
      <c r="F96" s="3"/>
      <c r="G96" s="3"/>
      <c r="H96" s="3"/>
      <c r="I96" s="3"/>
      <c r="J96" s="3"/>
      <c r="K96" s="3"/>
      <c r="L96" s="3"/>
      <c r="M96" s="3"/>
      <c r="N96" s="3"/>
      <c r="O96" s="3"/>
      <c r="P96" s="3"/>
      <c r="Q96" s="3"/>
      <c r="R96" s="3"/>
      <c r="S96" s="3"/>
      <c r="T96" s="3"/>
      <c r="U96" s="3"/>
      <c r="V96" s="3"/>
      <c r="W96" s="3"/>
    </row>
    <row r="97" spans="1:23" ht="14.25" customHeight="1">
      <c r="A97" s="3"/>
      <c r="B97" s="3"/>
      <c r="C97" s="3"/>
      <c r="D97" s="3"/>
      <c r="E97" s="3"/>
      <c r="F97" s="3"/>
      <c r="G97" s="3"/>
      <c r="H97" s="3"/>
      <c r="I97" s="3"/>
      <c r="J97" s="3"/>
      <c r="K97" s="3"/>
      <c r="L97" s="3"/>
      <c r="M97" s="3"/>
      <c r="N97" s="3"/>
      <c r="O97" s="3"/>
      <c r="P97" s="3"/>
      <c r="Q97" s="3"/>
      <c r="R97" s="3"/>
      <c r="S97" s="3"/>
      <c r="T97" s="3"/>
      <c r="U97" s="3"/>
      <c r="V97" s="3"/>
      <c r="W97" s="3"/>
    </row>
    <row r="98" spans="1:23" ht="14.25" customHeight="1">
      <c r="A98" s="3"/>
      <c r="B98" s="3"/>
      <c r="C98" s="3"/>
      <c r="D98" s="3"/>
      <c r="E98" s="3"/>
      <c r="F98" s="3"/>
      <c r="G98" s="3"/>
      <c r="H98" s="3"/>
      <c r="I98" s="3"/>
      <c r="J98" s="3"/>
      <c r="K98" s="3"/>
      <c r="L98" s="3"/>
      <c r="M98" s="3"/>
      <c r="N98" s="3"/>
      <c r="O98" s="3"/>
      <c r="P98" s="3"/>
      <c r="Q98" s="3"/>
      <c r="R98" s="3"/>
      <c r="S98" s="3"/>
      <c r="T98" s="3"/>
      <c r="U98" s="3"/>
      <c r="V98" s="3"/>
      <c r="W98" s="3"/>
    </row>
    <row r="99" spans="1:23" ht="14.25" customHeight="1">
      <c r="A99" s="3"/>
      <c r="B99" s="3"/>
      <c r="C99" s="3"/>
      <c r="D99" s="3"/>
      <c r="E99" s="3"/>
      <c r="F99" s="3"/>
      <c r="G99" s="3"/>
      <c r="H99" s="3"/>
      <c r="I99" s="3"/>
      <c r="J99" s="3"/>
      <c r="K99" s="3"/>
      <c r="L99" s="3"/>
      <c r="M99" s="3"/>
      <c r="N99" s="3"/>
      <c r="O99" s="3"/>
      <c r="P99" s="3"/>
      <c r="Q99" s="3"/>
      <c r="R99" s="3"/>
      <c r="S99" s="3"/>
      <c r="T99" s="3"/>
      <c r="U99" s="3"/>
      <c r="V99" s="3"/>
      <c r="W99" s="3"/>
    </row>
    <row r="100" spans="1:23" ht="14.2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4.2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4.2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4.2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4.2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4.2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4.2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4.2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4.2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4.2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4.2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4.2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4.2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4.2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4.2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4.2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4.2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4.2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4.2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4.2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4.2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4.2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4.2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4.2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4.2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4.2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4.2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4.2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4.2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4.2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4.2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4.2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4.2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4.2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4.2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4.2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4.2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4.2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4.2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4.2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4.2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4.2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4.2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4.2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4.2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4.2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4.2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4.2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4.2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4.2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4.2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4.2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4.2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4.2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4.2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4.2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4.2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4.2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4.2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4.2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4.2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4.2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4.2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4.2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4.2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4.2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4.2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4.2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4.2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4.2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4.2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4.2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4.2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4.2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4.2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4.2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4.2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4.2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4.2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4.2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4.2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4.2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4.2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4.2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4.2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4.2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4.2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4.2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4.2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4.2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4.2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4.2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4.2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4.2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4.2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4.2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4.2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4.2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4.2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4.2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4.2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4.2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4.2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4.2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4.2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4.2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4.2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4.2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4.2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4.2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4.2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4.2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4.2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4.2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4.2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4.2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4.2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4.2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4.2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4.2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4.2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row r="222" spans="1:23" ht="15.75" customHeight="1"/>
    <row r="223" spans="1:23" ht="15.75" customHeight="1"/>
    <row r="224" spans="1:2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2:C6"/>
    <mergeCell ref="C10:C11"/>
  </mergeCells>
  <pageMargins left="0.7" right="0.7" top="0.78740157499999996" bottom="0.78740157499999996" header="0" footer="0"/>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8D08D"/>
  </sheetPr>
  <dimension ref="A1:Z1000"/>
  <sheetViews>
    <sheetView topLeftCell="I1" workbookViewId="0">
      <selection activeCell="K5" sqref="K5"/>
    </sheetView>
  </sheetViews>
  <sheetFormatPr baseColWidth="10" defaultColWidth="14.33203125" defaultRowHeight="15" customHeight="1"/>
  <cols>
    <col min="1" max="1" width="18.33203125" customWidth="1"/>
    <col min="2" max="2" width="6.6640625" customWidth="1"/>
    <col min="3" max="5" width="18.33203125" customWidth="1"/>
    <col min="6" max="6" width="6.6640625" customWidth="1"/>
    <col min="7" max="9" width="18.33203125" customWidth="1"/>
    <col min="10" max="10" width="6.6640625" customWidth="1"/>
    <col min="11" max="11" width="59.6640625" customWidth="1"/>
    <col min="12" max="12" width="18.5546875" customWidth="1"/>
    <col min="13" max="13" width="19" customWidth="1"/>
    <col min="14" max="14" width="18.5546875" customWidth="1"/>
    <col min="15" max="15" width="19" customWidth="1"/>
    <col min="16" max="16" width="4.5546875" customWidth="1"/>
    <col min="17" max="17" width="35.33203125" customWidth="1"/>
    <col min="18" max="26" width="11.33203125" customWidth="1"/>
  </cols>
  <sheetData>
    <row r="1" spans="1:26" ht="45.75" customHeight="1">
      <c r="A1" s="23"/>
      <c r="B1" s="23"/>
      <c r="C1" s="24" t="s">
        <v>58</v>
      </c>
      <c r="D1" s="25" t="str">
        <f>IF(SUM(D2:D6)=0,"Kriterien erfüllt","Kriterien nicht erfüllt")</f>
        <v>Kriterien nicht erfüllt</v>
      </c>
      <c r="E1" s="26" t="str">
        <f>IF(SUM(D3:D6)=0,"--&gt; Verein wird angezeigt","--&gt; Verein wird nicht angezeit")</f>
        <v>--&gt; Verein wird nicht angezeit</v>
      </c>
      <c r="F1" s="23"/>
      <c r="G1" s="23"/>
      <c r="H1" s="23"/>
      <c r="I1" s="23"/>
      <c r="J1" s="23"/>
      <c r="K1" s="23"/>
      <c r="L1" s="23"/>
      <c r="M1" s="23"/>
      <c r="N1" s="23"/>
      <c r="O1" s="23"/>
      <c r="P1" s="23"/>
      <c r="Q1" s="23"/>
      <c r="R1" s="23"/>
      <c r="S1" s="23"/>
      <c r="T1" s="23"/>
      <c r="U1" s="23"/>
      <c r="V1" s="23"/>
      <c r="W1" s="23"/>
      <c r="X1" s="23"/>
      <c r="Y1" s="23"/>
      <c r="Z1" s="23"/>
    </row>
    <row r="2" spans="1:26" ht="45.75" customHeight="1">
      <c r="A2" s="27" t="s">
        <v>59</v>
      </c>
      <c r="B2" s="23"/>
      <c r="C2" s="28" t="s">
        <v>60</v>
      </c>
      <c r="D2" s="29">
        <f>IF(MAX(Vereinsvermögen*0.1,Außenumsatz*0.1)&gt;3000000,1,0)</f>
        <v>0</v>
      </c>
      <c r="E2" s="30"/>
      <c r="F2" s="23"/>
      <c r="G2" s="23"/>
      <c r="H2" s="23"/>
      <c r="I2" s="23"/>
      <c r="J2" s="23"/>
      <c r="K2" s="24" t="s">
        <v>9</v>
      </c>
      <c r="L2" s="25" t="str">
        <f>IF(L3=0,"Kriterien erfüllt","Kriterien nicht erfüllt")</f>
        <v>Kriterien nicht erfüllt</v>
      </c>
      <c r="M2" s="26" t="str">
        <f>IF(L3=1,"--&gt; AXA Facility wird angezeigt","--&gt; AXA Facility wird nicht angezeit")</f>
        <v>--&gt; AXA Facility wird angezeigt</v>
      </c>
      <c r="N2" s="23"/>
      <c r="O2" s="23"/>
      <c r="P2" s="23"/>
      <c r="Q2" s="23"/>
      <c r="R2" s="23"/>
      <c r="S2" s="23"/>
      <c r="T2" s="23"/>
      <c r="U2" s="23"/>
      <c r="V2" s="23"/>
      <c r="W2" s="23"/>
      <c r="X2" s="23"/>
      <c r="Y2" s="23"/>
      <c r="Z2" s="23"/>
    </row>
    <row r="3" spans="1:26" ht="45.75" customHeight="1" thickBot="1">
      <c r="A3" s="27" t="s">
        <v>61</v>
      </c>
      <c r="B3" s="23"/>
      <c r="C3" s="28" t="s">
        <v>62</v>
      </c>
      <c r="D3" s="29">
        <f>IF(Gesellschaftsform="Verein",0,1)</f>
        <v>1</v>
      </c>
      <c r="E3" s="30"/>
      <c r="F3" s="23"/>
      <c r="G3" s="23"/>
      <c r="H3" s="23"/>
      <c r="I3" s="23"/>
      <c r="J3" s="23"/>
      <c r="K3" s="32" t="s">
        <v>13</v>
      </c>
      <c r="L3" s="33">
        <f>IF(Branche="FI",0,1)</f>
        <v>1</v>
      </c>
      <c r="M3" s="34"/>
      <c r="N3" s="23"/>
      <c r="O3" s="23"/>
      <c r="P3" s="23"/>
      <c r="Q3" s="23"/>
      <c r="R3" s="23"/>
      <c r="S3" s="23"/>
      <c r="T3" s="23"/>
      <c r="U3" s="23"/>
      <c r="V3" s="23"/>
      <c r="W3" s="23"/>
      <c r="X3" s="23"/>
      <c r="Y3" s="23"/>
      <c r="Z3" s="23"/>
    </row>
    <row r="4" spans="1:26" ht="45.75" customHeight="1" thickBot="1">
      <c r="A4" s="23"/>
      <c r="B4" s="23"/>
      <c r="C4" s="31" t="s">
        <v>63</v>
      </c>
      <c r="D4" s="29">
        <f>IF(SUM(Bilanzsumme,Vereinsvermögen)=0,1,IF(MAX(Bilanzsumme,Vereinsvermögen)&lt;50000000,0,1))</f>
        <v>1</v>
      </c>
      <c r="E4" s="30"/>
      <c r="F4" s="23"/>
      <c r="G4" s="23"/>
      <c r="H4" s="23"/>
      <c r="I4" s="23"/>
      <c r="J4" s="23"/>
      <c r="K4" s="23"/>
      <c r="L4" s="23"/>
      <c r="M4" s="23"/>
      <c r="N4" s="23"/>
      <c r="O4" s="23"/>
      <c r="P4" s="23"/>
      <c r="Q4" s="23"/>
      <c r="R4" s="23"/>
      <c r="S4" s="23"/>
      <c r="T4" s="23"/>
      <c r="U4" s="23"/>
      <c r="V4" s="23"/>
      <c r="W4" s="23"/>
      <c r="X4" s="23"/>
      <c r="Y4" s="23"/>
      <c r="Z4" s="23"/>
    </row>
    <row r="5" spans="1:26" ht="45.75" customHeight="1">
      <c r="A5" s="23"/>
      <c r="B5" s="23"/>
      <c r="C5" s="31" t="s">
        <v>64</v>
      </c>
      <c r="D5" s="29">
        <f>IF(Profisport="",1,IF(Profisport="ja",1,0))</f>
        <v>1</v>
      </c>
      <c r="E5" s="30"/>
      <c r="F5" s="23"/>
      <c r="G5" s="23"/>
      <c r="H5" s="23"/>
      <c r="I5" s="23"/>
      <c r="J5" s="23"/>
      <c r="K5" s="23"/>
      <c r="L5" s="23"/>
      <c r="M5" s="23"/>
      <c r="N5" s="23"/>
      <c r="O5" s="23"/>
      <c r="P5" s="23"/>
      <c r="Q5" s="1117" t="str">
        <f>CONCATENATE(E8,"
",E1,"
",E11,"
",I8,"
",M2,"
",O10,)</f>
        <v>--&gt; HPDO wird angezeigt
--&gt; Verein wird nicht angezeit
--&gt; Start Up wird nicht angezeigt
--&gt; USA/CAN wird nicht angezeit
--&gt; AXA Facility wird angezeigt
--&gt; AIG Facility wird nicht angezeit</v>
      </c>
      <c r="R5" s="23"/>
      <c r="S5" s="23"/>
      <c r="T5" s="23"/>
      <c r="U5" s="23"/>
      <c r="V5" s="23"/>
      <c r="W5" s="23"/>
      <c r="X5" s="23"/>
      <c r="Y5" s="23"/>
      <c r="Z5" s="23"/>
    </row>
    <row r="6" spans="1:26" ht="45.75" customHeight="1">
      <c r="A6" s="23"/>
      <c r="B6" s="23"/>
      <c r="C6" s="32" t="s">
        <v>65</v>
      </c>
      <c r="D6" s="33">
        <f>IF(MAX(Deckungssumme1,Deckungssumme2,Deckungssumme3)&gt;3000000,1,0)</f>
        <v>0</v>
      </c>
      <c r="E6" s="34"/>
      <c r="F6" s="23"/>
      <c r="G6" s="23"/>
      <c r="H6" s="23"/>
      <c r="I6" s="23"/>
      <c r="J6" s="23"/>
      <c r="K6" s="23"/>
      <c r="L6" s="23"/>
      <c r="M6" s="23"/>
      <c r="N6" s="23"/>
      <c r="O6" s="23"/>
      <c r="P6" s="23"/>
      <c r="Q6" s="1118"/>
      <c r="R6" s="23"/>
      <c r="S6" s="23"/>
      <c r="T6" s="23"/>
      <c r="U6" s="23"/>
      <c r="V6" s="23"/>
      <c r="W6" s="23"/>
      <c r="X6" s="23"/>
      <c r="Y6" s="23"/>
      <c r="Z6" s="23"/>
    </row>
    <row r="7" spans="1:26" ht="45.75" customHeight="1">
      <c r="A7" s="23"/>
      <c r="B7" s="23"/>
      <c r="C7" s="23"/>
      <c r="D7" s="23"/>
      <c r="E7" s="23"/>
      <c r="F7" s="23"/>
      <c r="G7" s="23"/>
      <c r="H7" s="23"/>
      <c r="I7" s="23"/>
      <c r="J7" s="23"/>
      <c r="K7" s="23"/>
      <c r="L7" s="23"/>
      <c r="M7" s="23"/>
      <c r="N7" s="23"/>
      <c r="O7" s="23"/>
      <c r="P7" s="23"/>
      <c r="Q7" s="1118"/>
      <c r="R7" s="23"/>
      <c r="S7" s="23"/>
      <c r="T7" s="23"/>
      <c r="U7" s="23"/>
      <c r="V7" s="23"/>
      <c r="W7" s="23"/>
      <c r="X7" s="23"/>
      <c r="Y7" s="23"/>
      <c r="Z7" s="23"/>
    </row>
    <row r="8" spans="1:26" ht="45.75" customHeight="1">
      <c r="A8" s="35" t="s">
        <v>66</v>
      </c>
      <c r="B8" s="23"/>
      <c r="C8" s="24" t="s">
        <v>67</v>
      </c>
      <c r="D8" s="25" t="str">
        <f>IF(OR(AND(Gesellschaftsform="Unternehmen",StartUp="Länger als 3 Jahre"),AND(Produktauswahl!A2="ja",Flussdiagramm!D1="Kriterien nicht erfüllt",Flussdiagramm!D11="Kriterien nicht erfüllt")),'Listen-Daten'!D6,'Listen-Daten'!D7)</f>
        <v>Kriterien erfüllt</v>
      </c>
      <c r="E8" s="26" t="str">
        <f>IF(AND(SUM(D3:D6)&gt;0,D12=1),"--&gt; HPDO wird angezeigt","--&gt; HPDO wird nicht angezeigt")</f>
        <v>--&gt; HPDO wird angezeigt</v>
      </c>
      <c r="F8" s="23"/>
      <c r="G8" s="24" t="s">
        <v>68</v>
      </c>
      <c r="H8" s="25" t="str">
        <f>IF(H9=0,"Kriterien erfüllt","Kriterien nicht erfüllt")</f>
        <v>Kriterien nicht erfüllt</v>
      </c>
      <c r="I8" s="26" t="str">
        <f>IF(H9=0,"--&gt;USA/CAN wird angezeigt","--&gt; USA/CAN wird nicht angezeit")</f>
        <v>--&gt; USA/CAN wird nicht angezeit</v>
      </c>
      <c r="J8" s="23"/>
      <c r="K8" s="23"/>
      <c r="L8" s="23"/>
      <c r="M8" s="23"/>
      <c r="N8" s="23"/>
      <c r="O8" s="23"/>
      <c r="P8" s="23"/>
      <c r="Q8" s="1118"/>
      <c r="R8" s="23"/>
      <c r="S8" s="23"/>
      <c r="T8" s="23"/>
      <c r="U8" s="23"/>
      <c r="V8" s="23"/>
      <c r="W8" s="23"/>
      <c r="X8" s="23"/>
      <c r="Y8" s="23"/>
      <c r="Z8" s="23"/>
    </row>
    <row r="9" spans="1:26" ht="45.75" customHeight="1">
      <c r="A9" s="23"/>
      <c r="B9" s="23"/>
      <c r="C9" s="23"/>
      <c r="D9" s="23"/>
      <c r="E9" s="23"/>
      <c r="F9" s="23"/>
      <c r="G9" s="36" t="s">
        <v>69</v>
      </c>
      <c r="H9" s="37">
        <f>IF(USACAN="USA/CAN",0,1)</f>
        <v>1</v>
      </c>
      <c r="I9" s="34"/>
      <c r="J9" s="23"/>
      <c r="K9" s="23"/>
      <c r="L9" s="23"/>
      <c r="M9" s="23"/>
      <c r="N9" s="23"/>
      <c r="O9" s="23"/>
      <c r="P9" s="23"/>
      <c r="Q9" s="1119"/>
      <c r="R9" s="23"/>
      <c r="S9" s="23"/>
      <c r="T9" s="23"/>
      <c r="U9" s="23"/>
      <c r="V9" s="23"/>
      <c r="W9" s="23"/>
      <c r="X9" s="23"/>
      <c r="Y9" s="23"/>
      <c r="Z9" s="23"/>
    </row>
    <row r="10" spans="1:26" ht="45.75" customHeight="1">
      <c r="A10" s="23"/>
      <c r="B10" s="23"/>
      <c r="C10" s="38"/>
      <c r="D10" s="23"/>
      <c r="E10" s="23"/>
      <c r="F10" s="23"/>
      <c r="G10" s="23"/>
      <c r="H10" s="23"/>
      <c r="I10" s="23"/>
      <c r="J10" s="23"/>
      <c r="K10" s="24" t="s">
        <v>0</v>
      </c>
      <c r="L10" s="25" t="str">
        <f>IF(SUM(L11:L15)=0,"Kriterien erfüllt","Kriterien nicht erfüllt")</f>
        <v>Kriterien nicht erfüllt</v>
      </c>
      <c r="M10" s="25" t="str">
        <f>IF(SUM(M11:M15)=0,"Kriterien erfüllt","Kriterien nicht erfüllt")</f>
        <v>Kriterien nicht erfüllt</v>
      </c>
      <c r="N10" s="25" t="str">
        <f>IF(SUM(N11:N15)=0,"Kriterien erfüllt","Kriterien nicht erfüllt")</f>
        <v>Kriterien nicht erfüllt</v>
      </c>
      <c r="O10" s="26" t="str">
        <f>IF(SUM(L11:L15)=0,"--&gt; AIG Facility wird angezeigt","--&gt; AIG Facility wird nicht angezeit")</f>
        <v>--&gt; AIG Facility wird nicht angezeit</v>
      </c>
      <c r="P10" s="23"/>
      <c r="Q10" s="23"/>
      <c r="R10" s="23"/>
      <c r="S10" s="23"/>
      <c r="T10" s="23"/>
      <c r="U10" s="23"/>
      <c r="V10" s="23"/>
      <c r="W10" s="23"/>
      <c r="X10" s="23"/>
      <c r="Y10" s="23"/>
      <c r="Z10" s="23"/>
    </row>
    <row r="11" spans="1:26" ht="45.75" customHeight="1">
      <c r="A11" s="23"/>
      <c r="B11" s="23"/>
      <c r="C11" s="24" t="s">
        <v>70</v>
      </c>
      <c r="D11" s="25" t="str">
        <f>IF(D12=0,"Kriterien erfüllt","Kriterien nicht erfüllt")</f>
        <v>Kriterien nicht erfüllt</v>
      </c>
      <c r="E11" s="26" t="str">
        <f>IF(D12=0,"--&gt; Start Up wird angezeigt","--&gt; Start Up wird nicht angezeigt")</f>
        <v>--&gt; Start Up wird nicht angezeigt</v>
      </c>
      <c r="F11" s="23"/>
      <c r="G11" s="23"/>
      <c r="H11" s="23"/>
      <c r="I11" s="23"/>
      <c r="J11" s="23"/>
      <c r="K11" s="31" t="s">
        <v>2</v>
      </c>
      <c r="L11" s="23">
        <f>IF(AnteileAnDerBörseGehandelt=NeinAntwort,0,1)</f>
        <v>1</v>
      </c>
      <c r="M11" s="23">
        <f>IF(AnteileAnDerBörseGehandelt=NeinAntwort,0,1)</f>
        <v>1</v>
      </c>
      <c r="N11" s="23">
        <f>IF(AnteileAnDerBörseGehandelt=NeinAntwort,0,1)</f>
        <v>1</v>
      </c>
      <c r="O11" s="30"/>
      <c r="P11" s="23"/>
      <c r="Q11" s="23"/>
      <c r="R11" s="23"/>
      <c r="S11" s="23"/>
      <c r="T11" s="23"/>
      <c r="U11" s="23"/>
      <c r="V11" s="23"/>
      <c r="W11" s="23"/>
      <c r="X11" s="23"/>
      <c r="Y11" s="23"/>
      <c r="Z11" s="23"/>
    </row>
    <row r="12" spans="1:26" ht="45.75" customHeight="1">
      <c r="A12" s="23"/>
      <c r="B12" s="23"/>
      <c r="C12" s="36" t="s">
        <v>71</v>
      </c>
      <c r="D12" s="33">
        <f>IF(Gesellschaftsform="Verein",1,IF(StartUp="Kürzer als 2 Jahre",0,1))</f>
        <v>1</v>
      </c>
      <c r="E12" s="34"/>
      <c r="F12" s="23"/>
      <c r="G12" s="23"/>
      <c r="H12" s="23"/>
      <c r="I12" s="23"/>
      <c r="J12" s="23"/>
      <c r="K12" s="31" t="s">
        <v>5</v>
      </c>
      <c r="L12" s="23">
        <f>IF(FIInstitut=NeinAntwort,0,1)</f>
        <v>1</v>
      </c>
      <c r="M12" s="23">
        <f>IF(FIInstitut=NeinAntwort,0,1)</f>
        <v>1</v>
      </c>
      <c r="N12" s="23">
        <f>IF(FIInstitut=NeinAntwort,0,1)</f>
        <v>1</v>
      </c>
      <c r="O12" s="30"/>
      <c r="P12" s="23"/>
      <c r="Q12" s="23"/>
      <c r="R12" s="23"/>
      <c r="S12" s="23"/>
      <c r="T12" s="23"/>
      <c r="U12" s="23"/>
      <c r="V12" s="23"/>
      <c r="W12" s="23"/>
      <c r="X12" s="23"/>
      <c r="Y12" s="23"/>
      <c r="Z12" s="23"/>
    </row>
    <row r="13" spans="1:26" ht="45.75" customHeight="1">
      <c r="A13" s="23"/>
      <c r="B13" s="23"/>
      <c r="C13" s="23"/>
      <c r="D13" s="23"/>
      <c r="E13" s="23"/>
      <c r="F13" s="23"/>
      <c r="G13" s="23"/>
      <c r="H13" s="23"/>
      <c r="I13" s="23"/>
      <c r="J13" s="23"/>
      <c r="K13" s="28" t="s">
        <v>6</v>
      </c>
      <c r="L13" s="23">
        <f>IF(Spitzenverband=NeinAntwort,0,1)</f>
        <v>1</v>
      </c>
      <c r="M13" s="23">
        <f>IF(Spitzenverband=NeinAntwort,0,1)</f>
        <v>1</v>
      </c>
      <c r="N13" s="23">
        <f>IF(Spitzenverband=NeinAntwort,0,1)</f>
        <v>1</v>
      </c>
      <c r="O13" s="30"/>
      <c r="P13" s="23"/>
      <c r="Q13" s="23"/>
      <c r="R13" s="23"/>
      <c r="S13" s="23"/>
      <c r="T13" s="23"/>
      <c r="U13" s="23"/>
      <c r="V13" s="23"/>
      <c r="W13" s="23"/>
      <c r="X13" s="23"/>
      <c r="Y13" s="23"/>
      <c r="Z13" s="23"/>
    </row>
    <row r="14" spans="1:26" ht="45.75" customHeight="1">
      <c r="A14" s="23"/>
      <c r="B14" s="23"/>
      <c r="C14" s="23"/>
      <c r="D14" s="23"/>
      <c r="E14" s="23"/>
      <c r="F14" s="23"/>
      <c r="G14" s="23"/>
      <c r="H14" s="23"/>
      <c r="I14" s="23"/>
      <c r="J14" s="23"/>
      <c r="K14" s="28" t="s">
        <v>7</v>
      </c>
      <c r="L14" s="23">
        <f>IF(Deckungssumme1&gt;10000000,1,0)</f>
        <v>0</v>
      </c>
      <c r="M14" s="23">
        <f>IF(Deckungssumme2&gt;10000000,1,0)</f>
        <v>0</v>
      </c>
      <c r="N14" s="23">
        <f>IF(Deckungssumme3&gt;10000000,1,0)</f>
        <v>0</v>
      </c>
      <c r="O14" s="30"/>
      <c r="P14" s="23"/>
      <c r="Q14" s="23"/>
      <c r="R14" s="23"/>
      <c r="S14" s="23"/>
      <c r="T14" s="23"/>
      <c r="U14" s="23"/>
      <c r="V14" s="23"/>
      <c r="W14" s="23"/>
      <c r="X14" s="23"/>
      <c r="Y14" s="23"/>
      <c r="Z14" s="23"/>
    </row>
    <row r="15" spans="1:26" ht="45.75" customHeight="1">
      <c r="A15" s="23"/>
      <c r="B15" s="23"/>
      <c r="C15" s="23"/>
      <c r="D15" s="23"/>
      <c r="E15" s="23"/>
      <c r="F15" s="23"/>
      <c r="G15" s="23"/>
      <c r="H15" s="23"/>
      <c r="I15" s="23"/>
      <c r="J15" s="23"/>
      <c r="K15" s="36" t="s">
        <v>72</v>
      </c>
      <c r="L15" s="37">
        <f>IF(Außenumsatz&gt;150000000,1,0)</f>
        <v>0</v>
      </c>
      <c r="M15" s="37">
        <f>IF(Außenumsatz&gt;150000000,1,0)</f>
        <v>0</v>
      </c>
      <c r="N15" s="37">
        <f>IF(Außenumsatz&gt;150000000,1,0)</f>
        <v>0</v>
      </c>
      <c r="O15" s="34"/>
      <c r="P15" s="23"/>
      <c r="Q15" s="23"/>
      <c r="R15" s="23"/>
      <c r="S15" s="23"/>
      <c r="T15" s="23"/>
      <c r="U15" s="23"/>
      <c r="V15" s="23"/>
      <c r="W15" s="23"/>
      <c r="X15" s="23"/>
      <c r="Y15" s="23"/>
      <c r="Z15" s="23"/>
    </row>
    <row r="16" spans="1:26" ht="35.700000000000003" customHeight="1">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35.700000000000003" customHeigh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35.700000000000003" customHeight="1">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35.700000000000003" customHeight="1">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35.700000000000003" customHeight="1">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35.700000000000003"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35.700000000000003"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35.700000000000003"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35.700000000000003"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35.700000000000003"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35.700000000000003"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35.700000000000003"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35.700000000000003"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35.700000000000003"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35.700000000000003"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35.700000000000003"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35.700000000000003"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35.700000000000003"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35.700000000000003"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35.700000000000003"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35.700000000000003"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35.700000000000003"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35.700000000000003"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35.700000000000003"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35.700000000000003"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35.700000000000003"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35.700000000000003"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35.700000000000003"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35.700000000000003"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35.700000000000003"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35.700000000000003"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35.700000000000003"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35.700000000000003"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35.700000000000003"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35.700000000000003"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35.700000000000003"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35.700000000000003"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35.700000000000003"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35.700000000000003"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35.700000000000003"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35.700000000000003"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35.700000000000003"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35.700000000000003"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35.700000000000003"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35.700000000000003"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35.700000000000003"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35.700000000000003"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35.700000000000003"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35.700000000000003"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35.700000000000003"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35.700000000000003"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35.700000000000003"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35.700000000000003"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35.700000000000003"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35.700000000000003"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35.700000000000003"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35.700000000000003"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35.700000000000003"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35.700000000000003"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35.700000000000003"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35.700000000000003"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35.700000000000003"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35.700000000000003"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35.700000000000003"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35.700000000000003"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35.700000000000003"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35.700000000000003"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35.700000000000003"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35.700000000000003"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35.700000000000003"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35.700000000000003"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35.700000000000003"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35.700000000000003"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35.700000000000003"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35.700000000000003"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35.700000000000003"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35.700000000000003"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35.700000000000003"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35.700000000000003"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35.700000000000003"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35.700000000000003"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35.700000000000003"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35.700000000000003"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35.700000000000003"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35.700000000000003"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35.700000000000003"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35.700000000000003"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35.700000000000003"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35.700000000000003"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35.700000000000003"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35.700000000000003"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35.700000000000003"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35.700000000000003"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35.700000000000003"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35.700000000000003"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35.700000000000003"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35.700000000000003"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35.700000000000003"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35.700000000000003"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35.700000000000003"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35.700000000000003"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35.700000000000003"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35.700000000000003"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35.700000000000003"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35.700000000000003"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35.700000000000003"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35.700000000000003"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35.700000000000003"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35.700000000000003"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35.700000000000003"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35.700000000000003"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35.700000000000003"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35.700000000000003"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35.700000000000003"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35.700000000000003"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35.700000000000003"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35.700000000000003"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35.700000000000003"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35.700000000000003"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35.700000000000003"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35.700000000000003"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35.700000000000003"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35.700000000000003"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35.700000000000003"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35.700000000000003"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35.700000000000003"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35.700000000000003"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35.700000000000003"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35.700000000000003"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35.700000000000003"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35.700000000000003"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35.700000000000003"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35.700000000000003"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35.700000000000003"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35.700000000000003"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35.700000000000003"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35.700000000000003"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35.700000000000003"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35.700000000000003"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35.700000000000003"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35.700000000000003"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35.700000000000003"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35.700000000000003"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35.700000000000003"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35.700000000000003"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35.700000000000003"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35.700000000000003"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35.700000000000003"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35.700000000000003"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35.700000000000003"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35.700000000000003"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35.700000000000003"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35.700000000000003"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35.700000000000003"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35.700000000000003"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35.700000000000003"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35.700000000000003"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35.700000000000003"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35.700000000000003"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35.700000000000003"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35.700000000000003"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35.700000000000003"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35.700000000000003"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35.700000000000003"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35.700000000000003"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35.700000000000003"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35.700000000000003"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35.700000000000003"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35.700000000000003"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35.700000000000003"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35.700000000000003"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35.700000000000003"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35.700000000000003"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35.700000000000003"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35.700000000000003"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35.700000000000003"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35.700000000000003"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35.700000000000003"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35.700000000000003"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35.700000000000003"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35.700000000000003"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35.700000000000003"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35.700000000000003"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35.700000000000003"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35.700000000000003"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35.700000000000003"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35.700000000000003"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35.700000000000003"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35.700000000000003"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35.700000000000003"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35.700000000000003"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35.700000000000003"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35.700000000000003"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35.700000000000003"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35.700000000000003"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35.700000000000003"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35.700000000000003"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35.700000000000003"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35.700000000000003"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35.700000000000003"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35.700000000000003"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35.700000000000003"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35.700000000000003"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35.700000000000003"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35.700000000000003"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Q5:Q9"/>
  </mergeCells>
  <conditionalFormatting sqref="D1 D11">
    <cfRule type="cellIs" dxfId="72" priority="1" operator="equal">
      <formula>"Kriterien nicht erfüllt"</formula>
    </cfRule>
    <cfRule type="cellIs" dxfId="71" priority="2" operator="equal">
      <formula>"Kriterien erfüllt"</formula>
    </cfRule>
  </conditionalFormatting>
  <conditionalFormatting sqref="D8">
    <cfRule type="cellIs" dxfId="70" priority="9" operator="equal">
      <formula>"Kriterien nicht erfüllt"</formula>
    </cfRule>
    <cfRule type="cellIs" dxfId="69" priority="10" operator="equal">
      <formula>"Kriterien erfüllt"</formula>
    </cfRule>
  </conditionalFormatting>
  <conditionalFormatting sqref="H8">
    <cfRule type="cellIs" dxfId="68" priority="3" operator="equal">
      <formula>"Kriterien nicht erfüllt"</formula>
    </cfRule>
    <cfRule type="cellIs" dxfId="67" priority="4" operator="equal">
      <formula>"Kriterien erfüllt"</formula>
    </cfRule>
  </conditionalFormatting>
  <conditionalFormatting sqref="L2">
    <cfRule type="cellIs" dxfId="66" priority="5" operator="equal">
      <formula>"Kriterien nicht erfüllt"</formula>
    </cfRule>
    <cfRule type="cellIs" dxfId="65" priority="6" operator="equal">
      <formula>"Kriterien erfüllt"</formula>
    </cfRule>
  </conditionalFormatting>
  <conditionalFormatting sqref="L10:N10">
    <cfRule type="cellIs" dxfId="64" priority="7" operator="equal">
      <formula>"Kriterien nicht erfüllt"</formula>
    </cfRule>
    <cfRule type="cellIs" dxfId="63" priority="8" operator="equal">
      <formula>"Kriterien erfüllt"</formula>
    </cfRule>
  </conditionalFormatting>
  <pageMargins left="0.7" right="0.7" top="0.78740157499999996" bottom="0.78740157499999996" header="0" footer="0"/>
  <pageSetup paperSize="9"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155CC"/>
  </sheetPr>
  <dimension ref="A1:E1000"/>
  <sheetViews>
    <sheetView workbookViewId="0">
      <selection activeCell="D14" sqref="D14"/>
    </sheetView>
  </sheetViews>
  <sheetFormatPr baseColWidth="10" defaultColWidth="14.33203125" defaultRowHeight="15" customHeight="1"/>
  <cols>
    <col min="1" max="1" width="24.6640625" customWidth="1"/>
    <col min="2" max="2" width="22.33203125" customWidth="1"/>
    <col min="3" max="3" width="8.5546875" customWidth="1"/>
    <col min="4" max="4" width="16.6640625" customWidth="1"/>
    <col min="5" max="5" width="14" customWidth="1"/>
    <col min="6" max="6" width="17.33203125" customWidth="1"/>
    <col min="7" max="15" width="8.5546875" customWidth="1"/>
  </cols>
  <sheetData>
    <row r="1" spans="1:5" ht="14.25" customHeight="1">
      <c r="A1" s="138" t="s">
        <v>2803</v>
      </c>
      <c r="B1" s="139"/>
      <c r="D1" s="140" t="s">
        <v>2804</v>
      </c>
      <c r="E1" s="141" t="s">
        <v>2805</v>
      </c>
    </row>
    <row r="2" spans="1:5" ht="14.25" customHeight="1">
      <c r="A2" s="138" t="s">
        <v>2806</v>
      </c>
      <c r="B2" s="142" t="s">
        <v>2807</v>
      </c>
      <c r="D2" s="140"/>
      <c r="E2" s="143" t="s">
        <v>2808</v>
      </c>
    </row>
    <row r="3" spans="1:5" ht="14.25" customHeight="1">
      <c r="A3" s="138" t="s">
        <v>2809</v>
      </c>
      <c r="B3" s="142"/>
      <c r="D3" s="140"/>
      <c r="E3" s="143" t="s">
        <v>2810</v>
      </c>
    </row>
    <row r="4" spans="1:5" ht="14.25" customHeight="1">
      <c r="A4" s="138" t="s">
        <v>2811</v>
      </c>
      <c r="B4" s="142"/>
      <c r="D4" s="140"/>
      <c r="E4" s="143" t="s">
        <v>2812</v>
      </c>
    </row>
    <row r="5" spans="1:5" ht="14.25" customHeight="1">
      <c r="A5" s="138" t="s">
        <v>2813</v>
      </c>
      <c r="B5" s="142"/>
    </row>
    <row r="6" spans="1:5" ht="14.25" customHeight="1"/>
    <row r="7" spans="1:5" ht="14.25" customHeight="1">
      <c r="A7" s="138" t="s">
        <v>2814</v>
      </c>
    </row>
    <row r="8" spans="1:5" ht="14.25" customHeight="1">
      <c r="A8" s="138" t="s">
        <v>2809</v>
      </c>
      <c r="B8" s="139"/>
    </row>
    <row r="9" spans="1:5" ht="14.25" customHeight="1">
      <c r="A9" s="138" t="s">
        <v>2811</v>
      </c>
      <c r="B9" s="139"/>
    </row>
    <row r="10" spans="1:5" ht="14.25" customHeight="1">
      <c r="A10" s="138" t="s">
        <v>2813</v>
      </c>
      <c r="B10" s="139"/>
    </row>
    <row r="11" spans="1:5" ht="14.25" customHeight="1"/>
    <row r="12" spans="1:5" ht="14.25" customHeight="1"/>
    <row r="13" spans="1:5" ht="14.25" customHeight="1"/>
    <row r="14" spans="1:5" ht="14.25" customHeight="1">
      <c r="A14" s="138" t="s">
        <v>4091</v>
      </c>
      <c r="B14" s="139"/>
    </row>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X1000"/>
  <sheetViews>
    <sheetView workbookViewId="0">
      <selection activeCell="D5" sqref="D5"/>
    </sheetView>
  </sheetViews>
  <sheetFormatPr baseColWidth="10" defaultColWidth="14.33203125" defaultRowHeight="15" customHeight="1"/>
  <cols>
    <col min="1" max="1" width="27.33203125" customWidth="1"/>
    <col min="2" max="2" width="18" customWidth="1"/>
    <col min="3" max="3" width="20.33203125" customWidth="1"/>
    <col min="4" max="4" width="50.6640625" customWidth="1"/>
    <col min="5" max="24" width="11.33203125" customWidth="1"/>
  </cols>
  <sheetData>
    <row r="1" spans="1:24" ht="35.700000000000003" customHeight="1">
      <c r="A1" s="158" t="s">
        <v>3093</v>
      </c>
      <c r="B1" s="158" t="s">
        <v>3094</v>
      </c>
      <c r="C1" s="158" t="s">
        <v>3095</v>
      </c>
      <c r="D1" s="158" t="s">
        <v>3096</v>
      </c>
      <c r="E1" s="3"/>
      <c r="F1" s="3"/>
      <c r="G1" s="3"/>
      <c r="H1" s="3"/>
      <c r="I1" s="3"/>
      <c r="J1" s="3"/>
      <c r="K1" s="3"/>
      <c r="L1" s="3"/>
      <c r="M1" s="3"/>
      <c r="N1" s="3"/>
      <c r="O1" s="3"/>
      <c r="P1" s="3"/>
      <c r="Q1" s="3"/>
      <c r="R1" s="3"/>
      <c r="S1" s="3"/>
      <c r="T1" s="3"/>
      <c r="U1" s="3"/>
      <c r="V1" s="3"/>
      <c r="W1" s="3"/>
      <c r="X1" s="3"/>
    </row>
    <row r="2" spans="1:24" ht="14.25" customHeight="1">
      <c r="A2" s="159" t="s">
        <v>3097</v>
      </c>
      <c r="B2" s="160"/>
      <c r="C2" s="159" t="b">
        <f>IF(DaughterInSanctionedCountry="YES",TRUE,FALSE)</f>
        <v>0</v>
      </c>
      <c r="D2" s="3"/>
      <c r="E2" s="3"/>
      <c r="F2" s="3"/>
      <c r="G2" s="3"/>
      <c r="H2" s="3"/>
      <c r="I2" s="3"/>
      <c r="J2" s="3"/>
      <c r="K2" s="3"/>
      <c r="L2" s="3"/>
      <c r="M2" s="3"/>
      <c r="N2" s="3"/>
      <c r="O2" s="3"/>
      <c r="P2" s="3"/>
      <c r="Q2" s="3"/>
      <c r="R2" s="3"/>
      <c r="S2" s="3"/>
      <c r="T2" s="3"/>
      <c r="U2" s="3"/>
      <c r="V2" s="3"/>
      <c r="W2" s="3"/>
      <c r="X2" s="3"/>
    </row>
    <row r="3" spans="1:24" ht="14.25" customHeight="1">
      <c r="A3" s="159" t="s">
        <v>2799</v>
      </c>
      <c r="B3" s="161"/>
      <c r="C3" s="159" t="b">
        <f>IF(Calc_SanctionedCountry=1,TRUE,FALSE)</f>
        <v>0</v>
      </c>
      <c r="D3" s="3"/>
      <c r="E3" s="3"/>
      <c r="F3" s="3"/>
      <c r="G3" s="3"/>
      <c r="H3" s="3"/>
      <c r="I3" s="3"/>
      <c r="J3" s="3"/>
      <c r="K3" s="3"/>
      <c r="L3" s="3"/>
      <c r="M3" s="3"/>
      <c r="N3" s="3"/>
      <c r="O3" s="3"/>
      <c r="P3" s="3"/>
      <c r="Q3" s="3"/>
      <c r="R3" s="3"/>
      <c r="S3" s="3"/>
      <c r="T3" s="3"/>
      <c r="U3" s="3"/>
      <c r="V3" s="3"/>
      <c r="W3" s="3"/>
      <c r="X3" s="3"/>
    </row>
    <row r="4" spans="1:24" ht="14.25" customHeight="1">
      <c r="A4" s="3"/>
      <c r="B4" s="3"/>
      <c r="C4" s="3"/>
      <c r="D4" s="3"/>
      <c r="E4" s="3"/>
      <c r="F4" s="3"/>
      <c r="G4" s="3"/>
      <c r="H4" s="3"/>
      <c r="I4" s="3"/>
      <c r="J4" s="3"/>
      <c r="K4" s="3"/>
      <c r="L4" s="3"/>
      <c r="M4" s="3"/>
      <c r="N4" s="3"/>
      <c r="O4" s="3"/>
      <c r="P4" s="3"/>
      <c r="Q4" s="3"/>
      <c r="R4" s="3"/>
      <c r="S4" s="3"/>
      <c r="T4" s="3"/>
      <c r="U4" s="3"/>
      <c r="V4" s="3"/>
      <c r="W4" s="3"/>
      <c r="X4" s="3"/>
    </row>
    <row r="5" spans="1:24" ht="14.25" customHeight="1">
      <c r="A5" s="159" t="s">
        <v>3098</v>
      </c>
      <c r="B5" s="162"/>
      <c r="C5" s="159" t="b">
        <f>OR(C2,C3)</f>
        <v>0</v>
      </c>
      <c r="D5" s="159" t="str">
        <f>IF(C5=TRUE,"Töchter oder MVU sind in sanktionierten Ländern!","Töchter oder MVU sind nicht in sanktionierten Ländern!")</f>
        <v>Töchter oder MVU sind nicht in sanktionierten Ländern!</v>
      </c>
      <c r="E5" s="3"/>
      <c r="F5" s="3"/>
      <c r="G5" s="3"/>
      <c r="H5" s="3"/>
      <c r="I5" s="3"/>
      <c r="J5" s="3"/>
      <c r="K5" s="3"/>
      <c r="L5" s="3"/>
      <c r="M5" s="3"/>
      <c r="N5" s="3"/>
      <c r="O5" s="3"/>
      <c r="P5" s="3"/>
      <c r="Q5" s="3"/>
      <c r="R5" s="3"/>
      <c r="S5" s="3"/>
      <c r="T5" s="3"/>
      <c r="U5" s="3"/>
      <c r="V5" s="3"/>
      <c r="W5" s="3"/>
      <c r="X5" s="3"/>
    </row>
    <row r="6" spans="1:24" ht="14.25" customHeight="1">
      <c r="A6" s="3"/>
      <c r="B6" s="3"/>
      <c r="C6" s="3"/>
      <c r="D6" s="3"/>
      <c r="E6" s="3"/>
      <c r="F6" s="3"/>
      <c r="G6" s="3"/>
      <c r="H6" s="3"/>
      <c r="I6" s="3"/>
      <c r="J6" s="3"/>
      <c r="K6" s="3"/>
      <c r="L6" s="3"/>
      <c r="M6" s="3"/>
      <c r="N6" s="3"/>
      <c r="O6" s="3"/>
      <c r="P6" s="3"/>
      <c r="Q6" s="3"/>
      <c r="R6" s="3"/>
      <c r="S6" s="3"/>
      <c r="T6" s="3"/>
      <c r="U6" s="3"/>
      <c r="V6" s="3"/>
      <c r="W6" s="3"/>
      <c r="X6" s="3"/>
    </row>
    <row r="7" spans="1:24" ht="14.25" customHeight="1">
      <c r="A7" s="3" t="s">
        <v>4100</v>
      </c>
      <c r="B7" s="3"/>
      <c r="C7" s="3"/>
      <c r="D7" s="3"/>
      <c r="E7" s="3"/>
      <c r="F7" s="3"/>
      <c r="G7" s="3"/>
      <c r="H7" s="3"/>
      <c r="I7" s="3"/>
      <c r="J7" s="3"/>
      <c r="K7" s="3"/>
      <c r="L7" s="3"/>
      <c r="M7" s="3"/>
      <c r="N7" s="3"/>
      <c r="O7" s="3"/>
      <c r="P7" s="3"/>
      <c r="Q7" s="3"/>
      <c r="R7" s="3"/>
      <c r="S7" s="3"/>
      <c r="T7" s="3"/>
      <c r="U7" s="3"/>
      <c r="V7" s="3"/>
      <c r="W7" s="3"/>
      <c r="X7" s="3"/>
    </row>
    <row r="8" spans="1:24" ht="14.25" customHeight="1">
      <c r="A8" s="3"/>
      <c r="B8" s="3"/>
      <c r="C8" s="3"/>
      <c r="D8" s="3"/>
      <c r="E8" s="3"/>
      <c r="F8" s="3"/>
      <c r="G8" s="3"/>
      <c r="H8" s="3"/>
      <c r="I8" s="3"/>
      <c r="J8" s="3"/>
      <c r="K8" s="3"/>
      <c r="L8" s="3"/>
      <c r="M8" s="3"/>
      <c r="N8" s="3"/>
      <c r="O8" s="3"/>
      <c r="P8" s="3"/>
      <c r="Q8" s="3"/>
      <c r="R8" s="3"/>
      <c r="S8" s="3"/>
      <c r="T8" s="3"/>
      <c r="U8" s="3"/>
      <c r="V8" s="3"/>
      <c r="W8" s="3"/>
      <c r="X8" s="3"/>
    </row>
    <row r="9" spans="1:24" ht="14.25" customHeight="1">
      <c r="A9" s="3"/>
      <c r="B9" s="3"/>
      <c r="C9" s="3"/>
      <c r="D9" s="3"/>
      <c r="E9" s="3"/>
      <c r="F9" s="3"/>
      <c r="G9" s="3"/>
      <c r="H9" s="3"/>
      <c r="I9" s="3"/>
      <c r="J9" s="3"/>
      <c r="K9" s="3"/>
      <c r="L9" s="3"/>
      <c r="M9" s="3"/>
      <c r="N9" s="3"/>
      <c r="O9" s="3"/>
      <c r="P9" s="3"/>
      <c r="Q9" s="3"/>
      <c r="R9" s="3"/>
      <c r="S9" s="3"/>
      <c r="T9" s="3"/>
      <c r="U9" s="3"/>
      <c r="V9" s="3"/>
      <c r="W9" s="3"/>
      <c r="X9" s="3"/>
    </row>
    <row r="10" spans="1:24" ht="14.25" customHeight="1">
      <c r="A10" s="3"/>
      <c r="B10" s="3"/>
      <c r="C10" s="3"/>
      <c r="D10" s="3"/>
      <c r="E10" s="3"/>
      <c r="F10" s="3"/>
      <c r="G10" s="3"/>
      <c r="H10" s="3"/>
      <c r="I10" s="3"/>
      <c r="J10" s="3"/>
      <c r="K10" s="3"/>
      <c r="L10" s="3"/>
      <c r="M10" s="3"/>
      <c r="N10" s="3"/>
      <c r="O10" s="3"/>
      <c r="P10" s="3"/>
      <c r="Q10" s="3"/>
      <c r="R10" s="3"/>
      <c r="S10" s="3"/>
      <c r="T10" s="3"/>
      <c r="U10" s="3"/>
      <c r="V10" s="3"/>
      <c r="W10" s="3"/>
      <c r="X10" s="3"/>
    </row>
    <row r="11" spans="1:24" ht="14.25" customHeight="1">
      <c r="A11" s="3"/>
      <c r="B11" s="3"/>
      <c r="C11" s="3"/>
      <c r="D11" s="3"/>
      <c r="E11" s="3"/>
      <c r="F11" s="3"/>
      <c r="G11" s="3"/>
      <c r="H11" s="3"/>
      <c r="I11" s="3"/>
      <c r="J11" s="3"/>
      <c r="K11" s="3"/>
      <c r="L11" s="3"/>
      <c r="M11" s="3"/>
      <c r="N11" s="3"/>
      <c r="O11" s="3"/>
      <c r="P11" s="3"/>
      <c r="Q11" s="3"/>
      <c r="R11" s="3"/>
      <c r="S11" s="3"/>
      <c r="T11" s="3"/>
      <c r="U11" s="3"/>
      <c r="V11" s="3"/>
      <c r="W11" s="3"/>
      <c r="X11" s="3"/>
    </row>
    <row r="12" spans="1:24" ht="14.25" customHeight="1">
      <c r="A12" s="3"/>
      <c r="B12" s="3"/>
      <c r="C12" s="3"/>
      <c r="D12" s="3"/>
      <c r="E12" s="3"/>
      <c r="F12" s="3"/>
      <c r="G12" s="3"/>
      <c r="H12" s="3"/>
      <c r="I12" s="3"/>
      <c r="J12" s="3"/>
      <c r="K12" s="3"/>
      <c r="L12" s="3"/>
      <c r="M12" s="3"/>
      <c r="N12" s="3"/>
      <c r="O12" s="3"/>
      <c r="P12" s="3"/>
      <c r="Q12" s="3"/>
      <c r="R12" s="3"/>
      <c r="S12" s="3"/>
      <c r="T12" s="3"/>
      <c r="U12" s="3"/>
      <c r="V12" s="3"/>
      <c r="W12" s="3"/>
      <c r="X12" s="3"/>
    </row>
    <row r="13" spans="1:24" ht="14.25" customHeight="1">
      <c r="A13" s="3"/>
      <c r="B13" s="3"/>
      <c r="C13" s="3"/>
      <c r="D13" s="3"/>
      <c r="E13" s="3"/>
      <c r="F13" s="3"/>
      <c r="G13" s="3"/>
      <c r="H13" s="3"/>
      <c r="I13" s="3"/>
      <c r="J13" s="3"/>
      <c r="K13" s="3"/>
      <c r="L13" s="3"/>
      <c r="M13" s="3"/>
      <c r="N13" s="3"/>
      <c r="O13" s="3"/>
      <c r="P13" s="3"/>
      <c r="Q13" s="3"/>
      <c r="R13" s="3"/>
      <c r="S13" s="3"/>
      <c r="T13" s="3"/>
      <c r="U13" s="3"/>
      <c r="V13" s="3"/>
      <c r="W13" s="3"/>
      <c r="X13" s="3"/>
    </row>
    <row r="14" spans="1:24" ht="14.25" customHeight="1">
      <c r="A14" s="3"/>
      <c r="B14" s="3"/>
      <c r="C14" s="3"/>
      <c r="D14" s="3"/>
      <c r="E14" s="3"/>
      <c r="F14" s="3"/>
      <c r="G14" s="3"/>
      <c r="H14" s="3"/>
      <c r="I14" s="3"/>
      <c r="J14" s="3"/>
      <c r="K14" s="3"/>
      <c r="L14" s="3"/>
      <c r="M14" s="3"/>
      <c r="N14" s="3"/>
      <c r="O14" s="3"/>
      <c r="P14" s="3"/>
      <c r="Q14" s="3"/>
      <c r="R14" s="3"/>
      <c r="S14" s="3"/>
      <c r="T14" s="3"/>
      <c r="U14" s="3"/>
      <c r="V14" s="3"/>
      <c r="W14" s="3"/>
      <c r="X14" s="3"/>
    </row>
    <row r="15" spans="1:24" ht="14.25" customHeight="1">
      <c r="A15" s="3"/>
      <c r="B15" s="3"/>
      <c r="C15" s="3"/>
      <c r="D15" s="3"/>
      <c r="E15" s="3"/>
      <c r="F15" s="3"/>
      <c r="G15" s="3"/>
      <c r="H15" s="3"/>
      <c r="I15" s="3"/>
      <c r="J15" s="3"/>
      <c r="K15" s="3"/>
      <c r="L15" s="3"/>
      <c r="M15" s="3"/>
      <c r="N15" s="3"/>
      <c r="O15" s="3"/>
      <c r="P15" s="3"/>
      <c r="Q15" s="3"/>
      <c r="R15" s="3"/>
      <c r="S15" s="3"/>
      <c r="T15" s="3"/>
      <c r="U15" s="3"/>
      <c r="V15" s="3"/>
      <c r="W15" s="3"/>
      <c r="X15" s="3"/>
    </row>
    <row r="16" spans="1:24" ht="14.25" customHeight="1">
      <c r="A16" s="3"/>
      <c r="B16" s="3"/>
      <c r="C16" s="3"/>
      <c r="D16" s="3"/>
      <c r="E16" s="3"/>
      <c r="F16" s="3"/>
      <c r="G16" s="3"/>
      <c r="H16" s="3"/>
      <c r="I16" s="3"/>
      <c r="J16" s="3"/>
      <c r="K16" s="3"/>
      <c r="L16" s="3"/>
      <c r="M16" s="3"/>
      <c r="N16" s="3"/>
      <c r="O16" s="3"/>
      <c r="P16" s="3"/>
      <c r="Q16" s="3"/>
      <c r="R16" s="3"/>
      <c r="S16" s="3"/>
      <c r="T16" s="3"/>
      <c r="U16" s="3"/>
      <c r="V16" s="3"/>
      <c r="W16" s="3"/>
      <c r="X16" s="3"/>
    </row>
    <row r="17" spans="1:24" ht="14.25" customHeight="1">
      <c r="A17" s="3"/>
      <c r="B17" s="3"/>
      <c r="C17" s="3"/>
      <c r="D17" s="3"/>
      <c r="E17" s="3"/>
      <c r="F17" s="3"/>
      <c r="G17" s="3"/>
      <c r="H17" s="3"/>
      <c r="I17" s="3"/>
      <c r="J17" s="3"/>
      <c r="K17" s="3"/>
      <c r="L17" s="3"/>
      <c r="M17" s="3"/>
      <c r="N17" s="3"/>
      <c r="O17" s="3"/>
      <c r="P17" s="3"/>
      <c r="Q17" s="3"/>
      <c r="R17" s="3"/>
      <c r="S17" s="3"/>
      <c r="T17" s="3"/>
      <c r="U17" s="3"/>
      <c r="V17" s="3"/>
      <c r="W17" s="3"/>
      <c r="X17" s="3"/>
    </row>
    <row r="18" spans="1:24" ht="14.25" customHeight="1">
      <c r="A18" s="3"/>
      <c r="B18" s="3"/>
      <c r="C18" s="3"/>
      <c r="D18" s="3"/>
      <c r="E18" s="3"/>
      <c r="F18" s="3"/>
      <c r="G18" s="3"/>
      <c r="H18" s="3"/>
      <c r="I18" s="3"/>
      <c r="J18" s="3"/>
      <c r="K18" s="3"/>
      <c r="L18" s="3"/>
      <c r="M18" s="3"/>
      <c r="N18" s="3"/>
      <c r="O18" s="3"/>
      <c r="P18" s="3"/>
      <c r="Q18" s="3"/>
      <c r="R18" s="3"/>
      <c r="S18" s="3"/>
      <c r="T18" s="3"/>
      <c r="U18" s="3"/>
      <c r="V18" s="3"/>
      <c r="W18" s="3"/>
      <c r="X18" s="3"/>
    </row>
    <row r="19" spans="1:24" ht="14.25" customHeight="1">
      <c r="A19" s="3"/>
      <c r="B19" s="3"/>
      <c r="C19" s="3"/>
      <c r="D19" s="3"/>
      <c r="E19" s="3"/>
      <c r="F19" s="3"/>
      <c r="G19" s="3"/>
      <c r="H19" s="3"/>
      <c r="I19" s="3"/>
      <c r="J19" s="3"/>
      <c r="K19" s="3"/>
      <c r="L19" s="3"/>
      <c r="M19" s="3"/>
      <c r="N19" s="3"/>
      <c r="O19" s="3"/>
      <c r="P19" s="3"/>
      <c r="Q19" s="3"/>
      <c r="R19" s="3"/>
      <c r="S19" s="3"/>
      <c r="T19" s="3"/>
      <c r="U19" s="3"/>
      <c r="V19" s="3"/>
      <c r="W19" s="3"/>
      <c r="X19" s="3"/>
    </row>
    <row r="20" spans="1:24" ht="14.25" customHeight="1">
      <c r="A20" s="3"/>
      <c r="B20" s="3"/>
      <c r="C20" s="3"/>
      <c r="D20" s="3"/>
      <c r="E20" s="3"/>
      <c r="F20" s="3"/>
      <c r="G20" s="3"/>
      <c r="H20" s="3"/>
      <c r="I20" s="3"/>
      <c r="J20" s="3"/>
      <c r="K20" s="3"/>
      <c r="L20" s="3"/>
      <c r="M20" s="3"/>
      <c r="N20" s="3"/>
      <c r="O20" s="3"/>
      <c r="P20" s="3"/>
      <c r="Q20" s="3"/>
      <c r="R20" s="3"/>
      <c r="S20" s="3"/>
      <c r="T20" s="3"/>
      <c r="U20" s="3"/>
      <c r="V20" s="3"/>
      <c r="W20" s="3"/>
      <c r="X20" s="3"/>
    </row>
    <row r="21" spans="1:24" ht="14.25" customHeight="1">
      <c r="A21" s="3"/>
      <c r="B21" s="3"/>
      <c r="C21" s="3"/>
      <c r="D21" s="3"/>
      <c r="E21" s="3"/>
      <c r="F21" s="3"/>
      <c r="G21" s="3"/>
      <c r="H21" s="3"/>
      <c r="I21" s="3"/>
      <c r="J21" s="3"/>
      <c r="K21" s="3"/>
      <c r="L21" s="3"/>
      <c r="M21" s="3"/>
      <c r="N21" s="3"/>
      <c r="O21" s="3"/>
      <c r="P21" s="3"/>
      <c r="Q21" s="3"/>
      <c r="R21" s="3"/>
      <c r="S21" s="3"/>
      <c r="T21" s="3"/>
      <c r="U21" s="3"/>
      <c r="V21" s="3"/>
      <c r="W21" s="3"/>
      <c r="X21" s="3"/>
    </row>
    <row r="22" spans="1:24" ht="14.25" customHeight="1">
      <c r="A22" s="3"/>
      <c r="B22" s="3"/>
      <c r="C22" s="3"/>
      <c r="D22" s="3"/>
      <c r="E22" s="3"/>
      <c r="F22" s="3"/>
      <c r="G22" s="3"/>
      <c r="H22" s="3"/>
      <c r="I22" s="3"/>
      <c r="J22" s="3"/>
      <c r="K22" s="3"/>
      <c r="L22" s="3"/>
      <c r="M22" s="3"/>
      <c r="N22" s="3"/>
      <c r="O22" s="3"/>
      <c r="P22" s="3"/>
      <c r="Q22" s="3"/>
      <c r="R22" s="3"/>
      <c r="S22" s="3"/>
      <c r="T22" s="3"/>
      <c r="U22" s="3"/>
      <c r="V22" s="3"/>
      <c r="W22" s="3"/>
      <c r="X22" s="3"/>
    </row>
    <row r="23" spans="1:24" ht="14.25" customHeight="1">
      <c r="A23" s="3"/>
      <c r="B23" s="3"/>
      <c r="C23" s="3"/>
      <c r="D23" s="3"/>
      <c r="E23" s="3"/>
      <c r="F23" s="3"/>
      <c r="G23" s="3"/>
      <c r="H23" s="3"/>
      <c r="I23" s="3"/>
      <c r="J23" s="3"/>
      <c r="K23" s="3"/>
      <c r="L23" s="3"/>
      <c r="M23" s="3"/>
      <c r="N23" s="3"/>
      <c r="O23" s="3"/>
      <c r="P23" s="3"/>
      <c r="Q23" s="3"/>
      <c r="R23" s="3"/>
      <c r="S23" s="3"/>
      <c r="T23" s="3"/>
      <c r="U23" s="3"/>
      <c r="V23" s="3"/>
      <c r="W23" s="3"/>
      <c r="X23" s="3"/>
    </row>
    <row r="24" spans="1:24" ht="14.25" customHeight="1">
      <c r="A24" s="3"/>
      <c r="B24" s="3"/>
      <c r="C24" s="3"/>
      <c r="D24" s="3"/>
      <c r="E24" s="3"/>
      <c r="F24" s="3"/>
      <c r="G24" s="3"/>
      <c r="H24" s="3"/>
      <c r="I24" s="3"/>
      <c r="J24" s="3"/>
      <c r="K24" s="3"/>
      <c r="L24" s="3"/>
      <c r="M24" s="3"/>
      <c r="N24" s="3"/>
      <c r="O24" s="3"/>
      <c r="P24" s="3"/>
      <c r="Q24" s="3"/>
      <c r="R24" s="3"/>
      <c r="S24" s="3"/>
      <c r="T24" s="3"/>
      <c r="U24" s="3"/>
      <c r="V24" s="3"/>
      <c r="W24" s="3"/>
      <c r="X24" s="3"/>
    </row>
    <row r="25" spans="1:24" ht="14.25" customHeight="1">
      <c r="A25" s="3"/>
      <c r="B25" s="3"/>
      <c r="C25" s="3"/>
      <c r="D25" s="3"/>
      <c r="E25" s="3"/>
      <c r="F25" s="3"/>
      <c r="G25" s="3"/>
      <c r="H25" s="3"/>
      <c r="I25" s="3"/>
      <c r="J25" s="3"/>
      <c r="K25" s="3"/>
      <c r="L25" s="3"/>
      <c r="M25" s="3"/>
      <c r="N25" s="3"/>
      <c r="O25" s="3"/>
      <c r="P25" s="3"/>
      <c r="Q25" s="3"/>
      <c r="R25" s="3"/>
      <c r="S25" s="3"/>
      <c r="T25" s="3"/>
      <c r="U25" s="3"/>
      <c r="V25" s="3"/>
      <c r="W25" s="3"/>
      <c r="X25" s="3"/>
    </row>
    <row r="26" spans="1:24" ht="14.25" customHeight="1">
      <c r="A26" s="3"/>
      <c r="B26" s="3"/>
      <c r="C26" s="3"/>
      <c r="D26" s="3"/>
      <c r="E26" s="3"/>
      <c r="F26" s="3"/>
      <c r="G26" s="3"/>
      <c r="H26" s="3"/>
      <c r="I26" s="3"/>
      <c r="J26" s="3"/>
      <c r="K26" s="3"/>
      <c r="L26" s="3"/>
      <c r="M26" s="3"/>
      <c r="N26" s="3"/>
      <c r="O26" s="3"/>
      <c r="P26" s="3"/>
      <c r="Q26" s="3"/>
      <c r="R26" s="3"/>
      <c r="S26" s="3"/>
      <c r="T26" s="3"/>
      <c r="U26" s="3"/>
      <c r="V26" s="3"/>
      <c r="W26" s="3"/>
      <c r="X26" s="3"/>
    </row>
    <row r="27" spans="1:24" ht="14.25" customHeight="1">
      <c r="A27" s="3"/>
      <c r="B27" s="3"/>
      <c r="C27" s="3"/>
      <c r="D27" s="3"/>
      <c r="E27" s="3"/>
      <c r="F27" s="3"/>
      <c r="G27" s="3"/>
      <c r="H27" s="3"/>
      <c r="I27" s="3"/>
      <c r="J27" s="3"/>
      <c r="K27" s="3"/>
      <c r="L27" s="3"/>
      <c r="M27" s="3"/>
      <c r="N27" s="3"/>
      <c r="O27" s="3"/>
      <c r="P27" s="3"/>
      <c r="Q27" s="3"/>
      <c r="R27" s="3"/>
      <c r="S27" s="3"/>
      <c r="T27" s="3"/>
      <c r="U27" s="3"/>
      <c r="V27" s="3"/>
      <c r="W27" s="3"/>
      <c r="X27" s="3"/>
    </row>
    <row r="28" spans="1:24" ht="14.25" customHeight="1">
      <c r="A28" s="3"/>
      <c r="B28" s="3"/>
      <c r="C28" s="3"/>
      <c r="D28" s="3"/>
      <c r="E28" s="3"/>
      <c r="F28" s="3"/>
      <c r="G28" s="3"/>
      <c r="H28" s="3"/>
      <c r="I28" s="3"/>
      <c r="J28" s="3"/>
      <c r="K28" s="3"/>
      <c r="L28" s="3"/>
      <c r="M28" s="3"/>
      <c r="N28" s="3"/>
      <c r="O28" s="3"/>
      <c r="P28" s="3"/>
      <c r="Q28" s="3"/>
      <c r="R28" s="3"/>
      <c r="S28" s="3"/>
      <c r="T28" s="3"/>
      <c r="U28" s="3"/>
      <c r="V28" s="3"/>
      <c r="W28" s="3"/>
      <c r="X28" s="3"/>
    </row>
    <row r="29" spans="1:24" ht="14.25" customHeight="1">
      <c r="A29" s="3"/>
      <c r="B29" s="3"/>
      <c r="C29" s="3"/>
      <c r="D29" s="3"/>
      <c r="E29" s="3"/>
      <c r="F29" s="3"/>
      <c r="G29" s="3"/>
      <c r="H29" s="3"/>
      <c r="I29" s="3"/>
      <c r="J29" s="3"/>
      <c r="K29" s="3"/>
      <c r="L29" s="3"/>
      <c r="M29" s="3"/>
      <c r="N29" s="3"/>
      <c r="O29" s="3"/>
      <c r="P29" s="3"/>
      <c r="Q29" s="3"/>
      <c r="R29" s="3"/>
      <c r="S29" s="3"/>
      <c r="T29" s="3"/>
      <c r="U29" s="3"/>
      <c r="V29" s="3"/>
      <c r="W29" s="3"/>
      <c r="X29" s="3"/>
    </row>
    <row r="30" spans="1:24" ht="14.25" customHeight="1">
      <c r="A30" s="3"/>
      <c r="B30" s="3"/>
      <c r="C30" s="3"/>
      <c r="D30" s="3"/>
      <c r="E30" s="3"/>
      <c r="F30" s="3"/>
      <c r="G30" s="3"/>
      <c r="H30" s="3"/>
      <c r="I30" s="3"/>
      <c r="J30" s="3"/>
      <c r="K30" s="3"/>
      <c r="L30" s="3"/>
      <c r="M30" s="3"/>
      <c r="N30" s="3"/>
      <c r="O30" s="3"/>
      <c r="P30" s="3"/>
      <c r="Q30" s="3"/>
      <c r="R30" s="3"/>
      <c r="S30" s="3"/>
      <c r="T30" s="3"/>
      <c r="U30" s="3"/>
      <c r="V30" s="3"/>
      <c r="W30" s="3"/>
      <c r="X30" s="3"/>
    </row>
    <row r="31" spans="1:24" ht="14.25" customHeight="1">
      <c r="A31" s="3"/>
      <c r="B31" s="3"/>
      <c r="C31" s="3"/>
      <c r="D31" s="3"/>
      <c r="E31" s="3"/>
      <c r="F31" s="3"/>
      <c r="G31" s="3"/>
      <c r="H31" s="3"/>
      <c r="I31" s="3"/>
      <c r="J31" s="3"/>
      <c r="K31" s="3"/>
      <c r="L31" s="3"/>
      <c r="M31" s="3"/>
      <c r="N31" s="3"/>
      <c r="O31" s="3"/>
      <c r="P31" s="3"/>
      <c r="Q31" s="3"/>
      <c r="R31" s="3"/>
      <c r="S31" s="3"/>
      <c r="T31" s="3"/>
      <c r="U31" s="3"/>
      <c r="V31" s="3"/>
      <c r="W31" s="3"/>
      <c r="X31" s="3"/>
    </row>
    <row r="32" spans="1:24" ht="14.25" customHeight="1">
      <c r="A32" s="3"/>
      <c r="B32" s="3"/>
      <c r="C32" s="3"/>
      <c r="D32" s="3"/>
      <c r="E32" s="3"/>
      <c r="F32" s="3"/>
      <c r="G32" s="3"/>
      <c r="H32" s="3"/>
      <c r="I32" s="3"/>
      <c r="J32" s="3"/>
      <c r="K32" s="3"/>
      <c r="L32" s="3"/>
      <c r="M32" s="3"/>
      <c r="N32" s="3"/>
      <c r="O32" s="3"/>
      <c r="P32" s="3"/>
      <c r="Q32" s="3"/>
      <c r="R32" s="3"/>
      <c r="S32" s="3"/>
      <c r="T32" s="3"/>
      <c r="U32" s="3"/>
      <c r="V32" s="3"/>
      <c r="W32" s="3"/>
      <c r="X32" s="3"/>
    </row>
    <row r="33" spans="1:24" ht="14.25" customHeight="1">
      <c r="A33" s="3"/>
      <c r="B33" s="3"/>
      <c r="C33" s="3"/>
      <c r="D33" s="3"/>
      <c r="E33" s="3"/>
      <c r="F33" s="3"/>
      <c r="G33" s="3"/>
      <c r="H33" s="3"/>
      <c r="I33" s="3"/>
      <c r="J33" s="3"/>
      <c r="K33" s="3"/>
      <c r="L33" s="3"/>
      <c r="M33" s="3"/>
      <c r="N33" s="3"/>
      <c r="O33" s="3"/>
      <c r="P33" s="3"/>
      <c r="Q33" s="3"/>
      <c r="R33" s="3"/>
      <c r="S33" s="3"/>
      <c r="T33" s="3"/>
      <c r="U33" s="3"/>
      <c r="V33" s="3"/>
      <c r="W33" s="3"/>
      <c r="X33" s="3"/>
    </row>
    <row r="34" spans="1:24" ht="14.25" customHeight="1">
      <c r="A34" s="3"/>
      <c r="B34" s="3"/>
      <c r="C34" s="3"/>
      <c r="D34" s="3"/>
      <c r="E34" s="3"/>
      <c r="F34" s="3"/>
      <c r="G34" s="3"/>
      <c r="H34" s="3"/>
      <c r="I34" s="3"/>
      <c r="J34" s="3"/>
      <c r="K34" s="3"/>
      <c r="L34" s="3"/>
      <c r="M34" s="3"/>
      <c r="N34" s="3"/>
      <c r="O34" s="3"/>
      <c r="P34" s="3"/>
      <c r="Q34" s="3"/>
      <c r="R34" s="3"/>
      <c r="S34" s="3"/>
      <c r="T34" s="3"/>
      <c r="U34" s="3"/>
      <c r="V34" s="3"/>
      <c r="W34" s="3"/>
      <c r="X34" s="3"/>
    </row>
    <row r="35" spans="1:24" ht="14.25" customHeight="1">
      <c r="A35" s="3"/>
      <c r="B35" s="3"/>
      <c r="C35" s="3"/>
      <c r="D35" s="3"/>
      <c r="E35" s="3"/>
      <c r="F35" s="3"/>
      <c r="G35" s="3"/>
      <c r="H35" s="3"/>
      <c r="I35" s="3"/>
      <c r="J35" s="3"/>
      <c r="K35" s="3"/>
      <c r="L35" s="3"/>
      <c r="M35" s="3"/>
      <c r="N35" s="3"/>
      <c r="O35" s="3"/>
      <c r="P35" s="3"/>
      <c r="Q35" s="3"/>
      <c r="R35" s="3"/>
      <c r="S35" s="3"/>
      <c r="T35" s="3"/>
      <c r="U35" s="3"/>
      <c r="V35" s="3"/>
      <c r="W35" s="3"/>
      <c r="X35" s="3"/>
    </row>
    <row r="36" spans="1:24" ht="14.25" customHeight="1">
      <c r="A36" s="3"/>
      <c r="B36" s="3"/>
      <c r="C36" s="3"/>
      <c r="D36" s="3"/>
      <c r="E36" s="3"/>
      <c r="F36" s="3"/>
      <c r="G36" s="3"/>
      <c r="H36" s="3"/>
      <c r="I36" s="3"/>
      <c r="J36" s="3"/>
      <c r="K36" s="3"/>
      <c r="L36" s="3"/>
      <c r="M36" s="3"/>
      <c r="N36" s="3"/>
      <c r="O36" s="3"/>
      <c r="P36" s="3"/>
      <c r="Q36" s="3"/>
      <c r="R36" s="3"/>
      <c r="S36" s="3"/>
      <c r="T36" s="3"/>
      <c r="U36" s="3"/>
      <c r="V36" s="3"/>
      <c r="W36" s="3"/>
      <c r="X36" s="3"/>
    </row>
    <row r="37" spans="1:24" ht="14.25" customHeight="1">
      <c r="A37" s="3"/>
      <c r="B37" s="3"/>
      <c r="C37" s="3"/>
      <c r="D37" s="3"/>
      <c r="E37" s="3"/>
      <c r="F37" s="3"/>
      <c r="G37" s="3"/>
      <c r="H37" s="3"/>
      <c r="I37" s="3"/>
      <c r="J37" s="3"/>
      <c r="K37" s="3"/>
      <c r="L37" s="3"/>
      <c r="M37" s="3"/>
      <c r="N37" s="3"/>
      <c r="O37" s="3"/>
      <c r="P37" s="3"/>
      <c r="Q37" s="3"/>
      <c r="R37" s="3"/>
      <c r="S37" s="3"/>
      <c r="T37" s="3"/>
      <c r="U37" s="3"/>
      <c r="V37" s="3"/>
      <c r="W37" s="3"/>
      <c r="X37" s="3"/>
    </row>
    <row r="38" spans="1:24" ht="14.25" customHeight="1">
      <c r="A38" s="3"/>
      <c r="B38" s="3"/>
      <c r="C38" s="3"/>
      <c r="D38" s="3"/>
      <c r="E38" s="3"/>
      <c r="F38" s="3"/>
      <c r="G38" s="3"/>
      <c r="H38" s="3"/>
      <c r="I38" s="3"/>
      <c r="J38" s="3"/>
      <c r="K38" s="3"/>
      <c r="L38" s="3"/>
      <c r="M38" s="3"/>
      <c r="N38" s="3"/>
      <c r="O38" s="3"/>
      <c r="P38" s="3"/>
      <c r="Q38" s="3"/>
      <c r="R38" s="3"/>
      <c r="S38" s="3"/>
      <c r="T38" s="3"/>
      <c r="U38" s="3"/>
      <c r="V38" s="3"/>
      <c r="W38" s="3"/>
      <c r="X38" s="3"/>
    </row>
    <row r="39" spans="1:24" ht="14.25" customHeight="1">
      <c r="A39" s="3"/>
      <c r="B39" s="3"/>
      <c r="C39" s="3"/>
      <c r="D39" s="3"/>
      <c r="E39" s="3"/>
      <c r="F39" s="3"/>
      <c r="G39" s="3"/>
      <c r="H39" s="3"/>
      <c r="I39" s="3"/>
      <c r="J39" s="3"/>
      <c r="K39" s="3"/>
      <c r="L39" s="3"/>
      <c r="M39" s="3"/>
      <c r="N39" s="3"/>
      <c r="O39" s="3"/>
      <c r="P39" s="3"/>
      <c r="Q39" s="3"/>
      <c r="R39" s="3"/>
      <c r="S39" s="3"/>
      <c r="T39" s="3"/>
      <c r="U39" s="3"/>
      <c r="V39" s="3"/>
      <c r="W39" s="3"/>
      <c r="X39" s="3"/>
    </row>
    <row r="40" spans="1:24" ht="14.25" customHeight="1">
      <c r="A40" s="3"/>
      <c r="B40" s="3"/>
      <c r="C40" s="3"/>
      <c r="D40" s="3"/>
      <c r="E40" s="3"/>
      <c r="F40" s="3"/>
      <c r="G40" s="3"/>
      <c r="H40" s="3"/>
      <c r="I40" s="3"/>
      <c r="J40" s="3"/>
      <c r="K40" s="3"/>
      <c r="L40" s="3"/>
      <c r="M40" s="3"/>
      <c r="N40" s="3"/>
      <c r="O40" s="3"/>
      <c r="P40" s="3"/>
      <c r="Q40" s="3"/>
      <c r="R40" s="3"/>
      <c r="S40" s="3"/>
      <c r="T40" s="3"/>
      <c r="U40" s="3"/>
      <c r="V40" s="3"/>
      <c r="W40" s="3"/>
      <c r="X40" s="3"/>
    </row>
    <row r="41" spans="1:24" ht="14.25" customHeight="1">
      <c r="A41" s="3"/>
      <c r="B41" s="3"/>
      <c r="C41" s="3"/>
      <c r="D41" s="3"/>
      <c r="E41" s="3"/>
      <c r="F41" s="3"/>
      <c r="G41" s="3"/>
      <c r="H41" s="3"/>
      <c r="I41" s="3"/>
      <c r="J41" s="3"/>
      <c r="K41" s="3"/>
      <c r="L41" s="3"/>
      <c r="M41" s="3"/>
      <c r="N41" s="3"/>
      <c r="O41" s="3"/>
      <c r="P41" s="3"/>
      <c r="Q41" s="3"/>
      <c r="R41" s="3"/>
      <c r="S41" s="3"/>
      <c r="T41" s="3"/>
      <c r="U41" s="3"/>
      <c r="V41" s="3"/>
      <c r="W41" s="3"/>
      <c r="X41" s="3"/>
    </row>
    <row r="42" spans="1:24" ht="14.25" customHeight="1">
      <c r="A42" s="3"/>
      <c r="B42" s="3"/>
      <c r="C42" s="3"/>
      <c r="D42" s="3"/>
      <c r="E42" s="3"/>
      <c r="F42" s="3"/>
      <c r="G42" s="3"/>
      <c r="H42" s="3"/>
      <c r="I42" s="3"/>
      <c r="J42" s="3"/>
      <c r="K42" s="3"/>
      <c r="L42" s="3"/>
      <c r="M42" s="3"/>
      <c r="N42" s="3"/>
      <c r="O42" s="3"/>
      <c r="P42" s="3"/>
      <c r="Q42" s="3"/>
      <c r="R42" s="3"/>
      <c r="S42" s="3"/>
      <c r="T42" s="3"/>
      <c r="U42" s="3"/>
      <c r="V42" s="3"/>
      <c r="W42" s="3"/>
      <c r="X42" s="3"/>
    </row>
    <row r="43" spans="1:24" ht="14.25" customHeight="1">
      <c r="A43" s="3"/>
      <c r="B43" s="3"/>
      <c r="C43" s="3"/>
      <c r="D43" s="3"/>
      <c r="E43" s="3"/>
      <c r="F43" s="3"/>
      <c r="G43" s="3"/>
      <c r="H43" s="3"/>
      <c r="I43" s="3"/>
      <c r="J43" s="3"/>
      <c r="K43" s="3"/>
      <c r="L43" s="3"/>
      <c r="M43" s="3"/>
      <c r="N43" s="3"/>
      <c r="O43" s="3"/>
      <c r="P43" s="3"/>
      <c r="Q43" s="3"/>
      <c r="R43" s="3"/>
      <c r="S43" s="3"/>
      <c r="T43" s="3"/>
      <c r="U43" s="3"/>
      <c r="V43" s="3"/>
      <c r="W43" s="3"/>
      <c r="X43" s="3"/>
    </row>
    <row r="44" spans="1:24" ht="14.25" customHeight="1">
      <c r="A44" s="3"/>
      <c r="B44" s="3"/>
      <c r="C44" s="3"/>
      <c r="D44" s="3"/>
      <c r="E44" s="3"/>
      <c r="F44" s="3"/>
      <c r="G44" s="3"/>
      <c r="H44" s="3"/>
      <c r="I44" s="3"/>
      <c r="J44" s="3"/>
      <c r="K44" s="3"/>
      <c r="L44" s="3"/>
      <c r="M44" s="3"/>
      <c r="N44" s="3"/>
      <c r="O44" s="3"/>
      <c r="P44" s="3"/>
      <c r="Q44" s="3"/>
      <c r="R44" s="3"/>
      <c r="S44" s="3"/>
      <c r="T44" s="3"/>
      <c r="U44" s="3"/>
      <c r="V44" s="3"/>
      <c r="W44" s="3"/>
      <c r="X44" s="3"/>
    </row>
    <row r="45" spans="1:24" ht="14.25" customHeight="1">
      <c r="A45" s="3"/>
      <c r="B45" s="3"/>
      <c r="C45" s="3"/>
      <c r="D45" s="3"/>
      <c r="E45" s="3"/>
      <c r="F45" s="3"/>
      <c r="G45" s="3"/>
      <c r="H45" s="3"/>
      <c r="I45" s="3"/>
      <c r="J45" s="3"/>
      <c r="K45" s="3"/>
      <c r="L45" s="3"/>
      <c r="M45" s="3"/>
      <c r="N45" s="3"/>
      <c r="O45" s="3"/>
      <c r="P45" s="3"/>
      <c r="Q45" s="3"/>
      <c r="R45" s="3"/>
      <c r="S45" s="3"/>
      <c r="T45" s="3"/>
      <c r="U45" s="3"/>
      <c r="V45" s="3"/>
      <c r="W45" s="3"/>
      <c r="X45" s="3"/>
    </row>
    <row r="46" spans="1:24" ht="14.25" customHeight="1">
      <c r="A46" s="3"/>
      <c r="B46" s="3"/>
      <c r="C46" s="3"/>
      <c r="D46" s="3"/>
      <c r="E46" s="3"/>
      <c r="F46" s="3"/>
      <c r="G46" s="3"/>
      <c r="H46" s="3"/>
      <c r="I46" s="3"/>
      <c r="J46" s="3"/>
      <c r="K46" s="3"/>
      <c r="L46" s="3"/>
      <c r="M46" s="3"/>
      <c r="N46" s="3"/>
      <c r="O46" s="3"/>
      <c r="P46" s="3"/>
      <c r="Q46" s="3"/>
      <c r="R46" s="3"/>
      <c r="S46" s="3"/>
      <c r="T46" s="3"/>
      <c r="U46" s="3"/>
      <c r="V46" s="3"/>
      <c r="W46" s="3"/>
      <c r="X46" s="3"/>
    </row>
    <row r="47" spans="1:24" ht="14.25" customHeight="1">
      <c r="A47" s="3"/>
      <c r="B47" s="3"/>
      <c r="C47" s="3"/>
      <c r="D47" s="3"/>
      <c r="E47" s="3"/>
      <c r="F47" s="3"/>
      <c r="G47" s="3"/>
      <c r="H47" s="3"/>
      <c r="I47" s="3"/>
      <c r="J47" s="3"/>
      <c r="K47" s="3"/>
      <c r="L47" s="3"/>
      <c r="M47" s="3"/>
      <c r="N47" s="3"/>
      <c r="O47" s="3"/>
      <c r="P47" s="3"/>
      <c r="Q47" s="3"/>
      <c r="R47" s="3"/>
      <c r="S47" s="3"/>
      <c r="T47" s="3"/>
      <c r="U47" s="3"/>
      <c r="V47" s="3"/>
      <c r="W47" s="3"/>
      <c r="X47" s="3"/>
    </row>
    <row r="48" spans="1:24" ht="14.25" customHeight="1">
      <c r="A48" s="3"/>
      <c r="B48" s="3"/>
      <c r="C48" s="3"/>
      <c r="D48" s="3"/>
      <c r="E48" s="3"/>
      <c r="F48" s="3"/>
      <c r="G48" s="3"/>
      <c r="H48" s="3"/>
      <c r="I48" s="3"/>
      <c r="J48" s="3"/>
      <c r="K48" s="3"/>
      <c r="L48" s="3"/>
      <c r="M48" s="3"/>
      <c r="N48" s="3"/>
      <c r="O48" s="3"/>
      <c r="P48" s="3"/>
      <c r="Q48" s="3"/>
      <c r="R48" s="3"/>
      <c r="S48" s="3"/>
      <c r="T48" s="3"/>
      <c r="U48" s="3"/>
      <c r="V48" s="3"/>
      <c r="W48" s="3"/>
      <c r="X48" s="3"/>
    </row>
    <row r="49" spans="1:24" ht="14.25" customHeight="1">
      <c r="A49" s="3"/>
      <c r="B49" s="3"/>
      <c r="C49" s="3"/>
      <c r="D49" s="3"/>
      <c r="E49" s="3"/>
      <c r="F49" s="3"/>
      <c r="G49" s="3"/>
      <c r="H49" s="3"/>
      <c r="I49" s="3"/>
      <c r="J49" s="3"/>
      <c r="K49" s="3"/>
      <c r="L49" s="3"/>
      <c r="M49" s="3"/>
      <c r="N49" s="3"/>
      <c r="O49" s="3"/>
      <c r="P49" s="3"/>
      <c r="Q49" s="3"/>
      <c r="R49" s="3"/>
      <c r="S49" s="3"/>
      <c r="T49" s="3"/>
      <c r="U49" s="3"/>
      <c r="V49" s="3"/>
      <c r="W49" s="3"/>
      <c r="X49" s="3"/>
    </row>
    <row r="50" spans="1:24" ht="14.25" customHeight="1">
      <c r="A50" s="3"/>
      <c r="B50" s="3"/>
      <c r="C50" s="3"/>
      <c r="D50" s="3"/>
      <c r="E50" s="3"/>
      <c r="F50" s="3"/>
      <c r="G50" s="3"/>
      <c r="H50" s="3"/>
      <c r="I50" s="3"/>
      <c r="J50" s="3"/>
      <c r="K50" s="3"/>
      <c r="L50" s="3"/>
      <c r="M50" s="3"/>
      <c r="N50" s="3"/>
      <c r="O50" s="3"/>
      <c r="P50" s="3"/>
      <c r="Q50" s="3"/>
      <c r="R50" s="3"/>
      <c r="S50" s="3"/>
      <c r="T50" s="3"/>
      <c r="U50" s="3"/>
      <c r="V50" s="3"/>
      <c r="W50" s="3"/>
      <c r="X50" s="3"/>
    </row>
    <row r="51" spans="1:24" ht="14.25" customHeight="1">
      <c r="A51" s="3"/>
      <c r="B51" s="3"/>
      <c r="C51" s="3"/>
      <c r="D51" s="3"/>
      <c r="E51" s="3"/>
      <c r="F51" s="3"/>
      <c r="G51" s="3"/>
      <c r="H51" s="3"/>
      <c r="I51" s="3"/>
      <c r="J51" s="3"/>
      <c r="K51" s="3"/>
      <c r="L51" s="3"/>
      <c r="M51" s="3"/>
      <c r="N51" s="3"/>
      <c r="O51" s="3"/>
      <c r="P51" s="3"/>
      <c r="Q51" s="3"/>
      <c r="R51" s="3"/>
      <c r="S51" s="3"/>
      <c r="T51" s="3"/>
      <c r="U51" s="3"/>
      <c r="V51" s="3"/>
      <c r="W51" s="3"/>
      <c r="X51" s="3"/>
    </row>
    <row r="52" spans="1:24" ht="14.25" customHeight="1">
      <c r="A52" s="3"/>
      <c r="B52" s="3"/>
      <c r="C52" s="3"/>
      <c r="D52" s="3"/>
      <c r="E52" s="3"/>
      <c r="F52" s="3"/>
      <c r="G52" s="3"/>
      <c r="H52" s="3"/>
      <c r="I52" s="3"/>
      <c r="J52" s="3"/>
      <c r="K52" s="3"/>
      <c r="L52" s="3"/>
      <c r="M52" s="3"/>
      <c r="N52" s="3"/>
      <c r="O52" s="3"/>
      <c r="P52" s="3"/>
      <c r="Q52" s="3"/>
      <c r="R52" s="3"/>
      <c r="S52" s="3"/>
      <c r="T52" s="3"/>
      <c r="U52" s="3"/>
      <c r="V52" s="3"/>
      <c r="W52" s="3"/>
      <c r="X52" s="3"/>
    </row>
    <row r="53" spans="1:24" ht="14.25" customHeight="1">
      <c r="A53" s="3"/>
      <c r="B53" s="3"/>
      <c r="C53" s="3"/>
      <c r="D53" s="3"/>
      <c r="E53" s="3"/>
      <c r="F53" s="3"/>
      <c r="G53" s="3"/>
      <c r="H53" s="3"/>
      <c r="I53" s="3"/>
      <c r="J53" s="3"/>
      <c r="K53" s="3"/>
      <c r="L53" s="3"/>
      <c r="M53" s="3"/>
      <c r="N53" s="3"/>
      <c r="O53" s="3"/>
      <c r="P53" s="3"/>
      <c r="Q53" s="3"/>
      <c r="R53" s="3"/>
      <c r="S53" s="3"/>
      <c r="T53" s="3"/>
      <c r="U53" s="3"/>
      <c r="V53" s="3"/>
      <c r="W53" s="3"/>
      <c r="X53" s="3"/>
    </row>
    <row r="54" spans="1:24" ht="14.25" customHeight="1">
      <c r="A54" s="3"/>
      <c r="B54" s="3"/>
      <c r="C54" s="3"/>
      <c r="D54" s="3"/>
      <c r="E54" s="3"/>
      <c r="F54" s="3"/>
      <c r="G54" s="3"/>
      <c r="H54" s="3"/>
      <c r="I54" s="3"/>
      <c r="J54" s="3"/>
      <c r="K54" s="3"/>
      <c r="L54" s="3"/>
      <c r="M54" s="3"/>
      <c r="N54" s="3"/>
      <c r="O54" s="3"/>
      <c r="P54" s="3"/>
      <c r="Q54" s="3"/>
      <c r="R54" s="3"/>
      <c r="S54" s="3"/>
      <c r="T54" s="3"/>
      <c r="U54" s="3"/>
      <c r="V54" s="3"/>
      <c r="W54" s="3"/>
      <c r="X54" s="3"/>
    </row>
    <row r="55" spans="1:24" ht="14.25" customHeight="1">
      <c r="A55" s="3"/>
      <c r="B55" s="3"/>
      <c r="C55" s="3"/>
      <c r="D55" s="3"/>
      <c r="E55" s="3"/>
      <c r="F55" s="3"/>
      <c r="G55" s="3"/>
      <c r="H55" s="3"/>
      <c r="I55" s="3"/>
      <c r="J55" s="3"/>
      <c r="K55" s="3"/>
      <c r="L55" s="3"/>
      <c r="M55" s="3"/>
      <c r="N55" s="3"/>
      <c r="O55" s="3"/>
      <c r="P55" s="3"/>
      <c r="Q55" s="3"/>
      <c r="R55" s="3"/>
      <c r="S55" s="3"/>
      <c r="T55" s="3"/>
      <c r="U55" s="3"/>
      <c r="V55" s="3"/>
      <c r="W55" s="3"/>
      <c r="X55" s="3"/>
    </row>
    <row r="56" spans="1:24" ht="14.25" customHeight="1">
      <c r="A56" s="3"/>
      <c r="B56" s="3"/>
      <c r="C56" s="3"/>
      <c r="D56" s="3"/>
      <c r="E56" s="3"/>
      <c r="F56" s="3"/>
      <c r="G56" s="3"/>
      <c r="H56" s="3"/>
      <c r="I56" s="3"/>
      <c r="J56" s="3"/>
      <c r="K56" s="3"/>
      <c r="L56" s="3"/>
      <c r="M56" s="3"/>
      <c r="N56" s="3"/>
      <c r="O56" s="3"/>
      <c r="P56" s="3"/>
      <c r="Q56" s="3"/>
      <c r="R56" s="3"/>
      <c r="S56" s="3"/>
      <c r="T56" s="3"/>
      <c r="U56" s="3"/>
      <c r="V56" s="3"/>
      <c r="W56" s="3"/>
      <c r="X56" s="3"/>
    </row>
    <row r="57" spans="1:24" ht="14.25" customHeight="1">
      <c r="A57" s="3"/>
      <c r="B57" s="3"/>
      <c r="C57" s="3"/>
      <c r="D57" s="3"/>
      <c r="E57" s="3"/>
      <c r="F57" s="3"/>
      <c r="G57" s="3"/>
      <c r="H57" s="3"/>
      <c r="I57" s="3"/>
      <c r="J57" s="3"/>
      <c r="K57" s="3"/>
      <c r="L57" s="3"/>
      <c r="M57" s="3"/>
      <c r="N57" s="3"/>
      <c r="O57" s="3"/>
      <c r="P57" s="3"/>
      <c r="Q57" s="3"/>
      <c r="R57" s="3"/>
      <c r="S57" s="3"/>
      <c r="T57" s="3"/>
      <c r="U57" s="3"/>
      <c r="V57" s="3"/>
      <c r="W57" s="3"/>
      <c r="X57" s="3"/>
    </row>
    <row r="58" spans="1:24" ht="14.25" customHeight="1">
      <c r="A58" s="3"/>
      <c r="B58" s="3"/>
      <c r="C58" s="3"/>
      <c r="D58" s="3"/>
      <c r="E58" s="3"/>
      <c r="F58" s="3"/>
      <c r="G58" s="3"/>
      <c r="H58" s="3"/>
      <c r="I58" s="3"/>
      <c r="J58" s="3"/>
      <c r="K58" s="3"/>
      <c r="L58" s="3"/>
      <c r="M58" s="3"/>
      <c r="N58" s="3"/>
      <c r="O58" s="3"/>
      <c r="P58" s="3"/>
      <c r="Q58" s="3"/>
      <c r="R58" s="3"/>
      <c r="S58" s="3"/>
      <c r="T58" s="3"/>
      <c r="U58" s="3"/>
      <c r="V58" s="3"/>
      <c r="W58" s="3"/>
      <c r="X58" s="3"/>
    </row>
    <row r="59" spans="1:24" ht="14.25" customHeight="1">
      <c r="A59" s="3"/>
      <c r="B59" s="3"/>
      <c r="C59" s="3"/>
      <c r="D59" s="3"/>
      <c r="E59" s="3"/>
      <c r="F59" s="3"/>
      <c r="G59" s="3"/>
      <c r="H59" s="3"/>
      <c r="I59" s="3"/>
      <c r="J59" s="3"/>
      <c r="K59" s="3"/>
      <c r="L59" s="3"/>
      <c r="M59" s="3"/>
      <c r="N59" s="3"/>
      <c r="O59" s="3"/>
      <c r="P59" s="3"/>
      <c r="Q59" s="3"/>
      <c r="R59" s="3"/>
      <c r="S59" s="3"/>
      <c r="T59" s="3"/>
      <c r="U59" s="3"/>
      <c r="V59" s="3"/>
      <c r="W59" s="3"/>
      <c r="X59" s="3"/>
    </row>
    <row r="60" spans="1:24" ht="14.25" customHeight="1">
      <c r="A60" s="3"/>
      <c r="B60" s="3"/>
      <c r="C60" s="3"/>
      <c r="D60" s="3"/>
      <c r="E60" s="3"/>
      <c r="F60" s="3"/>
      <c r="G60" s="3"/>
      <c r="H60" s="3"/>
      <c r="I60" s="3"/>
      <c r="J60" s="3"/>
      <c r="K60" s="3"/>
      <c r="L60" s="3"/>
      <c r="M60" s="3"/>
      <c r="N60" s="3"/>
      <c r="O60" s="3"/>
      <c r="P60" s="3"/>
      <c r="Q60" s="3"/>
      <c r="R60" s="3"/>
      <c r="S60" s="3"/>
      <c r="T60" s="3"/>
      <c r="U60" s="3"/>
      <c r="V60" s="3"/>
      <c r="W60" s="3"/>
      <c r="X60" s="3"/>
    </row>
    <row r="61" spans="1:24" ht="14.25" customHeight="1">
      <c r="A61" s="3"/>
      <c r="B61" s="3"/>
      <c r="C61" s="3"/>
      <c r="D61" s="3"/>
      <c r="E61" s="3"/>
      <c r="F61" s="3"/>
      <c r="G61" s="3"/>
      <c r="H61" s="3"/>
      <c r="I61" s="3"/>
      <c r="J61" s="3"/>
      <c r="K61" s="3"/>
      <c r="L61" s="3"/>
      <c r="M61" s="3"/>
      <c r="N61" s="3"/>
      <c r="O61" s="3"/>
      <c r="P61" s="3"/>
      <c r="Q61" s="3"/>
      <c r="R61" s="3"/>
      <c r="S61" s="3"/>
      <c r="T61" s="3"/>
      <c r="U61" s="3"/>
      <c r="V61" s="3"/>
      <c r="W61" s="3"/>
      <c r="X61" s="3"/>
    </row>
    <row r="62" spans="1:24" ht="14.25" customHeight="1">
      <c r="A62" s="3"/>
      <c r="B62" s="3"/>
      <c r="C62" s="3"/>
      <c r="D62" s="3"/>
      <c r="E62" s="3"/>
      <c r="F62" s="3"/>
      <c r="G62" s="3"/>
      <c r="H62" s="3"/>
      <c r="I62" s="3"/>
      <c r="J62" s="3"/>
      <c r="K62" s="3"/>
      <c r="L62" s="3"/>
      <c r="M62" s="3"/>
      <c r="N62" s="3"/>
      <c r="O62" s="3"/>
      <c r="P62" s="3"/>
      <c r="Q62" s="3"/>
      <c r="R62" s="3"/>
      <c r="S62" s="3"/>
      <c r="T62" s="3"/>
      <c r="U62" s="3"/>
      <c r="V62" s="3"/>
      <c r="W62" s="3"/>
      <c r="X62" s="3"/>
    </row>
    <row r="63" spans="1:24" ht="14.25" customHeight="1">
      <c r="A63" s="3"/>
      <c r="B63" s="3"/>
      <c r="C63" s="3"/>
      <c r="D63" s="3"/>
      <c r="E63" s="3"/>
      <c r="F63" s="3"/>
      <c r="G63" s="3"/>
      <c r="H63" s="3"/>
      <c r="I63" s="3"/>
      <c r="J63" s="3"/>
      <c r="K63" s="3"/>
      <c r="L63" s="3"/>
      <c r="M63" s="3"/>
      <c r="N63" s="3"/>
      <c r="O63" s="3"/>
      <c r="P63" s="3"/>
      <c r="Q63" s="3"/>
      <c r="R63" s="3"/>
      <c r="S63" s="3"/>
      <c r="T63" s="3"/>
      <c r="U63" s="3"/>
      <c r="V63" s="3"/>
      <c r="W63" s="3"/>
      <c r="X63" s="3"/>
    </row>
    <row r="64" spans="1:24" ht="14.25" customHeight="1">
      <c r="A64" s="3"/>
      <c r="B64" s="3"/>
      <c r="C64" s="3"/>
      <c r="D64" s="3"/>
      <c r="E64" s="3"/>
      <c r="F64" s="3"/>
      <c r="G64" s="3"/>
      <c r="H64" s="3"/>
      <c r="I64" s="3"/>
      <c r="J64" s="3"/>
      <c r="K64" s="3"/>
      <c r="L64" s="3"/>
      <c r="M64" s="3"/>
      <c r="N64" s="3"/>
      <c r="O64" s="3"/>
      <c r="P64" s="3"/>
      <c r="Q64" s="3"/>
      <c r="R64" s="3"/>
      <c r="S64" s="3"/>
      <c r="T64" s="3"/>
      <c r="U64" s="3"/>
      <c r="V64" s="3"/>
      <c r="W64" s="3"/>
      <c r="X64" s="3"/>
    </row>
    <row r="65" spans="1:24" ht="14.25" customHeight="1">
      <c r="A65" s="3"/>
      <c r="B65" s="3"/>
      <c r="C65" s="3"/>
      <c r="D65" s="3"/>
      <c r="E65" s="3"/>
      <c r="F65" s="3"/>
      <c r="G65" s="3"/>
      <c r="H65" s="3"/>
      <c r="I65" s="3"/>
      <c r="J65" s="3"/>
      <c r="K65" s="3"/>
      <c r="L65" s="3"/>
      <c r="M65" s="3"/>
      <c r="N65" s="3"/>
      <c r="O65" s="3"/>
      <c r="P65" s="3"/>
      <c r="Q65" s="3"/>
      <c r="R65" s="3"/>
      <c r="S65" s="3"/>
      <c r="T65" s="3"/>
      <c r="U65" s="3"/>
      <c r="V65" s="3"/>
      <c r="W65" s="3"/>
      <c r="X65" s="3"/>
    </row>
    <row r="66" spans="1:24" ht="14.25" customHeight="1">
      <c r="A66" s="3"/>
      <c r="B66" s="3"/>
      <c r="C66" s="3"/>
      <c r="D66" s="3"/>
      <c r="E66" s="3"/>
      <c r="F66" s="3"/>
      <c r="G66" s="3"/>
      <c r="H66" s="3"/>
      <c r="I66" s="3"/>
      <c r="J66" s="3"/>
      <c r="K66" s="3"/>
      <c r="L66" s="3"/>
      <c r="M66" s="3"/>
      <c r="N66" s="3"/>
      <c r="O66" s="3"/>
      <c r="P66" s="3"/>
      <c r="Q66" s="3"/>
      <c r="R66" s="3"/>
      <c r="S66" s="3"/>
      <c r="T66" s="3"/>
      <c r="U66" s="3"/>
      <c r="V66" s="3"/>
      <c r="W66" s="3"/>
      <c r="X66" s="3"/>
    </row>
    <row r="67" spans="1:24" ht="14.25" customHeight="1">
      <c r="A67" s="3"/>
      <c r="B67" s="3"/>
      <c r="C67" s="3"/>
      <c r="D67" s="3"/>
      <c r="E67" s="3"/>
      <c r="F67" s="3"/>
      <c r="G67" s="3"/>
      <c r="H67" s="3"/>
      <c r="I67" s="3"/>
      <c r="J67" s="3"/>
      <c r="K67" s="3"/>
      <c r="L67" s="3"/>
      <c r="M67" s="3"/>
      <c r="N67" s="3"/>
      <c r="O67" s="3"/>
      <c r="P67" s="3"/>
      <c r="Q67" s="3"/>
      <c r="R67" s="3"/>
      <c r="S67" s="3"/>
      <c r="T67" s="3"/>
      <c r="U67" s="3"/>
      <c r="V67" s="3"/>
      <c r="W67" s="3"/>
      <c r="X67" s="3"/>
    </row>
    <row r="68" spans="1:24" ht="14.25" customHeight="1">
      <c r="A68" s="3"/>
      <c r="B68" s="3"/>
      <c r="C68" s="3"/>
      <c r="D68" s="3"/>
      <c r="E68" s="3"/>
      <c r="F68" s="3"/>
      <c r="G68" s="3"/>
      <c r="H68" s="3"/>
      <c r="I68" s="3"/>
      <c r="J68" s="3"/>
      <c r="K68" s="3"/>
      <c r="L68" s="3"/>
      <c r="M68" s="3"/>
      <c r="N68" s="3"/>
      <c r="O68" s="3"/>
      <c r="P68" s="3"/>
      <c r="Q68" s="3"/>
      <c r="R68" s="3"/>
      <c r="S68" s="3"/>
      <c r="T68" s="3"/>
      <c r="U68" s="3"/>
      <c r="V68" s="3"/>
      <c r="W68" s="3"/>
      <c r="X68" s="3"/>
    </row>
    <row r="69" spans="1:24" ht="14.25" customHeight="1">
      <c r="A69" s="3"/>
      <c r="B69" s="3"/>
      <c r="C69" s="3"/>
      <c r="D69" s="3"/>
      <c r="E69" s="3"/>
      <c r="F69" s="3"/>
      <c r="G69" s="3"/>
      <c r="H69" s="3"/>
      <c r="I69" s="3"/>
      <c r="J69" s="3"/>
      <c r="K69" s="3"/>
      <c r="L69" s="3"/>
      <c r="M69" s="3"/>
      <c r="N69" s="3"/>
      <c r="O69" s="3"/>
      <c r="P69" s="3"/>
      <c r="Q69" s="3"/>
      <c r="R69" s="3"/>
      <c r="S69" s="3"/>
      <c r="T69" s="3"/>
      <c r="U69" s="3"/>
      <c r="V69" s="3"/>
      <c r="W69" s="3"/>
      <c r="X69" s="3"/>
    </row>
    <row r="70" spans="1:24" ht="14.25" customHeight="1">
      <c r="A70" s="3"/>
      <c r="B70" s="3"/>
      <c r="C70" s="3"/>
      <c r="D70" s="3"/>
      <c r="E70" s="3"/>
      <c r="F70" s="3"/>
      <c r="G70" s="3"/>
      <c r="H70" s="3"/>
      <c r="I70" s="3"/>
      <c r="J70" s="3"/>
      <c r="K70" s="3"/>
      <c r="L70" s="3"/>
      <c r="M70" s="3"/>
      <c r="N70" s="3"/>
      <c r="O70" s="3"/>
      <c r="P70" s="3"/>
      <c r="Q70" s="3"/>
      <c r="R70" s="3"/>
      <c r="S70" s="3"/>
      <c r="T70" s="3"/>
      <c r="U70" s="3"/>
      <c r="V70" s="3"/>
      <c r="W70" s="3"/>
      <c r="X70" s="3"/>
    </row>
    <row r="71" spans="1:24" ht="14.25" customHeight="1">
      <c r="A71" s="3"/>
      <c r="B71" s="3"/>
      <c r="C71" s="3"/>
      <c r="D71" s="3"/>
      <c r="E71" s="3"/>
      <c r="F71" s="3"/>
      <c r="G71" s="3"/>
      <c r="H71" s="3"/>
      <c r="I71" s="3"/>
      <c r="J71" s="3"/>
      <c r="K71" s="3"/>
      <c r="L71" s="3"/>
      <c r="M71" s="3"/>
      <c r="N71" s="3"/>
      <c r="O71" s="3"/>
      <c r="P71" s="3"/>
      <c r="Q71" s="3"/>
      <c r="R71" s="3"/>
      <c r="S71" s="3"/>
      <c r="T71" s="3"/>
      <c r="U71" s="3"/>
      <c r="V71" s="3"/>
      <c r="W71" s="3"/>
      <c r="X71" s="3"/>
    </row>
    <row r="72" spans="1:24" ht="14.25" customHeight="1">
      <c r="A72" s="3"/>
      <c r="B72" s="3"/>
      <c r="C72" s="3"/>
      <c r="D72" s="3"/>
      <c r="E72" s="3"/>
      <c r="F72" s="3"/>
      <c r="G72" s="3"/>
      <c r="H72" s="3"/>
      <c r="I72" s="3"/>
      <c r="J72" s="3"/>
      <c r="K72" s="3"/>
      <c r="L72" s="3"/>
      <c r="M72" s="3"/>
      <c r="N72" s="3"/>
      <c r="O72" s="3"/>
      <c r="P72" s="3"/>
      <c r="Q72" s="3"/>
      <c r="R72" s="3"/>
      <c r="S72" s="3"/>
      <c r="T72" s="3"/>
      <c r="U72" s="3"/>
      <c r="V72" s="3"/>
      <c r="W72" s="3"/>
      <c r="X72" s="3"/>
    </row>
    <row r="73" spans="1:24" ht="14.25" customHeight="1">
      <c r="A73" s="3"/>
      <c r="B73" s="3"/>
      <c r="C73" s="3"/>
      <c r="D73" s="3"/>
      <c r="E73" s="3"/>
      <c r="F73" s="3"/>
      <c r="G73" s="3"/>
      <c r="H73" s="3"/>
      <c r="I73" s="3"/>
      <c r="J73" s="3"/>
      <c r="K73" s="3"/>
      <c r="L73" s="3"/>
      <c r="M73" s="3"/>
      <c r="N73" s="3"/>
      <c r="O73" s="3"/>
      <c r="P73" s="3"/>
      <c r="Q73" s="3"/>
      <c r="R73" s="3"/>
      <c r="S73" s="3"/>
      <c r="T73" s="3"/>
      <c r="U73" s="3"/>
      <c r="V73" s="3"/>
      <c r="W73" s="3"/>
      <c r="X73" s="3"/>
    </row>
    <row r="74" spans="1:24" ht="14.25" customHeight="1">
      <c r="A74" s="3"/>
      <c r="B74" s="3"/>
      <c r="C74" s="3"/>
      <c r="D74" s="3"/>
      <c r="E74" s="3"/>
      <c r="F74" s="3"/>
      <c r="G74" s="3"/>
      <c r="H74" s="3"/>
      <c r="I74" s="3"/>
      <c r="J74" s="3"/>
      <c r="K74" s="3"/>
      <c r="L74" s="3"/>
      <c r="M74" s="3"/>
      <c r="N74" s="3"/>
      <c r="O74" s="3"/>
      <c r="P74" s="3"/>
      <c r="Q74" s="3"/>
      <c r="R74" s="3"/>
      <c r="S74" s="3"/>
      <c r="T74" s="3"/>
      <c r="U74" s="3"/>
      <c r="V74" s="3"/>
      <c r="W74" s="3"/>
      <c r="X74" s="3"/>
    </row>
    <row r="75" spans="1:24" ht="14.25" customHeight="1">
      <c r="A75" s="3"/>
      <c r="B75" s="3"/>
      <c r="C75" s="3"/>
      <c r="D75" s="3"/>
      <c r="E75" s="3"/>
      <c r="F75" s="3"/>
      <c r="G75" s="3"/>
      <c r="H75" s="3"/>
      <c r="I75" s="3"/>
      <c r="J75" s="3"/>
      <c r="K75" s="3"/>
      <c r="L75" s="3"/>
      <c r="M75" s="3"/>
      <c r="N75" s="3"/>
      <c r="O75" s="3"/>
      <c r="P75" s="3"/>
      <c r="Q75" s="3"/>
      <c r="R75" s="3"/>
      <c r="S75" s="3"/>
      <c r="T75" s="3"/>
      <c r="U75" s="3"/>
      <c r="V75" s="3"/>
      <c r="W75" s="3"/>
      <c r="X75" s="3"/>
    </row>
    <row r="76" spans="1:24" ht="14.25" customHeight="1">
      <c r="A76" s="3"/>
      <c r="B76" s="3"/>
      <c r="C76" s="3"/>
      <c r="D76" s="3"/>
      <c r="E76" s="3"/>
      <c r="F76" s="3"/>
      <c r="G76" s="3"/>
      <c r="H76" s="3"/>
      <c r="I76" s="3"/>
      <c r="J76" s="3"/>
      <c r="K76" s="3"/>
      <c r="L76" s="3"/>
      <c r="M76" s="3"/>
      <c r="N76" s="3"/>
      <c r="O76" s="3"/>
      <c r="P76" s="3"/>
      <c r="Q76" s="3"/>
      <c r="R76" s="3"/>
      <c r="S76" s="3"/>
      <c r="T76" s="3"/>
      <c r="U76" s="3"/>
      <c r="V76" s="3"/>
      <c r="W76" s="3"/>
      <c r="X76" s="3"/>
    </row>
    <row r="77" spans="1:24" ht="14.25" customHeight="1">
      <c r="A77" s="3"/>
      <c r="B77" s="3"/>
      <c r="C77" s="3"/>
      <c r="D77" s="3"/>
      <c r="E77" s="3"/>
      <c r="F77" s="3"/>
      <c r="G77" s="3"/>
      <c r="H77" s="3"/>
      <c r="I77" s="3"/>
      <c r="J77" s="3"/>
      <c r="K77" s="3"/>
      <c r="L77" s="3"/>
      <c r="M77" s="3"/>
      <c r="N77" s="3"/>
      <c r="O77" s="3"/>
      <c r="P77" s="3"/>
      <c r="Q77" s="3"/>
      <c r="R77" s="3"/>
      <c r="S77" s="3"/>
      <c r="T77" s="3"/>
      <c r="U77" s="3"/>
      <c r="V77" s="3"/>
      <c r="W77" s="3"/>
      <c r="X77" s="3"/>
    </row>
    <row r="78" spans="1:24" ht="14.25" customHeight="1">
      <c r="A78" s="3"/>
      <c r="B78" s="3"/>
      <c r="C78" s="3"/>
      <c r="D78" s="3"/>
      <c r="E78" s="3"/>
      <c r="F78" s="3"/>
      <c r="G78" s="3"/>
      <c r="H78" s="3"/>
      <c r="I78" s="3"/>
      <c r="J78" s="3"/>
      <c r="K78" s="3"/>
      <c r="L78" s="3"/>
      <c r="M78" s="3"/>
      <c r="N78" s="3"/>
      <c r="O78" s="3"/>
      <c r="P78" s="3"/>
      <c r="Q78" s="3"/>
      <c r="R78" s="3"/>
      <c r="S78" s="3"/>
      <c r="T78" s="3"/>
      <c r="U78" s="3"/>
      <c r="V78" s="3"/>
      <c r="W78" s="3"/>
      <c r="X78" s="3"/>
    </row>
    <row r="79" spans="1:24" ht="14.25" customHeight="1">
      <c r="A79" s="3"/>
      <c r="B79" s="3"/>
      <c r="C79" s="3"/>
      <c r="D79" s="3"/>
      <c r="E79" s="3"/>
      <c r="F79" s="3"/>
      <c r="G79" s="3"/>
      <c r="H79" s="3"/>
      <c r="I79" s="3"/>
      <c r="J79" s="3"/>
      <c r="K79" s="3"/>
      <c r="L79" s="3"/>
      <c r="M79" s="3"/>
      <c r="N79" s="3"/>
      <c r="O79" s="3"/>
      <c r="P79" s="3"/>
      <c r="Q79" s="3"/>
      <c r="R79" s="3"/>
      <c r="S79" s="3"/>
      <c r="T79" s="3"/>
      <c r="U79" s="3"/>
      <c r="V79" s="3"/>
      <c r="W79" s="3"/>
      <c r="X79" s="3"/>
    </row>
    <row r="80" spans="1:24" ht="14.25" customHeight="1">
      <c r="A80" s="3"/>
      <c r="B80" s="3"/>
      <c r="C80" s="3"/>
      <c r="D80" s="3"/>
      <c r="E80" s="3"/>
      <c r="F80" s="3"/>
      <c r="G80" s="3"/>
      <c r="H80" s="3"/>
      <c r="I80" s="3"/>
      <c r="J80" s="3"/>
      <c r="K80" s="3"/>
      <c r="L80" s="3"/>
      <c r="M80" s="3"/>
      <c r="N80" s="3"/>
      <c r="O80" s="3"/>
      <c r="P80" s="3"/>
      <c r="Q80" s="3"/>
      <c r="R80" s="3"/>
      <c r="S80" s="3"/>
      <c r="T80" s="3"/>
      <c r="U80" s="3"/>
      <c r="V80" s="3"/>
      <c r="W80" s="3"/>
      <c r="X80" s="3"/>
    </row>
    <row r="81" spans="1:24" ht="14.25" customHeight="1">
      <c r="A81" s="3"/>
      <c r="B81" s="3"/>
      <c r="C81" s="3"/>
      <c r="D81" s="3"/>
      <c r="E81" s="3"/>
      <c r="F81" s="3"/>
      <c r="G81" s="3"/>
      <c r="H81" s="3"/>
      <c r="I81" s="3"/>
      <c r="J81" s="3"/>
      <c r="K81" s="3"/>
      <c r="L81" s="3"/>
      <c r="M81" s="3"/>
      <c r="N81" s="3"/>
      <c r="O81" s="3"/>
      <c r="P81" s="3"/>
      <c r="Q81" s="3"/>
      <c r="R81" s="3"/>
      <c r="S81" s="3"/>
      <c r="T81" s="3"/>
      <c r="U81" s="3"/>
      <c r="V81" s="3"/>
      <c r="W81" s="3"/>
      <c r="X81" s="3"/>
    </row>
    <row r="82" spans="1:24" ht="14.25" customHeight="1">
      <c r="A82" s="3"/>
      <c r="B82" s="3"/>
      <c r="C82" s="3"/>
      <c r="D82" s="3"/>
      <c r="E82" s="3"/>
      <c r="F82" s="3"/>
      <c r="G82" s="3"/>
      <c r="H82" s="3"/>
      <c r="I82" s="3"/>
      <c r="J82" s="3"/>
      <c r="K82" s="3"/>
      <c r="L82" s="3"/>
      <c r="M82" s="3"/>
      <c r="N82" s="3"/>
      <c r="O82" s="3"/>
      <c r="P82" s="3"/>
      <c r="Q82" s="3"/>
      <c r="R82" s="3"/>
      <c r="S82" s="3"/>
      <c r="T82" s="3"/>
      <c r="U82" s="3"/>
      <c r="V82" s="3"/>
      <c r="W82" s="3"/>
      <c r="X82" s="3"/>
    </row>
    <row r="83" spans="1:24" ht="14.25" customHeight="1">
      <c r="A83" s="3"/>
      <c r="B83" s="3"/>
      <c r="C83" s="3"/>
      <c r="D83" s="3"/>
      <c r="E83" s="3"/>
      <c r="F83" s="3"/>
      <c r="G83" s="3"/>
      <c r="H83" s="3"/>
      <c r="I83" s="3"/>
      <c r="J83" s="3"/>
      <c r="K83" s="3"/>
      <c r="L83" s="3"/>
      <c r="M83" s="3"/>
      <c r="N83" s="3"/>
      <c r="O83" s="3"/>
      <c r="P83" s="3"/>
      <c r="Q83" s="3"/>
      <c r="R83" s="3"/>
      <c r="S83" s="3"/>
      <c r="T83" s="3"/>
      <c r="U83" s="3"/>
      <c r="V83" s="3"/>
      <c r="W83" s="3"/>
      <c r="X83" s="3"/>
    </row>
    <row r="84" spans="1:24" ht="14.25" customHeight="1">
      <c r="A84" s="3"/>
      <c r="B84" s="3"/>
      <c r="C84" s="3"/>
      <c r="D84" s="3"/>
      <c r="E84" s="3"/>
      <c r="F84" s="3"/>
      <c r="G84" s="3"/>
      <c r="H84" s="3"/>
      <c r="I84" s="3"/>
      <c r="J84" s="3"/>
      <c r="K84" s="3"/>
      <c r="L84" s="3"/>
      <c r="M84" s="3"/>
      <c r="N84" s="3"/>
      <c r="O84" s="3"/>
      <c r="P84" s="3"/>
      <c r="Q84" s="3"/>
      <c r="R84" s="3"/>
      <c r="S84" s="3"/>
      <c r="T84" s="3"/>
      <c r="U84" s="3"/>
      <c r="V84" s="3"/>
      <c r="W84" s="3"/>
      <c r="X84" s="3"/>
    </row>
    <row r="85" spans="1:24" ht="14.25" customHeight="1">
      <c r="A85" s="3"/>
      <c r="B85" s="3"/>
      <c r="C85" s="3"/>
      <c r="D85" s="3"/>
      <c r="E85" s="3"/>
      <c r="F85" s="3"/>
      <c r="G85" s="3"/>
      <c r="H85" s="3"/>
      <c r="I85" s="3"/>
      <c r="J85" s="3"/>
      <c r="K85" s="3"/>
      <c r="L85" s="3"/>
      <c r="M85" s="3"/>
      <c r="N85" s="3"/>
      <c r="O85" s="3"/>
      <c r="P85" s="3"/>
      <c r="Q85" s="3"/>
      <c r="R85" s="3"/>
      <c r="S85" s="3"/>
      <c r="T85" s="3"/>
      <c r="U85" s="3"/>
      <c r="V85" s="3"/>
      <c r="W85" s="3"/>
      <c r="X85" s="3"/>
    </row>
    <row r="86" spans="1:24" ht="14.25" customHeight="1">
      <c r="A86" s="3"/>
      <c r="B86" s="3"/>
      <c r="C86" s="3"/>
      <c r="D86" s="3"/>
      <c r="E86" s="3"/>
      <c r="F86" s="3"/>
      <c r="G86" s="3"/>
      <c r="H86" s="3"/>
      <c r="I86" s="3"/>
      <c r="J86" s="3"/>
      <c r="K86" s="3"/>
      <c r="L86" s="3"/>
      <c r="M86" s="3"/>
      <c r="N86" s="3"/>
      <c r="O86" s="3"/>
      <c r="P86" s="3"/>
      <c r="Q86" s="3"/>
      <c r="R86" s="3"/>
      <c r="S86" s="3"/>
      <c r="T86" s="3"/>
      <c r="U86" s="3"/>
      <c r="V86" s="3"/>
      <c r="W86" s="3"/>
      <c r="X86" s="3"/>
    </row>
    <row r="87" spans="1:24" ht="14.25" customHeight="1">
      <c r="A87" s="3"/>
      <c r="B87" s="3"/>
      <c r="C87" s="3"/>
      <c r="D87" s="3"/>
      <c r="E87" s="3"/>
      <c r="F87" s="3"/>
      <c r="G87" s="3"/>
      <c r="H87" s="3"/>
      <c r="I87" s="3"/>
      <c r="J87" s="3"/>
      <c r="K87" s="3"/>
      <c r="L87" s="3"/>
      <c r="M87" s="3"/>
      <c r="N87" s="3"/>
      <c r="O87" s="3"/>
      <c r="P87" s="3"/>
      <c r="Q87" s="3"/>
      <c r="R87" s="3"/>
      <c r="S87" s="3"/>
      <c r="T87" s="3"/>
      <c r="U87" s="3"/>
      <c r="V87" s="3"/>
      <c r="W87" s="3"/>
      <c r="X87" s="3"/>
    </row>
    <row r="88" spans="1:24" ht="14.25" customHeight="1">
      <c r="A88" s="3"/>
      <c r="B88" s="3"/>
      <c r="C88" s="3"/>
      <c r="D88" s="3"/>
      <c r="E88" s="3"/>
      <c r="F88" s="3"/>
      <c r="G88" s="3"/>
      <c r="H88" s="3"/>
      <c r="I88" s="3"/>
      <c r="J88" s="3"/>
      <c r="K88" s="3"/>
      <c r="L88" s="3"/>
      <c r="M88" s="3"/>
      <c r="N88" s="3"/>
      <c r="O88" s="3"/>
      <c r="P88" s="3"/>
      <c r="Q88" s="3"/>
      <c r="R88" s="3"/>
      <c r="S88" s="3"/>
      <c r="T88" s="3"/>
      <c r="U88" s="3"/>
      <c r="V88" s="3"/>
      <c r="W88" s="3"/>
      <c r="X88" s="3"/>
    </row>
    <row r="89" spans="1:24" ht="14.25" customHeight="1">
      <c r="A89" s="3"/>
      <c r="B89" s="3"/>
      <c r="C89" s="3"/>
      <c r="D89" s="3"/>
      <c r="E89" s="3"/>
      <c r="F89" s="3"/>
      <c r="G89" s="3"/>
      <c r="H89" s="3"/>
      <c r="I89" s="3"/>
      <c r="J89" s="3"/>
      <c r="K89" s="3"/>
      <c r="L89" s="3"/>
      <c r="M89" s="3"/>
      <c r="N89" s="3"/>
      <c r="O89" s="3"/>
      <c r="P89" s="3"/>
      <c r="Q89" s="3"/>
      <c r="R89" s="3"/>
      <c r="S89" s="3"/>
      <c r="T89" s="3"/>
      <c r="U89" s="3"/>
      <c r="V89" s="3"/>
      <c r="W89" s="3"/>
      <c r="X89" s="3"/>
    </row>
    <row r="90" spans="1:24" ht="14.25" customHeight="1">
      <c r="A90" s="3"/>
      <c r="B90" s="3"/>
      <c r="C90" s="3"/>
      <c r="D90" s="3"/>
      <c r="E90" s="3"/>
      <c r="F90" s="3"/>
      <c r="G90" s="3"/>
      <c r="H90" s="3"/>
      <c r="I90" s="3"/>
      <c r="J90" s="3"/>
      <c r="K90" s="3"/>
      <c r="L90" s="3"/>
      <c r="M90" s="3"/>
      <c r="N90" s="3"/>
      <c r="O90" s="3"/>
      <c r="P90" s="3"/>
      <c r="Q90" s="3"/>
      <c r="R90" s="3"/>
      <c r="S90" s="3"/>
      <c r="T90" s="3"/>
      <c r="U90" s="3"/>
      <c r="V90" s="3"/>
      <c r="W90" s="3"/>
      <c r="X90" s="3"/>
    </row>
    <row r="91" spans="1:24" ht="14.25" customHeight="1">
      <c r="A91" s="3"/>
      <c r="B91" s="3"/>
      <c r="C91" s="3"/>
      <c r="D91" s="3"/>
      <c r="E91" s="3"/>
      <c r="F91" s="3"/>
      <c r="G91" s="3"/>
      <c r="H91" s="3"/>
      <c r="I91" s="3"/>
      <c r="J91" s="3"/>
      <c r="K91" s="3"/>
      <c r="L91" s="3"/>
      <c r="M91" s="3"/>
      <c r="N91" s="3"/>
      <c r="O91" s="3"/>
      <c r="P91" s="3"/>
      <c r="Q91" s="3"/>
      <c r="R91" s="3"/>
      <c r="S91" s="3"/>
      <c r="T91" s="3"/>
      <c r="U91" s="3"/>
      <c r="V91" s="3"/>
      <c r="W91" s="3"/>
      <c r="X91" s="3"/>
    </row>
    <row r="92" spans="1:24" ht="14.25" customHeight="1">
      <c r="A92" s="3"/>
      <c r="B92" s="3"/>
      <c r="C92" s="3"/>
      <c r="D92" s="3"/>
      <c r="E92" s="3"/>
      <c r="F92" s="3"/>
      <c r="G92" s="3"/>
      <c r="H92" s="3"/>
      <c r="I92" s="3"/>
      <c r="J92" s="3"/>
      <c r="K92" s="3"/>
      <c r="L92" s="3"/>
      <c r="M92" s="3"/>
      <c r="N92" s="3"/>
      <c r="O92" s="3"/>
      <c r="P92" s="3"/>
      <c r="Q92" s="3"/>
      <c r="R92" s="3"/>
      <c r="S92" s="3"/>
      <c r="T92" s="3"/>
      <c r="U92" s="3"/>
      <c r="V92" s="3"/>
      <c r="W92" s="3"/>
      <c r="X92" s="3"/>
    </row>
    <row r="93" spans="1:24" ht="14.25" customHeight="1">
      <c r="A93" s="3"/>
      <c r="B93" s="3"/>
      <c r="C93" s="3"/>
      <c r="D93" s="3"/>
      <c r="E93" s="3"/>
      <c r="F93" s="3"/>
      <c r="G93" s="3"/>
      <c r="H93" s="3"/>
      <c r="I93" s="3"/>
      <c r="J93" s="3"/>
      <c r="K93" s="3"/>
      <c r="L93" s="3"/>
      <c r="M93" s="3"/>
      <c r="N93" s="3"/>
      <c r="O93" s="3"/>
      <c r="P93" s="3"/>
      <c r="Q93" s="3"/>
      <c r="R93" s="3"/>
      <c r="S93" s="3"/>
      <c r="T93" s="3"/>
      <c r="U93" s="3"/>
      <c r="V93" s="3"/>
      <c r="W93" s="3"/>
      <c r="X93" s="3"/>
    </row>
    <row r="94" spans="1:24" ht="14.25" customHeight="1">
      <c r="A94" s="3"/>
      <c r="B94" s="3"/>
      <c r="C94" s="3"/>
      <c r="D94" s="3"/>
      <c r="E94" s="3"/>
      <c r="F94" s="3"/>
      <c r="G94" s="3"/>
      <c r="H94" s="3"/>
      <c r="I94" s="3"/>
      <c r="J94" s="3"/>
      <c r="K94" s="3"/>
      <c r="L94" s="3"/>
      <c r="M94" s="3"/>
      <c r="N94" s="3"/>
      <c r="O94" s="3"/>
      <c r="P94" s="3"/>
      <c r="Q94" s="3"/>
      <c r="R94" s="3"/>
      <c r="S94" s="3"/>
      <c r="T94" s="3"/>
      <c r="U94" s="3"/>
      <c r="V94" s="3"/>
      <c r="W94" s="3"/>
      <c r="X94" s="3"/>
    </row>
    <row r="95" spans="1:24" ht="14.25" customHeight="1">
      <c r="A95" s="3"/>
      <c r="B95" s="3"/>
      <c r="C95" s="3"/>
      <c r="D95" s="3"/>
      <c r="E95" s="3"/>
      <c r="F95" s="3"/>
      <c r="G95" s="3"/>
      <c r="H95" s="3"/>
      <c r="I95" s="3"/>
      <c r="J95" s="3"/>
      <c r="K95" s="3"/>
      <c r="L95" s="3"/>
      <c r="M95" s="3"/>
      <c r="N95" s="3"/>
      <c r="O95" s="3"/>
      <c r="P95" s="3"/>
      <c r="Q95" s="3"/>
      <c r="R95" s="3"/>
      <c r="S95" s="3"/>
      <c r="T95" s="3"/>
      <c r="U95" s="3"/>
      <c r="V95" s="3"/>
      <c r="W95" s="3"/>
      <c r="X95" s="3"/>
    </row>
    <row r="96" spans="1:24" ht="14.25" customHeight="1">
      <c r="A96" s="3"/>
      <c r="B96" s="3"/>
      <c r="C96" s="3"/>
      <c r="D96" s="3"/>
      <c r="E96" s="3"/>
      <c r="F96" s="3"/>
      <c r="G96" s="3"/>
      <c r="H96" s="3"/>
      <c r="I96" s="3"/>
      <c r="J96" s="3"/>
      <c r="K96" s="3"/>
      <c r="L96" s="3"/>
      <c r="M96" s="3"/>
      <c r="N96" s="3"/>
      <c r="O96" s="3"/>
      <c r="P96" s="3"/>
      <c r="Q96" s="3"/>
      <c r="R96" s="3"/>
      <c r="S96" s="3"/>
      <c r="T96" s="3"/>
      <c r="U96" s="3"/>
      <c r="V96" s="3"/>
      <c r="W96" s="3"/>
      <c r="X96" s="3"/>
    </row>
    <row r="97" spans="1:24" ht="14.25" customHeight="1">
      <c r="A97" s="3"/>
      <c r="B97" s="3"/>
      <c r="C97" s="3"/>
      <c r="D97" s="3"/>
      <c r="E97" s="3"/>
      <c r="F97" s="3"/>
      <c r="G97" s="3"/>
      <c r="H97" s="3"/>
      <c r="I97" s="3"/>
      <c r="J97" s="3"/>
      <c r="K97" s="3"/>
      <c r="L97" s="3"/>
      <c r="M97" s="3"/>
      <c r="N97" s="3"/>
      <c r="O97" s="3"/>
      <c r="P97" s="3"/>
      <c r="Q97" s="3"/>
      <c r="R97" s="3"/>
      <c r="S97" s="3"/>
      <c r="T97" s="3"/>
      <c r="U97" s="3"/>
      <c r="V97" s="3"/>
      <c r="W97" s="3"/>
      <c r="X97" s="3"/>
    </row>
    <row r="98" spans="1:24" ht="14.25" customHeight="1">
      <c r="A98" s="3"/>
      <c r="B98" s="3"/>
      <c r="C98" s="3"/>
      <c r="D98" s="3"/>
      <c r="E98" s="3"/>
      <c r="F98" s="3"/>
      <c r="G98" s="3"/>
      <c r="H98" s="3"/>
      <c r="I98" s="3"/>
      <c r="J98" s="3"/>
      <c r="K98" s="3"/>
      <c r="L98" s="3"/>
      <c r="M98" s="3"/>
      <c r="N98" s="3"/>
      <c r="O98" s="3"/>
      <c r="P98" s="3"/>
      <c r="Q98" s="3"/>
      <c r="R98" s="3"/>
      <c r="S98" s="3"/>
      <c r="T98" s="3"/>
      <c r="U98" s="3"/>
      <c r="V98" s="3"/>
      <c r="W98" s="3"/>
      <c r="X98" s="3"/>
    </row>
    <row r="99" spans="1:24" ht="14.25" customHeight="1">
      <c r="A99" s="3"/>
      <c r="B99" s="3"/>
      <c r="C99" s="3"/>
      <c r="D99" s="3"/>
      <c r="E99" s="3"/>
      <c r="F99" s="3"/>
      <c r="G99" s="3"/>
      <c r="H99" s="3"/>
      <c r="I99" s="3"/>
      <c r="J99" s="3"/>
      <c r="K99" s="3"/>
      <c r="L99" s="3"/>
      <c r="M99" s="3"/>
      <c r="N99" s="3"/>
      <c r="O99" s="3"/>
      <c r="P99" s="3"/>
      <c r="Q99" s="3"/>
      <c r="R99" s="3"/>
      <c r="S99" s="3"/>
      <c r="T99" s="3"/>
      <c r="U99" s="3"/>
      <c r="V99" s="3"/>
      <c r="W99" s="3"/>
      <c r="X99" s="3"/>
    </row>
    <row r="100" spans="1:24"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row>
    <row r="101" spans="1:24"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row>
    <row r="102" spans="1:24"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row>
    <row r="103" spans="1:24"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row>
    <row r="104" spans="1:2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row>
    <row r="105" spans="1:24"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row>
    <row r="106" spans="1:24"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row>
    <row r="107" spans="1:24"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row>
    <row r="108" spans="1:24"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row>
    <row r="109" spans="1:24"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row>
    <row r="110" spans="1:24"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row>
    <row r="111" spans="1:24"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row>
    <row r="112" spans="1:24"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row>
    <row r="113" spans="1:24"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row>
    <row r="114" spans="1:2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row>
    <row r="115" spans="1:24"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row>
    <row r="116" spans="1:24"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row>
    <row r="117" spans="1:24"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row>
    <row r="118" spans="1:24"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row>
    <row r="119" spans="1:24"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row>
    <row r="120" spans="1:24"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row>
    <row r="121" spans="1:24"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row>
    <row r="122" spans="1:24"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row>
    <row r="123" spans="1:24"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row>
    <row r="124" spans="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row>
    <row r="125" spans="1:24"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row>
    <row r="126" spans="1:24"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row>
    <row r="127" spans="1:24"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row>
    <row r="128" spans="1:24"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row>
    <row r="129" spans="1:24"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row>
    <row r="130" spans="1:24"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row>
    <row r="131" spans="1:24"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row>
    <row r="132" spans="1:24"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row>
    <row r="133" spans="1:24"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row>
    <row r="134" spans="1:2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row>
    <row r="135" spans="1:24"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row>
    <row r="136" spans="1:24"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row>
    <row r="137" spans="1:24"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row>
    <row r="138" spans="1:24"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row>
    <row r="139" spans="1:24"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row>
    <row r="140" spans="1:24"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row>
    <row r="141" spans="1:24"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row>
    <row r="142" spans="1:24"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row>
    <row r="143" spans="1:24"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row>
    <row r="144" spans="1:2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row>
    <row r="145" spans="1:24"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row>
    <row r="146" spans="1:24"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row>
    <row r="147" spans="1:24"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row>
    <row r="148" spans="1:24"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row>
    <row r="149" spans="1:24"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row>
    <row r="150" spans="1:24"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row>
    <row r="151" spans="1:24"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row>
    <row r="152" spans="1:24"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row>
    <row r="153" spans="1:24"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row>
    <row r="154" spans="1:2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row>
    <row r="155" spans="1:24"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row>
    <row r="156" spans="1:24"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row>
    <row r="157" spans="1:24"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row>
    <row r="158" spans="1:24"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row>
    <row r="159" spans="1:24"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row>
    <row r="160" spans="1:24"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row>
    <row r="161" spans="1:24"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row>
    <row r="162" spans="1:24"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row>
    <row r="163" spans="1:24"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row>
    <row r="164" spans="1:2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row>
    <row r="165" spans="1:24"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row>
    <row r="166" spans="1:24"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row>
    <row r="167" spans="1:24"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row>
    <row r="168" spans="1:24"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row>
    <row r="169" spans="1:24"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row>
    <row r="170" spans="1:24"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row>
    <row r="171" spans="1:24"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row>
    <row r="172" spans="1:24"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row>
    <row r="173" spans="1:24"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row>
    <row r="174" spans="1:2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row>
    <row r="175" spans="1:24"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row>
    <row r="176" spans="1:24"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row>
    <row r="177" spans="1:24"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row>
    <row r="178" spans="1:24"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row>
    <row r="179" spans="1:24"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row>
    <row r="180" spans="1:24"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row>
    <row r="181" spans="1:24"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row>
    <row r="182" spans="1:24"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row>
    <row r="183" spans="1:24"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row>
    <row r="184" spans="1:2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row>
    <row r="185" spans="1:24"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row>
    <row r="186" spans="1:24"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spans="1:24"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row>
    <row r="188" spans="1:24"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row>
    <row r="189" spans="1:24"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row>
    <row r="190" spans="1:24"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row>
    <row r="191" spans="1:24"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row>
    <row r="192" spans="1:24"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row>
    <row r="193" spans="1:24"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row>
    <row r="194" spans="1:2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row>
    <row r="195" spans="1:24"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row>
    <row r="196" spans="1:24"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row>
    <row r="197" spans="1:24"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row>
    <row r="198" spans="1:24"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row>
    <row r="199" spans="1:24"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row>
    <row r="200" spans="1:24"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row>
    <row r="201" spans="1:24"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spans="1:24"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spans="1:24"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spans="1:2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spans="1:24"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spans="1:24"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spans="1:24"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spans="1:24"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spans="1:24"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spans="1:24"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spans="1:24"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spans="1:24"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spans="1:24"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spans="1:2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spans="1:24"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spans="1:24"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spans="1:24"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spans="1:24"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row>
    <row r="219" spans="1:24"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row>
    <row r="220" spans="1:24"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row>
    <row r="221" spans="1:24" ht="15.75" customHeight="1"/>
    <row r="222" spans="1:24" ht="15.75" customHeight="1"/>
    <row r="223" spans="1:24" ht="15.75" customHeight="1"/>
    <row r="224" spans="1: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8740157499999996" bottom="0.78740157499999996" header="0" footer="0"/>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2EFD9"/>
  </sheetPr>
  <dimension ref="A1:Z1102"/>
  <sheetViews>
    <sheetView workbookViewId="0">
      <selection sqref="A1:B1"/>
    </sheetView>
  </sheetViews>
  <sheetFormatPr baseColWidth="10" defaultColWidth="14.33203125" defaultRowHeight="15" customHeight="1"/>
  <cols>
    <col min="1" max="2" width="12.5546875" customWidth="1"/>
    <col min="3" max="3" width="4.6640625" customWidth="1"/>
    <col min="4" max="4" width="8.33203125" customWidth="1"/>
    <col min="5" max="5" width="90.33203125" customWidth="1"/>
    <col min="6" max="6" width="3.5546875" customWidth="1"/>
    <col min="7" max="7" width="8.33203125" customWidth="1"/>
    <col min="8" max="8" width="19.33203125" customWidth="1"/>
    <col min="9" max="9" width="4.6640625" customWidth="1"/>
    <col min="10" max="10" width="11.5546875" customWidth="1"/>
    <col min="11" max="11" width="16.33203125" customWidth="1"/>
    <col min="12" max="12" width="4.6640625" customWidth="1"/>
    <col min="13" max="13" width="8.33203125" customWidth="1"/>
    <col min="14" max="14" width="12" customWidth="1"/>
    <col min="15" max="15" width="4.6640625" customWidth="1"/>
    <col min="16" max="16" width="8.33203125" customWidth="1"/>
    <col min="17" max="17" width="7.6640625" customWidth="1"/>
    <col min="18" max="18" width="4.6640625" customWidth="1"/>
    <col min="19" max="19" width="24.33203125" customWidth="1"/>
    <col min="20" max="20" width="13.5546875" customWidth="1"/>
    <col min="21" max="26" width="11.33203125" customWidth="1"/>
  </cols>
  <sheetData>
    <row r="1" spans="1:26" ht="42" customHeight="1">
      <c r="A1" s="1120" t="s">
        <v>73</v>
      </c>
      <c r="B1" s="1037"/>
      <c r="C1" s="3" t="s">
        <v>57</v>
      </c>
      <c r="D1" s="1121" t="s">
        <v>74</v>
      </c>
      <c r="E1" s="1037"/>
      <c r="F1" s="3" t="s">
        <v>57</v>
      </c>
      <c r="G1" s="1120" t="s">
        <v>75</v>
      </c>
      <c r="H1" s="1037"/>
      <c r="I1" s="3"/>
      <c r="J1" s="1120" t="s">
        <v>70</v>
      </c>
      <c r="K1" s="1037"/>
      <c r="L1" s="3"/>
      <c r="M1" s="1120" t="s">
        <v>76</v>
      </c>
      <c r="N1" s="1037"/>
      <c r="O1" s="3"/>
      <c r="P1" s="1120" t="s">
        <v>77</v>
      </c>
      <c r="Q1" s="1037"/>
      <c r="R1" s="3"/>
      <c r="S1" s="1120" t="s">
        <v>78</v>
      </c>
      <c r="T1" s="1037"/>
      <c r="U1" s="3"/>
      <c r="V1" s="3"/>
      <c r="W1" s="3"/>
      <c r="X1" s="3"/>
      <c r="Y1" s="3"/>
      <c r="Z1" s="3"/>
    </row>
    <row r="2" spans="1:26" ht="14.25" customHeight="1">
      <c r="A2" s="39" t="s">
        <v>79</v>
      </c>
      <c r="B2" s="40" t="s">
        <v>80</v>
      </c>
      <c r="D2" s="39" t="s">
        <v>79</v>
      </c>
      <c r="E2" s="40" t="s">
        <v>80</v>
      </c>
      <c r="F2" t="s">
        <v>57</v>
      </c>
      <c r="G2" s="39" t="s">
        <v>79</v>
      </c>
      <c r="H2" s="40" t="s">
        <v>80</v>
      </c>
      <c r="J2" s="39" t="s">
        <v>79</v>
      </c>
      <c r="K2" s="40" t="s">
        <v>80</v>
      </c>
      <c r="M2" s="39" t="s">
        <v>79</v>
      </c>
      <c r="N2" s="40" t="s">
        <v>80</v>
      </c>
      <c r="P2" s="39" t="s">
        <v>79</v>
      </c>
      <c r="Q2" s="40" t="s">
        <v>80</v>
      </c>
      <c r="S2" s="39" t="s">
        <v>79</v>
      </c>
      <c r="T2" s="40" t="s">
        <v>80</v>
      </c>
    </row>
    <row r="3" spans="1:26" ht="14.25" customHeight="1">
      <c r="A3" s="41" t="s">
        <v>81</v>
      </c>
      <c r="B3" t="s">
        <v>82</v>
      </c>
      <c r="D3" s="42" t="s">
        <v>83</v>
      </c>
      <c r="E3" s="43" t="s">
        <v>84</v>
      </c>
      <c r="F3" t="s">
        <v>57</v>
      </c>
      <c r="G3" s="44" t="s">
        <v>85</v>
      </c>
      <c r="H3" s="43" t="s">
        <v>86</v>
      </c>
      <c r="J3" s="41" t="s">
        <v>87</v>
      </c>
      <c r="K3" s="43" t="s">
        <v>88</v>
      </c>
      <c r="M3" s="41" t="s">
        <v>89</v>
      </c>
      <c r="N3" s="43" t="s">
        <v>90</v>
      </c>
      <c r="P3" s="41" t="s">
        <v>91</v>
      </c>
      <c r="Q3" s="43" t="s">
        <v>91</v>
      </c>
      <c r="S3" s="41" t="s">
        <v>92</v>
      </c>
      <c r="T3" s="43" t="s">
        <v>93</v>
      </c>
    </row>
    <row r="4" spans="1:26" ht="14.25" customHeight="1">
      <c r="A4" s="41" t="s">
        <v>94</v>
      </c>
      <c r="B4" t="s">
        <v>95</v>
      </c>
      <c r="D4" s="42" t="s">
        <v>96</v>
      </c>
      <c r="E4" s="43" t="s">
        <v>97</v>
      </c>
      <c r="F4" t="s">
        <v>57</v>
      </c>
      <c r="G4" s="44" t="s">
        <v>98</v>
      </c>
      <c r="H4" s="43" t="s">
        <v>99</v>
      </c>
      <c r="J4" s="41" t="s">
        <v>100</v>
      </c>
      <c r="K4" s="43" t="s">
        <v>101</v>
      </c>
      <c r="S4" s="41" t="s">
        <v>102</v>
      </c>
      <c r="T4" s="43" t="s">
        <v>103</v>
      </c>
    </row>
    <row r="5" spans="1:26" ht="14.25" customHeight="1">
      <c r="A5" s="45"/>
      <c r="D5" s="42" t="s">
        <v>104</v>
      </c>
      <c r="E5" s="43" t="s">
        <v>105</v>
      </c>
      <c r="F5" t="s">
        <v>57</v>
      </c>
      <c r="G5" s="44" t="s">
        <v>106</v>
      </c>
      <c r="H5" s="43" t="s">
        <v>107</v>
      </c>
      <c r="S5" s="41" t="s">
        <v>108</v>
      </c>
      <c r="T5" s="43" t="s">
        <v>109</v>
      </c>
    </row>
    <row r="6" spans="1:26" ht="14.25" customHeight="1">
      <c r="D6" s="42" t="s">
        <v>110</v>
      </c>
      <c r="E6" s="43" t="s">
        <v>111</v>
      </c>
      <c r="F6" t="s">
        <v>57</v>
      </c>
      <c r="G6" s="44" t="s">
        <v>112</v>
      </c>
      <c r="H6" s="43" t="s">
        <v>113</v>
      </c>
      <c r="S6" s="41" t="s">
        <v>114</v>
      </c>
      <c r="T6" s="43" t="s">
        <v>115</v>
      </c>
    </row>
    <row r="7" spans="1:26" ht="14.25" customHeight="1">
      <c r="D7" s="42" t="s">
        <v>116</v>
      </c>
      <c r="E7" s="43" t="s">
        <v>117</v>
      </c>
      <c r="F7" t="s">
        <v>57</v>
      </c>
      <c r="G7" s="44" t="s">
        <v>118</v>
      </c>
      <c r="H7" s="43" t="s">
        <v>119</v>
      </c>
    </row>
    <row r="8" spans="1:26" ht="14.25" customHeight="1">
      <c r="D8" s="42" t="s">
        <v>120</v>
      </c>
      <c r="E8" s="43" t="s">
        <v>121</v>
      </c>
      <c r="F8" t="s">
        <v>57</v>
      </c>
      <c r="G8" s="44" t="s">
        <v>122</v>
      </c>
      <c r="H8" s="43" t="s">
        <v>123</v>
      </c>
    </row>
    <row r="9" spans="1:26" ht="14.25" customHeight="1">
      <c r="D9" s="42" t="s">
        <v>124</v>
      </c>
      <c r="E9" s="43" t="s">
        <v>125</v>
      </c>
      <c r="F9" t="s">
        <v>57</v>
      </c>
      <c r="G9" s="44" t="s">
        <v>126</v>
      </c>
      <c r="H9" s="43" t="s">
        <v>127</v>
      </c>
    </row>
    <row r="10" spans="1:26" ht="14.25" customHeight="1">
      <c r="D10" s="42" t="s">
        <v>128</v>
      </c>
      <c r="E10" s="43" t="s">
        <v>129</v>
      </c>
      <c r="F10" t="s">
        <v>57</v>
      </c>
      <c r="G10" s="44" t="s">
        <v>130</v>
      </c>
      <c r="H10" s="43" t="s">
        <v>131</v>
      </c>
    </row>
    <row r="11" spans="1:26" ht="14.25" customHeight="1">
      <c r="D11" s="42" t="s">
        <v>132</v>
      </c>
      <c r="E11" s="43" t="s">
        <v>133</v>
      </c>
      <c r="F11" t="s">
        <v>57</v>
      </c>
      <c r="G11" s="44" t="s">
        <v>134</v>
      </c>
      <c r="H11" s="43" t="s">
        <v>135</v>
      </c>
    </row>
    <row r="12" spans="1:26" ht="14.25" customHeight="1">
      <c r="D12" s="42" t="s">
        <v>136</v>
      </c>
      <c r="E12" s="43" t="s">
        <v>137</v>
      </c>
      <c r="F12" t="s">
        <v>57</v>
      </c>
      <c r="G12" s="44" t="s">
        <v>138</v>
      </c>
      <c r="H12" s="43" t="s">
        <v>139</v>
      </c>
    </row>
    <row r="13" spans="1:26" ht="14.25" customHeight="1">
      <c r="D13" s="42" t="s">
        <v>140</v>
      </c>
      <c r="E13" s="43" t="s">
        <v>141</v>
      </c>
      <c r="F13" t="s">
        <v>57</v>
      </c>
      <c r="G13" s="44" t="s">
        <v>142</v>
      </c>
      <c r="H13" s="43" t="s">
        <v>143</v>
      </c>
    </row>
    <row r="14" spans="1:26" ht="14.25" customHeight="1">
      <c r="D14" s="42" t="s">
        <v>144</v>
      </c>
      <c r="E14" s="43" t="s">
        <v>145</v>
      </c>
      <c r="F14" t="s">
        <v>57</v>
      </c>
      <c r="G14" s="44" t="s">
        <v>146</v>
      </c>
      <c r="H14" s="43" t="s">
        <v>147</v>
      </c>
    </row>
    <row r="15" spans="1:26" ht="14.25" customHeight="1">
      <c r="D15" s="42" t="s">
        <v>148</v>
      </c>
      <c r="E15" s="43" t="s">
        <v>149</v>
      </c>
      <c r="F15" t="s">
        <v>57</v>
      </c>
      <c r="G15" s="44" t="s">
        <v>150</v>
      </c>
      <c r="H15" s="43" t="s">
        <v>151</v>
      </c>
    </row>
    <row r="16" spans="1:26" ht="14.25" customHeight="1">
      <c r="B16" s="863"/>
      <c r="D16" s="42" t="s">
        <v>152</v>
      </c>
      <c r="E16" s="43" t="s">
        <v>153</v>
      </c>
      <c r="F16" t="s">
        <v>57</v>
      </c>
      <c r="G16" s="44" t="s">
        <v>154</v>
      </c>
      <c r="H16" s="43" t="s">
        <v>155</v>
      </c>
    </row>
    <row r="17" spans="4:8" ht="14.25" customHeight="1">
      <c r="D17" s="42" t="s">
        <v>156</v>
      </c>
      <c r="E17" s="43" t="s">
        <v>157</v>
      </c>
      <c r="F17" t="s">
        <v>57</v>
      </c>
      <c r="G17" s="44" t="s">
        <v>158</v>
      </c>
      <c r="H17" s="43" t="s">
        <v>159</v>
      </c>
    </row>
    <row r="18" spans="4:8" ht="14.25" customHeight="1">
      <c r="D18" s="42" t="s">
        <v>160</v>
      </c>
      <c r="E18" s="43" t="s">
        <v>161</v>
      </c>
      <c r="F18" t="s">
        <v>57</v>
      </c>
      <c r="G18" s="44" t="s">
        <v>162</v>
      </c>
      <c r="H18" s="43" t="s">
        <v>163</v>
      </c>
    </row>
    <row r="19" spans="4:8" ht="14.25" customHeight="1">
      <c r="D19" s="42" t="s">
        <v>164</v>
      </c>
      <c r="E19" s="43" t="s">
        <v>165</v>
      </c>
      <c r="F19" t="s">
        <v>57</v>
      </c>
      <c r="G19" s="44" t="s">
        <v>166</v>
      </c>
      <c r="H19" s="43" t="s">
        <v>167</v>
      </c>
    </row>
    <row r="20" spans="4:8" ht="14.25" customHeight="1">
      <c r="D20" s="42" t="s">
        <v>168</v>
      </c>
      <c r="E20" s="43" t="s">
        <v>169</v>
      </c>
      <c r="F20" t="s">
        <v>57</v>
      </c>
      <c r="G20" s="44" t="s">
        <v>170</v>
      </c>
      <c r="H20" s="43" t="s">
        <v>171</v>
      </c>
    </row>
    <row r="21" spans="4:8" ht="14.25" customHeight="1">
      <c r="D21" s="42" t="s">
        <v>172</v>
      </c>
      <c r="E21" s="43" t="s">
        <v>173</v>
      </c>
      <c r="F21" t="s">
        <v>57</v>
      </c>
      <c r="G21" s="44" t="s">
        <v>174</v>
      </c>
      <c r="H21" s="43" t="s">
        <v>175</v>
      </c>
    </row>
    <row r="22" spans="4:8" ht="14.25" customHeight="1">
      <c r="D22" s="42" t="s">
        <v>176</v>
      </c>
      <c r="E22" s="43" t="s">
        <v>177</v>
      </c>
      <c r="F22" t="s">
        <v>57</v>
      </c>
      <c r="G22" s="44" t="s">
        <v>178</v>
      </c>
      <c r="H22" s="43" t="s">
        <v>179</v>
      </c>
    </row>
    <row r="23" spans="4:8" ht="14.25" customHeight="1">
      <c r="D23" s="42" t="s">
        <v>180</v>
      </c>
      <c r="E23" s="43" t="s">
        <v>181</v>
      </c>
      <c r="F23" t="s">
        <v>57</v>
      </c>
      <c r="G23" s="44" t="s">
        <v>182</v>
      </c>
      <c r="H23" s="43" t="s">
        <v>183</v>
      </c>
    </row>
    <row r="24" spans="4:8" ht="14.25" customHeight="1">
      <c r="D24" s="42" t="s">
        <v>184</v>
      </c>
      <c r="E24" s="43" t="s">
        <v>185</v>
      </c>
      <c r="F24" t="s">
        <v>57</v>
      </c>
      <c r="G24" s="44" t="s">
        <v>186</v>
      </c>
      <c r="H24" s="43" t="s">
        <v>187</v>
      </c>
    </row>
    <row r="25" spans="4:8" ht="14.25" customHeight="1">
      <c r="D25" s="42" t="s">
        <v>188</v>
      </c>
      <c r="E25" s="43" t="s">
        <v>189</v>
      </c>
      <c r="F25" t="s">
        <v>57</v>
      </c>
      <c r="G25" s="44" t="s">
        <v>190</v>
      </c>
      <c r="H25" s="43" t="s">
        <v>191</v>
      </c>
    </row>
    <row r="26" spans="4:8" ht="14.25" customHeight="1">
      <c r="D26" s="42" t="s">
        <v>192</v>
      </c>
      <c r="E26" s="43" t="s">
        <v>193</v>
      </c>
      <c r="F26" t="s">
        <v>57</v>
      </c>
      <c r="G26" s="44" t="s">
        <v>194</v>
      </c>
      <c r="H26" s="43" t="s">
        <v>195</v>
      </c>
    </row>
    <row r="27" spans="4:8" ht="14.25" customHeight="1">
      <c r="D27" s="42" t="s">
        <v>196</v>
      </c>
      <c r="E27" s="43" t="s">
        <v>197</v>
      </c>
      <c r="F27" t="s">
        <v>57</v>
      </c>
      <c r="G27" s="44" t="s">
        <v>198</v>
      </c>
      <c r="H27" s="43" t="s">
        <v>199</v>
      </c>
    </row>
    <row r="28" spans="4:8" ht="14.25" customHeight="1">
      <c r="D28" s="42" t="s">
        <v>200</v>
      </c>
      <c r="E28" s="43" t="s">
        <v>201</v>
      </c>
      <c r="F28" t="s">
        <v>57</v>
      </c>
      <c r="G28" s="44" t="s">
        <v>202</v>
      </c>
      <c r="H28" s="43" t="s">
        <v>203</v>
      </c>
    </row>
    <row r="29" spans="4:8" ht="14.25" customHeight="1">
      <c r="D29" s="42" t="s">
        <v>204</v>
      </c>
      <c r="E29" s="43" t="s">
        <v>205</v>
      </c>
      <c r="F29" t="s">
        <v>57</v>
      </c>
      <c r="G29" s="44" t="s">
        <v>206</v>
      </c>
      <c r="H29" s="43" t="s">
        <v>207</v>
      </c>
    </row>
    <row r="30" spans="4:8" ht="14.25" customHeight="1">
      <c r="D30" s="42" t="s">
        <v>208</v>
      </c>
      <c r="E30" s="43" t="s">
        <v>209</v>
      </c>
      <c r="F30" t="s">
        <v>57</v>
      </c>
      <c r="G30" s="44" t="s">
        <v>210</v>
      </c>
      <c r="H30" s="43" t="s">
        <v>211</v>
      </c>
    </row>
    <row r="31" spans="4:8" ht="14.25" customHeight="1">
      <c r="D31" s="42" t="s">
        <v>212</v>
      </c>
      <c r="E31" s="43" t="s">
        <v>213</v>
      </c>
      <c r="F31" t="s">
        <v>57</v>
      </c>
      <c r="G31" s="44" t="s">
        <v>214</v>
      </c>
      <c r="H31" s="43" t="s">
        <v>215</v>
      </c>
    </row>
    <row r="32" spans="4:8" ht="14.25" customHeight="1">
      <c r="D32" s="42" t="s">
        <v>216</v>
      </c>
      <c r="E32" s="43" t="s">
        <v>217</v>
      </c>
      <c r="F32" t="s">
        <v>57</v>
      </c>
      <c r="G32" s="44" t="s">
        <v>218</v>
      </c>
      <c r="H32" s="43" t="s">
        <v>219</v>
      </c>
    </row>
    <row r="33" spans="1:8" ht="14.25" customHeight="1">
      <c r="D33" s="42" t="s">
        <v>220</v>
      </c>
      <c r="E33" s="43" t="s">
        <v>221</v>
      </c>
      <c r="F33" t="s">
        <v>57</v>
      </c>
      <c r="G33" s="44" t="s">
        <v>222</v>
      </c>
      <c r="H33" s="43" t="s">
        <v>223</v>
      </c>
    </row>
    <row r="34" spans="1:8" ht="14.25" customHeight="1">
      <c r="D34" s="42" t="s">
        <v>224</v>
      </c>
      <c r="E34" s="43" t="s">
        <v>225</v>
      </c>
      <c r="F34" t="s">
        <v>57</v>
      </c>
      <c r="G34" s="44" t="s">
        <v>226</v>
      </c>
      <c r="H34" s="43" t="s">
        <v>227</v>
      </c>
    </row>
    <row r="35" spans="1:8" ht="14.25" customHeight="1">
      <c r="D35" s="42" t="s">
        <v>228</v>
      </c>
      <c r="E35" s="43" t="s">
        <v>229</v>
      </c>
      <c r="F35" t="s">
        <v>57</v>
      </c>
      <c r="G35" s="44" t="s">
        <v>230</v>
      </c>
      <c r="H35" s="43" t="s">
        <v>231</v>
      </c>
    </row>
    <row r="36" spans="1:8" ht="14.25" customHeight="1">
      <c r="D36" s="42" t="s">
        <v>232</v>
      </c>
      <c r="E36" s="43" t="s">
        <v>233</v>
      </c>
      <c r="F36" t="s">
        <v>57</v>
      </c>
      <c r="G36" s="44" t="s">
        <v>234</v>
      </c>
      <c r="H36" s="43" t="s">
        <v>235</v>
      </c>
    </row>
    <row r="37" spans="1:8" ht="14.25" customHeight="1">
      <c r="D37" s="42" t="s">
        <v>236</v>
      </c>
      <c r="E37" s="43" t="s">
        <v>237</v>
      </c>
      <c r="F37" t="s">
        <v>57</v>
      </c>
      <c r="G37" s="44" t="s">
        <v>238</v>
      </c>
      <c r="H37" s="43" t="s">
        <v>239</v>
      </c>
    </row>
    <row r="38" spans="1:8" ht="14.25" customHeight="1">
      <c r="D38" s="42" t="s">
        <v>240</v>
      </c>
      <c r="E38" s="43" t="s">
        <v>241</v>
      </c>
      <c r="F38" t="s">
        <v>57</v>
      </c>
      <c r="G38" s="44" t="s">
        <v>242</v>
      </c>
      <c r="H38" s="46" t="s">
        <v>243</v>
      </c>
    </row>
    <row r="39" spans="1:8" ht="14.25" customHeight="1">
      <c r="D39" s="42" t="s">
        <v>244</v>
      </c>
      <c r="E39" s="43" t="s">
        <v>245</v>
      </c>
      <c r="F39" t="s">
        <v>57</v>
      </c>
      <c r="G39" s="44" t="s">
        <v>246</v>
      </c>
      <c r="H39" s="46" t="s">
        <v>247</v>
      </c>
    </row>
    <row r="40" spans="1:8" ht="14.25" customHeight="1">
      <c r="A40" s="45"/>
      <c r="D40" s="42" t="s">
        <v>248</v>
      </c>
      <c r="E40" s="43" t="s">
        <v>249</v>
      </c>
      <c r="F40" t="s">
        <v>57</v>
      </c>
      <c r="G40" s="44" t="s">
        <v>250</v>
      </c>
      <c r="H40" s="46" t="s">
        <v>251</v>
      </c>
    </row>
    <row r="41" spans="1:8" ht="14.25" customHeight="1">
      <c r="A41" s="45"/>
      <c r="D41" s="42" t="s">
        <v>252</v>
      </c>
      <c r="E41" s="43" t="s">
        <v>253</v>
      </c>
      <c r="F41" t="s">
        <v>57</v>
      </c>
      <c r="G41" s="44" t="s">
        <v>254</v>
      </c>
      <c r="H41" s="46" t="s">
        <v>255</v>
      </c>
    </row>
    <row r="42" spans="1:8" ht="14.25" customHeight="1">
      <c r="A42" s="45"/>
      <c r="D42" s="42" t="s">
        <v>256</v>
      </c>
      <c r="E42" s="43" t="s">
        <v>257</v>
      </c>
      <c r="F42" t="s">
        <v>57</v>
      </c>
      <c r="G42" s="44" t="s">
        <v>3783</v>
      </c>
      <c r="H42" s="46" t="s">
        <v>3784</v>
      </c>
    </row>
    <row r="43" spans="1:8" ht="14.25" customHeight="1">
      <c r="A43" s="45"/>
      <c r="D43" s="42" t="s">
        <v>258</v>
      </c>
      <c r="E43" s="43" t="s">
        <v>259</v>
      </c>
      <c r="F43" t="s">
        <v>57</v>
      </c>
      <c r="G43" s="44" t="s">
        <v>1394</v>
      </c>
      <c r="H43" s="46" t="s">
        <v>3814</v>
      </c>
    </row>
    <row r="44" spans="1:8" ht="14.25" customHeight="1">
      <c r="A44" s="45"/>
      <c r="D44" s="42" t="s">
        <v>260</v>
      </c>
      <c r="E44" s="43" t="s">
        <v>261</v>
      </c>
      <c r="F44" t="s">
        <v>57</v>
      </c>
    </row>
    <row r="45" spans="1:8" ht="14.25" customHeight="1">
      <c r="A45" s="45"/>
      <c r="D45" s="42" t="s">
        <v>262</v>
      </c>
      <c r="E45" s="43" t="s">
        <v>263</v>
      </c>
      <c r="F45" t="s">
        <v>57</v>
      </c>
    </row>
    <row r="46" spans="1:8" ht="14.25" customHeight="1">
      <c r="A46" s="45"/>
      <c r="D46" s="42" t="s">
        <v>264</v>
      </c>
      <c r="E46" s="43" t="s">
        <v>265</v>
      </c>
      <c r="F46" t="s">
        <v>57</v>
      </c>
    </row>
    <row r="47" spans="1:8" ht="14.25" customHeight="1">
      <c r="A47" s="45"/>
      <c r="D47" s="42" t="s">
        <v>266</v>
      </c>
      <c r="E47" s="43" t="s">
        <v>267</v>
      </c>
      <c r="F47" t="s">
        <v>57</v>
      </c>
    </row>
    <row r="48" spans="1:8" ht="14.25" customHeight="1">
      <c r="D48" s="42" t="s">
        <v>268</v>
      </c>
      <c r="E48" s="43" t="s">
        <v>269</v>
      </c>
      <c r="F48" t="s">
        <v>57</v>
      </c>
    </row>
    <row r="49" spans="1:6" ht="14.25" customHeight="1">
      <c r="D49" s="42" t="s">
        <v>270</v>
      </c>
      <c r="E49" s="43" t="s">
        <v>271</v>
      </c>
      <c r="F49" t="s">
        <v>57</v>
      </c>
    </row>
    <row r="50" spans="1:6" ht="14.25" customHeight="1">
      <c r="D50" s="42" t="s">
        <v>272</v>
      </c>
      <c r="E50" s="43" t="s">
        <v>273</v>
      </c>
      <c r="F50" t="s">
        <v>57</v>
      </c>
    </row>
    <row r="51" spans="1:6" ht="14.25" customHeight="1">
      <c r="D51" s="42" t="s">
        <v>274</v>
      </c>
      <c r="E51" s="43" t="s">
        <v>275</v>
      </c>
      <c r="F51" t="s">
        <v>57</v>
      </c>
    </row>
    <row r="52" spans="1:6" ht="14.25" customHeight="1">
      <c r="A52" s="45"/>
      <c r="D52" s="42" t="s">
        <v>276</v>
      </c>
      <c r="E52" s="43" t="s">
        <v>277</v>
      </c>
      <c r="F52" t="s">
        <v>57</v>
      </c>
    </row>
    <row r="53" spans="1:6" ht="14.25" customHeight="1">
      <c r="A53" s="45"/>
      <c r="D53" s="42" t="s">
        <v>278</v>
      </c>
      <c r="E53" s="43" t="s">
        <v>279</v>
      </c>
      <c r="F53" t="s">
        <v>57</v>
      </c>
    </row>
    <row r="54" spans="1:6" ht="14.25" customHeight="1">
      <c r="A54" s="45"/>
      <c r="D54" s="42" t="s">
        <v>280</v>
      </c>
      <c r="E54" s="43" t="s">
        <v>281</v>
      </c>
      <c r="F54" t="s">
        <v>57</v>
      </c>
    </row>
    <row r="55" spans="1:6" ht="14.25" customHeight="1">
      <c r="A55" s="45"/>
      <c r="D55" s="42" t="s">
        <v>282</v>
      </c>
      <c r="E55" s="43" t="s">
        <v>283</v>
      </c>
      <c r="F55" t="s">
        <v>57</v>
      </c>
    </row>
    <row r="56" spans="1:6" ht="14.25" customHeight="1">
      <c r="A56" s="45"/>
      <c r="D56" s="42" t="s">
        <v>284</v>
      </c>
      <c r="E56" s="43" t="s">
        <v>285</v>
      </c>
      <c r="F56" t="s">
        <v>57</v>
      </c>
    </row>
    <row r="57" spans="1:6" ht="14.25" customHeight="1">
      <c r="A57" s="45"/>
      <c r="D57" s="42" t="s">
        <v>286</v>
      </c>
      <c r="E57" s="43" t="s">
        <v>287</v>
      </c>
      <c r="F57" t="s">
        <v>57</v>
      </c>
    </row>
    <row r="58" spans="1:6" ht="14.25" customHeight="1">
      <c r="A58" s="45"/>
      <c r="D58" s="42" t="s">
        <v>288</v>
      </c>
      <c r="E58" s="43" t="s">
        <v>289</v>
      </c>
      <c r="F58" t="s">
        <v>57</v>
      </c>
    </row>
    <row r="59" spans="1:6" ht="14.25" customHeight="1">
      <c r="A59" s="45"/>
      <c r="D59" s="42" t="s">
        <v>290</v>
      </c>
      <c r="E59" s="43" t="s">
        <v>291</v>
      </c>
      <c r="F59" t="s">
        <v>57</v>
      </c>
    </row>
    <row r="60" spans="1:6" ht="14.25" customHeight="1">
      <c r="A60" s="45"/>
      <c r="D60" s="42" t="s">
        <v>292</v>
      </c>
      <c r="E60" s="43" t="s">
        <v>293</v>
      </c>
      <c r="F60" t="s">
        <v>57</v>
      </c>
    </row>
    <row r="61" spans="1:6" ht="14.25" customHeight="1">
      <c r="A61" s="45"/>
      <c r="D61" s="42" t="s">
        <v>294</v>
      </c>
      <c r="E61" s="43" t="s">
        <v>295</v>
      </c>
      <c r="F61" t="s">
        <v>57</v>
      </c>
    </row>
    <row r="62" spans="1:6" ht="14.25" customHeight="1">
      <c r="A62" s="45"/>
      <c r="D62" s="42" t="s">
        <v>296</v>
      </c>
      <c r="E62" s="43" t="s">
        <v>297</v>
      </c>
      <c r="F62" t="s">
        <v>57</v>
      </c>
    </row>
    <row r="63" spans="1:6" ht="14.25" customHeight="1">
      <c r="A63" s="45"/>
      <c r="D63" s="42" t="s">
        <v>298</v>
      </c>
      <c r="E63" s="43" t="s">
        <v>299</v>
      </c>
      <c r="F63" t="s">
        <v>57</v>
      </c>
    </row>
    <row r="64" spans="1:6" ht="14.25" customHeight="1">
      <c r="A64" s="45"/>
      <c r="D64" s="42" t="s">
        <v>300</v>
      </c>
      <c r="E64" s="43" t="s">
        <v>301</v>
      </c>
      <c r="F64" t="s">
        <v>57</v>
      </c>
    </row>
    <row r="65" spans="1:6" ht="14.25" customHeight="1">
      <c r="A65" s="45"/>
      <c r="D65" s="42" t="s">
        <v>302</v>
      </c>
      <c r="E65" s="43" t="s">
        <v>303</v>
      </c>
      <c r="F65" t="s">
        <v>57</v>
      </c>
    </row>
    <row r="66" spans="1:6" ht="14.25" customHeight="1">
      <c r="A66" s="45"/>
      <c r="D66" s="42" t="s">
        <v>304</v>
      </c>
      <c r="E66" s="43" t="s">
        <v>305</v>
      </c>
      <c r="F66" t="s">
        <v>57</v>
      </c>
    </row>
    <row r="67" spans="1:6" ht="14.25" customHeight="1">
      <c r="A67" s="45"/>
      <c r="D67" s="42" t="s">
        <v>142</v>
      </c>
      <c r="E67" s="43" t="s">
        <v>306</v>
      </c>
      <c r="F67" t="s">
        <v>57</v>
      </c>
    </row>
    <row r="68" spans="1:6" ht="14.25" customHeight="1">
      <c r="A68" s="45"/>
      <c r="D68" s="42" t="s">
        <v>307</v>
      </c>
      <c r="E68" s="43" t="s">
        <v>308</v>
      </c>
      <c r="F68" t="s">
        <v>57</v>
      </c>
    </row>
    <row r="69" spans="1:6" ht="14.25" customHeight="1">
      <c r="A69" s="45"/>
      <c r="D69" s="42" t="s">
        <v>309</v>
      </c>
      <c r="E69" s="43" t="s">
        <v>310</v>
      </c>
      <c r="F69" t="s">
        <v>57</v>
      </c>
    </row>
    <row r="70" spans="1:6" ht="14.25" customHeight="1">
      <c r="A70" s="45"/>
      <c r="D70" s="42" t="s">
        <v>311</v>
      </c>
      <c r="E70" s="43" t="s">
        <v>312</v>
      </c>
      <c r="F70" t="s">
        <v>57</v>
      </c>
    </row>
    <row r="71" spans="1:6" ht="14.25" customHeight="1">
      <c r="A71" s="45"/>
      <c r="D71" s="42" t="s">
        <v>313</v>
      </c>
      <c r="E71" s="43" t="s">
        <v>314</v>
      </c>
      <c r="F71" t="s">
        <v>57</v>
      </c>
    </row>
    <row r="72" spans="1:6" ht="14.25" customHeight="1">
      <c r="A72" s="45"/>
      <c r="D72" s="42" t="s">
        <v>315</v>
      </c>
      <c r="E72" s="43" t="s">
        <v>316</v>
      </c>
      <c r="F72" t="s">
        <v>57</v>
      </c>
    </row>
    <row r="73" spans="1:6" ht="14.25" customHeight="1">
      <c r="A73" s="45"/>
      <c r="D73" s="42" t="s">
        <v>317</v>
      </c>
      <c r="E73" s="43" t="s">
        <v>318</v>
      </c>
      <c r="F73" t="s">
        <v>57</v>
      </c>
    </row>
    <row r="74" spans="1:6" ht="14.25" customHeight="1">
      <c r="A74" s="45"/>
      <c r="D74" s="42" t="s">
        <v>319</v>
      </c>
      <c r="E74" s="43" t="s">
        <v>320</v>
      </c>
      <c r="F74" t="s">
        <v>57</v>
      </c>
    </row>
    <row r="75" spans="1:6" ht="14.25" customHeight="1">
      <c r="A75" s="45"/>
      <c r="D75" s="42" t="s">
        <v>321</v>
      </c>
      <c r="E75" s="43" t="s">
        <v>322</v>
      </c>
      <c r="F75" t="s">
        <v>57</v>
      </c>
    </row>
    <row r="76" spans="1:6" ht="14.25" customHeight="1">
      <c r="A76" s="45"/>
      <c r="D76" s="42" t="s">
        <v>323</v>
      </c>
      <c r="E76" s="43" t="s">
        <v>324</v>
      </c>
      <c r="F76" t="s">
        <v>57</v>
      </c>
    </row>
    <row r="77" spans="1:6" ht="14.25" customHeight="1">
      <c r="A77" s="45"/>
      <c r="D77" s="42" t="s">
        <v>325</v>
      </c>
      <c r="E77" s="43" t="s">
        <v>326</v>
      </c>
      <c r="F77" t="s">
        <v>57</v>
      </c>
    </row>
    <row r="78" spans="1:6" ht="14.25" customHeight="1">
      <c r="A78" s="45"/>
      <c r="D78" s="42" t="s">
        <v>327</v>
      </c>
      <c r="E78" s="43" t="s">
        <v>328</v>
      </c>
      <c r="F78" t="s">
        <v>57</v>
      </c>
    </row>
    <row r="79" spans="1:6" ht="14.25" customHeight="1">
      <c r="A79" s="45"/>
      <c r="D79" s="42" t="s">
        <v>329</v>
      </c>
      <c r="E79" s="43" t="s">
        <v>330</v>
      </c>
      <c r="F79" t="s">
        <v>57</v>
      </c>
    </row>
    <row r="80" spans="1:6" ht="14.25" customHeight="1">
      <c r="A80" s="45"/>
      <c r="D80" s="42" t="s">
        <v>331</v>
      </c>
      <c r="E80" s="43" t="s">
        <v>332</v>
      </c>
      <c r="F80" t="s">
        <v>57</v>
      </c>
    </row>
    <row r="81" spans="1:6" ht="14.25" customHeight="1">
      <c r="A81" s="45"/>
      <c r="D81" s="42" t="s">
        <v>333</v>
      </c>
      <c r="E81" s="43" t="s">
        <v>334</v>
      </c>
      <c r="F81" t="s">
        <v>57</v>
      </c>
    </row>
    <row r="82" spans="1:6" ht="14.25" customHeight="1">
      <c r="A82" s="45"/>
      <c r="D82" s="42" t="s">
        <v>335</v>
      </c>
      <c r="E82" s="43" t="s">
        <v>336</v>
      </c>
      <c r="F82" t="s">
        <v>57</v>
      </c>
    </row>
    <row r="83" spans="1:6" ht="14.25" customHeight="1">
      <c r="A83" s="45"/>
      <c r="D83" s="42" t="s">
        <v>337</v>
      </c>
      <c r="E83" s="43" t="s">
        <v>338</v>
      </c>
      <c r="F83" t="s">
        <v>57</v>
      </c>
    </row>
    <row r="84" spans="1:6" ht="14.25" customHeight="1">
      <c r="A84" s="45"/>
      <c r="D84" s="42" t="s">
        <v>339</v>
      </c>
      <c r="E84" s="43" t="s">
        <v>340</v>
      </c>
      <c r="F84" t="s">
        <v>57</v>
      </c>
    </row>
    <row r="85" spans="1:6" ht="14.25" customHeight="1">
      <c r="A85" s="45"/>
      <c r="D85" s="42" t="s">
        <v>341</v>
      </c>
      <c r="E85" s="43" t="s">
        <v>342</v>
      </c>
      <c r="F85" t="s">
        <v>57</v>
      </c>
    </row>
    <row r="86" spans="1:6" ht="14.25" customHeight="1">
      <c r="A86" s="45"/>
      <c r="D86" s="42" t="s">
        <v>343</v>
      </c>
      <c r="E86" s="43" t="s">
        <v>344</v>
      </c>
      <c r="F86" t="s">
        <v>57</v>
      </c>
    </row>
    <row r="87" spans="1:6" ht="14.25" customHeight="1">
      <c r="A87" s="45"/>
      <c r="D87" s="42" t="s">
        <v>345</v>
      </c>
      <c r="E87" s="43" t="s">
        <v>346</v>
      </c>
      <c r="F87" t="s">
        <v>57</v>
      </c>
    </row>
    <row r="88" spans="1:6" ht="14.25" customHeight="1">
      <c r="A88" s="45"/>
      <c r="D88" s="42" t="s">
        <v>347</v>
      </c>
      <c r="E88" s="43" t="s">
        <v>348</v>
      </c>
      <c r="F88" t="s">
        <v>57</v>
      </c>
    </row>
    <row r="89" spans="1:6" ht="14.25" customHeight="1">
      <c r="A89" s="45"/>
      <c r="D89" s="42" t="s">
        <v>349</v>
      </c>
      <c r="E89" s="43" t="s">
        <v>350</v>
      </c>
      <c r="F89" t="s">
        <v>57</v>
      </c>
    </row>
    <row r="90" spans="1:6" ht="14.25" customHeight="1">
      <c r="A90" s="45"/>
      <c r="D90" s="42" t="s">
        <v>351</v>
      </c>
      <c r="E90" s="43" t="s">
        <v>352</v>
      </c>
      <c r="F90" t="s">
        <v>57</v>
      </c>
    </row>
    <row r="91" spans="1:6" ht="14.25" customHeight="1">
      <c r="A91" s="45"/>
      <c r="D91" s="42" t="s">
        <v>353</v>
      </c>
      <c r="E91" s="43" t="s">
        <v>354</v>
      </c>
      <c r="F91" t="s">
        <v>57</v>
      </c>
    </row>
    <row r="92" spans="1:6" ht="14.25" customHeight="1">
      <c r="A92" s="45"/>
      <c r="D92" s="42" t="s">
        <v>355</v>
      </c>
      <c r="E92" s="43" t="s">
        <v>356</v>
      </c>
      <c r="F92" t="s">
        <v>57</v>
      </c>
    </row>
    <row r="93" spans="1:6" ht="14.25" customHeight="1">
      <c r="A93" s="45"/>
      <c r="D93" s="42" t="s">
        <v>357</v>
      </c>
      <c r="E93" s="43" t="s">
        <v>358</v>
      </c>
      <c r="F93" t="s">
        <v>57</v>
      </c>
    </row>
    <row r="94" spans="1:6" ht="14.25" customHeight="1">
      <c r="A94" s="45"/>
      <c r="D94" s="42" t="s">
        <v>359</v>
      </c>
      <c r="E94" s="43" t="s">
        <v>360</v>
      </c>
      <c r="F94" t="s">
        <v>57</v>
      </c>
    </row>
    <row r="95" spans="1:6" ht="14.25" customHeight="1">
      <c r="A95" s="45"/>
      <c r="D95" s="42" t="s">
        <v>361</v>
      </c>
      <c r="E95" s="43" t="s">
        <v>362</v>
      </c>
      <c r="F95" t="s">
        <v>57</v>
      </c>
    </row>
    <row r="96" spans="1:6" ht="14.25" customHeight="1">
      <c r="A96" s="45"/>
      <c r="D96" s="42" t="s">
        <v>363</v>
      </c>
      <c r="E96" s="43" t="s">
        <v>364</v>
      </c>
      <c r="F96" t="s">
        <v>57</v>
      </c>
    </row>
    <row r="97" spans="1:6" ht="14.25" customHeight="1">
      <c r="A97" s="45"/>
      <c r="D97" s="42" t="s">
        <v>365</v>
      </c>
      <c r="E97" s="43" t="s">
        <v>366</v>
      </c>
      <c r="F97" t="s">
        <v>57</v>
      </c>
    </row>
    <row r="98" spans="1:6" ht="14.25" customHeight="1">
      <c r="A98" s="45"/>
      <c r="D98" s="42" t="s">
        <v>367</v>
      </c>
      <c r="E98" s="43" t="s">
        <v>368</v>
      </c>
      <c r="F98" t="s">
        <v>57</v>
      </c>
    </row>
    <row r="99" spans="1:6" ht="14.25" customHeight="1">
      <c r="A99" s="45"/>
      <c r="D99" s="42" t="s">
        <v>369</v>
      </c>
      <c r="E99" s="43" t="s">
        <v>370</v>
      </c>
      <c r="F99" t="s">
        <v>57</v>
      </c>
    </row>
    <row r="100" spans="1:6" ht="14.25" customHeight="1">
      <c r="A100" s="45"/>
      <c r="D100" s="42" t="s">
        <v>371</v>
      </c>
      <c r="E100" s="43" t="s">
        <v>372</v>
      </c>
      <c r="F100" t="s">
        <v>57</v>
      </c>
    </row>
    <row r="101" spans="1:6" ht="14.25" customHeight="1">
      <c r="A101" s="45"/>
      <c r="D101" s="42" t="s">
        <v>373</v>
      </c>
      <c r="E101" s="43" t="s">
        <v>374</v>
      </c>
      <c r="F101" t="s">
        <v>57</v>
      </c>
    </row>
    <row r="102" spans="1:6" ht="14.25" customHeight="1">
      <c r="A102" s="45"/>
      <c r="D102" s="42" t="s">
        <v>375</v>
      </c>
      <c r="E102" s="43" t="s">
        <v>376</v>
      </c>
      <c r="F102" t="s">
        <v>57</v>
      </c>
    </row>
    <row r="103" spans="1:6" ht="14.25" customHeight="1">
      <c r="A103" s="45"/>
      <c r="D103" s="42" t="s">
        <v>162</v>
      </c>
      <c r="E103" s="43" t="s">
        <v>377</v>
      </c>
      <c r="F103" t="s">
        <v>57</v>
      </c>
    </row>
    <row r="104" spans="1:6" ht="14.25" customHeight="1">
      <c r="A104" s="45"/>
      <c r="D104" s="42" t="s">
        <v>378</v>
      </c>
      <c r="E104" s="43" t="s">
        <v>379</v>
      </c>
      <c r="F104" t="s">
        <v>57</v>
      </c>
    </row>
    <row r="105" spans="1:6" ht="14.25" customHeight="1">
      <c r="A105" s="45"/>
      <c r="D105" s="42" t="s">
        <v>380</v>
      </c>
      <c r="E105" s="43" t="s">
        <v>381</v>
      </c>
      <c r="F105" t="s">
        <v>57</v>
      </c>
    </row>
    <row r="106" spans="1:6" ht="14.25" customHeight="1">
      <c r="A106" s="45"/>
      <c r="D106" s="42" t="s">
        <v>382</v>
      </c>
      <c r="E106" s="43" t="s">
        <v>383</v>
      </c>
      <c r="F106" t="s">
        <v>57</v>
      </c>
    </row>
    <row r="107" spans="1:6" ht="14.25" customHeight="1">
      <c r="A107" s="45"/>
      <c r="D107" s="42" t="s">
        <v>384</v>
      </c>
      <c r="E107" s="43" t="s">
        <v>385</v>
      </c>
      <c r="F107" t="s">
        <v>57</v>
      </c>
    </row>
    <row r="108" spans="1:6" ht="14.25" customHeight="1">
      <c r="A108" s="45"/>
      <c r="D108" s="42" t="s">
        <v>386</v>
      </c>
      <c r="E108" s="43" t="s">
        <v>387</v>
      </c>
      <c r="F108" t="s">
        <v>57</v>
      </c>
    </row>
    <row r="109" spans="1:6" ht="14.25" customHeight="1">
      <c r="A109" s="45"/>
      <c r="D109" s="42" t="s">
        <v>388</v>
      </c>
      <c r="E109" s="43" t="s">
        <v>389</v>
      </c>
      <c r="F109" t="s">
        <v>57</v>
      </c>
    </row>
    <row r="110" spans="1:6" ht="14.25" customHeight="1">
      <c r="A110" s="45"/>
      <c r="D110" s="42" t="s">
        <v>390</v>
      </c>
      <c r="E110" s="43" t="s">
        <v>391</v>
      </c>
      <c r="F110" t="s">
        <v>57</v>
      </c>
    </row>
    <row r="111" spans="1:6" ht="14.25" customHeight="1">
      <c r="A111" s="45"/>
      <c r="D111" s="42" t="s">
        <v>392</v>
      </c>
      <c r="E111" s="43" t="s">
        <v>393</v>
      </c>
      <c r="F111" t="s">
        <v>57</v>
      </c>
    </row>
    <row r="112" spans="1:6" ht="14.25" customHeight="1">
      <c r="A112" s="45"/>
      <c r="D112" s="42" t="s">
        <v>394</v>
      </c>
      <c r="E112" s="43" t="s">
        <v>395</v>
      </c>
      <c r="F112" t="s">
        <v>57</v>
      </c>
    </row>
    <row r="113" spans="1:6" ht="14.25" customHeight="1">
      <c r="A113" s="45"/>
      <c r="D113" s="42" t="s">
        <v>396</v>
      </c>
      <c r="E113" s="43" t="s">
        <v>397</v>
      </c>
      <c r="F113" t="s">
        <v>57</v>
      </c>
    </row>
    <row r="114" spans="1:6" ht="14.25" customHeight="1">
      <c r="A114" s="45"/>
      <c r="D114" s="42" t="s">
        <v>398</v>
      </c>
      <c r="E114" s="43" t="s">
        <v>399</v>
      </c>
      <c r="F114" t="s">
        <v>57</v>
      </c>
    </row>
    <row r="115" spans="1:6" ht="14.25" customHeight="1">
      <c r="A115" s="45"/>
      <c r="D115" s="42" t="s">
        <v>400</v>
      </c>
      <c r="E115" s="43" t="s">
        <v>401</v>
      </c>
      <c r="F115" t="s">
        <v>57</v>
      </c>
    </row>
    <row r="116" spans="1:6" ht="14.25" customHeight="1">
      <c r="A116" s="45"/>
      <c r="D116" s="42" t="s">
        <v>402</v>
      </c>
      <c r="E116" s="43" t="s">
        <v>403</v>
      </c>
      <c r="F116" t="s">
        <v>57</v>
      </c>
    </row>
    <row r="117" spans="1:6" ht="14.25" customHeight="1">
      <c r="A117" s="45"/>
      <c r="D117" s="42" t="s">
        <v>404</v>
      </c>
      <c r="E117" s="43" t="s">
        <v>405</v>
      </c>
      <c r="F117" t="s">
        <v>57</v>
      </c>
    </row>
    <row r="118" spans="1:6" ht="14.25" customHeight="1">
      <c r="A118" s="45"/>
      <c r="D118" s="42" t="s">
        <v>406</v>
      </c>
      <c r="E118" s="43" t="s">
        <v>407</v>
      </c>
      <c r="F118" t="s">
        <v>57</v>
      </c>
    </row>
    <row r="119" spans="1:6" ht="14.25" customHeight="1">
      <c r="A119" s="45"/>
      <c r="D119" s="42" t="s">
        <v>408</v>
      </c>
      <c r="E119" s="43" t="s">
        <v>409</v>
      </c>
      <c r="F119" t="s">
        <v>57</v>
      </c>
    </row>
    <row r="120" spans="1:6" ht="14.25" customHeight="1">
      <c r="A120" s="45"/>
      <c r="D120" s="42" t="s">
        <v>410</v>
      </c>
      <c r="E120" s="43" t="s">
        <v>411</v>
      </c>
      <c r="F120" t="s">
        <v>57</v>
      </c>
    </row>
    <row r="121" spans="1:6" ht="14.25" customHeight="1">
      <c r="A121" s="45"/>
      <c r="D121" s="42" t="s">
        <v>412</v>
      </c>
      <c r="E121" s="43" t="s">
        <v>413</v>
      </c>
      <c r="F121" t="s">
        <v>57</v>
      </c>
    </row>
    <row r="122" spans="1:6" ht="14.25" customHeight="1">
      <c r="A122" s="45"/>
      <c r="D122" s="42" t="s">
        <v>414</v>
      </c>
      <c r="E122" s="43" t="s">
        <v>415</v>
      </c>
      <c r="F122" t="s">
        <v>57</v>
      </c>
    </row>
    <row r="123" spans="1:6" ht="14.25" customHeight="1">
      <c r="A123" s="45"/>
      <c r="D123" s="42" t="s">
        <v>416</v>
      </c>
      <c r="E123" s="43" t="s">
        <v>417</v>
      </c>
      <c r="F123" t="s">
        <v>57</v>
      </c>
    </row>
    <row r="124" spans="1:6" ht="14.25" customHeight="1">
      <c r="A124" s="45"/>
      <c r="D124" s="42" t="s">
        <v>418</v>
      </c>
      <c r="E124" s="43" t="s">
        <v>419</v>
      </c>
      <c r="F124" t="s">
        <v>57</v>
      </c>
    </row>
    <row r="125" spans="1:6" ht="14.25" customHeight="1">
      <c r="A125" s="45"/>
      <c r="D125" s="42" t="s">
        <v>420</v>
      </c>
      <c r="E125" s="43" t="s">
        <v>421</v>
      </c>
      <c r="F125" t="s">
        <v>57</v>
      </c>
    </row>
    <row r="126" spans="1:6" ht="14.25" customHeight="1">
      <c r="A126" s="45"/>
      <c r="D126" s="42" t="s">
        <v>422</v>
      </c>
      <c r="E126" s="43" t="s">
        <v>423</v>
      </c>
      <c r="F126" t="s">
        <v>57</v>
      </c>
    </row>
    <row r="127" spans="1:6" ht="14.25" customHeight="1">
      <c r="A127" s="45"/>
      <c r="D127" s="42" t="s">
        <v>424</v>
      </c>
      <c r="E127" s="43" t="s">
        <v>425</v>
      </c>
      <c r="F127" t="s">
        <v>57</v>
      </c>
    </row>
    <row r="128" spans="1:6" ht="14.25" customHeight="1">
      <c r="A128" s="45"/>
      <c r="D128" s="42" t="s">
        <v>426</v>
      </c>
      <c r="E128" s="43" t="s">
        <v>427</v>
      </c>
      <c r="F128" t="s">
        <v>57</v>
      </c>
    </row>
    <row r="129" spans="1:6" ht="14.25" customHeight="1">
      <c r="A129" s="45"/>
      <c r="D129" s="42" t="s">
        <v>428</v>
      </c>
      <c r="E129" s="43" t="s">
        <v>429</v>
      </c>
      <c r="F129" t="s">
        <v>57</v>
      </c>
    </row>
    <row r="130" spans="1:6" ht="14.25" customHeight="1">
      <c r="A130" s="45"/>
      <c r="D130" s="42" t="s">
        <v>430</v>
      </c>
      <c r="E130" s="43" t="s">
        <v>431</v>
      </c>
      <c r="F130" t="s">
        <v>57</v>
      </c>
    </row>
    <row r="131" spans="1:6" ht="14.25" customHeight="1">
      <c r="A131" s="45"/>
      <c r="D131" s="42" t="s">
        <v>432</v>
      </c>
      <c r="E131" s="43" t="s">
        <v>433</v>
      </c>
      <c r="F131" t="s">
        <v>57</v>
      </c>
    </row>
    <row r="132" spans="1:6" ht="14.25" customHeight="1">
      <c r="A132" s="45"/>
      <c r="D132" s="42" t="s">
        <v>434</v>
      </c>
      <c r="E132" s="43" t="s">
        <v>435</v>
      </c>
      <c r="F132" t="s">
        <v>57</v>
      </c>
    </row>
    <row r="133" spans="1:6" ht="14.25" customHeight="1">
      <c r="A133" s="45"/>
      <c r="D133" s="42" t="s">
        <v>186</v>
      </c>
      <c r="E133" s="43" t="s">
        <v>436</v>
      </c>
      <c r="F133" t="s">
        <v>57</v>
      </c>
    </row>
    <row r="134" spans="1:6" ht="14.25" customHeight="1">
      <c r="A134" s="45"/>
      <c r="D134" s="42" t="s">
        <v>437</v>
      </c>
      <c r="E134" s="43" t="s">
        <v>438</v>
      </c>
      <c r="F134" t="s">
        <v>57</v>
      </c>
    </row>
    <row r="135" spans="1:6" ht="14.25" customHeight="1">
      <c r="A135" s="45"/>
      <c r="D135" s="42" t="s">
        <v>439</v>
      </c>
      <c r="E135" s="43" t="s">
        <v>440</v>
      </c>
      <c r="F135" t="s">
        <v>57</v>
      </c>
    </row>
    <row r="136" spans="1:6" ht="14.25" customHeight="1">
      <c r="A136" s="45"/>
      <c r="D136" s="42" t="s">
        <v>441</v>
      </c>
      <c r="E136" s="43" t="s">
        <v>442</v>
      </c>
      <c r="F136" t="s">
        <v>57</v>
      </c>
    </row>
    <row r="137" spans="1:6" ht="14.25" customHeight="1">
      <c r="A137" s="45"/>
      <c r="D137" s="42" t="s">
        <v>443</v>
      </c>
      <c r="E137" s="43" t="s">
        <v>444</v>
      </c>
      <c r="F137" t="s">
        <v>57</v>
      </c>
    </row>
    <row r="138" spans="1:6" ht="14.25" customHeight="1">
      <c r="A138" s="45"/>
      <c r="D138" s="42" t="s">
        <v>445</v>
      </c>
      <c r="E138" s="43" t="s">
        <v>446</v>
      </c>
      <c r="F138" t="s">
        <v>57</v>
      </c>
    </row>
    <row r="139" spans="1:6" ht="14.25" customHeight="1">
      <c r="A139" s="45"/>
      <c r="D139" s="42" t="s">
        <v>447</v>
      </c>
      <c r="E139" s="43" t="s">
        <v>448</v>
      </c>
      <c r="F139" t="s">
        <v>57</v>
      </c>
    </row>
    <row r="140" spans="1:6" ht="14.25" customHeight="1">
      <c r="A140" s="45"/>
      <c r="D140" s="42" t="s">
        <v>449</v>
      </c>
      <c r="E140" s="43" t="s">
        <v>450</v>
      </c>
      <c r="F140" t="s">
        <v>57</v>
      </c>
    </row>
    <row r="141" spans="1:6" ht="14.25" customHeight="1">
      <c r="A141" s="45"/>
      <c r="D141" s="42" t="s">
        <v>451</v>
      </c>
      <c r="E141" s="43" t="s">
        <v>452</v>
      </c>
      <c r="F141" t="s">
        <v>57</v>
      </c>
    </row>
    <row r="142" spans="1:6" ht="14.25" customHeight="1">
      <c r="A142" s="45"/>
      <c r="D142" s="42" t="s">
        <v>453</v>
      </c>
      <c r="E142" s="43" t="s">
        <v>454</v>
      </c>
      <c r="F142" t="s">
        <v>57</v>
      </c>
    </row>
    <row r="143" spans="1:6" ht="14.25" customHeight="1">
      <c r="A143" s="45"/>
      <c r="D143" s="42" t="s">
        <v>455</v>
      </c>
      <c r="E143" s="43" t="s">
        <v>456</v>
      </c>
      <c r="F143" t="s">
        <v>57</v>
      </c>
    </row>
    <row r="144" spans="1:6" ht="14.25" customHeight="1">
      <c r="A144" s="45"/>
      <c r="D144" s="42" t="s">
        <v>457</v>
      </c>
      <c r="E144" s="43" t="s">
        <v>458</v>
      </c>
      <c r="F144" t="s">
        <v>57</v>
      </c>
    </row>
    <row r="145" spans="1:6" ht="14.25" customHeight="1">
      <c r="A145" s="45"/>
      <c r="D145" s="42" t="s">
        <v>459</v>
      </c>
      <c r="E145" s="43" t="s">
        <v>460</v>
      </c>
      <c r="F145" t="s">
        <v>57</v>
      </c>
    </row>
    <row r="146" spans="1:6" ht="14.25" customHeight="1">
      <c r="A146" s="45"/>
      <c r="D146" s="42" t="s">
        <v>461</v>
      </c>
      <c r="E146" s="43" t="s">
        <v>462</v>
      </c>
      <c r="F146" t="s">
        <v>57</v>
      </c>
    </row>
    <row r="147" spans="1:6" ht="14.25" customHeight="1">
      <c r="A147" s="45"/>
      <c r="D147" s="42" t="s">
        <v>463</v>
      </c>
      <c r="E147" s="43" t="s">
        <v>464</v>
      </c>
      <c r="F147" t="s">
        <v>57</v>
      </c>
    </row>
    <row r="148" spans="1:6" ht="14.25" customHeight="1">
      <c r="A148" s="45"/>
      <c r="D148" s="42" t="s">
        <v>465</v>
      </c>
      <c r="E148" s="43" t="s">
        <v>466</v>
      </c>
      <c r="F148" t="s">
        <v>57</v>
      </c>
    </row>
    <row r="149" spans="1:6" ht="14.25" customHeight="1">
      <c r="A149" s="45"/>
      <c r="D149" s="42" t="s">
        <v>467</v>
      </c>
      <c r="E149" s="43" t="s">
        <v>468</v>
      </c>
      <c r="F149" t="s">
        <v>57</v>
      </c>
    </row>
    <row r="150" spans="1:6" ht="14.25" customHeight="1">
      <c r="A150" s="45"/>
      <c r="D150" s="42" t="s">
        <v>469</v>
      </c>
      <c r="E150" s="43" t="s">
        <v>470</v>
      </c>
      <c r="F150" t="s">
        <v>57</v>
      </c>
    </row>
    <row r="151" spans="1:6" ht="14.25" customHeight="1">
      <c r="A151" s="45"/>
      <c r="D151" s="42" t="s">
        <v>471</v>
      </c>
      <c r="E151" s="43" t="s">
        <v>472</v>
      </c>
      <c r="F151" t="s">
        <v>57</v>
      </c>
    </row>
    <row r="152" spans="1:6" ht="14.25" customHeight="1">
      <c r="A152" s="45"/>
      <c r="D152" s="42" t="s">
        <v>473</v>
      </c>
      <c r="E152" s="43" t="s">
        <v>474</v>
      </c>
      <c r="F152" t="s">
        <v>57</v>
      </c>
    </row>
    <row r="153" spans="1:6" ht="14.25" customHeight="1">
      <c r="A153" s="45"/>
      <c r="D153" s="42" t="s">
        <v>475</v>
      </c>
      <c r="E153" s="43" t="s">
        <v>476</v>
      </c>
      <c r="F153" t="s">
        <v>57</v>
      </c>
    </row>
    <row r="154" spans="1:6" ht="14.25" customHeight="1">
      <c r="A154" s="45"/>
      <c r="D154" s="42" t="s">
        <v>477</v>
      </c>
      <c r="E154" s="43" t="s">
        <v>478</v>
      </c>
      <c r="F154" t="s">
        <v>57</v>
      </c>
    </row>
    <row r="155" spans="1:6" ht="14.25" customHeight="1">
      <c r="A155" s="45"/>
      <c r="D155" s="42" t="s">
        <v>479</v>
      </c>
      <c r="E155" s="43" t="s">
        <v>480</v>
      </c>
      <c r="F155" t="s">
        <v>57</v>
      </c>
    </row>
    <row r="156" spans="1:6" ht="14.25" customHeight="1">
      <c r="A156" s="45"/>
      <c r="D156" s="42" t="s">
        <v>481</v>
      </c>
      <c r="E156" s="43" t="s">
        <v>482</v>
      </c>
      <c r="F156" t="s">
        <v>57</v>
      </c>
    </row>
    <row r="157" spans="1:6" ht="14.25" customHeight="1">
      <c r="A157" s="45"/>
      <c r="D157" s="42" t="s">
        <v>483</v>
      </c>
      <c r="E157" s="43" t="s">
        <v>484</v>
      </c>
      <c r="F157" t="s">
        <v>57</v>
      </c>
    </row>
    <row r="158" spans="1:6" ht="14.25" customHeight="1">
      <c r="A158" s="45"/>
      <c r="D158" s="42" t="s">
        <v>485</v>
      </c>
      <c r="E158" s="43" t="s">
        <v>486</v>
      </c>
      <c r="F158" t="s">
        <v>57</v>
      </c>
    </row>
    <row r="159" spans="1:6" ht="14.25" customHeight="1">
      <c r="A159" s="45"/>
      <c r="D159" s="42" t="s">
        <v>487</v>
      </c>
      <c r="E159" s="43" t="s">
        <v>488</v>
      </c>
      <c r="F159" t="s">
        <v>57</v>
      </c>
    </row>
    <row r="160" spans="1:6" ht="14.25" customHeight="1">
      <c r="A160" s="45"/>
      <c r="D160" s="42" t="s">
        <v>489</v>
      </c>
      <c r="E160" s="43" t="s">
        <v>490</v>
      </c>
      <c r="F160" t="s">
        <v>57</v>
      </c>
    </row>
    <row r="161" spans="1:6" ht="14.25" customHeight="1">
      <c r="A161" s="45"/>
      <c r="D161" s="42" t="s">
        <v>491</v>
      </c>
      <c r="E161" s="43" t="s">
        <v>492</v>
      </c>
      <c r="F161" t="s">
        <v>57</v>
      </c>
    </row>
    <row r="162" spans="1:6" ht="14.25" customHeight="1">
      <c r="A162" s="45"/>
      <c r="D162" s="42" t="s">
        <v>493</v>
      </c>
      <c r="E162" s="43" t="s">
        <v>494</v>
      </c>
      <c r="F162" t="s">
        <v>57</v>
      </c>
    </row>
    <row r="163" spans="1:6" ht="14.25" customHeight="1">
      <c r="A163" s="45"/>
      <c r="D163" s="42" t="s">
        <v>495</v>
      </c>
      <c r="E163" s="43" t="s">
        <v>496</v>
      </c>
      <c r="F163" t="s">
        <v>57</v>
      </c>
    </row>
    <row r="164" spans="1:6" ht="14.25" customHeight="1">
      <c r="A164" s="45"/>
      <c r="D164" s="42" t="s">
        <v>497</v>
      </c>
      <c r="E164" s="43" t="s">
        <v>498</v>
      </c>
      <c r="F164" t="s">
        <v>57</v>
      </c>
    </row>
    <row r="165" spans="1:6" ht="14.25" customHeight="1">
      <c r="A165" s="45"/>
      <c r="D165" s="42" t="s">
        <v>499</v>
      </c>
      <c r="E165" s="43" t="s">
        <v>500</v>
      </c>
      <c r="F165" t="s">
        <v>57</v>
      </c>
    </row>
    <row r="166" spans="1:6" ht="14.25" customHeight="1">
      <c r="A166" s="45"/>
      <c r="D166" s="42" t="s">
        <v>501</v>
      </c>
      <c r="E166" s="43" t="s">
        <v>502</v>
      </c>
      <c r="F166" t="s">
        <v>57</v>
      </c>
    </row>
    <row r="167" spans="1:6" ht="14.25" customHeight="1">
      <c r="A167" s="45"/>
      <c r="D167" s="42" t="s">
        <v>503</v>
      </c>
      <c r="E167" s="43" t="s">
        <v>504</v>
      </c>
      <c r="F167" t="s">
        <v>57</v>
      </c>
    </row>
    <row r="168" spans="1:6" ht="14.25" customHeight="1">
      <c r="A168" s="45"/>
      <c r="D168" s="42" t="s">
        <v>505</v>
      </c>
      <c r="E168" s="43" t="s">
        <v>506</v>
      </c>
      <c r="F168" t="s">
        <v>57</v>
      </c>
    </row>
    <row r="169" spans="1:6" ht="14.25" customHeight="1">
      <c r="A169" s="45"/>
      <c r="D169" s="42" t="s">
        <v>507</v>
      </c>
      <c r="E169" s="43" t="s">
        <v>508</v>
      </c>
      <c r="F169" t="s">
        <v>57</v>
      </c>
    </row>
    <row r="170" spans="1:6" ht="14.25" customHeight="1">
      <c r="A170" s="45"/>
      <c r="D170" s="42" t="s">
        <v>509</v>
      </c>
      <c r="E170" s="43" t="s">
        <v>510</v>
      </c>
      <c r="F170" t="s">
        <v>57</v>
      </c>
    </row>
    <row r="171" spans="1:6" ht="14.25" customHeight="1">
      <c r="A171" s="45"/>
      <c r="D171" s="42" t="s">
        <v>511</v>
      </c>
      <c r="E171" s="43" t="s">
        <v>512</v>
      </c>
      <c r="F171" t="s">
        <v>57</v>
      </c>
    </row>
    <row r="172" spans="1:6" ht="14.25" customHeight="1">
      <c r="A172" s="45"/>
      <c r="D172" s="42" t="s">
        <v>513</v>
      </c>
      <c r="E172" s="43" t="s">
        <v>514</v>
      </c>
      <c r="F172" t="s">
        <v>57</v>
      </c>
    </row>
    <row r="173" spans="1:6" ht="14.25" customHeight="1">
      <c r="A173" s="45"/>
      <c r="D173" s="42" t="s">
        <v>515</v>
      </c>
      <c r="E173" s="43" t="s">
        <v>516</v>
      </c>
      <c r="F173" t="s">
        <v>57</v>
      </c>
    </row>
    <row r="174" spans="1:6" ht="14.25" customHeight="1">
      <c r="A174" s="45"/>
      <c r="D174" s="42" t="s">
        <v>517</v>
      </c>
      <c r="E174" s="43" t="s">
        <v>518</v>
      </c>
      <c r="F174" t="s">
        <v>57</v>
      </c>
    </row>
    <row r="175" spans="1:6" ht="14.25" customHeight="1">
      <c r="A175" s="45"/>
      <c r="D175" s="42" t="s">
        <v>519</v>
      </c>
      <c r="E175" s="43" t="s">
        <v>520</v>
      </c>
      <c r="F175" t="s">
        <v>57</v>
      </c>
    </row>
    <row r="176" spans="1:6" ht="14.25" customHeight="1">
      <c r="A176" s="45"/>
      <c r="D176" s="42" t="s">
        <v>521</v>
      </c>
      <c r="E176" s="43" t="s">
        <v>522</v>
      </c>
      <c r="F176" t="s">
        <v>57</v>
      </c>
    </row>
    <row r="177" spans="1:6" ht="14.25" customHeight="1">
      <c r="A177" s="45"/>
      <c r="D177" s="42" t="s">
        <v>523</v>
      </c>
      <c r="E177" s="43" t="s">
        <v>524</v>
      </c>
      <c r="F177" t="s">
        <v>57</v>
      </c>
    </row>
    <row r="178" spans="1:6" ht="14.25" customHeight="1">
      <c r="A178" s="45"/>
      <c r="D178" s="42" t="s">
        <v>525</v>
      </c>
      <c r="E178" s="43" t="s">
        <v>526</v>
      </c>
      <c r="F178" t="s">
        <v>57</v>
      </c>
    </row>
    <row r="179" spans="1:6" ht="14.25" customHeight="1">
      <c r="A179" s="45"/>
      <c r="D179" s="42" t="s">
        <v>527</v>
      </c>
      <c r="E179" s="43" t="s">
        <v>528</v>
      </c>
      <c r="F179" t="s">
        <v>57</v>
      </c>
    </row>
    <row r="180" spans="1:6" ht="14.25" customHeight="1">
      <c r="A180" s="45"/>
      <c r="D180" s="42" t="s">
        <v>529</v>
      </c>
      <c r="E180" s="43" t="s">
        <v>530</v>
      </c>
      <c r="F180" t="s">
        <v>57</v>
      </c>
    </row>
    <row r="181" spans="1:6" ht="14.25" customHeight="1">
      <c r="A181" s="45"/>
      <c r="D181" s="42" t="s">
        <v>531</v>
      </c>
      <c r="E181" s="43" t="s">
        <v>532</v>
      </c>
      <c r="F181" t="s">
        <v>57</v>
      </c>
    </row>
    <row r="182" spans="1:6" ht="14.25" customHeight="1">
      <c r="A182" s="45"/>
      <c r="D182" s="42" t="s">
        <v>533</v>
      </c>
      <c r="E182" s="43" t="s">
        <v>534</v>
      </c>
      <c r="F182" t="s">
        <v>57</v>
      </c>
    </row>
    <row r="183" spans="1:6" ht="14.25" customHeight="1">
      <c r="A183" s="45"/>
      <c r="D183" s="42" t="s">
        <v>535</v>
      </c>
      <c r="E183" s="43" t="s">
        <v>536</v>
      </c>
      <c r="F183" t="s">
        <v>57</v>
      </c>
    </row>
    <row r="184" spans="1:6" ht="14.25" customHeight="1">
      <c r="A184" s="45"/>
      <c r="D184" s="42" t="s">
        <v>537</v>
      </c>
      <c r="E184" s="43" t="s">
        <v>538</v>
      </c>
      <c r="F184" t="s">
        <v>57</v>
      </c>
    </row>
    <row r="185" spans="1:6" ht="14.25" customHeight="1">
      <c r="A185" s="45"/>
      <c r="D185" s="42" t="s">
        <v>539</v>
      </c>
      <c r="E185" s="43" t="s">
        <v>540</v>
      </c>
      <c r="F185" t="s">
        <v>57</v>
      </c>
    </row>
    <row r="186" spans="1:6" ht="14.25" customHeight="1">
      <c r="A186" s="45"/>
      <c r="D186" s="42" t="s">
        <v>541</v>
      </c>
      <c r="E186" s="43" t="s">
        <v>542</v>
      </c>
      <c r="F186" t="s">
        <v>57</v>
      </c>
    </row>
    <row r="187" spans="1:6" ht="14.25" customHeight="1">
      <c r="A187" s="45"/>
      <c r="D187" s="42" t="s">
        <v>543</v>
      </c>
      <c r="E187" s="43" t="s">
        <v>544</v>
      </c>
      <c r="F187" t="s">
        <v>57</v>
      </c>
    </row>
    <row r="188" spans="1:6" ht="14.25" customHeight="1">
      <c r="A188" s="45"/>
      <c r="D188" s="42" t="s">
        <v>545</v>
      </c>
      <c r="E188" s="43" t="s">
        <v>546</v>
      </c>
      <c r="F188" t="s">
        <v>57</v>
      </c>
    </row>
    <row r="189" spans="1:6" ht="14.25" customHeight="1">
      <c r="A189" s="45"/>
      <c r="D189" s="42" t="s">
        <v>547</v>
      </c>
      <c r="E189" s="43" t="s">
        <v>548</v>
      </c>
      <c r="F189" t="s">
        <v>57</v>
      </c>
    </row>
    <row r="190" spans="1:6" ht="14.25" customHeight="1">
      <c r="A190" s="45"/>
      <c r="D190" s="42" t="s">
        <v>549</v>
      </c>
      <c r="E190" s="43" t="s">
        <v>550</v>
      </c>
      <c r="F190" t="s">
        <v>57</v>
      </c>
    </row>
    <row r="191" spans="1:6" ht="14.25" customHeight="1">
      <c r="A191" s="45"/>
      <c r="D191" s="42" t="s">
        <v>551</v>
      </c>
      <c r="E191" s="43" t="s">
        <v>552</v>
      </c>
      <c r="F191" t="s">
        <v>57</v>
      </c>
    </row>
    <row r="192" spans="1:6" ht="14.25" customHeight="1">
      <c r="A192" s="45"/>
      <c r="D192" s="42" t="s">
        <v>553</v>
      </c>
      <c r="E192" s="43" t="s">
        <v>554</v>
      </c>
      <c r="F192" t="s">
        <v>57</v>
      </c>
    </row>
    <row r="193" spans="1:6" ht="14.25" customHeight="1">
      <c r="A193" s="45"/>
      <c r="D193" s="42" t="s">
        <v>555</v>
      </c>
      <c r="E193" s="43" t="s">
        <v>556</v>
      </c>
      <c r="F193" t="s">
        <v>57</v>
      </c>
    </row>
    <row r="194" spans="1:6" ht="14.25" customHeight="1">
      <c r="A194" s="45"/>
      <c r="D194" s="42" t="s">
        <v>557</v>
      </c>
      <c r="E194" s="43" t="s">
        <v>558</v>
      </c>
      <c r="F194" t="s">
        <v>57</v>
      </c>
    </row>
    <row r="195" spans="1:6" ht="14.25" customHeight="1">
      <c r="A195" s="45"/>
      <c r="D195" s="42" t="s">
        <v>559</v>
      </c>
      <c r="E195" s="43" t="s">
        <v>560</v>
      </c>
      <c r="F195" t="s">
        <v>57</v>
      </c>
    </row>
    <row r="196" spans="1:6" ht="14.25" customHeight="1">
      <c r="A196" s="45"/>
      <c r="D196" s="42" t="s">
        <v>561</v>
      </c>
      <c r="E196" s="43" t="s">
        <v>562</v>
      </c>
      <c r="F196" t="s">
        <v>57</v>
      </c>
    </row>
    <row r="197" spans="1:6" ht="14.25" customHeight="1">
      <c r="A197" s="45"/>
      <c r="D197" s="42" t="s">
        <v>563</v>
      </c>
      <c r="E197" s="43" t="s">
        <v>564</v>
      </c>
      <c r="F197" t="s">
        <v>57</v>
      </c>
    </row>
    <row r="198" spans="1:6" ht="14.25" customHeight="1">
      <c r="A198" s="45"/>
      <c r="D198" s="42" t="s">
        <v>565</v>
      </c>
      <c r="E198" s="43" t="s">
        <v>566</v>
      </c>
      <c r="F198" t="s">
        <v>57</v>
      </c>
    </row>
    <row r="199" spans="1:6" ht="14.25" customHeight="1">
      <c r="A199" s="45"/>
      <c r="D199" s="42" t="s">
        <v>567</v>
      </c>
      <c r="E199" s="43" t="s">
        <v>568</v>
      </c>
      <c r="F199" t="s">
        <v>57</v>
      </c>
    </row>
    <row r="200" spans="1:6" ht="14.25" customHeight="1">
      <c r="A200" s="45"/>
      <c r="D200" s="42" t="s">
        <v>569</v>
      </c>
      <c r="E200" s="43" t="s">
        <v>570</v>
      </c>
      <c r="F200" t="s">
        <v>57</v>
      </c>
    </row>
    <row r="201" spans="1:6" ht="14.25" customHeight="1">
      <c r="A201" s="45"/>
      <c r="D201" s="42" t="s">
        <v>571</v>
      </c>
      <c r="E201" s="43" t="s">
        <v>572</v>
      </c>
      <c r="F201" t="s">
        <v>57</v>
      </c>
    </row>
    <row r="202" spans="1:6" ht="14.25" customHeight="1">
      <c r="A202" s="45"/>
      <c r="D202" s="42" t="s">
        <v>573</v>
      </c>
      <c r="E202" s="43" t="s">
        <v>574</v>
      </c>
      <c r="F202" t="s">
        <v>57</v>
      </c>
    </row>
    <row r="203" spans="1:6" ht="14.25" customHeight="1">
      <c r="A203" s="45"/>
      <c r="D203" s="42" t="s">
        <v>575</v>
      </c>
      <c r="E203" s="43" t="s">
        <v>576</v>
      </c>
      <c r="F203" t="s">
        <v>57</v>
      </c>
    </row>
    <row r="204" spans="1:6" ht="14.25" customHeight="1">
      <c r="A204" s="45"/>
      <c r="D204" s="42" t="s">
        <v>577</v>
      </c>
      <c r="E204" s="43" t="s">
        <v>578</v>
      </c>
      <c r="F204" t="s">
        <v>57</v>
      </c>
    </row>
    <row r="205" spans="1:6" ht="14.25" customHeight="1">
      <c r="A205" s="45"/>
      <c r="D205" s="42" t="s">
        <v>579</v>
      </c>
      <c r="E205" s="43" t="s">
        <v>580</v>
      </c>
      <c r="F205" t="s">
        <v>57</v>
      </c>
    </row>
    <row r="206" spans="1:6" ht="14.25" customHeight="1">
      <c r="A206" s="45"/>
      <c r="D206" s="42" t="s">
        <v>581</v>
      </c>
      <c r="E206" s="43" t="s">
        <v>582</v>
      </c>
      <c r="F206" t="s">
        <v>57</v>
      </c>
    </row>
    <row r="207" spans="1:6" ht="14.25" customHeight="1">
      <c r="A207" s="45"/>
      <c r="D207" s="42" t="s">
        <v>583</v>
      </c>
      <c r="E207" s="43" t="s">
        <v>584</v>
      </c>
      <c r="F207" t="s">
        <v>57</v>
      </c>
    </row>
    <row r="208" spans="1:6" ht="14.25" customHeight="1">
      <c r="A208" s="45"/>
      <c r="D208" s="42" t="s">
        <v>585</v>
      </c>
      <c r="E208" s="43" t="s">
        <v>586</v>
      </c>
      <c r="F208" t="s">
        <v>57</v>
      </c>
    </row>
    <row r="209" spans="1:6" ht="14.25" customHeight="1">
      <c r="A209" s="45"/>
      <c r="D209" s="42" t="s">
        <v>587</v>
      </c>
      <c r="E209" s="43" t="s">
        <v>588</v>
      </c>
      <c r="F209" t="s">
        <v>57</v>
      </c>
    </row>
    <row r="210" spans="1:6" ht="14.25" customHeight="1">
      <c r="A210" s="45"/>
      <c r="D210" s="42" t="s">
        <v>589</v>
      </c>
      <c r="E210" s="43" t="s">
        <v>590</v>
      </c>
      <c r="F210" t="s">
        <v>57</v>
      </c>
    </row>
    <row r="211" spans="1:6" ht="14.25" customHeight="1">
      <c r="A211" s="45"/>
      <c r="D211" s="42" t="s">
        <v>591</v>
      </c>
      <c r="E211" s="43" t="s">
        <v>592</v>
      </c>
      <c r="F211" t="s">
        <v>57</v>
      </c>
    </row>
    <row r="212" spans="1:6" ht="14.25" customHeight="1">
      <c r="A212" s="45"/>
      <c r="D212" s="42" t="s">
        <v>593</v>
      </c>
      <c r="E212" s="43" t="s">
        <v>594</v>
      </c>
      <c r="F212" t="s">
        <v>57</v>
      </c>
    </row>
    <row r="213" spans="1:6" ht="14.25" customHeight="1">
      <c r="A213" s="45"/>
      <c r="D213" s="42" t="s">
        <v>595</v>
      </c>
      <c r="E213" s="43" t="s">
        <v>596</v>
      </c>
      <c r="F213" t="s">
        <v>57</v>
      </c>
    </row>
    <row r="214" spans="1:6" ht="14.25" customHeight="1">
      <c r="A214" s="45"/>
      <c r="D214" s="42" t="s">
        <v>597</v>
      </c>
      <c r="E214" s="43" t="s">
        <v>598</v>
      </c>
      <c r="F214" t="s">
        <v>57</v>
      </c>
    </row>
    <row r="215" spans="1:6" ht="14.25" customHeight="1">
      <c r="A215" s="45"/>
      <c r="D215" s="42" t="s">
        <v>599</v>
      </c>
      <c r="E215" s="43" t="s">
        <v>600</v>
      </c>
      <c r="F215" t="s">
        <v>57</v>
      </c>
    </row>
    <row r="216" spans="1:6" ht="14.25" customHeight="1">
      <c r="A216" s="45"/>
      <c r="D216" s="42" t="s">
        <v>601</v>
      </c>
      <c r="E216" s="43" t="s">
        <v>602</v>
      </c>
      <c r="F216" t="s">
        <v>57</v>
      </c>
    </row>
    <row r="217" spans="1:6" ht="14.25" customHeight="1">
      <c r="A217" s="45"/>
      <c r="D217" s="42" t="s">
        <v>603</v>
      </c>
      <c r="E217" s="43" t="s">
        <v>604</v>
      </c>
      <c r="F217" t="s">
        <v>57</v>
      </c>
    </row>
    <row r="218" spans="1:6" ht="14.25" customHeight="1">
      <c r="A218" s="45"/>
      <c r="D218" s="42" t="s">
        <v>605</v>
      </c>
      <c r="E218" s="43" t="s">
        <v>606</v>
      </c>
      <c r="F218" t="s">
        <v>57</v>
      </c>
    </row>
    <row r="219" spans="1:6" ht="14.25" customHeight="1">
      <c r="A219" s="45"/>
      <c r="D219" s="42" t="s">
        <v>607</v>
      </c>
      <c r="E219" s="43" t="s">
        <v>608</v>
      </c>
      <c r="F219" t="s">
        <v>57</v>
      </c>
    </row>
    <row r="220" spans="1:6" ht="14.25" customHeight="1">
      <c r="A220" s="45"/>
      <c r="D220" s="42" t="s">
        <v>609</v>
      </c>
      <c r="E220" s="43" t="s">
        <v>610</v>
      </c>
      <c r="F220" t="s">
        <v>57</v>
      </c>
    </row>
    <row r="221" spans="1:6" ht="14.25" customHeight="1">
      <c r="A221" s="45"/>
      <c r="D221" s="42" t="s">
        <v>611</v>
      </c>
      <c r="E221" s="43" t="s">
        <v>612</v>
      </c>
      <c r="F221" t="s">
        <v>57</v>
      </c>
    </row>
    <row r="222" spans="1:6" ht="14.25" customHeight="1">
      <c r="A222" s="45"/>
      <c r="D222" s="42" t="s">
        <v>613</v>
      </c>
      <c r="E222" s="43" t="s">
        <v>614</v>
      </c>
      <c r="F222" t="s">
        <v>57</v>
      </c>
    </row>
    <row r="223" spans="1:6" ht="14.25" customHeight="1">
      <c r="A223" s="45"/>
      <c r="D223" s="42" t="s">
        <v>615</v>
      </c>
      <c r="E223" s="43" t="s">
        <v>616</v>
      </c>
      <c r="F223" t="s">
        <v>57</v>
      </c>
    </row>
    <row r="224" spans="1:6" ht="14.25" customHeight="1">
      <c r="A224" s="45"/>
      <c r="D224" s="42" t="s">
        <v>617</v>
      </c>
      <c r="E224" s="43" t="s">
        <v>618</v>
      </c>
      <c r="F224" t="s">
        <v>57</v>
      </c>
    </row>
    <row r="225" spans="1:6" ht="14.25" customHeight="1">
      <c r="A225" s="45"/>
      <c r="D225" s="42" t="s">
        <v>619</v>
      </c>
      <c r="E225" s="43" t="s">
        <v>620</v>
      </c>
      <c r="F225" t="s">
        <v>57</v>
      </c>
    </row>
    <row r="226" spans="1:6" ht="14.25" customHeight="1">
      <c r="A226" s="45"/>
      <c r="D226" s="42" t="s">
        <v>621</v>
      </c>
      <c r="E226" s="43" t="s">
        <v>622</v>
      </c>
      <c r="F226" t="s">
        <v>57</v>
      </c>
    </row>
    <row r="227" spans="1:6" ht="14.25" customHeight="1">
      <c r="A227" s="45"/>
      <c r="D227" s="42" t="s">
        <v>623</v>
      </c>
      <c r="E227" s="43" t="s">
        <v>624</v>
      </c>
      <c r="F227" t="s">
        <v>57</v>
      </c>
    </row>
    <row r="228" spans="1:6" ht="14.25" customHeight="1">
      <c r="A228" s="45"/>
      <c r="D228" s="42" t="s">
        <v>625</v>
      </c>
      <c r="E228" s="43" t="s">
        <v>626</v>
      </c>
      <c r="F228" t="s">
        <v>57</v>
      </c>
    </row>
    <row r="229" spans="1:6" ht="14.25" customHeight="1">
      <c r="A229" s="45"/>
      <c r="D229" s="42" t="s">
        <v>627</v>
      </c>
      <c r="E229" s="43" t="s">
        <v>628</v>
      </c>
      <c r="F229" t="s">
        <v>57</v>
      </c>
    </row>
    <row r="230" spans="1:6" ht="14.25" customHeight="1">
      <c r="A230" s="45"/>
      <c r="D230" s="42" t="s">
        <v>629</v>
      </c>
      <c r="E230" s="43" t="s">
        <v>630</v>
      </c>
      <c r="F230" t="s">
        <v>57</v>
      </c>
    </row>
    <row r="231" spans="1:6" ht="14.25" customHeight="1">
      <c r="A231" s="45"/>
      <c r="D231" s="42" t="s">
        <v>631</v>
      </c>
      <c r="E231" s="43" t="s">
        <v>632</v>
      </c>
      <c r="F231" t="s">
        <v>57</v>
      </c>
    </row>
    <row r="232" spans="1:6" ht="14.25" customHeight="1">
      <c r="A232" s="45"/>
      <c r="D232" s="42" t="s">
        <v>633</v>
      </c>
      <c r="E232" s="43" t="s">
        <v>634</v>
      </c>
      <c r="F232" t="s">
        <v>57</v>
      </c>
    </row>
    <row r="233" spans="1:6" ht="14.25" customHeight="1">
      <c r="A233" s="45"/>
      <c r="D233" s="42" t="s">
        <v>635</v>
      </c>
      <c r="E233" s="43" t="s">
        <v>636</v>
      </c>
      <c r="F233" t="s">
        <v>57</v>
      </c>
    </row>
    <row r="234" spans="1:6" ht="14.25" customHeight="1">
      <c r="A234" s="45"/>
      <c r="D234" s="42" t="s">
        <v>637</v>
      </c>
      <c r="E234" s="43" t="s">
        <v>638</v>
      </c>
      <c r="F234" t="s">
        <v>57</v>
      </c>
    </row>
    <row r="235" spans="1:6" ht="14.25" customHeight="1">
      <c r="A235" s="45"/>
      <c r="D235" s="42" t="s">
        <v>639</v>
      </c>
      <c r="E235" s="43" t="s">
        <v>640</v>
      </c>
      <c r="F235" t="s">
        <v>57</v>
      </c>
    </row>
    <row r="236" spans="1:6" ht="14.25" customHeight="1">
      <c r="A236" s="45"/>
      <c r="D236" s="42" t="s">
        <v>641</v>
      </c>
      <c r="E236" s="43" t="s">
        <v>642</v>
      </c>
      <c r="F236" t="s">
        <v>57</v>
      </c>
    </row>
    <row r="237" spans="1:6" ht="14.25" customHeight="1">
      <c r="A237" s="45"/>
      <c r="D237" s="42" t="s">
        <v>643</v>
      </c>
      <c r="E237" s="43" t="s">
        <v>644</v>
      </c>
      <c r="F237" t="s">
        <v>57</v>
      </c>
    </row>
    <row r="238" spans="1:6" ht="14.25" customHeight="1">
      <c r="A238" s="45"/>
      <c r="D238" s="42" t="s">
        <v>645</v>
      </c>
      <c r="E238" s="43" t="s">
        <v>646</v>
      </c>
      <c r="F238" t="s">
        <v>57</v>
      </c>
    </row>
    <row r="239" spans="1:6" ht="14.25" customHeight="1">
      <c r="A239" s="45"/>
      <c r="D239" s="42" t="s">
        <v>647</v>
      </c>
      <c r="E239" s="43" t="s">
        <v>648</v>
      </c>
      <c r="F239" t="s">
        <v>57</v>
      </c>
    </row>
    <row r="240" spans="1:6" ht="14.25" customHeight="1">
      <c r="A240" s="45"/>
      <c r="D240" s="42" t="s">
        <v>649</v>
      </c>
      <c r="E240" s="43" t="s">
        <v>650</v>
      </c>
      <c r="F240" t="s">
        <v>57</v>
      </c>
    </row>
    <row r="241" spans="1:6" ht="14.25" customHeight="1">
      <c r="A241" s="45"/>
      <c r="D241" s="42" t="s">
        <v>651</v>
      </c>
      <c r="E241" s="43" t="s">
        <v>652</v>
      </c>
      <c r="F241" t="s">
        <v>57</v>
      </c>
    </row>
    <row r="242" spans="1:6" ht="14.25" customHeight="1">
      <c r="A242" s="45"/>
      <c r="D242" s="42" t="s">
        <v>653</v>
      </c>
      <c r="E242" s="43" t="s">
        <v>654</v>
      </c>
      <c r="F242" t="s">
        <v>57</v>
      </c>
    </row>
    <row r="243" spans="1:6" ht="14.25" customHeight="1">
      <c r="A243" s="45"/>
      <c r="D243" s="42" t="s">
        <v>655</v>
      </c>
      <c r="E243" s="43" t="s">
        <v>656</v>
      </c>
      <c r="F243" t="s">
        <v>57</v>
      </c>
    </row>
    <row r="244" spans="1:6" ht="14.25" customHeight="1">
      <c r="A244" s="45"/>
      <c r="D244" s="42" t="s">
        <v>657</v>
      </c>
      <c r="E244" s="43" t="s">
        <v>658</v>
      </c>
      <c r="F244" t="s">
        <v>57</v>
      </c>
    </row>
    <row r="245" spans="1:6" ht="14.25" customHeight="1">
      <c r="A245" s="45"/>
      <c r="D245" s="42" t="s">
        <v>659</v>
      </c>
      <c r="E245" s="43" t="s">
        <v>660</v>
      </c>
      <c r="F245" t="s">
        <v>57</v>
      </c>
    </row>
    <row r="246" spans="1:6" ht="14.25" customHeight="1">
      <c r="A246" s="45"/>
      <c r="D246" s="42" t="s">
        <v>661</v>
      </c>
      <c r="E246" s="43" t="s">
        <v>662</v>
      </c>
      <c r="F246" t="s">
        <v>57</v>
      </c>
    </row>
    <row r="247" spans="1:6" ht="14.25" customHeight="1">
      <c r="A247" s="45"/>
      <c r="D247" s="42" t="s">
        <v>663</v>
      </c>
      <c r="E247" s="43" t="s">
        <v>664</v>
      </c>
      <c r="F247" t="s">
        <v>57</v>
      </c>
    </row>
    <row r="248" spans="1:6" ht="14.25" customHeight="1">
      <c r="A248" s="45"/>
      <c r="D248" s="42" t="s">
        <v>665</v>
      </c>
      <c r="E248" s="43" t="s">
        <v>666</v>
      </c>
      <c r="F248" t="s">
        <v>57</v>
      </c>
    </row>
    <row r="249" spans="1:6" ht="14.25" customHeight="1">
      <c r="A249" s="45"/>
      <c r="D249" s="42" t="s">
        <v>667</v>
      </c>
      <c r="E249" s="43" t="s">
        <v>668</v>
      </c>
      <c r="F249" t="s">
        <v>57</v>
      </c>
    </row>
    <row r="250" spans="1:6" ht="14.25" customHeight="1">
      <c r="A250" s="45"/>
      <c r="D250" s="42" t="s">
        <v>669</v>
      </c>
      <c r="E250" s="43" t="s">
        <v>670</v>
      </c>
      <c r="F250" t="s">
        <v>57</v>
      </c>
    </row>
    <row r="251" spans="1:6" ht="14.25" customHeight="1">
      <c r="A251" s="45"/>
      <c r="D251" s="42" t="s">
        <v>671</v>
      </c>
      <c r="E251" s="43" t="s">
        <v>672</v>
      </c>
      <c r="F251" t="s">
        <v>57</v>
      </c>
    </row>
    <row r="252" spans="1:6" ht="14.25" customHeight="1">
      <c r="A252" s="45"/>
      <c r="D252" s="42" t="s">
        <v>673</v>
      </c>
      <c r="E252" s="43" t="s">
        <v>674</v>
      </c>
      <c r="F252" t="s">
        <v>57</v>
      </c>
    </row>
    <row r="253" spans="1:6" ht="14.25" customHeight="1">
      <c r="A253" s="45"/>
      <c r="D253" s="42" t="s">
        <v>675</v>
      </c>
      <c r="E253" s="43" t="s">
        <v>676</v>
      </c>
      <c r="F253" t="s">
        <v>57</v>
      </c>
    </row>
    <row r="254" spans="1:6" ht="14.25" customHeight="1">
      <c r="A254" s="45"/>
      <c r="D254" s="42" t="s">
        <v>677</v>
      </c>
      <c r="E254" s="43" t="s">
        <v>678</v>
      </c>
      <c r="F254" t="s">
        <v>57</v>
      </c>
    </row>
    <row r="255" spans="1:6" ht="14.25" customHeight="1">
      <c r="A255" s="45"/>
      <c r="D255" s="42" t="s">
        <v>679</v>
      </c>
      <c r="E255" s="43" t="s">
        <v>680</v>
      </c>
      <c r="F255" t="s">
        <v>57</v>
      </c>
    </row>
    <row r="256" spans="1:6" ht="14.25" customHeight="1">
      <c r="A256" s="45"/>
      <c r="D256" s="42" t="s">
        <v>681</v>
      </c>
      <c r="E256" s="43" t="s">
        <v>682</v>
      </c>
      <c r="F256" t="s">
        <v>57</v>
      </c>
    </row>
    <row r="257" spans="1:6" ht="14.25" customHeight="1">
      <c r="A257" s="45"/>
      <c r="D257" s="42" t="s">
        <v>683</v>
      </c>
      <c r="E257" s="43" t="s">
        <v>684</v>
      </c>
      <c r="F257" t="s">
        <v>57</v>
      </c>
    </row>
    <row r="258" spans="1:6" ht="14.25" customHeight="1">
      <c r="A258" s="45"/>
      <c r="D258" s="42" t="s">
        <v>685</v>
      </c>
      <c r="E258" s="43" t="s">
        <v>686</v>
      </c>
      <c r="F258" t="s">
        <v>57</v>
      </c>
    </row>
    <row r="259" spans="1:6" ht="14.25" customHeight="1">
      <c r="A259" s="45"/>
      <c r="D259" s="42" t="s">
        <v>687</v>
      </c>
      <c r="E259" s="43" t="s">
        <v>688</v>
      </c>
      <c r="F259" t="s">
        <v>57</v>
      </c>
    </row>
    <row r="260" spans="1:6" ht="14.25" customHeight="1">
      <c r="A260" s="45"/>
      <c r="D260" s="42" t="s">
        <v>689</v>
      </c>
      <c r="E260" s="43" t="s">
        <v>690</v>
      </c>
      <c r="F260" t="s">
        <v>57</v>
      </c>
    </row>
    <row r="261" spans="1:6" ht="14.25" customHeight="1">
      <c r="A261" s="45"/>
      <c r="D261" s="42" t="s">
        <v>691</v>
      </c>
      <c r="E261" s="43" t="s">
        <v>692</v>
      </c>
      <c r="F261" t="s">
        <v>57</v>
      </c>
    </row>
    <row r="262" spans="1:6" ht="14.25" customHeight="1">
      <c r="A262" s="45"/>
      <c r="D262" s="42" t="s">
        <v>693</v>
      </c>
      <c r="E262" s="43" t="s">
        <v>694</v>
      </c>
      <c r="F262" t="s">
        <v>57</v>
      </c>
    </row>
    <row r="263" spans="1:6" ht="14.25" customHeight="1">
      <c r="A263" s="45"/>
      <c r="D263" s="42" t="s">
        <v>695</v>
      </c>
      <c r="E263" s="43" t="s">
        <v>696</v>
      </c>
      <c r="F263" t="s">
        <v>57</v>
      </c>
    </row>
    <row r="264" spans="1:6" ht="14.25" customHeight="1">
      <c r="A264" s="45"/>
      <c r="D264" s="42" t="s">
        <v>697</v>
      </c>
      <c r="E264" s="43" t="s">
        <v>698</v>
      </c>
      <c r="F264" t="s">
        <v>57</v>
      </c>
    </row>
    <row r="265" spans="1:6" ht="14.25" customHeight="1">
      <c r="A265" s="45"/>
      <c r="D265" s="42" t="s">
        <v>699</v>
      </c>
      <c r="E265" s="43" t="s">
        <v>700</v>
      </c>
      <c r="F265" t="s">
        <v>57</v>
      </c>
    </row>
    <row r="266" spans="1:6" ht="14.25" customHeight="1">
      <c r="A266" s="45"/>
      <c r="D266" s="42" t="s">
        <v>701</v>
      </c>
      <c r="E266" s="43" t="s">
        <v>702</v>
      </c>
      <c r="F266" t="s">
        <v>57</v>
      </c>
    </row>
    <row r="267" spans="1:6" ht="14.25" customHeight="1">
      <c r="A267" s="45"/>
      <c r="D267" s="42" t="s">
        <v>703</v>
      </c>
      <c r="E267" s="43" t="s">
        <v>704</v>
      </c>
      <c r="F267" t="s">
        <v>57</v>
      </c>
    </row>
    <row r="268" spans="1:6" ht="14.25" customHeight="1">
      <c r="A268" s="45"/>
      <c r="D268" s="42" t="s">
        <v>705</v>
      </c>
      <c r="E268" s="43" t="s">
        <v>706</v>
      </c>
      <c r="F268" t="s">
        <v>57</v>
      </c>
    </row>
    <row r="269" spans="1:6" ht="14.25" customHeight="1">
      <c r="A269" s="45"/>
      <c r="D269" s="42" t="s">
        <v>707</v>
      </c>
      <c r="E269" s="43" t="s">
        <v>708</v>
      </c>
      <c r="F269" t="s">
        <v>57</v>
      </c>
    </row>
    <row r="270" spans="1:6" ht="14.25" customHeight="1">
      <c r="A270" s="45"/>
      <c r="D270" s="42" t="s">
        <v>709</v>
      </c>
      <c r="E270" s="43" t="s">
        <v>710</v>
      </c>
      <c r="F270" t="s">
        <v>57</v>
      </c>
    </row>
    <row r="271" spans="1:6" ht="14.25" customHeight="1">
      <c r="A271" s="45"/>
      <c r="D271" s="42" t="s">
        <v>711</v>
      </c>
      <c r="E271" s="43" t="s">
        <v>712</v>
      </c>
      <c r="F271" t="s">
        <v>57</v>
      </c>
    </row>
    <row r="272" spans="1:6" ht="14.25" customHeight="1">
      <c r="A272" s="45"/>
      <c r="D272" s="42" t="s">
        <v>713</v>
      </c>
      <c r="E272" s="43" t="s">
        <v>714</v>
      </c>
      <c r="F272" t="s">
        <v>57</v>
      </c>
    </row>
    <row r="273" spans="1:6" ht="14.25" customHeight="1">
      <c r="A273" s="45"/>
      <c r="D273" s="42" t="s">
        <v>715</v>
      </c>
      <c r="E273" s="43" t="s">
        <v>716</v>
      </c>
      <c r="F273" t="s">
        <v>57</v>
      </c>
    </row>
    <row r="274" spans="1:6" ht="14.25" customHeight="1">
      <c r="A274" s="45"/>
      <c r="D274" s="42" t="s">
        <v>717</v>
      </c>
      <c r="E274" s="43" t="s">
        <v>718</v>
      </c>
      <c r="F274" t="s">
        <v>57</v>
      </c>
    </row>
    <row r="275" spans="1:6" ht="14.25" customHeight="1">
      <c r="A275" s="45"/>
      <c r="D275" s="42" t="s">
        <v>719</v>
      </c>
      <c r="E275" s="43" t="s">
        <v>720</v>
      </c>
      <c r="F275" t="s">
        <v>57</v>
      </c>
    </row>
    <row r="276" spans="1:6" ht="14.25" customHeight="1">
      <c r="A276" s="45"/>
      <c r="D276" s="42" t="s">
        <v>721</v>
      </c>
      <c r="E276" s="43" t="s">
        <v>722</v>
      </c>
      <c r="F276" t="s">
        <v>57</v>
      </c>
    </row>
    <row r="277" spans="1:6" ht="14.25" customHeight="1">
      <c r="A277" s="45"/>
      <c r="D277" s="42" t="s">
        <v>723</v>
      </c>
      <c r="E277" s="43" t="s">
        <v>724</v>
      </c>
      <c r="F277" t="s">
        <v>57</v>
      </c>
    </row>
    <row r="278" spans="1:6" ht="14.25" customHeight="1">
      <c r="A278" s="45"/>
      <c r="D278" s="42" t="s">
        <v>725</v>
      </c>
      <c r="E278" s="43" t="s">
        <v>726</v>
      </c>
      <c r="F278" t="s">
        <v>57</v>
      </c>
    </row>
    <row r="279" spans="1:6" ht="14.25" customHeight="1">
      <c r="A279" s="45"/>
      <c r="D279" s="42" t="s">
        <v>727</v>
      </c>
      <c r="E279" s="43" t="s">
        <v>728</v>
      </c>
      <c r="F279" t="s">
        <v>57</v>
      </c>
    </row>
    <row r="280" spans="1:6" ht="14.25" customHeight="1">
      <c r="A280" s="45"/>
      <c r="D280" s="42" t="s">
        <v>729</v>
      </c>
      <c r="E280" s="43" t="s">
        <v>730</v>
      </c>
      <c r="F280" t="s">
        <v>57</v>
      </c>
    </row>
    <row r="281" spans="1:6" ht="14.25" customHeight="1">
      <c r="A281" s="45"/>
      <c r="D281" s="42" t="s">
        <v>731</v>
      </c>
      <c r="E281" s="43" t="s">
        <v>732</v>
      </c>
      <c r="F281" t="s">
        <v>57</v>
      </c>
    </row>
    <row r="282" spans="1:6" ht="14.25" customHeight="1">
      <c r="A282" s="45"/>
      <c r="D282" s="42" t="s">
        <v>733</v>
      </c>
      <c r="E282" s="43" t="s">
        <v>734</v>
      </c>
      <c r="F282" t="s">
        <v>57</v>
      </c>
    </row>
    <row r="283" spans="1:6" ht="14.25" customHeight="1">
      <c r="A283" s="45"/>
      <c r="D283" s="42" t="s">
        <v>735</v>
      </c>
      <c r="E283" s="43" t="s">
        <v>736</v>
      </c>
      <c r="F283" t="s">
        <v>57</v>
      </c>
    </row>
    <row r="284" spans="1:6" ht="14.25" customHeight="1">
      <c r="A284" s="45"/>
      <c r="D284" s="42" t="s">
        <v>737</v>
      </c>
      <c r="E284" s="43" t="s">
        <v>738</v>
      </c>
      <c r="F284" t="s">
        <v>57</v>
      </c>
    </row>
    <row r="285" spans="1:6" ht="14.25" customHeight="1">
      <c r="A285" s="45"/>
      <c r="D285" s="42" t="s">
        <v>739</v>
      </c>
      <c r="E285" s="43" t="s">
        <v>740</v>
      </c>
      <c r="F285" t="s">
        <v>57</v>
      </c>
    </row>
    <row r="286" spans="1:6" ht="14.25" customHeight="1">
      <c r="A286" s="45"/>
      <c r="D286" s="42" t="s">
        <v>741</v>
      </c>
      <c r="E286" s="43" t="s">
        <v>742</v>
      </c>
      <c r="F286" t="s">
        <v>57</v>
      </c>
    </row>
    <row r="287" spans="1:6" ht="14.25" customHeight="1">
      <c r="A287" s="45"/>
      <c r="D287" s="42" t="s">
        <v>743</v>
      </c>
      <c r="E287" s="43" t="s">
        <v>744</v>
      </c>
      <c r="F287" t="s">
        <v>57</v>
      </c>
    </row>
    <row r="288" spans="1:6" ht="14.25" customHeight="1">
      <c r="A288" s="45"/>
      <c r="D288" s="42" t="s">
        <v>745</v>
      </c>
      <c r="E288" s="43" t="s">
        <v>746</v>
      </c>
      <c r="F288" t="s">
        <v>57</v>
      </c>
    </row>
    <row r="289" spans="1:6" ht="14.25" customHeight="1">
      <c r="A289" s="45"/>
      <c r="D289" s="42" t="s">
        <v>747</v>
      </c>
      <c r="E289" s="43" t="s">
        <v>748</v>
      </c>
      <c r="F289" t="s">
        <v>57</v>
      </c>
    </row>
    <row r="290" spans="1:6" ht="14.25" customHeight="1">
      <c r="A290" s="45"/>
      <c r="D290" s="42" t="s">
        <v>749</v>
      </c>
      <c r="E290" s="43" t="s">
        <v>750</v>
      </c>
      <c r="F290" t="s">
        <v>57</v>
      </c>
    </row>
    <row r="291" spans="1:6" ht="14.25" customHeight="1">
      <c r="A291" s="45"/>
      <c r="D291" s="42" t="s">
        <v>751</v>
      </c>
      <c r="E291" s="43" t="s">
        <v>752</v>
      </c>
      <c r="F291" t="s">
        <v>57</v>
      </c>
    </row>
    <row r="292" spans="1:6" ht="14.25" customHeight="1">
      <c r="A292" s="45"/>
      <c r="D292" s="42" t="s">
        <v>753</v>
      </c>
      <c r="E292" s="43" t="s">
        <v>754</v>
      </c>
      <c r="F292" t="s">
        <v>57</v>
      </c>
    </row>
    <row r="293" spans="1:6" ht="14.25" customHeight="1">
      <c r="A293" s="45"/>
      <c r="D293" s="42" t="s">
        <v>755</v>
      </c>
      <c r="E293" s="43" t="s">
        <v>756</v>
      </c>
      <c r="F293" t="s">
        <v>57</v>
      </c>
    </row>
    <row r="294" spans="1:6" ht="14.25" customHeight="1">
      <c r="A294" s="45"/>
      <c r="D294" s="42" t="s">
        <v>757</v>
      </c>
      <c r="E294" s="43" t="s">
        <v>758</v>
      </c>
      <c r="F294" t="s">
        <v>57</v>
      </c>
    </row>
    <row r="295" spans="1:6" ht="14.25" customHeight="1">
      <c r="A295" s="45"/>
      <c r="D295" s="42" t="s">
        <v>759</v>
      </c>
      <c r="E295" s="43" t="s">
        <v>760</v>
      </c>
      <c r="F295" t="s">
        <v>57</v>
      </c>
    </row>
    <row r="296" spans="1:6" ht="14.25" customHeight="1">
      <c r="A296" s="45"/>
      <c r="D296" s="42" t="s">
        <v>761</v>
      </c>
      <c r="E296" s="43" t="s">
        <v>762</v>
      </c>
      <c r="F296" t="s">
        <v>57</v>
      </c>
    </row>
    <row r="297" spans="1:6" ht="14.25" customHeight="1">
      <c r="A297" s="45"/>
      <c r="D297" s="42" t="s">
        <v>763</v>
      </c>
      <c r="E297" s="43" t="s">
        <v>764</v>
      </c>
      <c r="F297" t="s">
        <v>57</v>
      </c>
    </row>
    <row r="298" spans="1:6" ht="14.25" customHeight="1">
      <c r="A298" s="45"/>
      <c r="D298" s="42" t="s">
        <v>765</v>
      </c>
      <c r="E298" s="43" t="s">
        <v>766</v>
      </c>
      <c r="F298" t="s">
        <v>57</v>
      </c>
    </row>
    <row r="299" spans="1:6" ht="14.25" customHeight="1">
      <c r="A299" s="45"/>
      <c r="D299" s="42" t="s">
        <v>767</v>
      </c>
      <c r="E299" s="43" t="s">
        <v>768</v>
      </c>
      <c r="F299" t="s">
        <v>57</v>
      </c>
    </row>
    <row r="300" spans="1:6" ht="14.25" customHeight="1">
      <c r="A300" s="45"/>
      <c r="D300" s="42" t="s">
        <v>769</v>
      </c>
      <c r="E300" s="43" t="s">
        <v>770</v>
      </c>
      <c r="F300" t="s">
        <v>57</v>
      </c>
    </row>
    <row r="301" spans="1:6" ht="14.25" customHeight="1">
      <c r="A301" s="45"/>
      <c r="D301" s="42" t="s">
        <v>771</v>
      </c>
      <c r="E301" s="43" t="s">
        <v>772</v>
      </c>
      <c r="F301" t="s">
        <v>57</v>
      </c>
    </row>
    <row r="302" spans="1:6" ht="14.25" customHeight="1">
      <c r="A302" s="45"/>
      <c r="D302" s="42" t="s">
        <v>773</v>
      </c>
      <c r="E302" s="43" t="s">
        <v>774</v>
      </c>
      <c r="F302" t="s">
        <v>57</v>
      </c>
    </row>
    <row r="303" spans="1:6" ht="14.25" customHeight="1">
      <c r="A303" s="45"/>
      <c r="D303" s="42" t="s">
        <v>775</v>
      </c>
      <c r="E303" s="43" t="s">
        <v>776</v>
      </c>
      <c r="F303" t="s">
        <v>57</v>
      </c>
    </row>
    <row r="304" spans="1:6" ht="14.25" customHeight="1">
      <c r="A304" s="45"/>
      <c r="D304" s="42" t="s">
        <v>777</v>
      </c>
      <c r="E304" s="43" t="s">
        <v>778</v>
      </c>
      <c r="F304" t="s">
        <v>57</v>
      </c>
    </row>
    <row r="305" spans="1:6" ht="14.25" customHeight="1">
      <c r="A305" s="45"/>
      <c r="D305" s="42" t="s">
        <v>779</v>
      </c>
      <c r="E305" s="43" t="s">
        <v>780</v>
      </c>
      <c r="F305" t="s">
        <v>57</v>
      </c>
    </row>
    <row r="306" spans="1:6" ht="14.25" customHeight="1">
      <c r="A306" s="45"/>
      <c r="D306" s="42" t="s">
        <v>781</v>
      </c>
      <c r="E306" s="43" t="s">
        <v>782</v>
      </c>
      <c r="F306" t="s">
        <v>57</v>
      </c>
    </row>
    <row r="307" spans="1:6" ht="14.25" customHeight="1">
      <c r="A307" s="45"/>
      <c r="D307" s="42" t="s">
        <v>783</v>
      </c>
      <c r="E307" s="43" t="s">
        <v>784</v>
      </c>
      <c r="F307" t="s">
        <v>57</v>
      </c>
    </row>
    <row r="308" spans="1:6" ht="14.25" customHeight="1">
      <c r="A308" s="45"/>
      <c r="D308" s="42" t="s">
        <v>785</v>
      </c>
      <c r="E308" s="43" t="s">
        <v>786</v>
      </c>
      <c r="F308" t="s">
        <v>57</v>
      </c>
    </row>
    <row r="309" spans="1:6" ht="14.25" customHeight="1">
      <c r="A309" s="45"/>
      <c r="D309" s="42" t="s">
        <v>787</v>
      </c>
      <c r="E309" s="43" t="s">
        <v>788</v>
      </c>
      <c r="F309" t="s">
        <v>57</v>
      </c>
    </row>
    <row r="310" spans="1:6" ht="14.25" customHeight="1">
      <c r="A310" s="45"/>
      <c r="D310" s="42" t="s">
        <v>789</v>
      </c>
      <c r="E310" s="43" t="s">
        <v>790</v>
      </c>
      <c r="F310" t="s">
        <v>57</v>
      </c>
    </row>
    <row r="311" spans="1:6" ht="14.25" customHeight="1">
      <c r="A311" s="45"/>
      <c r="D311" s="42" t="s">
        <v>791</v>
      </c>
      <c r="E311" s="43" t="s">
        <v>792</v>
      </c>
      <c r="F311" t="s">
        <v>57</v>
      </c>
    </row>
    <row r="312" spans="1:6" ht="14.25" customHeight="1">
      <c r="A312" s="45"/>
      <c r="D312" s="42" t="s">
        <v>793</v>
      </c>
      <c r="E312" s="43" t="s">
        <v>794</v>
      </c>
      <c r="F312" t="s">
        <v>57</v>
      </c>
    </row>
    <row r="313" spans="1:6" ht="14.25" customHeight="1">
      <c r="A313" s="45"/>
      <c r="D313" s="42" t="s">
        <v>795</v>
      </c>
      <c r="E313" s="43" t="s">
        <v>796</v>
      </c>
      <c r="F313" t="s">
        <v>57</v>
      </c>
    </row>
    <row r="314" spans="1:6" ht="14.25" customHeight="1">
      <c r="A314" s="45"/>
      <c r="D314" s="42" t="s">
        <v>797</v>
      </c>
      <c r="E314" s="43" t="s">
        <v>798</v>
      </c>
      <c r="F314" t="s">
        <v>57</v>
      </c>
    </row>
    <row r="315" spans="1:6" ht="14.25" customHeight="1">
      <c r="A315" s="45"/>
      <c r="D315" s="42" t="s">
        <v>799</v>
      </c>
      <c r="E315" s="43" t="s">
        <v>800</v>
      </c>
      <c r="F315" t="s">
        <v>57</v>
      </c>
    </row>
    <row r="316" spans="1:6" ht="14.25" customHeight="1">
      <c r="A316" s="45"/>
      <c r="D316" s="42" t="s">
        <v>801</v>
      </c>
      <c r="E316" s="43" t="s">
        <v>802</v>
      </c>
      <c r="F316" t="s">
        <v>57</v>
      </c>
    </row>
    <row r="317" spans="1:6" ht="14.25" customHeight="1">
      <c r="A317" s="45"/>
      <c r="D317" s="42" t="s">
        <v>803</v>
      </c>
      <c r="E317" s="43" t="s">
        <v>804</v>
      </c>
      <c r="F317" t="s">
        <v>57</v>
      </c>
    </row>
    <row r="318" spans="1:6" ht="14.25" customHeight="1">
      <c r="A318" s="45"/>
      <c r="D318" s="42" t="s">
        <v>805</v>
      </c>
      <c r="E318" s="43" t="s">
        <v>806</v>
      </c>
      <c r="F318" t="s">
        <v>57</v>
      </c>
    </row>
    <row r="319" spans="1:6" ht="14.25" customHeight="1">
      <c r="A319" s="45"/>
      <c r="D319" s="42" t="s">
        <v>807</v>
      </c>
      <c r="E319" s="43" t="s">
        <v>808</v>
      </c>
      <c r="F319" t="s">
        <v>57</v>
      </c>
    </row>
    <row r="320" spans="1:6" ht="14.25" customHeight="1">
      <c r="A320" s="45"/>
      <c r="D320" s="42" t="s">
        <v>809</v>
      </c>
      <c r="E320" s="43" t="s">
        <v>810</v>
      </c>
      <c r="F320" t="s">
        <v>57</v>
      </c>
    </row>
    <row r="321" spans="1:6" ht="14.25" customHeight="1">
      <c r="A321" s="45"/>
      <c r="D321" s="42" t="s">
        <v>811</v>
      </c>
      <c r="E321" s="43" t="s">
        <v>812</v>
      </c>
      <c r="F321" t="s">
        <v>57</v>
      </c>
    </row>
    <row r="322" spans="1:6" ht="14.25" customHeight="1">
      <c r="A322" s="45"/>
      <c r="D322" s="42" t="s">
        <v>813</v>
      </c>
      <c r="E322" s="43" t="s">
        <v>814</v>
      </c>
      <c r="F322" t="s">
        <v>57</v>
      </c>
    </row>
    <row r="323" spans="1:6" ht="14.25" customHeight="1">
      <c r="A323" s="45"/>
      <c r="D323" s="42" t="s">
        <v>815</v>
      </c>
      <c r="E323" s="43" t="s">
        <v>816</v>
      </c>
      <c r="F323" t="s">
        <v>57</v>
      </c>
    </row>
    <row r="324" spans="1:6" ht="14.25" customHeight="1">
      <c r="A324" s="45"/>
      <c r="D324" s="42" t="s">
        <v>817</v>
      </c>
      <c r="E324" s="43" t="s">
        <v>818</v>
      </c>
      <c r="F324" t="s">
        <v>57</v>
      </c>
    </row>
    <row r="325" spans="1:6" ht="14.25" customHeight="1">
      <c r="A325" s="45"/>
      <c r="D325" s="42" t="s">
        <v>819</v>
      </c>
      <c r="E325" s="43" t="s">
        <v>820</v>
      </c>
      <c r="F325" t="s">
        <v>57</v>
      </c>
    </row>
    <row r="326" spans="1:6" ht="14.25" customHeight="1">
      <c r="A326" s="45"/>
      <c r="D326" s="42" t="s">
        <v>821</v>
      </c>
      <c r="E326" s="43" t="s">
        <v>822</v>
      </c>
      <c r="F326" t="s">
        <v>57</v>
      </c>
    </row>
    <row r="327" spans="1:6" ht="14.25" customHeight="1">
      <c r="A327" s="45"/>
      <c r="D327" s="42" t="s">
        <v>823</v>
      </c>
      <c r="E327" s="43" t="s">
        <v>824</v>
      </c>
      <c r="F327" t="s">
        <v>57</v>
      </c>
    </row>
    <row r="328" spans="1:6" ht="14.25" customHeight="1">
      <c r="A328" s="45"/>
      <c r="D328" s="42" t="s">
        <v>825</v>
      </c>
      <c r="E328" s="43" t="s">
        <v>826</v>
      </c>
      <c r="F328" t="s">
        <v>57</v>
      </c>
    </row>
    <row r="329" spans="1:6" ht="14.25" customHeight="1">
      <c r="A329" s="45"/>
      <c r="D329" s="42" t="s">
        <v>827</v>
      </c>
      <c r="E329" s="43" t="s">
        <v>828</v>
      </c>
      <c r="F329" t="s">
        <v>57</v>
      </c>
    </row>
    <row r="330" spans="1:6" ht="14.25" customHeight="1">
      <c r="A330" s="45"/>
      <c r="D330" s="42" t="s">
        <v>829</v>
      </c>
      <c r="E330" s="43" t="s">
        <v>830</v>
      </c>
      <c r="F330" t="s">
        <v>57</v>
      </c>
    </row>
    <row r="331" spans="1:6" ht="14.25" customHeight="1">
      <c r="A331" s="45"/>
      <c r="D331" s="42" t="s">
        <v>831</v>
      </c>
      <c r="E331" s="43" t="s">
        <v>832</v>
      </c>
      <c r="F331" t="s">
        <v>57</v>
      </c>
    </row>
    <row r="332" spans="1:6" ht="14.25" customHeight="1">
      <c r="A332" s="45"/>
      <c r="D332" s="42" t="s">
        <v>833</v>
      </c>
      <c r="E332" s="43" t="s">
        <v>834</v>
      </c>
      <c r="F332" t="s">
        <v>57</v>
      </c>
    </row>
    <row r="333" spans="1:6" ht="14.25" customHeight="1">
      <c r="A333" s="45"/>
      <c r="D333" s="42" t="s">
        <v>835</v>
      </c>
      <c r="E333" s="43" t="s">
        <v>836</v>
      </c>
      <c r="F333" t="s">
        <v>57</v>
      </c>
    </row>
    <row r="334" spans="1:6" ht="14.25" customHeight="1">
      <c r="A334" s="45"/>
      <c r="D334" s="42" t="s">
        <v>837</v>
      </c>
      <c r="E334" s="43" t="s">
        <v>838</v>
      </c>
      <c r="F334" t="s">
        <v>57</v>
      </c>
    </row>
    <row r="335" spans="1:6" ht="14.25" customHeight="1">
      <c r="A335" s="45"/>
      <c r="D335" s="42" t="s">
        <v>839</v>
      </c>
      <c r="E335" s="43" t="s">
        <v>840</v>
      </c>
      <c r="F335" t="s">
        <v>57</v>
      </c>
    </row>
    <row r="336" spans="1:6" ht="14.25" customHeight="1">
      <c r="A336" s="45"/>
      <c r="D336" s="42" t="s">
        <v>841</v>
      </c>
      <c r="E336" s="43" t="s">
        <v>842</v>
      </c>
      <c r="F336" t="s">
        <v>57</v>
      </c>
    </row>
    <row r="337" spans="1:6" ht="14.25" customHeight="1">
      <c r="A337" s="45"/>
      <c r="D337" s="42" t="s">
        <v>843</v>
      </c>
      <c r="E337" s="43" t="s">
        <v>844</v>
      </c>
      <c r="F337" t="s">
        <v>57</v>
      </c>
    </row>
    <row r="338" spans="1:6" ht="14.25" customHeight="1">
      <c r="A338" s="45"/>
      <c r="D338" s="42" t="s">
        <v>845</v>
      </c>
      <c r="E338" s="43" t="s">
        <v>846</v>
      </c>
      <c r="F338" t="s">
        <v>57</v>
      </c>
    </row>
    <row r="339" spans="1:6" ht="14.25" customHeight="1">
      <c r="A339" s="45"/>
      <c r="D339" s="42" t="s">
        <v>847</v>
      </c>
      <c r="E339" s="43" t="s">
        <v>848</v>
      </c>
      <c r="F339" t="s">
        <v>57</v>
      </c>
    </row>
    <row r="340" spans="1:6" ht="14.25" customHeight="1">
      <c r="A340" s="45"/>
      <c r="D340" s="42" t="s">
        <v>849</v>
      </c>
      <c r="E340" s="43" t="s">
        <v>850</v>
      </c>
      <c r="F340" t="s">
        <v>57</v>
      </c>
    </row>
    <row r="341" spans="1:6" ht="14.25" customHeight="1">
      <c r="A341" s="45"/>
      <c r="D341" s="42" t="s">
        <v>851</v>
      </c>
      <c r="E341" s="43" t="s">
        <v>852</v>
      </c>
      <c r="F341" t="s">
        <v>57</v>
      </c>
    </row>
    <row r="342" spans="1:6" ht="14.25" customHeight="1">
      <c r="A342" s="45"/>
      <c r="D342" s="42" t="s">
        <v>853</v>
      </c>
      <c r="E342" s="43" t="s">
        <v>854</v>
      </c>
      <c r="F342" t="s">
        <v>57</v>
      </c>
    </row>
    <row r="343" spans="1:6" ht="14.25" customHeight="1">
      <c r="A343" s="45"/>
      <c r="D343" s="42" t="s">
        <v>855</v>
      </c>
      <c r="E343" s="43" t="s">
        <v>856</v>
      </c>
      <c r="F343" t="s">
        <v>57</v>
      </c>
    </row>
    <row r="344" spans="1:6" ht="14.25" customHeight="1">
      <c r="A344" s="45"/>
      <c r="D344" s="42" t="s">
        <v>857</v>
      </c>
      <c r="E344" s="43" t="s">
        <v>858</v>
      </c>
      <c r="F344" t="s">
        <v>57</v>
      </c>
    </row>
    <row r="345" spans="1:6" ht="14.25" customHeight="1">
      <c r="A345" s="45"/>
      <c r="D345" s="42" t="s">
        <v>859</v>
      </c>
      <c r="E345" s="43" t="s">
        <v>860</v>
      </c>
      <c r="F345" t="s">
        <v>57</v>
      </c>
    </row>
    <row r="346" spans="1:6" ht="14.25" customHeight="1">
      <c r="A346" s="45"/>
      <c r="D346" s="42" t="s">
        <v>226</v>
      </c>
      <c r="E346" s="43" t="s">
        <v>861</v>
      </c>
      <c r="F346" t="s">
        <v>57</v>
      </c>
    </row>
    <row r="347" spans="1:6" ht="14.25" customHeight="1">
      <c r="A347" s="45"/>
      <c r="D347" s="42" t="s">
        <v>862</v>
      </c>
      <c r="E347" s="43" t="s">
        <v>863</v>
      </c>
      <c r="F347" t="s">
        <v>57</v>
      </c>
    </row>
    <row r="348" spans="1:6" ht="14.25" customHeight="1">
      <c r="A348" s="45"/>
      <c r="D348" s="42" t="s">
        <v>864</v>
      </c>
      <c r="E348" s="43" t="s">
        <v>865</v>
      </c>
      <c r="F348" t="s">
        <v>57</v>
      </c>
    </row>
    <row r="349" spans="1:6" ht="14.25" customHeight="1">
      <c r="A349" s="45"/>
      <c r="D349" s="42" t="s">
        <v>866</v>
      </c>
      <c r="E349" s="43" t="s">
        <v>867</v>
      </c>
      <c r="F349" t="s">
        <v>57</v>
      </c>
    </row>
    <row r="350" spans="1:6" ht="14.25" customHeight="1">
      <c r="A350" s="45"/>
      <c r="D350" s="42" t="s">
        <v>868</v>
      </c>
      <c r="E350" s="43" t="s">
        <v>869</v>
      </c>
      <c r="F350" t="s">
        <v>57</v>
      </c>
    </row>
    <row r="351" spans="1:6" ht="14.25" customHeight="1">
      <c r="A351" s="45"/>
      <c r="D351" s="42" t="s">
        <v>870</v>
      </c>
      <c r="E351" s="43" t="s">
        <v>871</v>
      </c>
      <c r="F351" t="s">
        <v>57</v>
      </c>
    </row>
    <row r="352" spans="1:6" ht="14.25" customHeight="1">
      <c r="A352" s="45"/>
      <c r="D352" s="42" t="s">
        <v>872</v>
      </c>
      <c r="E352" s="43" t="s">
        <v>873</v>
      </c>
      <c r="F352" t="s">
        <v>57</v>
      </c>
    </row>
    <row r="353" spans="1:6" ht="14.25" customHeight="1">
      <c r="A353" s="45"/>
      <c r="D353" s="42" t="s">
        <v>874</v>
      </c>
      <c r="E353" s="43" t="s">
        <v>875</v>
      </c>
      <c r="F353" t="s">
        <v>57</v>
      </c>
    </row>
    <row r="354" spans="1:6" ht="14.25" customHeight="1">
      <c r="A354" s="45"/>
      <c r="D354" s="42" t="s">
        <v>876</v>
      </c>
      <c r="E354" s="43" t="s">
        <v>877</v>
      </c>
      <c r="F354" t="s">
        <v>57</v>
      </c>
    </row>
    <row r="355" spans="1:6" ht="14.25" customHeight="1">
      <c r="A355" s="45"/>
      <c r="D355" s="42" t="s">
        <v>878</v>
      </c>
      <c r="E355" s="43" t="s">
        <v>879</v>
      </c>
      <c r="F355" t="s">
        <v>57</v>
      </c>
    </row>
    <row r="356" spans="1:6" ht="14.25" customHeight="1">
      <c r="A356" s="45"/>
      <c r="D356" s="42" t="s">
        <v>880</v>
      </c>
      <c r="E356" s="43" t="s">
        <v>881</v>
      </c>
      <c r="F356" t="s">
        <v>57</v>
      </c>
    </row>
    <row r="357" spans="1:6" ht="14.25" customHeight="1">
      <c r="A357" s="45"/>
      <c r="D357" s="42" t="s">
        <v>882</v>
      </c>
      <c r="E357" s="43" t="s">
        <v>883</v>
      </c>
      <c r="F357" t="s">
        <v>57</v>
      </c>
    </row>
    <row r="358" spans="1:6" ht="14.25" customHeight="1">
      <c r="A358" s="45"/>
      <c r="D358" s="42" t="s">
        <v>884</v>
      </c>
      <c r="E358" s="43" t="s">
        <v>885</v>
      </c>
      <c r="F358" t="s">
        <v>57</v>
      </c>
    </row>
    <row r="359" spans="1:6" ht="14.25" customHeight="1">
      <c r="A359" s="45"/>
      <c r="D359" s="42" t="s">
        <v>886</v>
      </c>
      <c r="E359" s="43" t="s">
        <v>887</v>
      </c>
      <c r="F359" t="s">
        <v>57</v>
      </c>
    </row>
    <row r="360" spans="1:6" ht="14.25" customHeight="1">
      <c r="A360" s="45"/>
      <c r="D360" s="42" t="s">
        <v>888</v>
      </c>
      <c r="E360" s="43" t="s">
        <v>889</v>
      </c>
      <c r="F360" t="s">
        <v>57</v>
      </c>
    </row>
    <row r="361" spans="1:6" ht="14.25" customHeight="1">
      <c r="A361" s="45"/>
      <c r="D361" s="42" t="s">
        <v>890</v>
      </c>
      <c r="E361" s="43" t="s">
        <v>891</v>
      </c>
      <c r="F361" t="s">
        <v>57</v>
      </c>
    </row>
    <row r="362" spans="1:6" ht="14.25" customHeight="1">
      <c r="A362" s="45"/>
      <c r="D362" s="42" t="s">
        <v>892</v>
      </c>
      <c r="E362" s="43" t="s">
        <v>893</v>
      </c>
      <c r="F362" t="s">
        <v>57</v>
      </c>
    </row>
    <row r="363" spans="1:6" ht="14.25" customHeight="1">
      <c r="A363" s="45"/>
      <c r="D363" s="42" t="s">
        <v>894</v>
      </c>
      <c r="E363" s="43" t="s">
        <v>895</v>
      </c>
      <c r="F363" t="s">
        <v>57</v>
      </c>
    </row>
    <row r="364" spans="1:6" ht="14.25" customHeight="1">
      <c r="A364" s="45"/>
      <c r="D364" s="42" t="s">
        <v>896</v>
      </c>
      <c r="E364" s="43" t="s">
        <v>897</v>
      </c>
      <c r="F364" t="s">
        <v>57</v>
      </c>
    </row>
    <row r="365" spans="1:6" ht="14.25" customHeight="1">
      <c r="A365" s="45"/>
      <c r="D365" s="42" t="s">
        <v>898</v>
      </c>
      <c r="E365" s="43" t="s">
        <v>899</v>
      </c>
      <c r="F365" t="s">
        <v>57</v>
      </c>
    </row>
    <row r="366" spans="1:6" ht="14.25" customHeight="1">
      <c r="A366" s="45"/>
      <c r="D366" s="42" t="s">
        <v>900</v>
      </c>
      <c r="E366" s="43" t="s">
        <v>901</v>
      </c>
      <c r="F366" t="s">
        <v>57</v>
      </c>
    </row>
    <row r="367" spans="1:6" ht="14.25" customHeight="1">
      <c r="A367" s="45"/>
      <c r="D367" s="42" t="s">
        <v>902</v>
      </c>
      <c r="E367" s="43" t="s">
        <v>903</v>
      </c>
      <c r="F367" t="s">
        <v>57</v>
      </c>
    </row>
    <row r="368" spans="1:6" ht="14.25" customHeight="1">
      <c r="A368" s="45"/>
      <c r="D368" s="42" t="s">
        <v>904</v>
      </c>
      <c r="E368" s="43" t="s">
        <v>905</v>
      </c>
      <c r="F368" t="s">
        <v>57</v>
      </c>
    </row>
    <row r="369" spans="1:6" ht="14.25" customHeight="1">
      <c r="A369" s="45"/>
      <c r="D369" s="42" t="s">
        <v>906</v>
      </c>
      <c r="E369" s="43" t="s">
        <v>907</v>
      </c>
      <c r="F369" t="s">
        <v>57</v>
      </c>
    </row>
    <row r="370" spans="1:6" ht="14.25" customHeight="1">
      <c r="A370" s="45"/>
      <c r="D370" s="42" t="s">
        <v>908</v>
      </c>
      <c r="E370" s="43" t="s">
        <v>909</v>
      </c>
      <c r="F370" t="s">
        <v>57</v>
      </c>
    </row>
    <row r="371" spans="1:6" ht="14.25" customHeight="1">
      <c r="A371" s="45"/>
      <c r="D371" s="42" t="s">
        <v>910</v>
      </c>
      <c r="E371" s="43" t="s">
        <v>911</v>
      </c>
      <c r="F371" t="s">
        <v>57</v>
      </c>
    </row>
    <row r="372" spans="1:6" ht="14.25" customHeight="1">
      <c r="A372" s="45"/>
      <c r="D372" s="42" t="s">
        <v>912</v>
      </c>
      <c r="E372" s="43" t="s">
        <v>913</v>
      </c>
      <c r="F372" t="s">
        <v>57</v>
      </c>
    </row>
    <row r="373" spans="1:6" ht="14.25" customHeight="1">
      <c r="A373" s="45"/>
      <c r="D373" s="42" t="s">
        <v>914</v>
      </c>
      <c r="E373" s="43" t="s">
        <v>915</v>
      </c>
      <c r="F373" t="s">
        <v>57</v>
      </c>
    </row>
    <row r="374" spans="1:6" ht="14.25" customHeight="1">
      <c r="A374" s="45"/>
      <c r="D374" s="42" t="s">
        <v>916</v>
      </c>
      <c r="E374" s="43" t="s">
        <v>917</v>
      </c>
      <c r="F374" t="s">
        <v>57</v>
      </c>
    </row>
    <row r="375" spans="1:6" ht="14.25" customHeight="1">
      <c r="A375" s="45"/>
      <c r="D375" s="42" t="s">
        <v>918</v>
      </c>
      <c r="E375" s="43" t="s">
        <v>919</v>
      </c>
      <c r="F375" t="s">
        <v>57</v>
      </c>
    </row>
    <row r="376" spans="1:6" ht="14.25" customHeight="1">
      <c r="A376" s="45"/>
      <c r="D376" s="42" t="s">
        <v>920</v>
      </c>
      <c r="E376" s="43" t="s">
        <v>921</v>
      </c>
      <c r="F376" t="s">
        <v>57</v>
      </c>
    </row>
    <row r="377" spans="1:6" ht="14.25" customHeight="1">
      <c r="A377" s="45"/>
      <c r="D377" s="42" t="s">
        <v>922</v>
      </c>
      <c r="E377" s="43" t="s">
        <v>923</v>
      </c>
      <c r="F377" t="s">
        <v>57</v>
      </c>
    </row>
    <row r="378" spans="1:6" ht="14.25" customHeight="1">
      <c r="A378" s="45"/>
      <c r="D378" s="42" t="s">
        <v>924</v>
      </c>
      <c r="E378" s="43" t="s">
        <v>925</v>
      </c>
      <c r="F378" t="s">
        <v>57</v>
      </c>
    </row>
    <row r="379" spans="1:6" ht="14.25" customHeight="1">
      <c r="A379" s="45"/>
      <c r="D379" s="42" t="s">
        <v>926</v>
      </c>
      <c r="E379" s="43" t="s">
        <v>927</v>
      </c>
      <c r="F379" t="s">
        <v>57</v>
      </c>
    </row>
    <row r="380" spans="1:6" ht="14.25" customHeight="1">
      <c r="A380" s="45"/>
      <c r="D380" s="42" t="s">
        <v>928</v>
      </c>
      <c r="E380" s="43" t="s">
        <v>929</v>
      </c>
      <c r="F380" t="s">
        <v>57</v>
      </c>
    </row>
    <row r="381" spans="1:6" ht="14.25" customHeight="1">
      <c r="A381" s="45"/>
      <c r="D381" s="42" t="s">
        <v>930</v>
      </c>
      <c r="E381" s="43" t="s">
        <v>931</v>
      </c>
      <c r="F381" t="s">
        <v>57</v>
      </c>
    </row>
    <row r="382" spans="1:6" ht="14.25" customHeight="1">
      <c r="A382" s="45"/>
      <c r="D382" s="42" t="s">
        <v>932</v>
      </c>
      <c r="E382" s="43" t="s">
        <v>933</v>
      </c>
      <c r="F382" t="s">
        <v>57</v>
      </c>
    </row>
    <row r="383" spans="1:6" ht="14.25" customHeight="1">
      <c r="A383" s="45"/>
      <c r="D383" s="42" t="s">
        <v>934</v>
      </c>
      <c r="E383" s="43" t="s">
        <v>935</v>
      </c>
      <c r="F383" t="s">
        <v>57</v>
      </c>
    </row>
    <row r="384" spans="1:6" ht="14.25" customHeight="1">
      <c r="A384" s="45"/>
      <c r="D384" s="42" t="s">
        <v>936</v>
      </c>
      <c r="E384" s="43" t="s">
        <v>937</v>
      </c>
      <c r="F384" t="s">
        <v>57</v>
      </c>
    </row>
    <row r="385" spans="1:6" ht="14.25" customHeight="1">
      <c r="A385" s="45"/>
      <c r="D385" s="42" t="s">
        <v>938</v>
      </c>
      <c r="E385" s="43" t="s">
        <v>939</v>
      </c>
      <c r="F385" t="s">
        <v>57</v>
      </c>
    </row>
    <row r="386" spans="1:6" ht="14.25" customHeight="1">
      <c r="A386" s="45"/>
      <c r="D386" s="42" t="s">
        <v>940</v>
      </c>
      <c r="E386" s="43" t="s">
        <v>941</v>
      </c>
      <c r="F386" t="s">
        <v>57</v>
      </c>
    </row>
    <row r="387" spans="1:6" ht="14.25" customHeight="1">
      <c r="A387" s="45"/>
      <c r="D387" s="42" t="s">
        <v>942</v>
      </c>
      <c r="E387" s="43" t="s">
        <v>943</v>
      </c>
      <c r="F387" t="s">
        <v>57</v>
      </c>
    </row>
    <row r="388" spans="1:6" ht="14.25" customHeight="1">
      <c r="A388" s="45"/>
      <c r="D388" s="42" t="s">
        <v>944</v>
      </c>
      <c r="E388" s="43" t="s">
        <v>945</v>
      </c>
      <c r="F388" t="s">
        <v>57</v>
      </c>
    </row>
    <row r="389" spans="1:6" ht="14.25" customHeight="1">
      <c r="A389" s="45"/>
      <c r="D389" s="42" t="s">
        <v>946</v>
      </c>
      <c r="E389" s="43" t="s">
        <v>947</v>
      </c>
      <c r="F389" t="s">
        <v>57</v>
      </c>
    </row>
    <row r="390" spans="1:6" ht="14.25" customHeight="1">
      <c r="A390" s="45"/>
      <c r="D390" s="42" t="s">
        <v>948</v>
      </c>
      <c r="E390" s="43" t="s">
        <v>949</v>
      </c>
      <c r="F390" t="s">
        <v>57</v>
      </c>
    </row>
    <row r="391" spans="1:6" ht="14.25" customHeight="1">
      <c r="A391" s="45"/>
      <c r="D391" s="42" t="s">
        <v>950</v>
      </c>
      <c r="E391" s="43" t="s">
        <v>951</v>
      </c>
      <c r="F391" t="s">
        <v>57</v>
      </c>
    </row>
    <row r="392" spans="1:6" ht="14.25" customHeight="1">
      <c r="A392" s="45"/>
      <c r="D392" s="42" t="s">
        <v>952</v>
      </c>
      <c r="E392" s="43" t="s">
        <v>953</v>
      </c>
      <c r="F392" t="s">
        <v>57</v>
      </c>
    </row>
    <row r="393" spans="1:6" ht="14.25" customHeight="1">
      <c r="A393" s="45"/>
      <c r="D393" s="42" t="s">
        <v>954</v>
      </c>
      <c r="E393" s="43" t="s">
        <v>955</v>
      </c>
      <c r="F393" t="s">
        <v>57</v>
      </c>
    </row>
    <row r="394" spans="1:6" ht="14.25" customHeight="1">
      <c r="A394" s="45"/>
      <c r="D394" s="42" t="s">
        <v>956</v>
      </c>
      <c r="E394" s="43" t="s">
        <v>957</v>
      </c>
      <c r="F394" t="s">
        <v>57</v>
      </c>
    </row>
    <row r="395" spans="1:6" ht="14.25" customHeight="1">
      <c r="A395" s="45"/>
      <c r="D395" s="42" t="s">
        <v>958</v>
      </c>
      <c r="E395" s="43" t="s">
        <v>959</v>
      </c>
      <c r="F395" t="s">
        <v>57</v>
      </c>
    </row>
    <row r="396" spans="1:6" ht="14.25" customHeight="1">
      <c r="A396" s="45"/>
      <c r="D396" s="42" t="s">
        <v>960</v>
      </c>
      <c r="E396" s="43" t="s">
        <v>961</v>
      </c>
      <c r="F396" t="s">
        <v>57</v>
      </c>
    </row>
    <row r="397" spans="1:6" ht="14.25" customHeight="1">
      <c r="A397" s="45"/>
      <c r="D397" s="42" t="s">
        <v>962</v>
      </c>
      <c r="E397" s="43" t="s">
        <v>963</v>
      </c>
      <c r="F397" t="s">
        <v>57</v>
      </c>
    </row>
    <row r="398" spans="1:6" ht="14.25" customHeight="1">
      <c r="A398" s="45"/>
      <c r="D398" s="42" t="s">
        <v>964</v>
      </c>
      <c r="E398" s="43" t="s">
        <v>965</v>
      </c>
      <c r="F398" t="s">
        <v>57</v>
      </c>
    </row>
    <row r="399" spans="1:6" ht="14.25" customHeight="1">
      <c r="A399" s="45"/>
      <c r="D399" s="42" t="s">
        <v>966</v>
      </c>
      <c r="E399" s="43" t="s">
        <v>967</v>
      </c>
      <c r="F399" t="s">
        <v>57</v>
      </c>
    </row>
    <row r="400" spans="1:6" ht="14.25" customHeight="1">
      <c r="A400" s="45"/>
      <c r="D400" s="42" t="s">
        <v>968</v>
      </c>
      <c r="E400" s="43" t="s">
        <v>969</v>
      </c>
      <c r="F400" t="s">
        <v>57</v>
      </c>
    </row>
    <row r="401" spans="1:6" ht="14.25" customHeight="1">
      <c r="A401" s="45"/>
      <c r="D401" s="42" t="s">
        <v>970</v>
      </c>
      <c r="E401" s="43" t="s">
        <v>971</v>
      </c>
      <c r="F401" t="s">
        <v>57</v>
      </c>
    </row>
    <row r="402" spans="1:6" ht="14.25" customHeight="1">
      <c r="A402" s="45"/>
      <c r="D402" s="42" t="s">
        <v>972</v>
      </c>
      <c r="E402" s="43" t="s">
        <v>973</v>
      </c>
      <c r="F402" t="s">
        <v>57</v>
      </c>
    </row>
    <row r="403" spans="1:6" ht="14.25" customHeight="1">
      <c r="A403" s="45"/>
      <c r="D403" s="42" t="s">
        <v>974</v>
      </c>
      <c r="E403" s="43" t="s">
        <v>975</v>
      </c>
      <c r="F403" t="s">
        <v>57</v>
      </c>
    </row>
    <row r="404" spans="1:6" ht="14.25" customHeight="1">
      <c r="A404" s="45"/>
      <c r="D404" s="42" t="s">
        <v>976</v>
      </c>
      <c r="E404" s="43" t="s">
        <v>977</v>
      </c>
      <c r="F404" t="s">
        <v>57</v>
      </c>
    </row>
    <row r="405" spans="1:6" ht="14.25" customHeight="1">
      <c r="A405" s="45"/>
      <c r="D405" s="42" t="s">
        <v>978</v>
      </c>
      <c r="E405" s="43" t="s">
        <v>979</v>
      </c>
      <c r="F405" t="s">
        <v>57</v>
      </c>
    </row>
    <row r="406" spans="1:6" ht="14.25" customHeight="1">
      <c r="A406" s="45"/>
      <c r="D406" s="42" t="s">
        <v>980</v>
      </c>
      <c r="E406" s="43" t="s">
        <v>981</v>
      </c>
      <c r="F406" t="s">
        <v>57</v>
      </c>
    </row>
    <row r="407" spans="1:6" ht="14.25" customHeight="1">
      <c r="A407" s="45"/>
      <c r="D407" s="42" t="s">
        <v>982</v>
      </c>
      <c r="E407" s="43" t="s">
        <v>983</v>
      </c>
      <c r="F407" t="s">
        <v>57</v>
      </c>
    </row>
    <row r="408" spans="1:6" ht="14.25" customHeight="1">
      <c r="A408" s="45"/>
      <c r="D408" s="42" t="s">
        <v>984</v>
      </c>
      <c r="E408" s="43" t="s">
        <v>985</v>
      </c>
      <c r="F408" t="s">
        <v>57</v>
      </c>
    </row>
    <row r="409" spans="1:6" ht="14.25" customHeight="1">
      <c r="A409" s="45"/>
      <c r="D409" s="42" t="s">
        <v>986</v>
      </c>
      <c r="E409" s="43" t="s">
        <v>987</v>
      </c>
      <c r="F409" t="s">
        <v>57</v>
      </c>
    </row>
    <row r="410" spans="1:6" ht="14.25" customHeight="1">
      <c r="A410" s="45"/>
      <c r="D410" s="42" t="s">
        <v>988</v>
      </c>
      <c r="E410" s="43" t="s">
        <v>989</v>
      </c>
      <c r="F410" t="s">
        <v>57</v>
      </c>
    </row>
    <row r="411" spans="1:6" ht="14.25" customHeight="1">
      <c r="A411" s="45"/>
      <c r="D411" s="42" t="s">
        <v>990</v>
      </c>
      <c r="E411" s="43" t="s">
        <v>991</v>
      </c>
      <c r="F411" t="s">
        <v>57</v>
      </c>
    </row>
    <row r="412" spans="1:6" ht="14.25" customHeight="1">
      <c r="A412" s="45"/>
      <c r="D412" s="42" t="s">
        <v>992</v>
      </c>
      <c r="E412" s="43" t="s">
        <v>993</v>
      </c>
      <c r="F412" t="s">
        <v>57</v>
      </c>
    </row>
    <row r="413" spans="1:6" ht="14.25" customHeight="1">
      <c r="A413" s="45"/>
      <c r="D413" s="42" t="s">
        <v>994</v>
      </c>
      <c r="E413" s="43" t="s">
        <v>995</v>
      </c>
      <c r="F413" t="s">
        <v>57</v>
      </c>
    </row>
    <row r="414" spans="1:6" ht="14.25" customHeight="1">
      <c r="A414" s="45"/>
      <c r="D414" s="42" t="s">
        <v>996</v>
      </c>
      <c r="E414" s="43" t="s">
        <v>997</v>
      </c>
      <c r="F414" t="s">
        <v>57</v>
      </c>
    </row>
    <row r="415" spans="1:6" ht="14.25" customHeight="1">
      <c r="A415" s="45"/>
      <c r="D415" s="42" t="s">
        <v>998</v>
      </c>
      <c r="E415" s="43" t="s">
        <v>999</v>
      </c>
      <c r="F415" t="s">
        <v>57</v>
      </c>
    </row>
    <row r="416" spans="1:6" ht="14.25" customHeight="1">
      <c r="A416" s="45"/>
      <c r="D416" s="42" t="s">
        <v>1000</v>
      </c>
      <c r="E416" s="43" t="s">
        <v>1001</v>
      </c>
      <c r="F416" t="s">
        <v>57</v>
      </c>
    </row>
    <row r="417" spans="1:6" ht="14.25" customHeight="1">
      <c r="A417" s="45"/>
      <c r="D417" s="42" t="s">
        <v>1002</v>
      </c>
      <c r="E417" s="43" t="s">
        <v>1003</v>
      </c>
      <c r="F417" t="s">
        <v>57</v>
      </c>
    </row>
    <row r="418" spans="1:6" ht="14.25" customHeight="1">
      <c r="A418" s="45"/>
      <c r="D418" s="42" t="s">
        <v>1004</v>
      </c>
      <c r="E418" s="43" t="s">
        <v>1005</v>
      </c>
      <c r="F418" t="s">
        <v>57</v>
      </c>
    </row>
    <row r="419" spans="1:6" ht="14.25" customHeight="1">
      <c r="A419" s="45"/>
      <c r="D419" s="42" t="s">
        <v>1006</v>
      </c>
      <c r="E419" s="43" t="s">
        <v>1007</v>
      </c>
      <c r="F419" t="s">
        <v>57</v>
      </c>
    </row>
    <row r="420" spans="1:6" ht="14.25" customHeight="1">
      <c r="A420" s="45"/>
      <c r="D420" s="42" t="s">
        <v>1008</v>
      </c>
      <c r="E420" s="43" t="s">
        <v>1009</v>
      </c>
      <c r="F420" t="s">
        <v>57</v>
      </c>
    </row>
    <row r="421" spans="1:6" ht="14.25" customHeight="1">
      <c r="A421" s="45"/>
      <c r="D421" s="42" t="s">
        <v>1010</v>
      </c>
      <c r="E421" s="43" t="s">
        <v>1011</v>
      </c>
      <c r="F421" t="s">
        <v>57</v>
      </c>
    </row>
    <row r="422" spans="1:6" ht="14.25" customHeight="1">
      <c r="A422" s="45"/>
      <c r="D422" s="42" t="s">
        <v>1012</v>
      </c>
      <c r="E422" s="43" t="s">
        <v>1013</v>
      </c>
      <c r="F422" t="s">
        <v>57</v>
      </c>
    </row>
    <row r="423" spans="1:6" ht="14.25" customHeight="1">
      <c r="A423" s="45"/>
      <c r="D423" s="42" t="s">
        <v>1014</v>
      </c>
      <c r="E423" s="43" t="s">
        <v>1015</v>
      </c>
      <c r="F423" t="s">
        <v>57</v>
      </c>
    </row>
    <row r="424" spans="1:6" ht="14.25" customHeight="1">
      <c r="A424" s="45"/>
      <c r="D424" s="42" t="s">
        <v>1016</v>
      </c>
      <c r="E424" s="43" t="s">
        <v>1017</v>
      </c>
      <c r="F424" t="s">
        <v>57</v>
      </c>
    </row>
    <row r="425" spans="1:6" ht="14.25" customHeight="1">
      <c r="A425" s="45"/>
      <c r="D425" s="42" t="s">
        <v>1018</v>
      </c>
      <c r="E425" s="43" t="s">
        <v>1019</v>
      </c>
      <c r="F425" t="s">
        <v>57</v>
      </c>
    </row>
    <row r="426" spans="1:6" ht="14.25" customHeight="1">
      <c r="A426" s="45"/>
      <c r="D426" s="42" t="s">
        <v>1020</v>
      </c>
      <c r="E426" s="43" t="s">
        <v>1021</v>
      </c>
      <c r="F426" t="s">
        <v>57</v>
      </c>
    </row>
    <row r="427" spans="1:6" ht="14.25" customHeight="1">
      <c r="A427" s="45"/>
      <c r="D427" s="42" t="s">
        <v>1022</v>
      </c>
      <c r="E427" s="43" t="s">
        <v>1023</v>
      </c>
      <c r="F427" t="s">
        <v>57</v>
      </c>
    </row>
    <row r="428" spans="1:6" ht="14.25" customHeight="1">
      <c r="A428" s="45"/>
      <c r="D428" s="42" t="s">
        <v>1024</v>
      </c>
      <c r="E428" s="43" t="s">
        <v>1025</v>
      </c>
      <c r="F428" t="s">
        <v>57</v>
      </c>
    </row>
    <row r="429" spans="1:6" ht="14.25" customHeight="1">
      <c r="A429" s="45"/>
      <c r="D429" s="42" t="s">
        <v>1026</v>
      </c>
      <c r="E429" s="43" t="s">
        <v>1027</v>
      </c>
      <c r="F429" t="s">
        <v>57</v>
      </c>
    </row>
    <row r="430" spans="1:6" ht="14.25" customHeight="1">
      <c r="A430" s="45"/>
      <c r="D430" s="42" t="s">
        <v>1028</v>
      </c>
      <c r="E430" s="43" t="s">
        <v>1029</v>
      </c>
      <c r="F430" t="s">
        <v>57</v>
      </c>
    </row>
    <row r="431" spans="1:6" ht="14.25" customHeight="1">
      <c r="A431" s="45"/>
      <c r="D431" s="42" t="s">
        <v>1030</v>
      </c>
      <c r="E431" s="43" t="s">
        <v>1031</v>
      </c>
      <c r="F431" t="s">
        <v>57</v>
      </c>
    </row>
    <row r="432" spans="1:6" ht="14.25" customHeight="1">
      <c r="A432" s="45"/>
      <c r="D432" s="42" t="s">
        <v>1032</v>
      </c>
      <c r="E432" s="43" t="s">
        <v>1033</v>
      </c>
      <c r="F432" t="s">
        <v>57</v>
      </c>
    </row>
    <row r="433" spans="1:6" ht="14.25" customHeight="1">
      <c r="A433" s="45"/>
      <c r="D433" s="42" t="s">
        <v>1034</v>
      </c>
      <c r="E433" s="43" t="s">
        <v>1035</v>
      </c>
      <c r="F433" t="s">
        <v>57</v>
      </c>
    </row>
    <row r="434" spans="1:6" ht="14.25" customHeight="1">
      <c r="A434" s="45"/>
      <c r="D434" s="42" t="s">
        <v>1036</v>
      </c>
      <c r="E434" s="43" t="s">
        <v>1037</v>
      </c>
      <c r="F434" t="s">
        <v>57</v>
      </c>
    </row>
    <row r="435" spans="1:6" ht="14.25" customHeight="1">
      <c r="A435" s="45"/>
      <c r="D435" s="42" t="s">
        <v>1038</v>
      </c>
      <c r="E435" s="43" t="s">
        <v>1039</v>
      </c>
      <c r="F435" t="s">
        <v>57</v>
      </c>
    </row>
    <row r="436" spans="1:6" ht="14.25" customHeight="1">
      <c r="A436" s="45"/>
      <c r="D436" s="42" t="s">
        <v>1040</v>
      </c>
      <c r="E436" s="43" t="s">
        <v>1041</v>
      </c>
      <c r="F436" t="s">
        <v>57</v>
      </c>
    </row>
    <row r="437" spans="1:6" ht="14.25" customHeight="1">
      <c r="A437" s="45"/>
      <c r="D437" s="42" t="s">
        <v>1042</v>
      </c>
      <c r="E437" s="43" t="s">
        <v>1043</v>
      </c>
      <c r="F437" t="s">
        <v>57</v>
      </c>
    </row>
    <row r="438" spans="1:6" ht="14.25" customHeight="1">
      <c r="A438" s="45"/>
      <c r="D438" s="42" t="s">
        <v>1044</v>
      </c>
      <c r="E438" s="43" t="s">
        <v>1045</v>
      </c>
      <c r="F438" t="s">
        <v>57</v>
      </c>
    </row>
    <row r="439" spans="1:6" ht="14.25" customHeight="1">
      <c r="A439" s="45"/>
      <c r="D439" s="42" t="s">
        <v>1046</v>
      </c>
      <c r="E439" s="43" t="s">
        <v>1047</v>
      </c>
      <c r="F439" t="s">
        <v>57</v>
      </c>
    </row>
    <row r="440" spans="1:6" ht="14.25" customHeight="1">
      <c r="A440" s="45"/>
      <c r="D440" s="42" t="s">
        <v>1048</v>
      </c>
      <c r="E440" s="43" t="s">
        <v>1049</v>
      </c>
      <c r="F440" t="s">
        <v>57</v>
      </c>
    </row>
    <row r="441" spans="1:6" ht="14.25" customHeight="1">
      <c r="A441" s="45"/>
      <c r="D441" s="42" t="s">
        <v>1050</v>
      </c>
      <c r="E441" s="43" t="s">
        <v>1051</v>
      </c>
      <c r="F441" t="s">
        <v>57</v>
      </c>
    </row>
    <row r="442" spans="1:6" ht="14.25" customHeight="1">
      <c r="A442" s="45"/>
      <c r="D442" s="42" t="s">
        <v>1052</v>
      </c>
      <c r="E442" s="43" t="s">
        <v>1053</v>
      </c>
      <c r="F442" t="s">
        <v>57</v>
      </c>
    </row>
    <row r="443" spans="1:6" ht="14.25" customHeight="1">
      <c r="A443" s="45"/>
      <c r="D443" s="42" t="s">
        <v>1054</v>
      </c>
      <c r="E443" s="43" t="s">
        <v>1055</v>
      </c>
      <c r="F443" t="s">
        <v>57</v>
      </c>
    </row>
    <row r="444" spans="1:6" ht="14.25" customHeight="1">
      <c r="A444" s="45"/>
      <c r="D444" s="42" t="s">
        <v>1056</v>
      </c>
      <c r="E444" s="43" t="s">
        <v>1057</v>
      </c>
      <c r="F444" t="s">
        <v>57</v>
      </c>
    </row>
    <row r="445" spans="1:6" ht="14.25" customHeight="1">
      <c r="A445" s="45"/>
      <c r="D445" s="42" t="s">
        <v>1058</v>
      </c>
      <c r="E445" s="43" t="s">
        <v>1059</v>
      </c>
      <c r="F445" t="s">
        <v>57</v>
      </c>
    </row>
    <row r="446" spans="1:6" ht="14.25" customHeight="1">
      <c r="A446" s="45"/>
      <c r="D446" s="42" t="s">
        <v>1060</v>
      </c>
      <c r="E446" s="43" t="s">
        <v>1061</v>
      </c>
      <c r="F446" t="s">
        <v>57</v>
      </c>
    </row>
    <row r="447" spans="1:6" ht="14.25" customHeight="1">
      <c r="A447" s="45"/>
      <c r="D447" s="42" t="s">
        <v>1062</v>
      </c>
      <c r="E447" s="43" t="s">
        <v>1063</v>
      </c>
      <c r="F447" t="s">
        <v>57</v>
      </c>
    </row>
    <row r="448" spans="1:6" ht="14.25" customHeight="1">
      <c r="A448" s="45"/>
      <c r="D448" s="42" t="s">
        <v>1064</v>
      </c>
      <c r="E448" s="43" t="s">
        <v>1065</v>
      </c>
      <c r="F448" t="s">
        <v>57</v>
      </c>
    </row>
    <row r="449" spans="1:6" ht="14.25" customHeight="1">
      <c r="A449" s="45"/>
      <c r="D449" s="42" t="s">
        <v>1066</v>
      </c>
      <c r="E449" s="43" t="s">
        <v>1067</v>
      </c>
      <c r="F449" t="s">
        <v>57</v>
      </c>
    </row>
    <row r="450" spans="1:6" ht="14.25" customHeight="1">
      <c r="A450" s="45"/>
      <c r="D450" s="42" t="s">
        <v>1068</v>
      </c>
      <c r="E450" s="43" t="s">
        <v>1069</v>
      </c>
      <c r="F450" t="s">
        <v>57</v>
      </c>
    </row>
    <row r="451" spans="1:6" ht="14.25" customHeight="1">
      <c r="A451" s="45"/>
      <c r="D451" s="42" t="s">
        <v>1070</v>
      </c>
      <c r="E451" s="43" t="s">
        <v>1071</v>
      </c>
      <c r="F451" t="s">
        <v>57</v>
      </c>
    </row>
    <row r="452" spans="1:6" ht="14.25" customHeight="1">
      <c r="A452" s="45"/>
      <c r="D452" s="42" t="s">
        <v>1072</v>
      </c>
      <c r="E452" s="43" t="s">
        <v>1073</v>
      </c>
      <c r="F452" t="s">
        <v>57</v>
      </c>
    </row>
    <row r="453" spans="1:6" ht="14.25" customHeight="1">
      <c r="A453" s="45"/>
      <c r="D453" s="42" t="s">
        <v>1074</v>
      </c>
      <c r="E453" s="43" t="s">
        <v>1075</v>
      </c>
      <c r="F453" t="s">
        <v>57</v>
      </c>
    </row>
    <row r="454" spans="1:6" ht="14.25" customHeight="1">
      <c r="A454" s="45"/>
      <c r="D454" s="42" t="s">
        <v>1076</v>
      </c>
      <c r="E454" s="43" t="s">
        <v>1077</v>
      </c>
      <c r="F454" t="s">
        <v>57</v>
      </c>
    </row>
    <row r="455" spans="1:6" ht="14.25" customHeight="1">
      <c r="A455" s="45"/>
      <c r="D455" s="42" t="s">
        <v>1078</v>
      </c>
      <c r="E455" s="43" t="s">
        <v>1079</v>
      </c>
      <c r="F455" t="s">
        <v>57</v>
      </c>
    </row>
    <row r="456" spans="1:6" ht="14.25" customHeight="1">
      <c r="A456" s="45"/>
      <c r="D456" s="42" t="s">
        <v>1080</v>
      </c>
      <c r="E456" s="43" t="s">
        <v>1081</v>
      </c>
      <c r="F456" t="s">
        <v>57</v>
      </c>
    </row>
    <row r="457" spans="1:6" ht="14.25" customHeight="1">
      <c r="A457" s="45"/>
      <c r="D457" s="42" t="s">
        <v>1082</v>
      </c>
      <c r="E457" s="43" t="s">
        <v>1083</v>
      </c>
      <c r="F457" t="s">
        <v>57</v>
      </c>
    </row>
    <row r="458" spans="1:6" ht="14.25" customHeight="1">
      <c r="A458" s="45"/>
      <c r="D458" s="42" t="s">
        <v>1084</v>
      </c>
      <c r="E458" s="43" t="s">
        <v>1085</v>
      </c>
      <c r="F458" t="s">
        <v>57</v>
      </c>
    </row>
    <row r="459" spans="1:6" ht="14.25" customHeight="1">
      <c r="A459" s="45"/>
      <c r="D459" s="42" t="s">
        <v>1086</v>
      </c>
      <c r="E459" s="43" t="s">
        <v>1087</v>
      </c>
      <c r="F459" t="s">
        <v>57</v>
      </c>
    </row>
    <row r="460" spans="1:6" ht="14.25" customHeight="1">
      <c r="A460" s="45"/>
      <c r="D460" s="42" t="s">
        <v>1088</v>
      </c>
      <c r="E460" s="43" t="s">
        <v>1089</v>
      </c>
      <c r="F460" t="s">
        <v>57</v>
      </c>
    </row>
    <row r="461" spans="1:6" ht="14.25" customHeight="1">
      <c r="A461" s="45"/>
      <c r="D461" s="42" t="s">
        <v>1090</v>
      </c>
      <c r="E461" s="43" t="s">
        <v>1091</v>
      </c>
      <c r="F461" t="s">
        <v>57</v>
      </c>
    </row>
    <row r="462" spans="1:6" ht="14.25" customHeight="1">
      <c r="A462" s="45"/>
      <c r="D462" s="42" t="s">
        <v>1092</v>
      </c>
      <c r="E462" s="43" t="s">
        <v>1093</v>
      </c>
      <c r="F462" t="s">
        <v>57</v>
      </c>
    </row>
    <row r="463" spans="1:6" ht="14.25" customHeight="1">
      <c r="A463" s="45"/>
      <c r="D463" s="42" t="s">
        <v>1094</v>
      </c>
      <c r="E463" s="43" t="s">
        <v>1095</v>
      </c>
      <c r="F463" t="s">
        <v>57</v>
      </c>
    </row>
    <row r="464" spans="1:6" ht="14.25" customHeight="1">
      <c r="A464" s="45"/>
      <c r="D464" s="42" t="s">
        <v>1096</v>
      </c>
      <c r="E464" s="43" t="s">
        <v>1097</v>
      </c>
      <c r="F464" t="s">
        <v>57</v>
      </c>
    </row>
    <row r="465" spans="1:6" ht="14.25" customHeight="1">
      <c r="A465" s="45"/>
      <c r="D465" s="42" t="s">
        <v>1098</v>
      </c>
      <c r="E465" s="43" t="s">
        <v>1099</v>
      </c>
      <c r="F465" t="s">
        <v>57</v>
      </c>
    </row>
    <row r="466" spans="1:6" ht="14.25" customHeight="1">
      <c r="A466" s="45"/>
      <c r="D466" s="42" t="s">
        <v>1100</v>
      </c>
      <c r="E466" s="43" t="s">
        <v>1101</v>
      </c>
      <c r="F466" t="s">
        <v>57</v>
      </c>
    </row>
    <row r="467" spans="1:6" ht="14.25" customHeight="1">
      <c r="A467" s="45"/>
      <c r="D467" s="42" t="s">
        <v>1102</v>
      </c>
      <c r="E467" s="43" t="s">
        <v>1103</v>
      </c>
      <c r="F467" t="s">
        <v>57</v>
      </c>
    </row>
    <row r="468" spans="1:6" ht="14.25" customHeight="1">
      <c r="A468" s="45"/>
      <c r="D468" s="42" t="s">
        <v>1104</v>
      </c>
      <c r="E468" s="43" t="s">
        <v>1105</v>
      </c>
      <c r="F468" t="s">
        <v>57</v>
      </c>
    </row>
    <row r="469" spans="1:6" ht="14.25" customHeight="1">
      <c r="A469" s="45"/>
      <c r="D469" s="42" t="s">
        <v>1106</v>
      </c>
      <c r="E469" s="43" t="s">
        <v>1107</v>
      </c>
      <c r="F469" t="s">
        <v>57</v>
      </c>
    </row>
    <row r="470" spans="1:6" ht="14.25" customHeight="1">
      <c r="A470" s="45"/>
      <c r="D470" s="42" t="s">
        <v>1108</v>
      </c>
      <c r="E470" s="43" t="s">
        <v>1109</v>
      </c>
      <c r="F470" t="s">
        <v>57</v>
      </c>
    </row>
    <row r="471" spans="1:6" ht="14.25" customHeight="1">
      <c r="A471" s="45"/>
      <c r="D471" s="42" t="s">
        <v>1110</v>
      </c>
      <c r="E471" s="43" t="s">
        <v>1111</v>
      </c>
      <c r="F471" t="s">
        <v>57</v>
      </c>
    </row>
    <row r="472" spans="1:6" ht="14.25" customHeight="1">
      <c r="A472" s="45"/>
      <c r="D472" s="42" t="s">
        <v>1112</v>
      </c>
      <c r="E472" s="43" t="s">
        <v>1113</v>
      </c>
      <c r="F472" t="s">
        <v>57</v>
      </c>
    </row>
    <row r="473" spans="1:6" ht="14.25" customHeight="1">
      <c r="A473" s="45"/>
      <c r="D473" s="42" t="s">
        <v>1114</v>
      </c>
      <c r="E473" s="43" t="s">
        <v>1115</v>
      </c>
      <c r="F473" t="s">
        <v>57</v>
      </c>
    </row>
    <row r="474" spans="1:6" ht="14.25" customHeight="1">
      <c r="A474" s="45"/>
      <c r="D474" s="42" t="s">
        <v>1116</v>
      </c>
      <c r="E474" s="43" t="s">
        <v>1117</v>
      </c>
      <c r="F474" t="s">
        <v>57</v>
      </c>
    </row>
    <row r="475" spans="1:6" ht="14.25" customHeight="1">
      <c r="A475" s="45"/>
      <c r="D475" s="42" t="s">
        <v>1118</v>
      </c>
      <c r="E475" s="43" t="s">
        <v>1119</v>
      </c>
      <c r="F475" t="s">
        <v>57</v>
      </c>
    </row>
    <row r="476" spans="1:6" ht="14.25" customHeight="1">
      <c r="A476" s="45"/>
      <c r="D476" s="42" t="s">
        <v>1120</v>
      </c>
      <c r="E476" s="43" t="s">
        <v>1121</v>
      </c>
      <c r="F476" t="s">
        <v>57</v>
      </c>
    </row>
    <row r="477" spans="1:6" ht="14.25" customHeight="1">
      <c r="A477" s="45"/>
      <c r="D477" s="42" t="s">
        <v>1122</v>
      </c>
      <c r="E477" s="43" t="s">
        <v>1123</v>
      </c>
      <c r="F477" t="s">
        <v>57</v>
      </c>
    </row>
    <row r="478" spans="1:6" ht="14.25" customHeight="1">
      <c r="A478" s="45"/>
      <c r="D478" s="42" t="s">
        <v>1124</v>
      </c>
      <c r="E478" s="43" t="s">
        <v>1125</v>
      </c>
      <c r="F478" t="s">
        <v>57</v>
      </c>
    </row>
    <row r="479" spans="1:6" ht="14.25" customHeight="1">
      <c r="A479" s="45"/>
      <c r="D479" s="42" t="s">
        <v>1126</v>
      </c>
      <c r="E479" s="43" t="s">
        <v>1127</v>
      </c>
      <c r="F479" t="s">
        <v>57</v>
      </c>
    </row>
    <row r="480" spans="1:6" ht="14.25" customHeight="1">
      <c r="A480" s="45"/>
      <c r="D480" s="42" t="s">
        <v>1128</v>
      </c>
      <c r="E480" s="43" t="s">
        <v>1129</v>
      </c>
      <c r="F480" t="s">
        <v>57</v>
      </c>
    </row>
    <row r="481" spans="1:6" ht="14.25" customHeight="1">
      <c r="A481" s="45"/>
      <c r="D481" s="42" t="s">
        <v>1130</v>
      </c>
      <c r="E481" s="43" t="s">
        <v>1131</v>
      </c>
      <c r="F481" t="s">
        <v>57</v>
      </c>
    </row>
    <row r="482" spans="1:6" ht="14.25" customHeight="1">
      <c r="A482" s="45"/>
      <c r="D482" s="42" t="s">
        <v>1132</v>
      </c>
      <c r="E482" s="43" t="s">
        <v>1133</v>
      </c>
      <c r="F482" t="s">
        <v>57</v>
      </c>
    </row>
    <row r="483" spans="1:6" ht="14.25" customHeight="1">
      <c r="A483" s="45"/>
      <c r="D483" s="42" t="s">
        <v>1134</v>
      </c>
      <c r="E483" s="43" t="s">
        <v>1135</v>
      </c>
      <c r="F483" t="s">
        <v>57</v>
      </c>
    </row>
    <row r="484" spans="1:6" ht="14.25" customHeight="1">
      <c r="A484" s="45"/>
      <c r="D484" s="42" t="s">
        <v>1136</v>
      </c>
      <c r="E484" s="43" t="s">
        <v>1137</v>
      </c>
      <c r="F484" t="s">
        <v>57</v>
      </c>
    </row>
    <row r="485" spans="1:6" ht="14.25" customHeight="1">
      <c r="A485" s="45"/>
      <c r="D485" s="42" t="s">
        <v>1138</v>
      </c>
      <c r="E485" s="43" t="s">
        <v>1139</v>
      </c>
      <c r="F485" t="s">
        <v>57</v>
      </c>
    </row>
    <row r="486" spans="1:6" ht="14.25" customHeight="1">
      <c r="A486" s="45"/>
      <c r="D486" s="42" t="s">
        <v>1140</v>
      </c>
      <c r="E486" s="43" t="s">
        <v>1141</v>
      </c>
      <c r="F486" t="s">
        <v>57</v>
      </c>
    </row>
    <row r="487" spans="1:6" ht="14.25" customHeight="1">
      <c r="A487" s="45"/>
      <c r="D487" s="42" t="s">
        <v>1142</v>
      </c>
      <c r="E487" s="43" t="s">
        <v>1143</v>
      </c>
      <c r="F487" t="s">
        <v>57</v>
      </c>
    </row>
    <row r="488" spans="1:6" ht="14.25" customHeight="1">
      <c r="A488" s="45"/>
      <c r="D488" s="42" t="s">
        <v>1144</v>
      </c>
      <c r="E488" s="43" t="s">
        <v>1145</v>
      </c>
      <c r="F488" t="s">
        <v>57</v>
      </c>
    </row>
    <row r="489" spans="1:6" ht="14.25" customHeight="1">
      <c r="A489" s="45"/>
      <c r="D489" s="42" t="s">
        <v>1146</v>
      </c>
      <c r="E489" s="43" t="s">
        <v>1147</v>
      </c>
      <c r="F489" t="s">
        <v>57</v>
      </c>
    </row>
    <row r="490" spans="1:6" ht="14.25" customHeight="1">
      <c r="A490" s="45"/>
      <c r="D490" s="42" t="s">
        <v>1148</v>
      </c>
      <c r="E490" s="43" t="s">
        <v>1149</v>
      </c>
      <c r="F490" t="s">
        <v>57</v>
      </c>
    </row>
    <row r="491" spans="1:6" ht="14.25" customHeight="1">
      <c r="A491" s="45"/>
      <c r="D491" s="42" t="s">
        <v>1150</v>
      </c>
      <c r="E491" s="43" t="s">
        <v>1151</v>
      </c>
      <c r="F491" t="s">
        <v>57</v>
      </c>
    </row>
    <row r="492" spans="1:6" ht="14.25" customHeight="1">
      <c r="A492" s="45"/>
      <c r="D492" s="42" t="s">
        <v>1152</v>
      </c>
      <c r="E492" s="43" t="s">
        <v>1153</v>
      </c>
      <c r="F492" t="s">
        <v>57</v>
      </c>
    </row>
    <row r="493" spans="1:6" ht="14.25" customHeight="1">
      <c r="A493" s="45"/>
      <c r="D493" s="42" t="s">
        <v>1154</v>
      </c>
      <c r="E493" s="43" t="s">
        <v>1155</v>
      </c>
      <c r="F493" t="s">
        <v>57</v>
      </c>
    </row>
    <row r="494" spans="1:6" ht="14.25" customHeight="1">
      <c r="A494" s="45"/>
      <c r="D494" s="42" t="s">
        <v>1156</v>
      </c>
      <c r="E494" s="43" t="s">
        <v>1157</v>
      </c>
      <c r="F494" t="s">
        <v>57</v>
      </c>
    </row>
    <row r="495" spans="1:6" ht="14.25" customHeight="1">
      <c r="A495" s="45"/>
      <c r="D495" s="42" t="s">
        <v>1158</v>
      </c>
      <c r="E495" s="43" t="s">
        <v>1159</v>
      </c>
      <c r="F495" t="s">
        <v>57</v>
      </c>
    </row>
    <row r="496" spans="1:6" ht="14.25" customHeight="1">
      <c r="A496" s="45"/>
      <c r="D496" s="42" t="s">
        <v>1160</v>
      </c>
      <c r="E496" s="43" t="s">
        <v>1161</v>
      </c>
      <c r="F496" t="s">
        <v>57</v>
      </c>
    </row>
    <row r="497" spans="1:6" ht="14.25" customHeight="1">
      <c r="A497" s="45"/>
      <c r="D497" s="42" t="s">
        <v>1162</v>
      </c>
      <c r="E497" s="43" t="s">
        <v>1163</v>
      </c>
      <c r="F497" t="s">
        <v>57</v>
      </c>
    </row>
    <row r="498" spans="1:6" ht="14.25" customHeight="1">
      <c r="A498" s="45"/>
      <c r="D498" s="42" t="s">
        <v>1164</v>
      </c>
      <c r="E498" s="43" t="s">
        <v>1165</v>
      </c>
      <c r="F498" t="s">
        <v>57</v>
      </c>
    </row>
    <row r="499" spans="1:6" ht="14.25" customHeight="1">
      <c r="A499" s="45"/>
      <c r="D499" s="42" t="s">
        <v>1166</v>
      </c>
      <c r="E499" s="43" t="s">
        <v>1167</v>
      </c>
      <c r="F499" t="s">
        <v>57</v>
      </c>
    </row>
    <row r="500" spans="1:6" ht="14.25" customHeight="1">
      <c r="A500" s="45"/>
      <c r="D500" s="42" t="s">
        <v>1168</v>
      </c>
      <c r="E500" s="43" t="s">
        <v>1169</v>
      </c>
      <c r="F500" t="s">
        <v>57</v>
      </c>
    </row>
    <row r="501" spans="1:6" ht="14.25" customHeight="1">
      <c r="A501" s="45"/>
      <c r="D501" s="42" t="s">
        <v>1170</v>
      </c>
      <c r="E501" s="43" t="s">
        <v>1171</v>
      </c>
      <c r="F501" t="s">
        <v>57</v>
      </c>
    </row>
    <row r="502" spans="1:6" ht="14.25" customHeight="1">
      <c r="A502" s="45"/>
      <c r="D502" s="42" t="s">
        <v>1172</v>
      </c>
      <c r="E502" s="43" t="s">
        <v>1173</v>
      </c>
      <c r="F502" t="s">
        <v>57</v>
      </c>
    </row>
    <row r="503" spans="1:6" ht="14.25" customHeight="1">
      <c r="A503" s="45"/>
      <c r="D503" s="42" t="s">
        <v>1174</v>
      </c>
      <c r="E503" s="43" t="s">
        <v>1175</v>
      </c>
      <c r="F503" t="s">
        <v>57</v>
      </c>
    </row>
    <row r="504" spans="1:6" ht="14.25" customHeight="1">
      <c r="A504" s="45"/>
      <c r="D504" s="42" t="s">
        <v>1176</v>
      </c>
      <c r="E504" s="43" t="s">
        <v>1177</v>
      </c>
      <c r="F504" t="s">
        <v>57</v>
      </c>
    </row>
    <row r="505" spans="1:6" ht="14.25" customHeight="1">
      <c r="A505" s="45"/>
      <c r="D505" s="42" t="s">
        <v>1178</v>
      </c>
      <c r="E505" s="43" t="s">
        <v>1179</v>
      </c>
      <c r="F505" t="s">
        <v>57</v>
      </c>
    </row>
    <row r="506" spans="1:6" ht="14.25" customHeight="1">
      <c r="A506" s="45"/>
      <c r="D506" s="42" t="s">
        <v>1180</v>
      </c>
      <c r="E506" s="43" t="s">
        <v>1181</v>
      </c>
      <c r="F506" t="s">
        <v>57</v>
      </c>
    </row>
    <row r="507" spans="1:6" ht="14.25" customHeight="1">
      <c r="A507" s="45"/>
      <c r="D507" s="42" t="s">
        <v>1182</v>
      </c>
      <c r="E507" s="43" t="s">
        <v>1183</v>
      </c>
      <c r="F507" t="s">
        <v>57</v>
      </c>
    </row>
    <row r="508" spans="1:6" ht="14.25" customHeight="1">
      <c r="A508" s="45"/>
      <c r="D508" s="42" t="s">
        <v>1184</v>
      </c>
      <c r="E508" s="43" t="s">
        <v>1185</v>
      </c>
      <c r="F508" t="s">
        <v>57</v>
      </c>
    </row>
    <row r="509" spans="1:6" ht="14.25" customHeight="1">
      <c r="A509" s="45"/>
      <c r="D509" s="42" t="s">
        <v>1186</v>
      </c>
      <c r="E509" s="43" t="s">
        <v>1187</v>
      </c>
      <c r="F509" t="s">
        <v>57</v>
      </c>
    </row>
    <row r="510" spans="1:6" ht="14.25" customHeight="1">
      <c r="A510" s="45"/>
      <c r="D510" s="42" t="s">
        <v>1188</v>
      </c>
      <c r="E510" s="43" t="s">
        <v>1189</v>
      </c>
      <c r="F510" t="s">
        <v>57</v>
      </c>
    </row>
    <row r="511" spans="1:6" ht="14.25" customHeight="1">
      <c r="A511" s="45"/>
      <c r="D511" s="42" t="s">
        <v>1190</v>
      </c>
      <c r="E511" s="43" t="s">
        <v>1191</v>
      </c>
      <c r="F511" t="s">
        <v>57</v>
      </c>
    </row>
    <row r="512" spans="1:6" ht="14.25" customHeight="1">
      <c r="A512" s="45"/>
      <c r="D512" s="42" t="s">
        <v>1192</v>
      </c>
      <c r="E512" s="43" t="s">
        <v>1193</v>
      </c>
      <c r="F512" t="s">
        <v>57</v>
      </c>
    </row>
    <row r="513" spans="1:6" ht="14.25" customHeight="1">
      <c r="A513" s="45"/>
      <c r="D513" s="42" t="s">
        <v>1194</v>
      </c>
      <c r="E513" s="43" t="s">
        <v>1195</v>
      </c>
      <c r="F513" t="s">
        <v>57</v>
      </c>
    </row>
    <row r="514" spans="1:6" ht="14.25" customHeight="1">
      <c r="A514" s="45"/>
      <c r="D514" s="42" t="s">
        <v>1196</v>
      </c>
      <c r="E514" s="43" t="s">
        <v>1197</v>
      </c>
      <c r="F514" t="s">
        <v>57</v>
      </c>
    </row>
    <row r="515" spans="1:6" ht="14.25" customHeight="1">
      <c r="A515" s="45"/>
      <c r="D515" s="42" t="s">
        <v>1198</v>
      </c>
      <c r="E515" s="43" t="s">
        <v>1199</v>
      </c>
      <c r="F515" t="s">
        <v>57</v>
      </c>
    </row>
    <row r="516" spans="1:6" ht="14.25" customHeight="1">
      <c r="A516" s="45"/>
      <c r="D516" s="42" t="s">
        <v>1200</v>
      </c>
      <c r="E516" s="43" t="s">
        <v>1201</v>
      </c>
      <c r="F516" t="s">
        <v>57</v>
      </c>
    </row>
    <row r="517" spans="1:6" ht="14.25" customHeight="1">
      <c r="A517" s="45"/>
      <c r="D517" s="42" t="s">
        <v>1202</v>
      </c>
      <c r="E517" s="43" t="s">
        <v>1203</v>
      </c>
      <c r="F517" t="s">
        <v>57</v>
      </c>
    </row>
    <row r="518" spans="1:6" ht="14.25" customHeight="1">
      <c r="A518" s="45"/>
      <c r="D518" s="42" t="s">
        <v>1204</v>
      </c>
      <c r="E518" s="43" t="s">
        <v>1205</v>
      </c>
      <c r="F518" t="s">
        <v>57</v>
      </c>
    </row>
    <row r="519" spans="1:6" ht="14.25" customHeight="1">
      <c r="A519" s="45"/>
      <c r="D519" s="42" t="s">
        <v>1206</v>
      </c>
      <c r="E519" s="43" t="s">
        <v>1207</v>
      </c>
      <c r="F519" t="s">
        <v>57</v>
      </c>
    </row>
    <row r="520" spans="1:6" ht="14.25" customHeight="1">
      <c r="A520" s="45"/>
      <c r="D520" s="42" t="s">
        <v>1208</v>
      </c>
      <c r="E520" s="43" t="s">
        <v>1209</v>
      </c>
      <c r="F520" t="s">
        <v>57</v>
      </c>
    </row>
    <row r="521" spans="1:6" ht="14.25" customHeight="1">
      <c r="A521" s="45"/>
      <c r="D521" s="42" t="s">
        <v>1210</v>
      </c>
      <c r="E521" s="43" t="s">
        <v>1211</v>
      </c>
      <c r="F521" t="s">
        <v>57</v>
      </c>
    </row>
    <row r="522" spans="1:6" ht="14.25" customHeight="1">
      <c r="A522" s="45"/>
      <c r="D522" s="42" t="s">
        <v>1212</v>
      </c>
      <c r="E522" s="43" t="s">
        <v>1213</v>
      </c>
      <c r="F522" t="s">
        <v>57</v>
      </c>
    </row>
    <row r="523" spans="1:6" ht="14.25" customHeight="1">
      <c r="A523" s="45"/>
      <c r="D523" s="42" t="s">
        <v>1214</v>
      </c>
      <c r="E523" s="43" t="s">
        <v>1215</v>
      </c>
      <c r="F523" t="s">
        <v>57</v>
      </c>
    </row>
    <row r="524" spans="1:6" ht="14.25" customHeight="1">
      <c r="A524" s="45"/>
      <c r="D524" s="42" t="s">
        <v>1216</v>
      </c>
      <c r="E524" s="43" t="s">
        <v>1217</v>
      </c>
      <c r="F524" t="s">
        <v>57</v>
      </c>
    </row>
    <row r="525" spans="1:6" ht="14.25" customHeight="1">
      <c r="A525" s="45"/>
      <c r="D525" s="42" t="s">
        <v>1218</v>
      </c>
      <c r="E525" s="43" t="s">
        <v>1219</v>
      </c>
      <c r="F525" t="s">
        <v>57</v>
      </c>
    </row>
    <row r="526" spans="1:6" ht="14.25" customHeight="1">
      <c r="A526" s="45"/>
      <c r="D526" s="42" t="s">
        <v>1220</v>
      </c>
      <c r="E526" s="43" t="s">
        <v>1221</v>
      </c>
      <c r="F526" t="s">
        <v>57</v>
      </c>
    </row>
    <row r="527" spans="1:6" ht="14.25" customHeight="1">
      <c r="A527" s="45"/>
      <c r="D527" s="42" t="s">
        <v>1222</v>
      </c>
      <c r="E527" s="43" t="s">
        <v>1223</v>
      </c>
      <c r="F527" t="s">
        <v>57</v>
      </c>
    </row>
    <row r="528" spans="1:6" ht="14.25" customHeight="1">
      <c r="A528" s="45"/>
      <c r="D528" s="42" t="s">
        <v>1224</v>
      </c>
      <c r="E528" s="43" t="s">
        <v>1225</v>
      </c>
      <c r="F528" t="s">
        <v>57</v>
      </c>
    </row>
    <row r="529" spans="1:6" ht="14.25" customHeight="1">
      <c r="A529" s="45"/>
      <c r="D529" s="42" t="s">
        <v>1226</v>
      </c>
      <c r="E529" s="43" t="s">
        <v>1227</v>
      </c>
      <c r="F529" t="s">
        <v>57</v>
      </c>
    </row>
    <row r="530" spans="1:6" ht="14.25" customHeight="1">
      <c r="A530" s="45"/>
      <c r="D530" s="42" t="s">
        <v>1228</v>
      </c>
      <c r="E530" s="43" t="s">
        <v>1229</v>
      </c>
      <c r="F530" t="s">
        <v>57</v>
      </c>
    </row>
    <row r="531" spans="1:6" ht="14.25" customHeight="1">
      <c r="A531" s="45"/>
      <c r="D531" s="42" t="s">
        <v>1230</v>
      </c>
      <c r="E531" s="43" t="s">
        <v>1231</v>
      </c>
      <c r="F531" t="s">
        <v>57</v>
      </c>
    </row>
    <row r="532" spans="1:6" ht="14.25" customHeight="1">
      <c r="A532" s="45"/>
      <c r="D532" s="42" t="s">
        <v>1232</v>
      </c>
      <c r="E532" s="43" t="s">
        <v>1233</v>
      </c>
      <c r="F532" t="s">
        <v>57</v>
      </c>
    </row>
    <row r="533" spans="1:6" ht="14.25" customHeight="1">
      <c r="A533" s="45"/>
      <c r="D533" s="42" t="s">
        <v>1234</v>
      </c>
      <c r="E533" s="43" t="s">
        <v>1235</v>
      </c>
      <c r="F533" t="s">
        <v>57</v>
      </c>
    </row>
    <row r="534" spans="1:6" ht="14.25" customHeight="1">
      <c r="A534" s="45"/>
      <c r="D534" s="42" t="s">
        <v>1236</v>
      </c>
      <c r="E534" s="43" t="s">
        <v>1237</v>
      </c>
      <c r="F534" t="s">
        <v>57</v>
      </c>
    </row>
    <row r="535" spans="1:6" ht="14.25" customHeight="1">
      <c r="A535" s="45"/>
      <c r="D535" s="42" t="s">
        <v>1238</v>
      </c>
      <c r="E535" s="43" t="s">
        <v>1239</v>
      </c>
      <c r="F535" t="s">
        <v>57</v>
      </c>
    </row>
    <row r="536" spans="1:6" ht="14.25" customHeight="1">
      <c r="A536" s="45"/>
      <c r="D536" s="42" t="s">
        <v>1240</v>
      </c>
      <c r="E536" s="43" t="s">
        <v>1241</v>
      </c>
      <c r="F536" t="s">
        <v>57</v>
      </c>
    </row>
    <row r="537" spans="1:6" ht="14.25" customHeight="1">
      <c r="A537" s="45"/>
      <c r="D537" s="42" t="s">
        <v>1242</v>
      </c>
      <c r="E537" s="43" t="s">
        <v>1243</v>
      </c>
      <c r="F537" t="s">
        <v>57</v>
      </c>
    </row>
    <row r="538" spans="1:6" ht="14.25" customHeight="1">
      <c r="A538" s="45"/>
      <c r="D538" s="42" t="s">
        <v>1244</v>
      </c>
      <c r="E538" s="43" t="s">
        <v>1245</v>
      </c>
      <c r="F538" t="s">
        <v>57</v>
      </c>
    </row>
    <row r="539" spans="1:6" ht="14.25" customHeight="1">
      <c r="A539" s="45"/>
      <c r="D539" s="42" t="s">
        <v>1246</v>
      </c>
      <c r="E539" s="43" t="s">
        <v>1247</v>
      </c>
      <c r="F539" t="s">
        <v>57</v>
      </c>
    </row>
    <row r="540" spans="1:6" ht="14.25" customHeight="1">
      <c r="A540" s="45"/>
      <c r="D540" s="42" t="s">
        <v>1248</v>
      </c>
      <c r="E540" s="43" t="s">
        <v>1249</v>
      </c>
      <c r="F540" t="s">
        <v>57</v>
      </c>
    </row>
    <row r="541" spans="1:6" ht="14.25" customHeight="1">
      <c r="A541" s="45"/>
      <c r="D541" s="42" t="s">
        <v>1250</v>
      </c>
      <c r="E541" s="43" t="s">
        <v>1251</v>
      </c>
      <c r="F541" t="s">
        <v>57</v>
      </c>
    </row>
    <row r="542" spans="1:6" ht="14.25" customHeight="1">
      <c r="A542" s="45"/>
      <c r="D542" s="42" t="s">
        <v>1252</v>
      </c>
      <c r="E542" s="43" t="s">
        <v>1253</v>
      </c>
      <c r="F542" t="s">
        <v>57</v>
      </c>
    </row>
    <row r="543" spans="1:6" ht="14.25" customHeight="1">
      <c r="A543" s="45"/>
      <c r="D543" s="42" t="s">
        <v>1254</v>
      </c>
      <c r="E543" s="43" t="s">
        <v>1255</v>
      </c>
      <c r="F543" t="s">
        <v>57</v>
      </c>
    </row>
    <row r="544" spans="1:6" ht="14.25" customHeight="1">
      <c r="A544" s="45"/>
      <c r="D544" s="42" t="s">
        <v>1256</v>
      </c>
      <c r="E544" s="43" t="s">
        <v>1257</v>
      </c>
      <c r="F544" t="s">
        <v>57</v>
      </c>
    </row>
    <row r="545" spans="1:6" ht="14.25" customHeight="1">
      <c r="A545" s="45"/>
      <c r="D545" s="42" t="s">
        <v>1258</v>
      </c>
      <c r="E545" s="43" t="s">
        <v>1259</v>
      </c>
      <c r="F545" t="s">
        <v>57</v>
      </c>
    </row>
    <row r="546" spans="1:6" ht="14.25" customHeight="1">
      <c r="A546" s="45"/>
      <c r="D546" s="42" t="s">
        <v>1260</v>
      </c>
      <c r="E546" s="43" t="s">
        <v>1261</v>
      </c>
      <c r="F546" t="s">
        <v>57</v>
      </c>
    </row>
    <row r="547" spans="1:6" ht="14.25" customHeight="1">
      <c r="A547" s="45"/>
      <c r="D547" s="42" t="s">
        <v>1262</v>
      </c>
      <c r="E547" s="43" t="s">
        <v>1263</v>
      </c>
      <c r="F547" t="s">
        <v>57</v>
      </c>
    </row>
    <row r="548" spans="1:6" ht="14.25" customHeight="1">
      <c r="A548" s="45"/>
      <c r="D548" s="42" t="s">
        <v>1264</v>
      </c>
      <c r="E548" s="43" t="s">
        <v>1265</v>
      </c>
      <c r="F548" t="s">
        <v>57</v>
      </c>
    </row>
    <row r="549" spans="1:6" ht="14.25" customHeight="1">
      <c r="A549" s="45"/>
      <c r="D549" s="42" t="s">
        <v>1266</v>
      </c>
      <c r="E549" s="43" t="s">
        <v>1267</v>
      </c>
      <c r="F549" t="s">
        <v>57</v>
      </c>
    </row>
    <row r="550" spans="1:6" ht="14.25" customHeight="1">
      <c r="A550" s="45"/>
      <c r="D550" s="42" t="s">
        <v>1268</v>
      </c>
      <c r="E550" s="43" t="s">
        <v>1269</v>
      </c>
      <c r="F550" t="s">
        <v>57</v>
      </c>
    </row>
    <row r="551" spans="1:6" ht="14.25" customHeight="1">
      <c r="A551" s="45"/>
      <c r="D551" s="42" t="s">
        <v>1270</v>
      </c>
      <c r="E551" s="43" t="s">
        <v>1271</v>
      </c>
      <c r="F551" t="s">
        <v>57</v>
      </c>
    </row>
    <row r="552" spans="1:6" ht="14.25" customHeight="1">
      <c r="A552" s="45"/>
      <c r="D552" s="42" t="s">
        <v>1272</v>
      </c>
      <c r="E552" s="43" t="s">
        <v>1273</v>
      </c>
      <c r="F552" t="s">
        <v>57</v>
      </c>
    </row>
    <row r="553" spans="1:6" ht="14.25" customHeight="1">
      <c r="A553" s="45"/>
      <c r="D553" s="42" t="s">
        <v>1274</v>
      </c>
      <c r="E553" s="43" t="s">
        <v>1275</v>
      </c>
      <c r="F553" t="s">
        <v>57</v>
      </c>
    </row>
    <row r="554" spans="1:6" ht="14.25" customHeight="1">
      <c r="A554" s="45"/>
      <c r="D554" s="42" t="s">
        <v>1276</v>
      </c>
      <c r="E554" s="43" t="s">
        <v>1277</v>
      </c>
      <c r="F554" t="s">
        <v>57</v>
      </c>
    </row>
    <row r="555" spans="1:6" ht="14.25" customHeight="1">
      <c r="A555" s="45"/>
      <c r="D555" s="42" t="s">
        <v>1278</v>
      </c>
      <c r="E555" s="43" t="s">
        <v>1279</v>
      </c>
      <c r="F555" t="s">
        <v>57</v>
      </c>
    </row>
    <row r="556" spans="1:6" ht="14.25" customHeight="1">
      <c r="A556" s="45"/>
      <c r="D556" s="42" t="s">
        <v>1280</v>
      </c>
      <c r="E556" s="43" t="s">
        <v>1281</v>
      </c>
      <c r="F556" t="s">
        <v>57</v>
      </c>
    </row>
    <row r="557" spans="1:6" ht="14.25" customHeight="1">
      <c r="A557" s="45"/>
      <c r="D557" s="42" t="s">
        <v>1282</v>
      </c>
      <c r="E557" s="43" t="s">
        <v>1283</v>
      </c>
      <c r="F557" t="s">
        <v>57</v>
      </c>
    </row>
    <row r="558" spans="1:6" ht="14.25" customHeight="1">
      <c r="A558" s="45"/>
      <c r="D558" s="42" t="s">
        <v>1284</v>
      </c>
      <c r="E558" s="43" t="s">
        <v>1285</v>
      </c>
      <c r="F558" t="s">
        <v>57</v>
      </c>
    </row>
    <row r="559" spans="1:6" ht="14.25" customHeight="1">
      <c r="A559" s="45"/>
      <c r="D559" s="42" t="s">
        <v>1286</v>
      </c>
      <c r="E559" s="43" t="s">
        <v>1287</v>
      </c>
      <c r="F559" t="s">
        <v>57</v>
      </c>
    </row>
    <row r="560" spans="1:6" ht="14.25" customHeight="1">
      <c r="A560" s="45"/>
      <c r="D560" s="42" t="s">
        <v>1288</v>
      </c>
      <c r="E560" s="43" t="s">
        <v>1289</v>
      </c>
      <c r="F560" t="s">
        <v>57</v>
      </c>
    </row>
    <row r="561" spans="1:6" ht="14.25" customHeight="1">
      <c r="A561" s="45"/>
      <c r="D561" s="42" t="s">
        <v>1290</v>
      </c>
      <c r="E561" s="43" t="s">
        <v>1291</v>
      </c>
      <c r="F561" t="s">
        <v>57</v>
      </c>
    </row>
    <row r="562" spans="1:6" ht="14.25" customHeight="1">
      <c r="A562" s="45"/>
      <c r="D562" s="42" t="s">
        <v>1292</v>
      </c>
      <c r="E562" s="43" t="s">
        <v>1293</v>
      </c>
      <c r="F562" t="s">
        <v>57</v>
      </c>
    </row>
    <row r="563" spans="1:6" ht="14.25" customHeight="1">
      <c r="A563" s="45"/>
      <c r="D563" s="42" t="s">
        <v>1294</v>
      </c>
      <c r="E563" s="43" t="s">
        <v>1295</v>
      </c>
      <c r="F563" t="s">
        <v>57</v>
      </c>
    </row>
    <row r="564" spans="1:6" ht="14.25" customHeight="1">
      <c r="A564" s="45"/>
      <c r="D564" s="42" t="s">
        <v>1296</v>
      </c>
      <c r="E564" s="43" t="s">
        <v>1297</v>
      </c>
      <c r="F564" t="s">
        <v>57</v>
      </c>
    </row>
    <row r="565" spans="1:6" ht="14.25" customHeight="1">
      <c r="A565" s="45"/>
      <c r="D565" s="42" t="s">
        <v>1298</v>
      </c>
      <c r="E565" s="43" t="s">
        <v>1299</v>
      </c>
      <c r="F565" t="s">
        <v>57</v>
      </c>
    </row>
    <row r="566" spans="1:6" ht="14.25" customHeight="1">
      <c r="A566" s="45"/>
      <c r="D566" s="42" t="s">
        <v>1300</v>
      </c>
      <c r="E566" s="43" t="s">
        <v>1301</v>
      </c>
      <c r="F566" t="s">
        <v>57</v>
      </c>
    </row>
    <row r="567" spans="1:6" ht="14.25" customHeight="1">
      <c r="A567" s="45"/>
      <c r="D567" s="42" t="s">
        <v>1302</v>
      </c>
      <c r="E567" s="43" t="s">
        <v>1303</v>
      </c>
      <c r="F567" t="s">
        <v>57</v>
      </c>
    </row>
    <row r="568" spans="1:6" ht="14.25" customHeight="1">
      <c r="A568" s="45"/>
      <c r="D568" s="42" t="s">
        <v>1304</v>
      </c>
      <c r="E568" s="43" t="s">
        <v>1305</v>
      </c>
      <c r="F568" t="s">
        <v>57</v>
      </c>
    </row>
    <row r="569" spans="1:6" ht="14.25" customHeight="1">
      <c r="A569" s="45"/>
      <c r="D569" s="42" t="s">
        <v>1306</v>
      </c>
      <c r="E569" s="43" t="s">
        <v>1307</v>
      </c>
      <c r="F569" t="s">
        <v>57</v>
      </c>
    </row>
    <row r="570" spans="1:6" ht="14.25" customHeight="1">
      <c r="A570" s="45"/>
      <c r="D570" s="42" t="s">
        <v>1308</v>
      </c>
      <c r="E570" s="43" t="s">
        <v>1309</v>
      </c>
      <c r="F570" t="s">
        <v>57</v>
      </c>
    </row>
    <row r="571" spans="1:6" ht="14.25" customHeight="1">
      <c r="A571" s="45"/>
      <c r="D571" s="42" t="s">
        <v>1310</v>
      </c>
      <c r="E571" s="43" t="s">
        <v>1311</v>
      </c>
      <c r="F571" t="s">
        <v>57</v>
      </c>
    </row>
    <row r="572" spans="1:6" ht="14.25" customHeight="1">
      <c r="A572" s="45"/>
      <c r="D572" s="42" t="s">
        <v>1312</v>
      </c>
      <c r="E572" s="43" t="s">
        <v>1313</v>
      </c>
      <c r="F572" t="s">
        <v>57</v>
      </c>
    </row>
    <row r="573" spans="1:6" ht="14.25" customHeight="1">
      <c r="A573" s="45"/>
      <c r="D573" s="42" t="s">
        <v>1314</v>
      </c>
      <c r="E573" s="43" t="s">
        <v>1315</v>
      </c>
      <c r="F573" t="s">
        <v>57</v>
      </c>
    </row>
    <row r="574" spans="1:6" ht="14.25" customHeight="1">
      <c r="A574" s="45"/>
      <c r="D574" s="42" t="s">
        <v>1316</v>
      </c>
      <c r="E574" s="43" t="s">
        <v>1317</v>
      </c>
      <c r="F574" t="s">
        <v>57</v>
      </c>
    </row>
    <row r="575" spans="1:6" ht="14.25" customHeight="1">
      <c r="A575" s="45"/>
      <c r="D575" s="42" t="s">
        <v>1318</v>
      </c>
      <c r="E575" s="43" t="s">
        <v>1319</v>
      </c>
      <c r="F575" t="s">
        <v>57</v>
      </c>
    </row>
    <row r="576" spans="1:6" ht="14.25" customHeight="1">
      <c r="A576" s="45"/>
      <c r="D576" s="42" t="s">
        <v>1320</v>
      </c>
      <c r="E576" s="43" t="s">
        <v>1321</v>
      </c>
      <c r="F576" t="s">
        <v>57</v>
      </c>
    </row>
    <row r="577" spans="1:6" ht="14.25" customHeight="1">
      <c r="A577" s="45"/>
      <c r="D577" s="42" t="s">
        <v>1322</v>
      </c>
      <c r="E577" s="43" t="s">
        <v>1323</v>
      </c>
      <c r="F577" t="s">
        <v>57</v>
      </c>
    </row>
    <row r="578" spans="1:6" ht="14.25" customHeight="1">
      <c r="A578" s="45"/>
      <c r="D578" s="42" t="s">
        <v>1324</v>
      </c>
      <c r="E578" s="43" t="s">
        <v>1325</v>
      </c>
      <c r="F578" t="s">
        <v>57</v>
      </c>
    </row>
    <row r="579" spans="1:6" ht="14.25" customHeight="1">
      <c r="A579" s="45"/>
      <c r="D579" s="42" t="s">
        <v>1326</v>
      </c>
      <c r="E579" s="43" t="s">
        <v>1327</v>
      </c>
      <c r="F579" t="s">
        <v>57</v>
      </c>
    </row>
    <row r="580" spans="1:6" ht="14.25" customHeight="1">
      <c r="A580" s="45"/>
      <c r="D580" s="42" t="s">
        <v>1328</v>
      </c>
      <c r="E580" s="43" t="s">
        <v>1329</v>
      </c>
      <c r="F580" t="s">
        <v>57</v>
      </c>
    </row>
    <row r="581" spans="1:6" ht="14.25" customHeight="1">
      <c r="A581" s="45"/>
      <c r="D581" s="42" t="s">
        <v>1330</v>
      </c>
      <c r="E581" s="43" t="s">
        <v>1331</v>
      </c>
      <c r="F581" t="s">
        <v>57</v>
      </c>
    </row>
    <row r="582" spans="1:6" ht="14.25" customHeight="1">
      <c r="A582" s="45"/>
      <c r="D582" s="42" t="s">
        <v>1332</v>
      </c>
      <c r="E582" s="43" t="s">
        <v>1333</v>
      </c>
      <c r="F582" t="s">
        <v>57</v>
      </c>
    </row>
    <row r="583" spans="1:6" ht="14.25" customHeight="1">
      <c r="A583" s="45"/>
      <c r="D583" s="42" t="s">
        <v>1334</v>
      </c>
      <c r="E583" s="43" t="s">
        <v>1335</v>
      </c>
      <c r="F583" t="s">
        <v>57</v>
      </c>
    </row>
    <row r="584" spans="1:6" ht="14.25" customHeight="1">
      <c r="A584" s="45"/>
      <c r="D584" s="42" t="s">
        <v>1336</v>
      </c>
      <c r="E584" s="43" t="s">
        <v>1337</v>
      </c>
      <c r="F584" t="s">
        <v>57</v>
      </c>
    </row>
    <row r="585" spans="1:6" ht="14.25" customHeight="1">
      <c r="A585" s="45"/>
      <c r="D585" s="42" t="s">
        <v>1338</v>
      </c>
      <c r="E585" s="43" t="s">
        <v>1339</v>
      </c>
      <c r="F585" t="s">
        <v>57</v>
      </c>
    </row>
    <row r="586" spans="1:6" ht="14.25" customHeight="1">
      <c r="A586" s="45"/>
      <c r="D586" s="42" t="s">
        <v>1340</v>
      </c>
      <c r="E586" s="43" t="s">
        <v>1341</v>
      </c>
      <c r="F586" t="s">
        <v>57</v>
      </c>
    </row>
    <row r="587" spans="1:6" ht="14.25" customHeight="1">
      <c r="A587" s="45"/>
      <c r="D587" s="42" t="s">
        <v>1342</v>
      </c>
      <c r="E587" s="43" t="s">
        <v>1343</v>
      </c>
      <c r="F587" t="s">
        <v>57</v>
      </c>
    </row>
    <row r="588" spans="1:6" ht="14.25" customHeight="1">
      <c r="A588" s="45"/>
      <c r="D588" s="42" t="s">
        <v>1344</v>
      </c>
      <c r="E588" s="43" t="s">
        <v>1345</v>
      </c>
      <c r="F588" t="s">
        <v>57</v>
      </c>
    </row>
    <row r="589" spans="1:6" ht="14.25" customHeight="1">
      <c r="A589" s="45"/>
      <c r="D589" s="42" t="s">
        <v>1346</v>
      </c>
      <c r="E589" s="43" t="s">
        <v>1347</v>
      </c>
      <c r="F589" t="s">
        <v>57</v>
      </c>
    </row>
    <row r="590" spans="1:6" ht="14.25" customHeight="1">
      <c r="A590" s="45"/>
      <c r="D590" s="42" t="s">
        <v>1348</v>
      </c>
      <c r="E590" s="43" t="s">
        <v>1349</v>
      </c>
      <c r="F590" t="s">
        <v>57</v>
      </c>
    </row>
    <row r="591" spans="1:6" ht="14.25" customHeight="1">
      <c r="A591" s="45"/>
      <c r="D591" s="42" t="s">
        <v>1350</v>
      </c>
      <c r="E591" s="43" t="s">
        <v>1351</v>
      </c>
      <c r="F591" t="s">
        <v>57</v>
      </c>
    </row>
    <row r="592" spans="1:6" ht="14.25" customHeight="1">
      <c r="A592" s="45"/>
      <c r="D592" s="42" t="s">
        <v>1352</v>
      </c>
      <c r="E592" s="43" t="s">
        <v>1353</v>
      </c>
      <c r="F592" t="s">
        <v>57</v>
      </c>
    </row>
    <row r="593" spans="1:6" ht="14.25" customHeight="1">
      <c r="A593" s="45"/>
      <c r="D593" s="42" t="s">
        <v>1354</v>
      </c>
      <c r="E593" s="43" t="s">
        <v>1355</v>
      </c>
      <c r="F593" t="s">
        <v>57</v>
      </c>
    </row>
    <row r="594" spans="1:6" ht="14.25" customHeight="1">
      <c r="A594" s="45"/>
      <c r="D594" s="42" t="s">
        <v>1356</v>
      </c>
      <c r="E594" s="43" t="s">
        <v>1357</v>
      </c>
      <c r="F594" t="s">
        <v>57</v>
      </c>
    </row>
    <row r="595" spans="1:6" ht="14.25" customHeight="1">
      <c r="A595" s="45"/>
      <c r="D595" s="42" t="s">
        <v>1358</v>
      </c>
      <c r="E595" s="43" t="s">
        <v>1359</v>
      </c>
      <c r="F595" t="s">
        <v>57</v>
      </c>
    </row>
    <row r="596" spans="1:6" ht="14.25" customHeight="1">
      <c r="A596" s="45"/>
      <c r="D596" s="42" t="s">
        <v>1360</v>
      </c>
      <c r="E596" s="43" t="s">
        <v>1361</v>
      </c>
      <c r="F596" t="s">
        <v>57</v>
      </c>
    </row>
    <row r="597" spans="1:6" ht="14.25" customHeight="1">
      <c r="A597" s="45"/>
      <c r="D597" s="42" t="s">
        <v>1362</v>
      </c>
      <c r="E597" s="43" t="s">
        <v>1363</v>
      </c>
      <c r="F597" t="s">
        <v>57</v>
      </c>
    </row>
    <row r="598" spans="1:6" ht="14.25" customHeight="1">
      <c r="A598" s="45"/>
      <c r="D598" s="42" t="s">
        <v>1364</v>
      </c>
      <c r="E598" s="43" t="s">
        <v>1365</v>
      </c>
      <c r="F598" t="s">
        <v>57</v>
      </c>
    </row>
    <row r="599" spans="1:6" ht="14.25" customHeight="1">
      <c r="A599" s="45"/>
      <c r="D599" s="42" t="s">
        <v>1366</v>
      </c>
      <c r="E599" s="43" t="s">
        <v>1367</v>
      </c>
      <c r="F599" t="s">
        <v>57</v>
      </c>
    </row>
    <row r="600" spans="1:6" ht="14.25" customHeight="1">
      <c r="A600" s="45"/>
      <c r="D600" s="42" t="s">
        <v>1368</v>
      </c>
      <c r="E600" s="43" t="s">
        <v>1369</v>
      </c>
      <c r="F600" t="s">
        <v>57</v>
      </c>
    </row>
    <row r="601" spans="1:6" ht="14.25" customHeight="1">
      <c r="A601" s="45"/>
      <c r="D601" s="42" t="s">
        <v>1370</v>
      </c>
      <c r="E601" s="43" t="s">
        <v>1371</v>
      </c>
      <c r="F601" t="s">
        <v>57</v>
      </c>
    </row>
    <row r="602" spans="1:6" ht="14.25" customHeight="1">
      <c r="A602" s="45"/>
      <c r="D602" s="42" t="s">
        <v>1372</v>
      </c>
      <c r="E602" s="43" t="s">
        <v>1373</v>
      </c>
      <c r="F602" t="s">
        <v>57</v>
      </c>
    </row>
    <row r="603" spans="1:6" ht="14.25" customHeight="1">
      <c r="A603" s="45"/>
      <c r="D603" s="42" t="s">
        <v>1374</v>
      </c>
      <c r="E603" s="43" t="s">
        <v>1375</v>
      </c>
      <c r="F603" t="s">
        <v>57</v>
      </c>
    </row>
    <row r="604" spans="1:6" ht="14.25" customHeight="1">
      <c r="A604" s="45"/>
      <c r="D604" s="42" t="s">
        <v>1376</v>
      </c>
      <c r="E604" s="43" t="s">
        <v>1377</v>
      </c>
      <c r="F604" t="s">
        <v>57</v>
      </c>
    </row>
    <row r="605" spans="1:6" ht="14.25" customHeight="1">
      <c r="A605" s="45"/>
      <c r="D605" s="42" t="s">
        <v>1378</v>
      </c>
      <c r="E605" s="43" t="s">
        <v>1379</v>
      </c>
      <c r="F605" t="s">
        <v>57</v>
      </c>
    </row>
    <row r="606" spans="1:6" ht="14.25" customHeight="1">
      <c r="A606" s="45"/>
      <c r="D606" s="42" t="s">
        <v>1380</v>
      </c>
      <c r="E606" s="43" t="s">
        <v>1381</v>
      </c>
      <c r="F606" t="s">
        <v>57</v>
      </c>
    </row>
    <row r="607" spans="1:6" ht="14.25" customHeight="1">
      <c r="A607" s="45"/>
      <c r="D607" s="42" t="s">
        <v>1382</v>
      </c>
      <c r="E607" s="43" t="s">
        <v>1383</v>
      </c>
      <c r="F607" t="s">
        <v>57</v>
      </c>
    </row>
    <row r="608" spans="1:6" ht="14.25" customHeight="1">
      <c r="A608" s="45"/>
      <c r="D608" s="42" t="s">
        <v>1384</v>
      </c>
      <c r="E608" s="43" t="s">
        <v>1385</v>
      </c>
      <c r="F608" t="s">
        <v>57</v>
      </c>
    </row>
    <row r="609" spans="1:6" ht="14.25" customHeight="1">
      <c r="A609" s="45"/>
      <c r="D609" s="42" t="s">
        <v>1386</v>
      </c>
      <c r="E609" s="43" t="s">
        <v>1387</v>
      </c>
      <c r="F609" t="s">
        <v>57</v>
      </c>
    </row>
    <row r="610" spans="1:6" ht="14.25" customHeight="1">
      <c r="A610" s="45"/>
      <c r="D610" s="42" t="s">
        <v>1388</v>
      </c>
      <c r="E610" s="43" t="s">
        <v>1389</v>
      </c>
      <c r="F610" t="s">
        <v>57</v>
      </c>
    </row>
    <row r="611" spans="1:6" ht="14.25" customHeight="1">
      <c r="A611" s="45"/>
      <c r="D611" s="42" t="s">
        <v>1390</v>
      </c>
      <c r="E611" s="43" t="s">
        <v>1391</v>
      </c>
      <c r="F611" t="s">
        <v>57</v>
      </c>
    </row>
    <row r="612" spans="1:6" ht="14.25" customHeight="1">
      <c r="A612" s="45"/>
      <c r="D612" s="42" t="s">
        <v>1392</v>
      </c>
      <c r="E612" s="43" t="s">
        <v>1393</v>
      </c>
      <c r="F612" t="s">
        <v>57</v>
      </c>
    </row>
    <row r="613" spans="1:6" ht="14.25" customHeight="1">
      <c r="A613" s="45"/>
      <c r="D613" s="42" t="s">
        <v>1394</v>
      </c>
      <c r="E613" s="43" t="s">
        <v>1395</v>
      </c>
      <c r="F613" t="s">
        <v>57</v>
      </c>
    </row>
    <row r="614" spans="1:6" ht="14.25" customHeight="1">
      <c r="A614" s="45"/>
      <c r="D614" s="42" t="s">
        <v>1396</v>
      </c>
      <c r="E614" s="43" t="s">
        <v>1397</v>
      </c>
      <c r="F614" t="s">
        <v>57</v>
      </c>
    </row>
    <row r="615" spans="1:6" ht="14.25" customHeight="1">
      <c r="A615" s="45"/>
      <c r="D615" s="42" t="s">
        <v>1398</v>
      </c>
      <c r="E615" s="43" t="s">
        <v>1399</v>
      </c>
      <c r="F615" t="s">
        <v>57</v>
      </c>
    </row>
    <row r="616" spans="1:6" ht="14.25" customHeight="1">
      <c r="A616" s="45"/>
      <c r="D616" s="42" t="s">
        <v>1400</v>
      </c>
      <c r="E616" s="43" t="s">
        <v>1401</v>
      </c>
      <c r="F616" t="s">
        <v>57</v>
      </c>
    </row>
    <row r="617" spans="1:6" ht="14.25" customHeight="1">
      <c r="A617" s="45"/>
      <c r="D617" s="42" t="s">
        <v>1402</v>
      </c>
      <c r="E617" s="43" t="s">
        <v>1403</v>
      </c>
      <c r="F617" t="s">
        <v>57</v>
      </c>
    </row>
    <row r="618" spans="1:6" ht="14.25" customHeight="1">
      <c r="A618" s="45"/>
      <c r="D618" s="42" t="s">
        <v>1404</v>
      </c>
      <c r="E618" s="43" t="s">
        <v>1405</v>
      </c>
      <c r="F618" t="s">
        <v>57</v>
      </c>
    </row>
    <row r="619" spans="1:6" ht="14.25" customHeight="1">
      <c r="A619" s="45"/>
      <c r="D619" s="42" t="s">
        <v>1406</v>
      </c>
      <c r="E619" s="43" t="s">
        <v>1407</v>
      </c>
      <c r="F619" t="s">
        <v>57</v>
      </c>
    </row>
    <row r="620" spans="1:6" ht="14.25" customHeight="1">
      <c r="A620" s="45"/>
      <c r="D620" s="42" t="s">
        <v>1408</v>
      </c>
      <c r="E620" s="43" t="s">
        <v>1409</v>
      </c>
      <c r="F620" t="s">
        <v>57</v>
      </c>
    </row>
    <row r="621" spans="1:6" ht="14.25" customHeight="1">
      <c r="A621" s="45"/>
      <c r="D621" s="42" t="s">
        <v>1410</v>
      </c>
      <c r="E621" s="43" t="s">
        <v>1411</v>
      </c>
      <c r="F621" t="s">
        <v>57</v>
      </c>
    </row>
    <row r="622" spans="1:6" ht="14.25" customHeight="1">
      <c r="A622" s="45"/>
      <c r="D622" s="42" t="s">
        <v>1412</v>
      </c>
      <c r="E622" s="43" t="s">
        <v>1413</v>
      </c>
      <c r="F622" t="s">
        <v>57</v>
      </c>
    </row>
    <row r="623" spans="1:6" ht="14.25" customHeight="1">
      <c r="A623" s="45"/>
      <c r="D623" s="42" t="s">
        <v>1414</v>
      </c>
      <c r="E623" s="43" t="s">
        <v>1415</v>
      </c>
      <c r="F623" t="s">
        <v>57</v>
      </c>
    </row>
    <row r="624" spans="1:6" ht="14.25" customHeight="1">
      <c r="A624" s="45"/>
      <c r="D624" s="42" t="s">
        <v>1416</v>
      </c>
      <c r="E624" s="43" t="s">
        <v>1417</v>
      </c>
      <c r="F624" t="s">
        <v>57</v>
      </c>
    </row>
    <row r="625" spans="1:6" ht="14.25" customHeight="1">
      <c r="A625" s="45"/>
      <c r="D625" s="42" t="s">
        <v>1418</v>
      </c>
      <c r="E625" s="43" t="s">
        <v>1419</v>
      </c>
      <c r="F625" t="s">
        <v>57</v>
      </c>
    </row>
    <row r="626" spans="1:6" ht="14.25" customHeight="1">
      <c r="A626" s="45"/>
      <c r="D626" s="42" t="s">
        <v>1420</v>
      </c>
      <c r="E626" s="43" t="s">
        <v>1421</v>
      </c>
      <c r="F626" t="s">
        <v>57</v>
      </c>
    </row>
    <row r="627" spans="1:6" ht="14.25" customHeight="1">
      <c r="A627" s="45"/>
      <c r="D627" s="42" t="s">
        <v>1422</v>
      </c>
      <c r="E627" s="43" t="s">
        <v>1423</v>
      </c>
      <c r="F627" t="s">
        <v>57</v>
      </c>
    </row>
    <row r="628" spans="1:6" ht="14.25" customHeight="1">
      <c r="A628" s="45"/>
      <c r="D628" s="42" t="s">
        <v>1424</v>
      </c>
      <c r="E628" s="43" t="s">
        <v>1425</v>
      </c>
      <c r="F628" t="s">
        <v>57</v>
      </c>
    </row>
    <row r="629" spans="1:6" ht="14.25" customHeight="1">
      <c r="A629" s="45"/>
      <c r="D629" s="42" t="s">
        <v>1426</v>
      </c>
      <c r="E629" s="43" t="s">
        <v>1427</v>
      </c>
      <c r="F629" t="s">
        <v>57</v>
      </c>
    </row>
    <row r="630" spans="1:6" ht="14.25" customHeight="1">
      <c r="A630" s="45"/>
      <c r="D630" s="42" t="s">
        <v>1428</v>
      </c>
      <c r="E630" s="43" t="s">
        <v>1429</v>
      </c>
      <c r="F630" t="s">
        <v>57</v>
      </c>
    </row>
    <row r="631" spans="1:6" ht="14.25" customHeight="1">
      <c r="A631" s="45"/>
      <c r="D631" s="42" t="s">
        <v>1430</v>
      </c>
      <c r="E631" s="43" t="s">
        <v>1431</v>
      </c>
      <c r="F631" t="s">
        <v>57</v>
      </c>
    </row>
    <row r="632" spans="1:6" ht="14.25" customHeight="1">
      <c r="A632" s="45"/>
      <c r="D632" s="42" t="s">
        <v>1432</v>
      </c>
      <c r="E632" s="43" t="s">
        <v>1433</v>
      </c>
      <c r="F632" t="s">
        <v>57</v>
      </c>
    </row>
    <row r="633" spans="1:6" ht="14.25" customHeight="1">
      <c r="A633" s="45"/>
      <c r="D633" s="42" t="s">
        <v>1434</v>
      </c>
      <c r="E633" s="43" t="s">
        <v>1435</v>
      </c>
      <c r="F633" t="s">
        <v>57</v>
      </c>
    </row>
    <row r="634" spans="1:6" ht="14.25" customHeight="1">
      <c r="A634" s="45"/>
      <c r="D634" s="42" t="s">
        <v>1436</v>
      </c>
      <c r="E634" s="43" t="s">
        <v>1437</v>
      </c>
      <c r="F634" t="s">
        <v>57</v>
      </c>
    </row>
    <row r="635" spans="1:6" ht="14.25" customHeight="1">
      <c r="A635" s="45"/>
      <c r="D635" s="42" t="s">
        <v>1438</v>
      </c>
      <c r="E635" s="43" t="s">
        <v>1439</v>
      </c>
      <c r="F635" t="s">
        <v>57</v>
      </c>
    </row>
    <row r="636" spans="1:6" ht="14.25" customHeight="1">
      <c r="A636" s="45"/>
      <c r="D636" s="42" t="s">
        <v>1440</v>
      </c>
      <c r="E636" s="43" t="s">
        <v>1441</v>
      </c>
      <c r="F636" t="s">
        <v>57</v>
      </c>
    </row>
    <row r="637" spans="1:6" ht="14.25" customHeight="1">
      <c r="A637" s="45"/>
      <c r="D637" s="42" t="s">
        <v>1442</v>
      </c>
      <c r="E637" s="43" t="s">
        <v>1443</v>
      </c>
      <c r="F637" t="s">
        <v>57</v>
      </c>
    </row>
    <row r="638" spans="1:6" ht="14.25" customHeight="1">
      <c r="A638" s="45"/>
      <c r="D638" s="42" t="s">
        <v>1444</v>
      </c>
      <c r="E638" s="43" t="s">
        <v>1445</v>
      </c>
      <c r="F638" t="s">
        <v>57</v>
      </c>
    </row>
    <row r="639" spans="1:6" ht="14.25" customHeight="1">
      <c r="A639" s="45"/>
      <c r="D639" s="42" t="s">
        <v>1446</v>
      </c>
      <c r="E639" s="43" t="s">
        <v>1447</v>
      </c>
      <c r="F639" t="s">
        <v>57</v>
      </c>
    </row>
    <row r="640" spans="1:6" ht="14.25" customHeight="1">
      <c r="A640" s="45"/>
      <c r="D640" s="42" t="s">
        <v>1448</v>
      </c>
      <c r="E640" s="43" t="s">
        <v>1449</v>
      </c>
      <c r="F640" t="s">
        <v>57</v>
      </c>
    </row>
    <row r="641" spans="1:6" ht="14.25" customHeight="1">
      <c r="A641" s="45"/>
      <c r="D641" s="42" t="s">
        <v>1450</v>
      </c>
      <c r="E641" s="43" t="s">
        <v>1451</v>
      </c>
      <c r="F641" t="s">
        <v>57</v>
      </c>
    </row>
    <row r="642" spans="1:6" ht="14.25" customHeight="1">
      <c r="A642" s="45"/>
      <c r="D642" s="42" t="s">
        <v>1452</v>
      </c>
      <c r="E642" s="43" t="s">
        <v>1453</v>
      </c>
      <c r="F642" t="s">
        <v>57</v>
      </c>
    </row>
    <row r="643" spans="1:6" ht="14.25" customHeight="1">
      <c r="A643" s="45"/>
      <c r="D643" s="42" t="s">
        <v>1454</v>
      </c>
      <c r="E643" s="43" t="s">
        <v>1455</v>
      </c>
      <c r="F643" t="s">
        <v>57</v>
      </c>
    </row>
    <row r="644" spans="1:6" ht="14.25" customHeight="1">
      <c r="A644" s="45"/>
      <c r="D644" s="42" t="s">
        <v>1456</v>
      </c>
      <c r="E644" s="43" t="s">
        <v>1457</v>
      </c>
      <c r="F644" t="s">
        <v>57</v>
      </c>
    </row>
    <row r="645" spans="1:6" ht="14.25" customHeight="1">
      <c r="A645" s="45"/>
      <c r="D645" s="42" t="s">
        <v>1458</v>
      </c>
      <c r="E645" s="43" t="s">
        <v>1459</v>
      </c>
      <c r="F645" t="s">
        <v>57</v>
      </c>
    </row>
    <row r="646" spans="1:6" ht="14.25" customHeight="1">
      <c r="A646" s="45"/>
      <c r="D646" s="42" t="s">
        <v>1460</v>
      </c>
      <c r="E646" s="43" t="s">
        <v>1461</v>
      </c>
      <c r="F646" t="s">
        <v>57</v>
      </c>
    </row>
    <row r="647" spans="1:6" ht="14.25" customHeight="1">
      <c r="A647" s="45"/>
      <c r="D647" s="42" t="s">
        <v>1462</v>
      </c>
      <c r="E647" s="43" t="s">
        <v>1463</v>
      </c>
      <c r="F647" t="s">
        <v>57</v>
      </c>
    </row>
    <row r="648" spans="1:6" ht="14.25" customHeight="1">
      <c r="A648" s="45"/>
      <c r="D648" s="42" t="s">
        <v>1464</v>
      </c>
      <c r="E648" s="43" t="s">
        <v>1465</v>
      </c>
      <c r="F648" t="s">
        <v>57</v>
      </c>
    </row>
    <row r="649" spans="1:6" ht="14.25" customHeight="1">
      <c r="A649" s="45"/>
      <c r="D649" s="42" t="s">
        <v>1466</v>
      </c>
      <c r="E649" s="43" t="s">
        <v>1467</v>
      </c>
      <c r="F649" t="s">
        <v>57</v>
      </c>
    </row>
    <row r="650" spans="1:6" ht="14.25" customHeight="1">
      <c r="A650" s="45"/>
      <c r="D650" s="42" t="s">
        <v>1468</v>
      </c>
      <c r="E650" s="43" t="s">
        <v>1469</v>
      </c>
      <c r="F650" t="s">
        <v>57</v>
      </c>
    </row>
    <row r="651" spans="1:6" ht="14.25" customHeight="1">
      <c r="A651" s="45"/>
      <c r="D651" s="42" t="s">
        <v>1470</v>
      </c>
      <c r="E651" s="43" t="s">
        <v>1471</v>
      </c>
      <c r="F651" t="s">
        <v>57</v>
      </c>
    </row>
    <row r="652" spans="1:6" ht="14.25" customHeight="1">
      <c r="A652" s="45"/>
      <c r="D652" s="42" t="s">
        <v>1472</v>
      </c>
      <c r="E652" s="43" t="s">
        <v>1473</v>
      </c>
      <c r="F652" t="s">
        <v>57</v>
      </c>
    </row>
    <row r="653" spans="1:6" ht="14.25" customHeight="1">
      <c r="A653" s="45"/>
      <c r="D653" s="42" t="s">
        <v>1474</v>
      </c>
      <c r="E653" s="43" t="s">
        <v>1475</v>
      </c>
      <c r="F653" t="s">
        <v>57</v>
      </c>
    </row>
    <row r="654" spans="1:6" ht="14.25" customHeight="1">
      <c r="A654" s="45"/>
      <c r="D654" s="42" t="s">
        <v>1476</v>
      </c>
      <c r="E654" s="43" t="s">
        <v>1477</v>
      </c>
      <c r="F654" t="s">
        <v>57</v>
      </c>
    </row>
    <row r="655" spans="1:6" ht="14.25" customHeight="1">
      <c r="A655" s="45"/>
      <c r="D655" s="42" t="s">
        <v>1478</v>
      </c>
      <c r="E655" s="43" t="s">
        <v>1479</v>
      </c>
      <c r="F655" t="s">
        <v>57</v>
      </c>
    </row>
    <row r="656" spans="1:6" ht="14.25" customHeight="1">
      <c r="A656" s="45"/>
      <c r="D656" s="42" t="s">
        <v>1480</v>
      </c>
      <c r="E656" s="43" t="s">
        <v>1481</v>
      </c>
      <c r="F656" t="s">
        <v>57</v>
      </c>
    </row>
    <row r="657" spans="1:6" ht="14.25" customHeight="1">
      <c r="A657" s="45"/>
      <c r="D657" s="42" t="s">
        <v>1482</v>
      </c>
      <c r="E657" s="43" t="s">
        <v>1483</v>
      </c>
      <c r="F657" t="s">
        <v>57</v>
      </c>
    </row>
    <row r="658" spans="1:6" ht="14.25" customHeight="1">
      <c r="A658" s="45"/>
      <c r="D658" s="42" t="s">
        <v>1484</v>
      </c>
      <c r="E658" s="43" t="s">
        <v>1485</v>
      </c>
      <c r="F658" t="s">
        <v>57</v>
      </c>
    </row>
    <row r="659" spans="1:6" ht="14.25" customHeight="1">
      <c r="A659" s="45"/>
      <c r="D659" s="42" t="s">
        <v>1486</v>
      </c>
      <c r="E659" s="43" t="s">
        <v>1487</v>
      </c>
      <c r="F659" t="s">
        <v>57</v>
      </c>
    </row>
    <row r="660" spans="1:6" ht="14.25" customHeight="1">
      <c r="A660" s="45"/>
      <c r="D660" s="42" t="s">
        <v>1488</v>
      </c>
      <c r="E660" s="43" t="s">
        <v>1489</v>
      </c>
      <c r="F660" t="s">
        <v>57</v>
      </c>
    </row>
    <row r="661" spans="1:6" ht="14.25" customHeight="1">
      <c r="A661" s="45"/>
      <c r="D661" s="42" t="s">
        <v>1490</v>
      </c>
      <c r="E661" s="43" t="s">
        <v>1491</v>
      </c>
      <c r="F661" t="s">
        <v>57</v>
      </c>
    </row>
    <row r="662" spans="1:6" ht="14.25" customHeight="1">
      <c r="A662" s="45"/>
      <c r="D662" s="42" t="s">
        <v>1492</v>
      </c>
      <c r="E662" s="43" t="s">
        <v>1493</v>
      </c>
      <c r="F662" t="s">
        <v>57</v>
      </c>
    </row>
    <row r="663" spans="1:6" ht="14.25" customHeight="1">
      <c r="A663" s="45"/>
      <c r="D663" s="42" t="s">
        <v>1494</v>
      </c>
      <c r="E663" s="43" t="s">
        <v>1495</v>
      </c>
      <c r="F663" t="s">
        <v>57</v>
      </c>
    </row>
    <row r="664" spans="1:6" ht="14.25" customHeight="1">
      <c r="A664" s="45"/>
      <c r="D664" s="42" t="s">
        <v>1496</v>
      </c>
      <c r="E664" s="43" t="s">
        <v>1497</v>
      </c>
      <c r="F664" t="s">
        <v>57</v>
      </c>
    </row>
    <row r="665" spans="1:6" ht="14.25" customHeight="1">
      <c r="A665" s="45"/>
      <c r="D665" s="42" t="s">
        <v>1498</v>
      </c>
      <c r="E665" s="43" t="s">
        <v>1499</v>
      </c>
      <c r="F665" t="s">
        <v>57</v>
      </c>
    </row>
    <row r="666" spans="1:6" ht="14.25" customHeight="1">
      <c r="A666" s="45"/>
      <c r="D666" s="42" t="s">
        <v>1500</v>
      </c>
      <c r="E666" s="43" t="s">
        <v>1501</v>
      </c>
      <c r="F666" t="s">
        <v>57</v>
      </c>
    </row>
    <row r="667" spans="1:6" ht="14.25" customHeight="1">
      <c r="A667" s="45"/>
      <c r="D667" s="42" t="s">
        <v>1502</v>
      </c>
      <c r="E667" s="43" t="s">
        <v>1503</v>
      </c>
      <c r="F667" t="s">
        <v>57</v>
      </c>
    </row>
    <row r="668" spans="1:6" ht="14.25" customHeight="1">
      <c r="A668" s="45"/>
      <c r="D668" s="42" t="s">
        <v>1504</v>
      </c>
      <c r="E668" s="43" t="s">
        <v>1505</v>
      </c>
      <c r="F668" t="s">
        <v>57</v>
      </c>
    </row>
    <row r="669" spans="1:6" ht="14.25" customHeight="1">
      <c r="A669" s="45"/>
      <c r="D669" s="42" t="s">
        <v>1506</v>
      </c>
      <c r="E669" s="43" t="s">
        <v>1507</v>
      </c>
      <c r="F669" t="s">
        <v>57</v>
      </c>
    </row>
    <row r="670" spans="1:6" ht="14.25" customHeight="1">
      <c r="A670" s="45"/>
      <c r="D670" s="42" t="s">
        <v>1508</v>
      </c>
      <c r="E670" s="43" t="s">
        <v>1509</v>
      </c>
      <c r="F670" t="s">
        <v>57</v>
      </c>
    </row>
    <row r="671" spans="1:6" ht="14.25" customHeight="1">
      <c r="A671" s="45"/>
      <c r="D671" s="42" t="s">
        <v>1510</v>
      </c>
      <c r="E671" s="43" t="s">
        <v>1511</v>
      </c>
      <c r="F671" t="s">
        <v>57</v>
      </c>
    </row>
    <row r="672" spans="1:6" ht="14.25" customHeight="1">
      <c r="A672" s="45"/>
      <c r="D672" s="42" t="s">
        <v>1512</v>
      </c>
      <c r="E672" s="43" t="s">
        <v>1513</v>
      </c>
      <c r="F672" t="s">
        <v>57</v>
      </c>
    </row>
    <row r="673" spans="1:6" ht="14.25" customHeight="1">
      <c r="A673" s="45"/>
      <c r="D673" s="42" t="s">
        <v>1514</v>
      </c>
      <c r="E673" s="43" t="s">
        <v>1515</v>
      </c>
      <c r="F673" t="s">
        <v>57</v>
      </c>
    </row>
    <row r="674" spans="1:6" ht="14.25" customHeight="1">
      <c r="A674" s="45"/>
      <c r="D674" s="42" t="s">
        <v>1516</v>
      </c>
      <c r="E674" s="43" t="s">
        <v>1517</v>
      </c>
      <c r="F674" t="s">
        <v>57</v>
      </c>
    </row>
    <row r="675" spans="1:6" ht="14.25" customHeight="1">
      <c r="A675" s="45"/>
      <c r="D675" s="42" t="s">
        <v>1518</v>
      </c>
      <c r="E675" s="43" t="s">
        <v>1519</v>
      </c>
      <c r="F675" t="s">
        <v>57</v>
      </c>
    </row>
    <row r="676" spans="1:6" ht="14.25" customHeight="1">
      <c r="A676" s="45"/>
      <c r="D676" s="42" t="s">
        <v>1520</v>
      </c>
      <c r="E676" s="43" t="s">
        <v>1521</v>
      </c>
      <c r="F676" t="s">
        <v>57</v>
      </c>
    </row>
    <row r="677" spans="1:6" ht="14.25" customHeight="1">
      <c r="A677" s="45"/>
      <c r="D677" s="42" t="s">
        <v>1522</v>
      </c>
      <c r="E677" s="43" t="s">
        <v>1523</v>
      </c>
      <c r="F677" t="s">
        <v>57</v>
      </c>
    </row>
    <row r="678" spans="1:6" ht="14.25" customHeight="1">
      <c r="A678" s="45"/>
      <c r="D678" s="42" t="s">
        <v>1524</v>
      </c>
      <c r="E678" s="43" t="s">
        <v>1525</v>
      </c>
      <c r="F678" t="s">
        <v>57</v>
      </c>
    </row>
    <row r="679" spans="1:6" ht="14.25" customHeight="1">
      <c r="A679" s="45"/>
      <c r="D679" s="42" t="s">
        <v>1526</v>
      </c>
      <c r="E679" s="43" t="s">
        <v>1527</v>
      </c>
      <c r="F679" t="s">
        <v>57</v>
      </c>
    </row>
    <row r="680" spans="1:6" ht="14.25" customHeight="1">
      <c r="A680" s="45"/>
      <c r="D680" s="42" t="s">
        <v>1528</v>
      </c>
      <c r="E680" s="43" t="s">
        <v>1529</v>
      </c>
      <c r="F680" t="s">
        <v>57</v>
      </c>
    </row>
    <row r="681" spans="1:6" ht="14.25" customHeight="1">
      <c r="A681" s="45"/>
      <c r="D681" s="42" t="s">
        <v>1530</v>
      </c>
      <c r="E681" s="43" t="s">
        <v>1531</v>
      </c>
      <c r="F681" t="s">
        <v>57</v>
      </c>
    </row>
    <row r="682" spans="1:6" ht="14.25" customHeight="1">
      <c r="A682" s="45"/>
      <c r="D682" s="42" t="s">
        <v>1532</v>
      </c>
      <c r="E682" s="43" t="s">
        <v>1533</v>
      </c>
      <c r="F682" t="s">
        <v>57</v>
      </c>
    </row>
    <row r="683" spans="1:6" ht="14.25" customHeight="1">
      <c r="A683" s="45"/>
      <c r="D683" s="42" t="s">
        <v>1534</v>
      </c>
      <c r="E683" s="43" t="s">
        <v>1535</v>
      </c>
      <c r="F683" t="s">
        <v>57</v>
      </c>
    </row>
    <row r="684" spans="1:6" ht="14.25" customHeight="1">
      <c r="A684" s="45"/>
      <c r="D684" s="42" t="s">
        <v>1536</v>
      </c>
      <c r="E684" s="43" t="s">
        <v>1537</v>
      </c>
      <c r="F684" t="s">
        <v>57</v>
      </c>
    </row>
    <row r="685" spans="1:6" ht="14.25" customHeight="1">
      <c r="A685" s="45"/>
      <c r="D685" s="42" t="s">
        <v>1538</v>
      </c>
      <c r="E685" s="43" t="s">
        <v>1539</v>
      </c>
      <c r="F685" t="s">
        <v>57</v>
      </c>
    </row>
    <row r="686" spans="1:6" ht="14.25" customHeight="1">
      <c r="A686" s="45"/>
      <c r="D686" s="42" t="s">
        <v>1540</v>
      </c>
      <c r="E686" s="43" t="s">
        <v>1541</v>
      </c>
      <c r="F686" t="s">
        <v>57</v>
      </c>
    </row>
    <row r="687" spans="1:6" ht="14.25" customHeight="1">
      <c r="A687" s="45"/>
      <c r="D687" s="42" t="s">
        <v>1542</v>
      </c>
      <c r="E687" s="43" t="s">
        <v>1543</v>
      </c>
      <c r="F687" t="s">
        <v>57</v>
      </c>
    </row>
    <row r="688" spans="1:6" ht="14.25" customHeight="1">
      <c r="A688" s="45"/>
      <c r="D688" s="42" t="s">
        <v>1544</v>
      </c>
      <c r="E688" s="43" t="s">
        <v>1545</v>
      </c>
      <c r="F688" t="s">
        <v>57</v>
      </c>
    </row>
    <row r="689" spans="1:6" ht="14.25" customHeight="1">
      <c r="A689" s="45"/>
      <c r="D689" s="42" t="s">
        <v>1546</v>
      </c>
      <c r="E689" s="43" t="s">
        <v>1547</v>
      </c>
      <c r="F689" t="s">
        <v>57</v>
      </c>
    </row>
    <row r="690" spans="1:6" ht="14.25" customHeight="1">
      <c r="A690" s="45"/>
      <c r="D690" s="42" t="s">
        <v>1548</v>
      </c>
      <c r="E690" s="43" t="s">
        <v>1549</v>
      </c>
      <c r="F690" t="s">
        <v>57</v>
      </c>
    </row>
    <row r="691" spans="1:6" ht="14.25" customHeight="1">
      <c r="A691" s="45"/>
      <c r="D691" s="42" t="s">
        <v>1550</v>
      </c>
      <c r="E691" s="43" t="s">
        <v>1551</v>
      </c>
      <c r="F691" t="s">
        <v>57</v>
      </c>
    </row>
    <row r="692" spans="1:6" ht="14.25" customHeight="1">
      <c r="A692" s="45"/>
      <c r="D692" s="42" t="s">
        <v>1552</v>
      </c>
      <c r="E692" s="43" t="s">
        <v>1553</v>
      </c>
      <c r="F692" t="s">
        <v>57</v>
      </c>
    </row>
    <row r="693" spans="1:6" ht="14.25" customHeight="1">
      <c r="A693" s="45"/>
      <c r="D693" s="42" t="s">
        <v>1554</v>
      </c>
      <c r="E693" s="43" t="s">
        <v>1555</v>
      </c>
      <c r="F693" t="s">
        <v>57</v>
      </c>
    </row>
    <row r="694" spans="1:6" ht="14.25" customHeight="1">
      <c r="A694" s="45"/>
      <c r="D694" s="42" t="s">
        <v>1556</v>
      </c>
      <c r="E694" s="43" t="s">
        <v>1557</v>
      </c>
      <c r="F694" t="s">
        <v>57</v>
      </c>
    </row>
    <row r="695" spans="1:6" ht="14.25" customHeight="1">
      <c r="A695" s="45"/>
      <c r="D695" s="42" t="s">
        <v>1558</v>
      </c>
      <c r="E695" s="43" t="s">
        <v>1559</v>
      </c>
      <c r="F695" t="s">
        <v>57</v>
      </c>
    </row>
    <row r="696" spans="1:6" ht="14.25" customHeight="1">
      <c r="A696" s="45"/>
      <c r="D696" s="42" t="s">
        <v>1560</v>
      </c>
      <c r="E696" s="43" t="s">
        <v>1561</v>
      </c>
      <c r="F696" t="s">
        <v>57</v>
      </c>
    </row>
    <row r="697" spans="1:6" ht="14.25" customHeight="1">
      <c r="A697" s="45"/>
      <c r="D697" s="42" t="s">
        <v>1562</v>
      </c>
      <c r="E697" s="43" t="s">
        <v>1563</v>
      </c>
      <c r="F697" t="s">
        <v>57</v>
      </c>
    </row>
    <row r="698" spans="1:6" ht="14.25" customHeight="1">
      <c r="A698" s="45"/>
      <c r="D698" s="42" t="s">
        <v>1564</v>
      </c>
      <c r="E698" s="43" t="s">
        <v>1565</v>
      </c>
      <c r="F698" t="s">
        <v>57</v>
      </c>
    </row>
    <row r="699" spans="1:6" ht="14.25" customHeight="1">
      <c r="A699" s="45"/>
      <c r="D699" s="42" t="s">
        <v>1566</v>
      </c>
      <c r="E699" s="43" t="s">
        <v>1567</v>
      </c>
      <c r="F699" t="s">
        <v>57</v>
      </c>
    </row>
    <row r="700" spans="1:6" ht="14.25" customHeight="1">
      <c r="A700" s="45"/>
      <c r="D700" s="42" t="s">
        <v>1568</v>
      </c>
      <c r="E700" s="43" t="s">
        <v>1569</v>
      </c>
      <c r="F700" t="s">
        <v>57</v>
      </c>
    </row>
    <row r="701" spans="1:6" ht="14.25" customHeight="1">
      <c r="A701" s="45"/>
      <c r="D701" s="42" t="s">
        <v>1570</v>
      </c>
      <c r="E701" s="43" t="s">
        <v>1571</v>
      </c>
      <c r="F701" t="s">
        <v>57</v>
      </c>
    </row>
    <row r="702" spans="1:6" ht="14.25" customHeight="1">
      <c r="A702" s="45"/>
      <c r="D702" s="42" t="s">
        <v>1572</v>
      </c>
      <c r="E702" s="43" t="s">
        <v>1573</v>
      </c>
      <c r="F702" t="s">
        <v>57</v>
      </c>
    </row>
    <row r="703" spans="1:6" ht="14.25" customHeight="1">
      <c r="A703" s="45"/>
      <c r="D703" s="42" t="s">
        <v>1574</v>
      </c>
      <c r="E703" s="43" t="s">
        <v>1575</v>
      </c>
      <c r="F703" t="s">
        <v>57</v>
      </c>
    </row>
    <row r="704" spans="1:6" ht="14.25" customHeight="1">
      <c r="A704" s="45"/>
      <c r="D704" s="42" t="s">
        <v>1576</v>
      </c>
      <c r="E704" s="43" t="s">
        <v>1577</v>
      </c>
      <c r="F704" t="s">
        <v>57</v>
      </c>
    </row>
    <row r="705" spans="1:6" ht="14.25" customHeight="1">
      <c r="A705" s="45"/>
      <c r="D705" s="42" t="s">
        <v>1578</v>
      </c>
      <c r="E705" s="43" t="s">
        <v>1579</v>
      </c>
      <c r="F705" t="s">
        <v>57</v>
      </c>
    </row>
    <row r="706" spans="1:6" ht="14.25" customHeight="1">
      <c r="A706" s="45"/>
      <c r="D706" s="42" t="s">
        <v>1580</v>
      </c>
      <c r="E706" s="43" t="s">
        <v>1581</v>
      </c>
      <c r="F706" t="s">
        <v>57</v>
      </c>
    </row>
    <row r="707" spans="1:6" ht="14.25" customHeight="1">
      <c r="A707" s="45"/>
      <c r="D707" s="42" t="s">
        <v>1582</v>
      </c>
      <c r="E707" s="43" t="s">
        <v>1583</v>
      </c>
      <c r="F707" t="s">
        <v>57</v>
      </c>
    </row>
    <row r="708" spans="1:6" ht="14.25" customHeight="1">
      <c r="A708" s="45"/>
      <c r="D708" s="42" t="s">
        <v>1584</v>
      </c>
      <c r="E708" s="43" t="s">
        <v>1585</v>
      </c>
      <c r="F708" t="s">
        <v>57</v>
      </c>
    </row>
    <row r="709" spans="1:6" ht="14.25" customHeight="1">
      <c r="A709" s="45"/>
      <c r="D709" s="42" t="s">
        <v>1586</v>
      </c>
      <c r="E709" s="43" t="s">
        <v>1587</v>
      </c>
      <c r="F709" t="s">
        <v>57</v>
      </c>
    </row>
    <row r="710" spans="1:6" ht="14.25" customHeight="1">
      <c r="A710" s="45"/>
      <c r="D710" s="42" t="s">
        <v>1588</v>
      </c>
      <c r="E710" s="43" t="s">
        <v>1589</v>
      </c>
      <c r="F710" t="s">
        <v>57</v>
      </c>
    </row>
    <row r="711" spans="1:6" ht="14.25" customHeight="1">
      <c r="A711" s="45"/>
      <c r="D711" s="42" t="s">
        <v>1590</v>
      </c>
      <c r="E711" s="43" t="s">
        <v>1591</v>
      </c>
      <c r="F711" t="s">
        <v>57</v>
      </c>
    </row>
    <row r="712" spans="1:6" ht="14.25" customHeight="1">
      <c r="A712" s="45"/>
      <c r="D712" s="42" t="s">
        <v>1592</v>
      </c>
      <c r="E712" s="43" t="s">
        <v>1593</v>
      </c>
      <c r="F712" t="s">
        <v>57</v>
      </c>
    </row>
    <row r="713" spans="1:6" ht="14.25" customHeight="1">
      <c r="A713" s="45"/>
      <c r="D713" s="42" t="s">
        <v>1594</v>
      </c>
      <c r="E713" s="43" t="s">
        <v>1595</v>
      </c>
      <c r="F713" t="s">
        <v>57</v>
      </c>
    </row>
    <row r="714" spans="1:6" ht="14.25" customHeight="1">
      <c r="A714" s="45"/>
      <c r="D714" s="42" t="s">
        <v>1596</v>
      </c>
      <c r="E714" s="43" t="s">
        <v>1597</v>
      </c>
      <c r="F714" t="s">
        <v>57</v>
      </c>
    </row>
    <row r="715" spans="1:6" ht="14.25" customHeight="1">
      <c r="A715" s="45"/>
      <c r="D715" s="42" t="s">
        <v>1598</v>
      </c>
      <c r="E715" s="43" t="s">
        <v>1599</v>
      </c>
      <c r="F715" t="s">
        <v>57</v>
      </c>
    </row>
    <row r="716" spans="1:6" ht="14.25" customHeight="1">
      <c r="A716" s="45"/>
      <c r="D716" s="42" t="s">
        <v>1600</v>
      </c>
      <c r="E716" s="43" t="s">
        <v>1601</v>
      </c>
      <c r="F716" t="s">
        <v>57</v>
      </c>
    </row>
    <row r="717" spans="1:6" ht="14.25" customHeight="1">
      <c r="A717" s="45"/>
      <c r="D717" s="42" t="s">
        <v>1602</v>
      </c>
      <c r="E717" s="43" t="s">
        <v>1603</v>
      </c>
      <c r="F717" t="s">
        <v>57</v>
      </c>
    </row>
    <row r="718" spans="1:6" ht="14.25" customHeight="1">
      <c r="A718" s="45"/>
      <c r="D718" s="42" t="s">
        <v>1604</v>
      </c>
      <c r="E718" s="43" t="s">
        <v>1605</v>
      </c>
      <c r="F718" t="s">
        <v>57</v>
      </c>
    </row>
    <row r="719" spans="1:6" ht="14.25" customHeight="1">
      <c r="A719" s="45"/>
      <c r="D719" s="42" t="s">
        <v>1606</v>
      </c>
      <c r="E719" s="43" t="s">
        <v>1607</v>
      </c>
      <c r="F719" t="s">
        <v>57</v>
      </c>
    </row>
    <row r="720" spans="1:6" ht="14.25" customHeight="1">
      <c r="A720" s="45"/>
      <c r="D720" s="42" t="s">
        <v>1608</v>
      </c>
      <c r="E720" s="43" t="s">
        <v>1609</v>
      </c>
      <c r="F720" t="s">
        <v>57</v>
      </c>
    </row>
    <row r="721" spans="1:6" ht="14.25" customHeight="1">
      <c r="A721" s="45"/>
      <c r="D721" s="42" t="s">
        <v>1610</v>
      </c>
      <c r="E721" s="43" t="s">
        <v>1611</v>
      </c>
      <c r="F721" t="s">
        <v>57</v>
      </c>
    </row>
    <row r="722" spans="1:6" ht="14.25" customHeight="1">
      <c r="A722" s="45"/>
      <c r="D722" s="42" t="s">
        <v>1612</v>
      </c>
      <c r="E722" s="43" t="s">
        <v>1613</v>
      </c>
      <c r="F722" t="s">
        <v>57</v>
      </c>
    </row>
    <row r="723" spans="1:6" ht="14.25" customHeight="1">
      <c r="A723" s="45"/>
      <c r="D723" s="42" t="s">
        <v>1614</v>
      </c>
      <c r="E723" s="43" t="s">
        <v>1615</v>
      </c>
      <c r="F723" t="s">
        <v>57</v>
      </c>
    </row>
    <row r="724" spans="1:6" ht="14.25" customHeight="1">
      <c r="A724" s="45"/>
      <c r="D724" s="42" t="s">
        <v>1616</v>
      </c>
      <c r="E724" s="43" t="s">
        <v>1617</v>
      </c>
      <c r="F724" t="s">
        <v>57</v>
      </c>
    </row>
    <row r="725" spans="1:6" ht="14.25" customHeight="1">
      <c r="A725" s="45"/>
      <c r="D725" s="42" t="s">
        <v>1618</v>
      </c>
      <c r="E725" s="43" t="s">
        <v>1619</v>
      </c>
      <c r="F725" t="s">
        <v>57</v>
      </c>
    </row>
    <row r="726" spans="1:6" ht="14.25" customHeight="1">
      <c r="A726" s="45"/>
      <c r="D726" s="42" t="s">
        <v>1620</v>
      </c>
      <c r="E726" s="43" t="s">
        <v>1621</v>
      </c>
      <c r="F726" t="s">
        <v>57</v>
      </c>
    </row>
    <row r="727" spans="1:6" ht="14.25" customHeight="1">
      <c r="A727" s="45"/>
      <c r="D727" s="42" t="s">
        <v>1622</v>
      </c>
      <c r="E727" s="43" t="s">
        <v>1623</v>
      </c>
      <c r="F727" t="s">
        <v>57</v>
      </c>
    </row>
    <row r="728" spans="1:6" ht="14.25" customHeight="1">
      <c r="A728" s="45"/>
      <c r="D728" s="42" t="s">
        <v>1624</v>
      </c>
      <c r="E728" s="43" t="s">
        <v>1625</v>
      </c>
      <c r="F728" t="s">
        <v>57</v>
      </c>
    </row>
    <row r="729" spans="1:6" ht="14.25" customHeight="1">
      <c r="A729" s="45"/>
      <c r="D729" s="42" t="s">
        <v>1626</v>
      </c>
      <c r="E729" s="43" t="s">
        <v>1627</v>
      </c>
      <c r="F729" t="s">
        <v>57</v>
      </c>
    </row>
    <row r="730" spans="1:6" ht="14.25" customHeight="1">
      <c r="A730" s="45"/>
      <c r="D730" s="42" t="s">
        <v>1628</v>
      </c>
      <c r="E730" s="43" t="s">
        <v>1629</v>
      </c>
      <c r="F730" t="s">
        <v>57</v>
      </c>
    </row>
    <row r="731" spans="1:6" ht="14.25" customHeight="1">
      <c r="A731" s="45"/>
      <c r="D731" s="42" t="s">
        <v>1630</v>
      </c>
      <c r="E731" s="43" t="s">
        <v>1631</v>
      </c>
      <c r="F731" t="s">
        <v>57</v>
      </c>
    </row>
    <row r="732" spans="1:6" ht="14.25" customHeight="1">
      <c r="A732" s="45"/>
      <c r="D732" s="42" t="s">
        <v>1632</v>
      </c>
      <c r="E732" s="43" t="s">
        <v>1633</v>
      </c>
      <c r="F732" t="s">
        <v>57</v>
      </c>
    </row>
    <row r="733" spans="1:6" ht="14.25" customHeight="1">
      <c r="A733" s="45"/>
      <c r="D733" s="42" t="s">
        <v>1634</v>
      </c>
      <c r="E733" s="43" t="s">
        <v>1635</v>
      </c>
      <c r="F733" t="s">
        <v>57</v>
      </c>
    </row>
    <row r="734" spans="1:6" ht="14.25" customHeight="1">
      <c r="A734" s="45"/>
      <c r="D734" s="42" t="s">
        <v>1636</v>
      </c>
      <c r="E734" s="43" t="s">
        <v>1637</v>
      </c>
      <c r="F734" t="s">
        <v>57</v>
      </c>
    </row>
    <row r="735" spans="1:6" ht="14.25" customHeight="1">
      <c r="A735" s="45"/>
      <c r="D735" s="42" t="s">
        <v>1638</v>
      </c>
      <c r="E735" s="43" t="s">
        <v>1639</v>
      </c>
      <c r="F735" t="s">
        <v>57</v>
      </c>
    </row>
    <row r="736" spans="1:6" ht="14.25" customHeight="1">
      <c r="A736" s="45"/>
      <c r="D736" s="42" t="s">
        <v>1640</v>
      </c>
      <c r="E736" s="43" t="s">
        <v>1641</v>
      </c>
      <c r="F736" t="s">
        <v>57</v>
      </c>
    </row>
    <row r="737" spans="1:6" ht="14.25" customHeight="1">
      <c r="A737" s="45"/>
      <c r="D737" s="42" t="s">
        <v>1642</v>
      </c>
      <c r="E737" s="43" t="s">
        <v>1643</v>
      </c>
      <c r="F737" t="s">
        <v>57</v>
      </c>
    </row>
    <row r="738" spans="1:6" ht="14.25" customHeight="1">
      <c r="A738" s="45"/>
      <c r="D738" s="42" t="s">
        <v>1644</v>
      </c>
      <c r="E738" s="43" t="s">
        <v>1645</v>
      </c>
      <c r="F738" t="s">
        <v>57</v>
      </c>
    </row>
    <row r="739" spans="1:6" ht="14.25" customHeight="1">
      <c r="A739" s="45"/>
      <c r="D739" s="42" t="s">
        <v>1646</v>
      </c>
      <c r="E739" s="43" t="s">
        <v>1647</v>
      </c>
      <c r="F739" t="s">
        <v>57</v>
      </c>
    </row>
    <row r="740" spans="1:6" ht="14.25" customHeight="1">
      <c r="A740" s="45"/>
      <c r="D740" s="42" t="s">
        <v>1648</v>
      </c>
      <c r="E740" s="43" t="s">
        <v>1649</v>
      </c>
      <c r="F740" t="s">
        <v>57</v>
      </c>
    </row>
    <row r="741" spans="1:6" ht="14.25" customHeight="1">
      <c r="A741" s="45"/>
      <c r="D741" s="42" t="s">
        <v>1650</v>
      </c>
      <c r="E741" s="43" t="s">
        <v>1651</v>
      </c>
      <c r="F741" t="s">
        <v>57</v>
      </c>
    </row>
    <row r="742" spans="1:6" ht="14.25" customHeight="1">
      <c r="A742" s="45"/>
      <c r="D742" s="42" t="s">
        <v>1652</v>
      </c>
      <c r="E742" s="43" t="s">
        <v>1653</v>
      </c>
      <c r="F742" t="s">
        <v>57</v>
      </c>
    </row>
    <row r="743" spans="1:6" ht="14.25" customHeight="1">
      <c r="A743" s="45"/>
      <c r="D743" s="42" t="s">
        <v>1654</v>
      </c>
      <c r="E743" s="43" t="s">
        <v>1655</v>
      </c>
      <c r="F743" t="s">
        <v>57</v>
      </c>
    </row>
    <row r="744" spans="1:6" ht="14.25" customHeight="1">
      <c r="A744" s="45"/>
      <c r="D744" s="42" t="s">
        <v>1656</v>
      </c>
      <c r="E744" s="43" t="s">
        <v>1657</v>
      </c>
      <c r="F744" t="s">
        <v>57</v>
      </c>
    </row>
    <row r="745" spans="1:6" ht="14.25" customHeight="1">
      <c r="A745" s="45"/>
      <c r="D745" s="42" t="s">
        <v>1658</v>
      </c>
      <c r="E745" s="43" t="s">
        <v>1659</v>
      </c>
      <c r="F745" t="s">
        <v>57</v>
      </c>
    </row>
    <row r="746" spans="1:6" ht="14.25" customHeight="1">
      <c r="A746" s="45"/>
      <c r="D746" s="42" t="s">
        <v>1660</v>
      </c>
      <c r="E746" s="43" t="s">
        <v>1661</v>
      </c>
      <c r="F746" t="s">
        <v>57</v>
      </c>
    </row>
    <row r="747" spans="1:6" ht="14.25" customHeight="1">
      <c r="A747" s="45"/>
      <c r="D747" s="42" t="s">
        <v>1662</v>
      </c>
      <c r="E747" s="43" t="s">
        <v>1663</v>
      </c>
      <c r="F747" t="s">
        <v>57</v>
      </c>
    </row>
    <row r="748" spans="1:6" ht="14.25" customHeight="1">
      <c r="A748" s="45"/>
      <c r="D748" s="42" t="s">
        <v>1664</v>
      </c>
      <c r="E748" s="43" t="s">
        <v>1665</v>
      </c>
      <c r="F748" t="s">
        <v>57</v>
      </c>
    </row>
    <row r="749" spans="1:6" ht="14.25" customHeight="1">
      <c r="A749" s="45"/>
      <c r="D749" s="42" t="s">
        <v>1666</v>
      </c>
      <c r="E749" s="43" t="s">
        <v>1667</v>
      </c>
      <c r="F749" t="s">
        <v>57</v>
      </c>
    </row>
    <row r="750" spans="1:6" ht="14.25" customHeight="1">
      <c r="A750" s="45"/>
      <c r="D750" s="42" t="s">
        <v>1668</v>
      </c>
      <c r="E750" s="43" t="s">
        <v>1669</v>
      </c>
      <c r="F750" t="s">
        <v>57</v>
      </c>
    </row>
    <row r="751" spans="1:6" ht="14.25" customHeight="1">
      <c r="A751" s="45"/>
      <c r="D751" s="42" t="s">
        <v>1670</v>
      </c>
      <c r="E751" s="43" t="s">
        <v>1671</v>
      </c>
      <c r="F751" t="s">
        <v>57</v>
      </c>
    </row>
    <row r="752" spans="1:6" ht="14.25" customHeight="1">
      <c r="A752" s="45"/>
      <c r="D752" s="42" t="s">
        <v>1672</v>
      </c>
      <c r="E752" s="43" t="s">
        <v>1673</v>
      </c>
      <c r="F752" t="s">
        <v>57</v>
      </c>
    </row>
    <row r="753" spans="1:6" ht="14.25" customHeight="1">
      <c r="A753" s="45"/>
      <c r="D753" s="42" t="s">
        <v>1674</v>
      </c>
      <c r="E753" s="43" t="s">
        <v>1675</v>
      </c>
      <c r="F753" t="s">
        <v>57</v>
      </c>
    </row>
    <row r="754" spans="1:6" ht="14.25" customHeight="1">
      <c r="A754" s="45"/>
      <c r="D754" s="42" t="s">
        <v>1676</v>
      </c>
      <c r="E754" s="43" t="s">
        <v>1677</v>
      </c>
      <c r="F754" t="s">
        <v>57</v>
      </c>
    </row>
    <row r="755" spans="1:6" ht="14.25" customHeight="1">
      <c r="A755" s="45"/>
      <c r="D755" s="42" t="s">
        <v>1678</v>
      </c>
      <c r="E755" s="43" t="s">
        <v>1679</v>
      </c>
      <c r="F755" t="s">
        <v>57</v>
      </c>
    </row>
    <row r="756" spans="1:6" ht="14.25" customHeight="1">
      <c r="A756" s="45"/>
      <c r="D756" s="42" t="s">
        <v>1680</v>
      </c>
      <c r="E756" s="43" t="s">
        <v>1681</v>
      </c>
      <c r="F756" t="s">
        <v>57</v>
      </c>
    </row>
    <row r="757" spans="1:6" ht="14.25" customHeight="1">
      <c r="A757" s="45"/>
      <c r="D757" s="42" t="s">
        <v>1682</v>
      </c>
      <c r="E757" s="43" t="s">
        <v>1683</v>
      </c>
      <c r="F757" t="s">
        <v>57</v>
      </c>
    </row>
    <row r="758" spans="1:6" ht="14.25" customHeight="1">
      <c r="A758" s="45"/>
      <c r="D758" s="42" t="s">
        <v>1684</v>
      </c>
      <c r="E758" s="43" t="s">
        <v>1685</v>
      </c>
      <c r="F758" t="s">
        <v>57</v>
      </c>
    </row>
    <row r="759" spans="1:6" ht="14.25" customHeight="1">
      <c r="A759" s="45"/>
      <c r="D759" s="42" t="s">
        <v>1686</v>
      </c>
      <c r="E759" s="43" t="s">
        <v>1687</v>
      </c>
      <c r="F759" t="s">
        <v>57</v>
      </c>
    </row>
    <row r="760" spans="1:6" ht="14.25" customHeight="1">
      <c r="A760" s="45"/>
      <c r="D760" s="42" t="s">
        <v>1688</v>
      </c>
      <c r="E760" s="43" t="s">
        <v>1689</v>
      </c>
      <c r="F760" t="s">
        <v>57</v>
      </c>
    </row>
    <row r="761" spans="1:6" ht="14.25" customHeight="1">
      <c r="A761" s="45"/>
      <c r="D761" s="42" t="s">
        <v>1690</v>
      </c>
      <c r="E761" s="43" t="s">
        <v>1691</v>
      </c>
      <c r="F761" t="s">
        <v>57</v>
      </c>
    </row>
    <row r="762" spans="1:6" ht="14.25" customHeight="1">
      <c r="A762" s="45"/>
      <c r="D762" s="42" t="s">
        <v>1692</v>
      </c>
      <c r="E762" s="43" t="s">
        <v>1693</v>
      </c>
      <c r="F762" t="s">
        <v>57</v>
      </c>
    </row>
    <row r="763" spans="1:6" ht="14.25" customHeight="1">
      <c r="A763" s="45"/>
      <c r="D763" s="42" t="s">
        <v>1694</v>
      </c>
      <c r="E763" s="43" t="s">
        <v>1695</v>
      </c>
      <c r="F763" t="s">
        <v>57</v>
      </c>
    </row>
    <row r="764" spans="1:6" ht="14.25" customHeight="1">
      <c r="A764" s="45"/>
      <c r="D764" s="42" t="s">
        <v>1696</v>
      </c>
      <c r="E764" s="43" t="s">
        <v>1697</v>
      </c>
      <c r="F764" t="s">
        <v>57</v>
      </c>
    </row>
    <row r="765" spans="1:6" ht="14.25" customHeight="1">
      <c r="A765" s="45"/>
      <c r="D765" s="42" t="s">
        <v>1698</v>
      </c>
      <c r="E765" s="43" t="s">
        <v>1699</v>
      </c>
      <c r="F765" t="s">
        <v>57</v>
      </c>
    </row>
    <row r="766" spans="1:6" ht="14.25" customHeight="1">
      <c r="A766" s="45"/>
      <c r="D766" s="42" t="s">
        <v>1700</v>
      </c>
      <c r="E766" s="43" t="s">
        <v>1701</v>
      </c>
      <c r="F766" t="s">
        <v>57</v>
      </c>
    </row>
    <row r="767" spans="1:6" ht="14.25" customHeight="1">
      <c r="A767" s="45"/>
      <c r="D767" s="42" t="s">
        <v>1702</v>
      </c>
      <c r="E767" s="43" t="s">
        <v>1703</v>
      </c>
      <c r="F767" t="s">
        <v>57</v>
      </c>
    </row>
    <row r="768" spans="1:6" ht="14.25" customHeight="1">
      <c r="A768" s="45"/>
      <c r="D768" s="42" t="s">
        <v>1704</v>
      </c>
      <c r="E768" s="43" t="s">
        <v>1705</v>
      </c>
      <c r="F768" t="s">
        <v>57</v>
      </c>
    </row>
    <row r="769" spans="1:6" ht="14.25" customHeight="1">
      <c r="A769" s="45"/>
      <c r="D769" s="42" t="s">
        <v>1706</v>
      </c>
      <c r="E769" s="43" t="s">
        <v>1707</v>
      </c>
      <c r="F769" t="s">
        <v>57</v>
      </c>
    </row>
    <row r="770" spans="1:6" ht="14.25" customHeight="1">
      <c r="A770" s="45"/>
      <c r="D770" s="42" t="s">
        <v>1708</v>
      </c>
      <c r="E770" s="43" t="s">
        <v>1709</v>
      </c>
      <c r="F770" t="s">
        <v>57</v>
      </c>
    </row>
    <row r="771" spans="1:6" ht="14.25" customHeight="1">
      <c r="A771" s="45"/>
      <c r="D771" s="42" t="s">
        <v>1710</v>
      </c>
      <c r="E771" s="43" t="s">
        <v>1711</v>
      </c>
      <c r="F771" t="s">
        <v>57</v>
      </c>
    </row>
    <row r="772" spans="1:6" ht="14.25" customHeight="1">
      <c r="A772" s="45"/>
      <c r="D772" s="42" t="s">
        <v>1712</v>
      </c>
      <c r="E772" s="43" t="s">
        <v>1713</v>
      </c>
      <c r="F772" t="s">
        <v>57</v>
      </c>
    </row>
    <row r="773" spans="1:6" ht="14.25" customHeight="1">
      <c r="A773" s="45"/>
      <c r="D773" s="42" t="s">
        <v>1714</v>
      </c>
      <c r="E773" s="43" t="s">
        <v>1715</v>
      </c>
      <c r="F773" t="s">
        <v>57</v>
      </c>
    </row>
    <row r="774" spans="1:6" ht="14.25" customHeight="1">
      <c r="A774" s="45"/>
      <c r="D774" s="42" t="s">
        <v>1716</v>
      </c>
      <c r="E774" s="43" t="s">
        <v>1717</v>
      </c>
      <c r="F774" t="s">
        <v>57</v>
      </c>
    </row>
    <row r="775" spans="1:6" ht="14.25" customHeight="1">
      <c r="A775" s="45"/>
      <c r="D775" s="42" t="s">
        <v>1718</v>
      </c>
      <c r="E775" s="43" t="s">
        <v>1719</v>
      </c>
      <c r="F775" t="s">
        <v>57</v>
      </c>
    </row>
    <row r="776" spans="1:6" ht="14.25" customHeight="1">
      <c r="A776" s="45"/>
      <c r="D776" s="42" t="s">
        <v>1720</v>
      </c>
      <c r="E776" s="43" t="s">
        <v>1721</v>
      </c>
      <c r="F776" t="s">
        <v>57</v>
      </c>
    </row>
    <row r="777" spans="1:6" ht="14.25" customHeight="1">
      <c r="A777" s="45"/>
      <c r="D777" s="42" t="s">
        <v>1722</v>
      </c>
      <c r="E777" s="43" t="s">
        <v>1723</v>
      </c>
      <c r="F777" t="s">
        <v>57</v>
      </c>
    </row>
    <row r="778" spans="1:6" ht="14.25" customHeight="1">
      <c r="A778" s="45"/>
      <c r="D778" s="42" t="s">
        <v>1724</v>
      </c>
      <c r="E778" s="43" t="s">
        <v>1725</v>
      </c>
      <c r="F778" t="s">
        <v>57</v>
      </c>
    </row>
    <row r="779" spans="1:6" ht="14.25" customHeight="1">
      <c r="A779" s="45"/>
      <c r="D779" s="42" t="s">
        <v>1726</v>
      </c>
      <c r="E779" s="43" t="s">
        <v>1727</v>
      </c>
      <c r="F779" t="s">
        <v>57</v>
      </c>
    </row>
    <row r="780" spans="1:6" ht="14.25" customHeight="1">
      <c r="A780" s="45"/>
      <c r="D780" s="42" t="s">
        <v>1728</v>
      </c>
      <c r="E780" s="43" t="s">
        <v>1729</v>
      </c>
      <c r="F780" t="s">
        <v>57</v>
      </c>
    </row>
    <row r="781" spans="1:6" ht="14.25" customHeight="1">
      <c r="A781" s="45"/>
      <c r="D781" s="42" t="s">
        <v>1730</v>
      </c>
      <c r="E781" s="43" t="s">
        <v>1731</v>
      </c>
      <c r="F781" t="s">
        <v>57</v>
      </c>
    </row>
    <row r="782" spans="1:6" ht="14.25" customHeight="1">
      <c r="A782" s="45"/>
      <c r="D782" s="42" t="s">
        <v>1732</v>
      </c>
      <c r="E782" s="43" t="s">
        <v>1733</v>
      </c>
      <c r="F782" t="s">
        <v>57</v>
      </c>
    </row>
    <row r="783" spans="1:6" ht="14.25" customHeight="1">
      <c r="A783" s="45"/>
      <c r="D783" s="42" t="s">
        <v>1734</v>
      </c>
      <c r="E783" s="43" t="s">
        <v>1735</v>
      </c>
      <c r="F783" t="s">
        <v>57</v>
      </c>
    </row>
    <row r="784" spans="1:6" ht="14.25" customHeight="1">
      <c r="A784" s="45"/>
      <c r="D784" s="42" t="s">
        <v>1736</v>
      </c>
      <c r="E784" s="43" t="s">
        <v>1737</v>
      </c>
      <c r="F784" t="s">
        <v>57</v>
      </c>
    </row>
    <row r="785" spans="1:6" ht="14.25" customHeight="1">
      <c r="A785" s="45"/>
      <c r="D785" s="42" t="s">
        <v>1738</v>
      </c>
      <c r="E785" s="43" t="s">
        <v>1739</v>
      </c>
      <c r="F785" t="s">
        <v>57</v>
      </c>
    </row>
    <row r="786" spans="1:6" ht="14.25" customHeight="1">
      <c r="A786" s="45"/>
      <c r="D786" s="42" t="s">
        <v>1740</v>
      </c>
      <c r="E786" s="43" t="s">
        <v>1741</v>
      </c>
      <c r="F786" t="s">
        <v>57</v>
      </c>
    </row>
    <row r="787" spans="1:6" ht="14.25" customHeight="1">
      <c r="A787" s="45"/>
      <c r="D787" s="42" t="s">
        <v>1742</v>
      </c>
      <c r="E787" s="43" t="s">
        <v>1743</v>
      </c>
      <c r="F787" t="s">
        <v>57</v>
      </c>
    </row>
    <row r="788" spans="1:6" ht="14.25" customHeight="1">
      <c r="A788" s="45"/>
      <c r="D788" s="42" t="s">
        <v>1744</v>
      </c>
      <c r="E788" s="43" t="s">
        <v>1745</v>
      </c>
      <c r="F788" t="s">
        <v>57</v>
      </c>
    </row>
    <row r="789" spans="1:6" ht="14.25" customHeight="1">
      <c r="A789" s="45"/>
      <c r="D789" s="42" t="s">
        <v>1746</v>
      </c>
      <c r="E789" s="43" t="s">
        <v>1747</v>
      </c>
      <c r="F789" t="s">
        <v>57</v>
      </c>
    </row>
    <row r="790" spans="1:6" ht="14.25" customHeight="1">
      <c r="A790" s="45"/>
      <c r="D790" s="42" t="s">
        <v>1748</v>
      </c>
      <c r="E790" s="43" t="s">
        <v>1749</v>
      </c>
      <c r="F790" t="s">
        <v>57</v>
      </c>
    </row>
    <row r="791" spans="1:6" ht="14.25" customHeight="1">
      <c r="A791" s="45"/>
      <c r="D791" s="42" t="s">
        <v>1750</v>
      </c>
      <c r="E791" s="43" t="s">
        <v>1751</v>
      </c>
      <c r="F791" t="s">
        <v>57</v>
      </c>
    </row>
    <row r="792" spans="1:6" ht="14.25" customHeight="1">
      <c r="A792" s="45"/>
      <c r="D792" s="42" t="s">
        <v>1752</v>
      </c>
      <c r="E792" s="43" t="s">
        <v>1753</v>
      </c>
      <c r="F792" t="s">
        <v>57</v>
      </c>
    </row>
    <row r="793" spans="1:6" ht="14.25" customHeight="1">
      <c r="A793" s="45"/>
      <c r="D793" s="42" t="s">
        <v>1754</v>
      </c>
      <c r="E793" s="43" t="s">
        <v>1755</v>
      </c>
      <c r="F793" t="s">
        <v>57</v>
      </c>
    </row>
    <row r="794" spans="1:6" ht="14.25" customHeight="1">
      <c r="A794" s="45"/>
      <c r="D794" s="42" t="s">
        <v>1756</v>
      </c>
      <c r="E794" s="43" t="s">
        <v>1757</v>
      </c>
      <c r="F794" t="s">
        <v>57</v>
      </c>
    </row>
    <row r="795" spans="1:6" ht="14.25" customHeight="1">
      <c r="A795" s="45"/>
      <c r="D795" s="42" t="s">
        <v>1758</v>
      </c>
      <c r="E795" s="43" t="s">
        <v>1759</v>
      </c>
      <c r="F795" t="s">
        <v>57</v>
      </c>
    </row>
    <row r="796" spans="1:6" ht="14.25" customHeight="1">
      <c r="A796" s="45"/>
      <c r="D796" s="42" t="s">
        <v>1760</v>
      </c>
      <c r="E796" s="43" t="s">
        <v>1761</v>
      </c>
      <c r="F796" t="s">
        <v>57</v>
      </c>
    </row>
    <row r="797" spans="1:6" ht="14.25" customHeight="1">
      <c r="A797" s="45"/>
      <c r="D797" s="42" t="s">
        <v>1762</v>
      </c>
      <c r="E797" s="43" t="s">
        <v>1763</v>
      </c>
      <c r="F797" t="s">
        <v>57</v>
      </c>
    </row>
    <row r="798" spans="1:6" ht="14.25" customHeight="1">
      <c r="A798" s="45"/>
      <c r="D798" s="42" t="s">
        <v>1764</v>
      </c>
      <c r="E798" s="43" t="s">
        <v>1765</v>
      </c>
      <c r="F798" t="s">
        <v>57</v>
      </c>
    </row>
    <row r="799" spans="1:6" ht="14.25" customHeight="1">
      <c r="A799" s="45"/>
      <c r="D799" s="42" t="s">
        <v>1766</v>
      </c>
      <c r="E799" s="43" t="s">
        <v>1767</v>
      </c>
      <c r="F799" t="s">
        <v>57</v>
      </c>
    </row>
    <row r="800" spans="1:6" ht="14.25" customHeight="1">
      <c r="A800" s="45"/>
      <c r="D800" s="42" t="s">
        <v>1768</v>
      </c>
      <c r="E800" s="43" t="s">
        <v>1769</v>
      </c>
      <c r="F800" t="s">
        <v>57</v>
      </c>
    </row>
    <row r="801" spans="1:6" ht="14.25" customHeight="1">
      <c r="A801" s="45"/>
      <c r="D801" s="42" t="s">
        <v>1770</v>
      </c>
      <c r="E801" s="43" t="s">
        <v>1771</v>
      </c>
      <c r="F801" t="s">
        <v>57</v>
      </c>
    </row>
    <row r="802" spans="1:6" ht="14.25" customHeight="1">
      <c r="A802" s="45"/>
      <c r="D802" s="42" t="s">
        <v>1772</v>
      </c>
      <c r="E802" s="43" t="s">
        <v>1773</v>
      </c>
      <c r="F802" t="s">
        <v>57</v>
      </c>
    </row>
    <row r="803" spans="1:6" ht="14.25" customHeight="1">
      <c r="A803" s="45"/>
      <c r="D803" s="42" t="s">
        <v>1774</v>
      </c>
      <c r="E803" s="43" t="s">
        <v>1775</v>
      </c>
      <c r="F803" t="s">
        <v>57</v>
      </c>
    </row>
    <row r="804" spans="1:6" ht="14.25" customHeight="1">
      <c r="A804" s="45"/>
      <c r="D804" s="42" t="s">
        <v>1776</v>
      </c>
      <c r="E804" s="43" t="s">
        <v>1777</v>
      </c>
      <c r="F804" t="s">
        <v>57</v>
      </c>
    </row>
    <row r="805" spans="1:6" ht="14.25" customHeight="1">
      <c r="A805" s="45"/>
      <c r="D805" s="42" t="s">
        <v>1778</v>
      </c>
      <c r="E805" s="43" t="s">
        <v>1779</v>
      </c>
      <c r="F805" t="s">
        <v>57</v>
      </c>
    </row>
    <row r="806" spans="1:6" ht="14.25" customHeight="1">
      <c r="A806" s="45"/>
      <c r="D806" s="42" t="s">
        <v>1780</v>
      </c>
      <c r="E806" s="43" t="s">
        <v>1781</v>
      </c>
      <c r="F806" t="s">
        <v>57</v>
      </c>
    </row>
    <row r="807" spans="1:6" ht="14.25" customHeight="1">
      <c r="A807" s="45"/>
      <c r="D807" s="42" t="s">
        <v>1782</v>
      </c>
      <c r="E807" s="43" t="s">
        <v>1783</v>
      </c>
      <c r="F807" t="s">
        <v>57</v>
      </c>
    </row>
    <row r="808" spans="1:6" ht="14.25" customHeight="1">
      <c r="A808" s="45"/>
      <c r="D808" s="42" t="s">
        <v>1784</v>
      </c>
      <c r="E808" s="43" t="s">
        <v>1785</v>
      </c>
      <c r="F808" t="s">
        <v>57</v>
      </c>
    </row>
    <row r="809" spans="1:6" ht="14.25" customHeight="1">
      <c r="A809" s="45"/>
      <c r="D809" s="42" t="s">
        <v>1786</v>
      </c>
      <c r="E809" s="43" t="s">
        <v>1787</v>
      </c>
      <c r="F809" t="s">
        <v>57</v>
      </c>
    </row>
    <row r="810" spans="1:6" ht="14.25" customHeight="1">
      <c r="A810" s="45"/>
      <c r="D810" s="42" t="s">
        <v>1788</v>
      </c>
      <c r="E810" s="43" t="s">
        <v>1789</v>
      </c>
      <c r="F810" t="s">
        <v>57</v>
      </c>
    </row>
    <row r="811" spans="1:6" ht="14.25" customHeight="1">
      <c r="A811" s="45"/>
      <c r="D811" s="42" t="s">
        <v>1790</v>
      </c>
      <c r="E811" s="43" t="s">
        <v>1791</v>
      </c>
      <c r="F811" t="s">
        <v>57</v>
      </c>
    </row>
    <row r="812" spans="1:6" ht="14.25" customHeight="1">
      <c r="A812" s="45"/>
      <c r="D812" s="42" t="s">
        <v>1792</v>
      </c>
      <c r="E812" s="43" t="s">
        <v>1793</v>
      </c>
      <c r="F812" t="s">
        <v>57</v>
      </c>
    </row>
    <row r="813" spans="1:6" ht="14.25" customHeight="1">
      <c r="A813" s="45"/>
      <c r="D813" s="42" t="s">
        <v>1794</v>
      </c>
      <c r="E813" s="43" t="s">
        <v>1795</v>
      </c>
      <c r="F813" t="s">
        <v>57</v>
      </c>
    </row>
    <row r="814" spans="1:6" ht="14.25" customHeight="1">
      <c r="A814" s="45"/>
      <c r="D814" s="42" t="s">
        <v>1796</v>
      </c>
      <c r="E814" s="43" t="s">
        <v>1797</v>
      </c>
      <c r="F814" t="s">
        <v>57</v>
      </c>
    </row>
    <row r="815" spans="1:6" ht="14.25" customHeight="1">
      <c r="A815" s="45"/>
      <c r="D815" s="42" t="s">
        <v>1798</v>
      </c>
      <c r="E815" s="43" t="s">
        <v>1799</v>
      </c>
      <c r="F815" t="s">
        <v>57</v>
      </c>
    </row>
    <row r="816" spans="1:6" ht="14.25" customHeight="1">
      <c r="A816" s="45"/>
      <c r="D816" s="42" t="s">
        <v>1800</v>
      </c>
      <c r="E816" s="43" t="s">
        <v>1801</v>
      </c>
      <c r="F816" t="s">
        <v>57</v>
      </c>
    </row>
    <row r="817" spans="1:6" ht="14.25" customHeight="1">
      <c r="A817" s="45"/>
      <c r="D817" s="42" t="s">
        <v>1802</v>
      </c>
      <c r="E817" s="43" t="s">
        <v>1803</v>
      </c>
      <c r="F817" t="s">
        <v>57</v>
      </c>
    </row>
    <row r="818" spans="1:6" ht="14.25" customHeight="1">
      <c r="A818" s="45"/>
      <c r="D818" s="42" t="s">
        <v>1804</v>
      </c>
      <c r="E818" s="43" t="s">
        <v>1805</v>
      </c>
      <c r="F818" t="s">
        <v>57</v>
      </c>
    </row>
    <row r="819" spans="1:6" ht="14.25" customHeight="1">
      <c r="A819" s="45"/>
      <c r="D819" s="42" t="s">
        <v>1806</v>
      </c>
      <c r="E819" s="43" t="s">
        <v>1807</v>
      </c>
      <c r="F819" t="s">
        <v>57</v>
      </c>
    </row>
    <row r="820" spans="1:6" ht="14.25" customHeight="1">
      <c r="A820" s="45"/>
      <c r="D820" s="42" t="s">
        <v>1808</v>
      </c>
      <c r="E820" s="43" t="s">
        <v>1809</v>
      </c>
      <c r="F820" t="s">
        <v>57</v>
      </c>
    </row>
    <row r="821" spans="1:6" ht="14.25" customHeight="1">
      <c r="A821" s="45"/>
      <c r="D821" s="42" t="s">
        <v>1810</v>
      </c>
      <c r="E821" s="43" t="s">
        <v>1811</v>
      </c>
      <c r="F821" t="s">
        <v>57</v>
      </c>
    </row>
    <row r="822" spans="1:6" ht="14.25" customHeight="1">
      <c r="A822" s="45"/>
      <c r="D822" s="42" t="s">
        <v>1812</v>
      </c>
      <c r="E822" s="43" t="s">
        <v>1813</v>
      </c>
      <c r="F822" t="s">
        <v>57</v>
      </c>
    </row>
    <row r="823" spans="1:6" ht="14.25" customHeight="1">
      <c r="A823" s="45"/>
      <c r="D823" s="42" t="s">
        <v>1814</v>
      </c>
      <c r="E823" s="43" t="s">
        <v>1815</v>
      </c>
      <c r="F823" t="s">
        <v>57</v>
      </c>
    </row>
    <row r="824" spans="1:6" ht="14.25" customHeight="1">
      <c r="A824" s="45"/>
      <c r="D824" s="42" t="s">
        <v>1816</v>
      </c>
      <c r="E824" s="43" t="s">
        <v>1817</v>
      </c>
      <c r="F824" t="s">
        <v>57</v>
      </c>
    </row>
    <row r="825" spans="1:6" ht="14.25" customHeight="1">
      <c r="A825" s="45"/>
      <c r="D825" s="42" t="s">
        <v>1818</v>
      </c>
      <c r="E825" s="43" t="s">
        <v>1819</v>
      </c>
      <c r="F825" t="s">
        <v>57</v>
      </c>
    </row>
    <row r="826" spans="1:6" ht="14.25" customHeight="1">
      <c r="A826" s="45"/>
      <c r="D826" s="42" t="s">
        <v>1820</v>
      </c>
      <c r="E826" s="43" t="s">
        <v>1821</v>
      </c>
      <c r="F826" t="s">
        <v>57</v>
      </c>
    </row>
    <row r="827" spans="1:6" ht="14.25" customHeight="1">
      <c r="A827" s="45"/>
      <c r="D827" s="42" t="s">
        <v>1822</v>
      </c>
      <c r="E827" s="43" t="s">
        <v>1823</v>
      </c>
      <c r="F827" t="s">
        <v>57</v>
      </c>
    </row>
    <row r="828" spans="1:6" ht="14.25" customHeight="1">
      <c r="A828" s="45"/>
      <c r="D828" s="42" t="s">
        <v>1824</v>
      </c>
      <c r="E828" s="43" t="s">
        <v>1825</v>
      </c>
      <c r="F828" t="s">
        <v>57</v>
      </c>
    </row>
    <row r="829" spans="1:6" ht="14.25" customHeight="1">
      <c r="A829" s="45"/>
      <c r="D829" s="42" t="s">
        <v>1826</v>
      </c>
      <c r="E829" s="43" t="s">
        <v>1827</v>
      </c>
      <c r="F829" t="s">
        <v>57</v>
      </c>
    </row>
    <row r="830" spans="1:6" ht="14.25" customHeight="1">
      <c r="A830" s="45"/>
      <c r="D830" s="42" t="s">
        <v>1828</v>
      </c>
      <c r="E830" s="43" t="s">
        <v>1829</v>
      </c>
      <c r="F830" t="s">
        <v>57</v>
      </c>
    </row>
    <row r="831" spans="1:6" ht="14.25" customHeight="1">
      <c r="A831" s="45"/>
      <c r="D831" s="42" t="s">
        <v>1830</v>
      </c>
      <c r="E831" s="43" t="s">
        <v>1831</v>
      </c>
      <c r="F831" t="s">
        <v>57</v>
      </c>
    </row>
    <row r="832" spans="1:6" ht="14.25" customHeight="1">
      <c r="A832" s="45"/>
      <c r="D832" s="42" t="s">
        <v>1832</v>
      </c>
      <c r="E832" s="43" t="s">
        <v>1833</v>
      </c>
      <c r="F832" t="s">
        <v>57</v>
      </c>
    </row>
    <row r="833" spans="1:6" ht="14.25" customHeight="1">
      <c r="A833" s="45"/>
      <c r="D833" s="42" t="s">
        <v>1834</v>
      </c>
      <c r="E833" s="43" t="s">
        <v>1835</v>
      </c>
      <c r="F833" t="s">
        <v>57</v>
      </c>
    </row>
    <row r="834" spans="1:6" ht="14.25" customHeight="1">
      <c r="A834" s="45"/>
      <c r="D834" s="42" t="s">
        <v>1836</v>
      </c>
      <c r="E834" s="43" t="s">
        <v>1837</v>
      </c>
      <c r="F834" t="s">
        <v>57</v>
      </c>
    </row>
    <row r="835" spans="1:6" ht="14.25" customHeight="1">
      <c r="A835" s="45"/>
      <c r="D835" s="42" t="s">
        <v>1838</v>
      </c>
      <c r="E835" s="43" t="s">
        <v>1839</v>
      </c>
      <c r="F835" t="s">
        <v>57</v>
      </c>
    </row>
    <row r="836" spans="1:6" ht="14.25" customHeight="1">
      <c r="A836" s="45"/>
      <c r="D836" s="42" t="s">
        <v>1840</v>
      </c>
      <c r="E836" s="43" t="s">
        <v>1841</v>
      </c>
      <c r="F836" t="s">
        <v>57</v>
      </c>
    </row>
    <row r="837" spans="1:6" ht="14.25" customHeight="1">
      <c r="A837" s="45"/>
      <c r="D837" s="42" t="s">
        <v>1842</v>
      </c>
      <c r="E837" s="43" t="s">
        <v>1843</v>
      </c>
      <c r="F837" t="s">
        <v>57</v>
      </c>
    </row>
    <row r="838" spans="1:6" ht="14.25" customHeight="1">
      <c r="A838" s="45"/>
      <c r="D838" s="42" t="s">
        <v>1844</v>
      </c>
      <c r="E838" s="43" t="s">
        <v>1845</v>
      </c>
      <c r="F838" t="s">
        <v>57</v>
      </c>
    </row>
    <row r="839" spans="1:6" ht="14.25" customHeight="1">
      <c r="A839" s="45"/>
      <c r="D839" s="42" t="s">
        <v>1846</v>
      </c>
      <c r="E839" s="43" t="s">
        <v>1847</v>
      </c>
      <c r="F839" t="s">
        <v>57</v>
      </c>
    </row>
    <row r="840" spans="1:6" ht="14.25" customHeight="1">
      <c r="A840" s="45"/>
      <c r="D840" s="42" t="s">
        <v>1848</v>
      </c>
      <c r="E840" s="43" t="s">
        <v>1849</v>
      </c>
      <c r="F840" t="s">
        <v>57</v>
      </c>
    </row>
    <row r="841" spans="1:6" ht="14.25" customHeight="1">
      <c r="A841" s="45"/>
      <c r="D841" s="42" t="s">
        <v>1850</v>
      </c>
      <c r="E841" s="43" t="s">
        <v>1851</v>
      </c>
      <c r="F841" t="s">
        <v>57</v>
      </c>
    </row>
    <row r="842" spans="1:6" ht="14.25" customHeight="1">
      <c r="A842" s="45"/>
      <c r="D842" s="42" t="s">
        <v>1852</v>
      </c>
      <c r="E842" s="43" t="s">
        <v>1853</v>
      </c>
      <c r="F842" t="s">
        <v>57</v>
      </c>
    </row>
    <row r="843" spans="1:6" ht="14.25" customHeight="1">
      <c r="A843" s="45"/>
      <c r="D843" s="42" t="s">
        <v>1854</v>
      </c>
      <c r="E843" s="43" t="s">
        <v>1855</v>
      </c>
      <c r="F843" t="s">
        <v>57</v>
      </c>
    </row>
    <row r="844" spans="1:6" ht="14.25" customHeight="1">
      <c r="A844" s="45"/>
      <c r="D844" s="42" t="s">
        <v>1856</v>
      </c>
      <c r="E844" s="43" t="s">
        <v>1857</v>
      </c>
      <c r="F844" t="s">
        <v>57</v>
      </c>
    </row>
    <row r="845" spans="1:6" ht="14.25" customHeight="1">
      <c r="A845" s="45"/>
      <c r="D845" s="42" t="s">
        <v>1858</v>
      </c>
      <c r="E845" s="43" t="s">
        <v>1859</v>
      </c>
      <c r="F845" t="s">
        <v>57</v>
      </c>
    </row>
    <row r="846" spans="1:6" ht="14.25" customHeight="1">
      <c r="A846" s="45"/>
      <c r="D846" s="42" t="s">
        <v>1860</v>
      </c>
      <c r="E846" s="43" t="s">
        <v>1861</v>
      </c>
      <c r="F846" t="s">
        <v>57</v>
      </c>
    </row>
    <row r="847" spans="1:6" ht="14.25" customHeight="1">
      <c r="A847" s="45"/>
      <c r="D847" s="42" t="s">
        <v>1862</v>
      </c>
      <c r="E847" s="43" t="s">
        <v>1863</v>
      </c>
      <c r="F847" t="s">
        <v>57</v>
      </c>
    </row>
    <row r="848" spans="1:6" ht="14.25" customHeight="1">
      <c r="A848" s="45"/>
      <c r="D848" s="42" t="s">
        <v>1864</v>
      </c>
      <c r="E848" s="43" t="s">
        <v>1865</v>
      </c>
      <c r="F848" t="s">
        <v>57</v>
      </c>
    </row>
    <row r="849" spans="1:6" ht="14.25" customHeight="1">
      <c r="A849" s="45"/>
      <c r="D849" s="42" t="s">
        <v>1866</v>
      </c>
      <c r="E849" s="43" t="s">
        <v>1867</v>
      </c>
      <c r="F849" t="s">
        <v>57</v>
      </c>
    </row>
    <row r="850" spans="1:6" ht="14.25" customHeight="1">
      <c r="A850" s="45"/>
      <c r="D850" s="42" t="s">
        <v>1868</v>
      </c>
      <c r="E850" s="43" t="s">
        <v>1869</v>
      </c>
      <c r="F850" t="s">
        <v>57</v>
      </c>
    </row>
    <row r="851" spans="1:6" ht="14.25" customHeight="1">
      <c r="A851" s="45"/>
      <c r="D851" s="42" t="s">
        <v>1870</v>
      </c>
      <c r="E851" s="43" t="s">
        <v>1871</v>
      </c>
      <c r="F851" t="s">
        <v>57</v>
      </c>
    </row>
    <row r="852" spans="1:6" ht="14.25" customHeight="1">
      <c r="A852" s="45"/>
      <c r="D852" s="42" t="s">
        <v>1872</v>
      </c>
      <c r="E852" s="43" t="s">
        <v>1873</v>
      </c>
      <c r="F852" t="s">
        <v>57</v>
      </c>
    </row>
    <row r="853" spans="1:6" ht="14.25" customHeight="1">
      <c r="A853" s="45"/>
      <c r="D853" s="42" t="s">
        <v>1874</v>
      </c>
      <c r="E853" s="43" t="s">
        <v>1875</v>
      </c>
      <c r="F853" t="s">
        <v>57</v>
      </c>
    </row>
    <row r="854" spans="1:6" ht="14.25" customHeight="1">
      <c r="A854" s="45"/>
      <c r="D854" s="42" t="s">
        <v>1876</v>
      </c>
      <c r="E854" s="43" t="s">
        <v>1877</v>
      </c>
      <c r="F854" t="s">
        <v>57</v>
      </c>
    </row>
    <row r="855" spans="1:6" ht="14.25" customHeight="1">
      <c r="A855" s="45"/>
      <c r="D855" s="42" t="s">
        <v>1878</v>
      </c>
      <c r="E855" s="43" t="s">
        <v>1879</v>
      </c>
      <c r="F855" t="s">
        <v>57</v>
      </c>
    </row>
    <row r="856" spans="1:6" ht="14.25" customHeight="1">
      <c r="A856" s="45"/>
      <c r="D856" s="42" t="s">
        <v>1880</v>
      </c>
      <c r="E856" s="43" t="s">
        <v>1881</v>
      </c>
      <c r="F856" t="s">
        <v>57</v>
      </c>
    </row>
    <row r="857" spans="1:6" ht="14.25" customHeight="1">
      <c r="A857" s="45"/>
      <c r="D857" s="42" t="s">
        <v>1882</v>
      </c>
      <c r="E857" s="43" t="s">
        <v>1883</v>
      </c>
      <c r="F857" t="s">
        <v>57</v>
      </c>
    </row>
    <row r="858" spans="1:6" ht="14.25" customHeight="1">
      <c r="A858" s="45"/>
      <c r="D858" s="42" t="s">
        <v>1884</v>
      </c>
      <c r="E858" s="43" t="s">
        <v>1885</v>
      </c>
      <c r="F858" t="s">
        <v>57</v>
      </c>
    </row>
    <row r="859" spans="1:6" ht="14.25" customHeight="1">
      <c r="A859" s="45"/>
      <c r="D859" s="42" t="s">
        <v>1886</v>
      </c>
      <c r="E859" s="43" t="s">
        <v>1887</v>
      </c>
      <c r="F859" t="s">
        <v>57</v>
      </c>
    </row>
    <row r="860" spans="1:6" ht="14.25" customHeight="1">
      <c r="A860" s="45"/>
      <c r="D860" s="42" t="s">
        <v>1888</v>
      </c>
      <c r="E860" s="43" t="s">
        <v>1889</v>
      </c>
      <c r="F860" t="s">
        <v>57</v>
      </c>
    </row>
    <row r="861" spans="1:6" ht="14.25" customHeight="1">
      <c r="A861" s="45"/>
      <c r="D861" s="42" t="s">
        <v>1890</v>
      </c>
      <c r="E861" s="43" t="s">
        <v>1891</v>
      </c>
      <c r="F861" t="s">
        <v>57</v>
      </c>
    </row>
    <row r="862" spans="1:6" ht="14.25" customHeight="1">
      <c r="A862" s="45"/>
      <c r="D862" s="42" t="s">
        <v>1892</v>
      </c>
      <c r="E862" s="43" t="s">
        <v>1893</v>
      </c>
      <c r="F862" t="s">
        <v>57</v>
      </c>
    </row>
    <row r="863" spans="1:6" ht="14.25" customHeight="1">
      <c r="A863" s="45"/>
      <c r="D863" s="42" t="s">
        <v>1894</v>
      </c>
      <c r="E863" s="43" t="s">
        <v>1895</v>
      </c>
      <c r="F863" t="s">
        <v>57</v>
      </c>
    </row>
    <row r="864" spans="1:6" ht="14.25" customHeight="1">
      <c r="A864" s="45"/>
      <c r="D864" s="42" t="s">
        <v>1896</v>
      </c>
      <c r="E864" s="43" t="s">
        <v>1897</v>
      </c>
      <c r="F864" t="s">
        <v>57</v>
      </c>
    </row>
    <row r="865" spans="1:6" ht="14.25" customHeight="1">
      <c r="A865" s="45"/>
      <c r="D865" s="42" t="s">
        <v>1898</v>
      </c>
      <c r="E865" s="43" t="s">
        <v>1899</v>
      </c>
      <c r="F865" t="s">
        <v>57</v>
      </c>
    </row>
    <row r="866" spans="1:6" ht="14.25" customHeight="1">
      <c r="A866" s="45"/>
      <c r="D866" s="42" t="s">
        <v>1900</v>
      </c>
      <c r="E866" s="43" t="s">
        <v>1901</v>
      </c>
      <c r="F866" t="s">
        <v>57</v>
      </c>
    </row>
    <row r="867" spans="1:6" ht="14.25" customHeight="1">
      <c r="A867" s="45"/>
      <c r="D867" s="42" t="s">
        <v>1902</v>
      </c>
      <c r="E867" s="43" t="s">
        <v>1903</v>
      </c>
      <c r="F867" t="s">
        <v>57</v>
      </c>
    </row>
    <row r="868" spans="1:6" ht="14.25" customHeight="1">
      <c r="A868" s="45"/>
      <c r="D868" s="42" t="s">
        <v>1904</v>
      </c>
      <c r="E868" s="43" t="s">
        <v>1905</v>
      </c>
      <c r="F868" t="s">
        <v>57</v>
      </c>
    </row>
    <row r="869" spans="1:6" ht="14.25" customHeight="1">
      <c r="A869" s="45"/>
      <c r="D869" s="42" t="s">
        <v>1906</v>
      </c>
      <c r="E869" s="43" t="s">
        <v>1907</v>
      </c>
      <c r="F869" t="s">
        <v>57</v>
      </c>
    </row>
    <row r="870" spans="1:6" ht="14.25" customHeight="1">
      <c r="A870" s="45"/>
      <c r="D870" s="42" t="s">
        <v>1908</v>
      </c>
      <c r="E870" s="43" t="s">
        <v>1909</v>
      </c>
      <c r="F870" t="s">
        <v>57</v>
      </c>
    </row>
    <row r="871" spans="1:6" ht="14.25" customHeight="1">
      <c r="A871" s="45"/>
      <c r="D871" s="42" t="s">
        <v>1910</v>
      </c>
      <c r="E871" s="43" t="s">
        <v>1911</v>
      </c>
      <c r="F871" t="s">
        <v>57</v>
      </c>
    </row>
    <row r="872" spans="1:6" ht="14.25" customHeight="1">
      <c r="A872" s="45"/>
      <c r="D872" s="42" t="s">
        <v>1912</v>
      </c>
      <c r="E872" s="43" t="s">
        <v>1913</v>
      </c>
      <c r="F872" t="s">
        <v>57</v>
      </c>
    </row>
    <row r="873" spans="1:6" ht="14.25" customHeight="1">
      <c r="A873" s="45"/>
      <c r="D873" s="42" t="s">
        <v>1914</v>
      </c>
      <c r="E873" s="43" t="s">
        <v>1915</v>
      </c>
      <c r="F873" t="s">
        <v>57</v>
      </c>
    </row>
    <row r="874" spans="1:6" ht="14.25" customHeight="1">
      <c r="A874" s="45"/>
      <c r="D874" s="42" t="s">
        <v>1916</v>
      </c>
      <c r="E874" s="43" t="s">
        <v>1917</v>
      </c>
      <c r="F874" t="s">
        <v>57</v>
      </c>
    </row>
    <row r="875" spans="1:6" ht="14.25" customHeight="1">
      <c r="A875" s="45"/>
      <c r="D875" s="42" t="s">
        <v>1918</v>
      </c>
      <c r="E875" s="43" t="s">
        <v>1919</v>
      </c>
      <c r="F875" t="s">
        <v>57</v>
      </c>
    </row>
    <row r="876" spans="1:6" ht="14.25" customHeight="1">
      <c r="A876" s="45"/>
      <c r="D876" s="42" t="s">
        <v>1920</v>
      </c>
      <c r="E876" s="43" t="s">
        <v>1921</v>
      </c>
      <c r="F876" t="s">
        <v>57</v>
      </c>
    </row>
    <row r="877" spans="1:6" ht="14.25" customHeight="1">
      <c r="A877" s="45"/>
      <c r="D877" s="42" t="s">
        <v>1922</v>
      </c>
      <c r="E877" s="43" t="s">
        <v>1923</v>
      </c>
      <c r="F877" t="s">
        <v>57</v>
      </c>
    </row>
    <row r="878" spans="1:6" ht="14.25" customHeight="1">
      <c r="A878" s="45"/>
      <c r="D878" s="42" t="s">
        <v>1924</v>
      </c>
      <c r="E878" s="43" t="s">
        <v>1925</v>
      </c>
      <c r="F878" t="s">
        <v>57</v>
      </c>
    </row>
    <row r="879" spans="1:6" ht="14.25" customHeight="1">
      <c r="A879" s="45"/>
      <c r="D879" s="42" t="s">
        <v>1926</v>
      </c>
      <c r="E879" s="43" t="s">
        <v>1927</v>
      </c>
      <c r="F879" t="s">
        <v>57</v>
      </c>
    </row>
    <row r="880" spans="1:6" ht="14.25" customHeight="1">
      <c r="A880" s="45"/>
      <c r="D880" s="42" t="s">
        <v>1928</v>
      </c>
      <c r="E880" s="43" t="s">
        <v>1929</v>
      </c>
      <c r="F880" t="s">
        <v>57</v>
      </c>
    </row>
    <row r="881" spans="1:6" ht="14.25" customHeight="1">
      <c r="A881" s="45"/>
      <c r="D881" s="42" t="s">
        <v>1930</v>
      </c>
      <c r="E881" s="43" t="s">
        <v>1931</v>
      </c>
      <c r="F881" t="s">
        <v>57</v>
      </c>
    </row>
    <row r="882" spans="1:6" ht="14.25" customHeight="1">
      <c r="A882" s="45"/>
      <c r="D882" s="42" t="s">
        <v>1932</v>
      </c>
      <c r="E882" s="43" t="s">
        <v>1933</v>
      </c>
      <c r="F882" t="s">
        <v>57</v>
      </c>
    </row>
    <row r="883" spans="1:6" ht="14.25" customHeight="1">
      <c r="A883" s="45"/>
      <c r="D883" s="42" t="s">
        <v>1934</v>
      </c>
      <c r="E883" s="43" t="s">
        <v>1935</v>
      </c>
      <c r="F883" t="s">
        <v>57</v>
      </c>
    </row>
    <row r="884" spans="1:6" ht="14.25" customHeight="1">
      <c r="A884" s="45"/>
      <c r="D884" s="42" t="s">
        <v>1936</v>
      </c>
      <c r="E884" s="43" t="s">
        <v>1937</v>
      </c>
      <c r="F884" t="s">
        <v>57</v>
      </c>
    </row>
    <row r="885" spans="1:6" ht="14.25" customHeight="1">
      <c r="A885" s="45"/>
      <c r="D885" s="42" t="s">
        <v>1938</v>
      </c>
      <c r="E885" s="43" t="s">
        <v>1939</v>
      </c>
      <c r="F885" t="s">
        <v>57</v>
      </c>
    </row>
    <row r="886" spans="1:6" ht="14.25" customHeight="1">
      <c r="A886" s="45"/>
      <c r="D886" s="42" t="s">
        <v>1940</v>
      </c>
      <c r="E886" s="43" t="s">
        <v>1941</v>
      </c>
      <c r="F886" t="s">
        <v>57</v>
      </c>
    </row>
    <row r="887" spans="1:6" ht="14.25" customHeight="1">
      <c r="A887" s="45"/>
      <c r="D887" s="42" t="s">
        <v>1942</v>
      </c>
      <c r="E887" s="43" t="s">
        <v>1943</v>
      </c>
      <c r="F887" t="s">
        <v>57</v>
      </c>
    </row>
    <row r="888" spans="1:6" ht="14.25" customHeight="1">
      <c r="A888" s="45"/>
      <c r="D888" s="42" t="s">
        <v>1944</v>
      </c>
      <c r="E888" s="43" t="s">
        <v>1945</v>
      </c>
      <c r="F888" t="s">
        <v>57</v>
      </c>
    </row>
    <row r="889" spans="1:6" ht="14.25" customHeight="1">
      <c r="A889" s="45"/>
      <c r="D889" s="42" t="s">
        <v>1946</v>
      </c>
      <c r="E889" s="43" t="s">
        <v>1947</v>
      </c>
      <c r="F889" t="s">
        <v>57</v>
      </c>
    </row>
    <row r="890" spans="1:6" ht="14.25" customHeight="1">
      <c r="A890" s="45"/>
      <c r="D890" s="42" t="s">
        <v>1948</v>
      </c>
      <c r="E890" s="43" t="s">
        <v>1949</v>
      </c>
      <c r="F890" t="s">
        <v>57</v>
      </c>
    </row>
    <row r="891" spans="1:6" ht="14.25" customHeight="1">
      <c r="A891" s="45"/>
      <c r="D891" s="42" t="s">
        <v>1950</v>
      </c>
      <c r="E891" s="43" t="s">
        <v>1951</v>
      </c>
      <c r="F891" t="s">
        <v>57</v>
      </c>
    </row>
    <row r="892" spans="1:6" ht="14.25" customHeight="1">
      <c r="A892" s="45"/>
      <c r="D892" s="42" t="s">
        <v>1952</v>
      </c>
      <c r="E892" s="43" t="s">
        <v>1953</v>
      </c>
      <c r="F892" t="s">
        <v>57</v>
      </c>
    </row>
    <row r="893" spans="1:6" ht="14.25" customHeight="1">
      <c r="A893" s="45"/>
      <c r="D893" s="42" t="s">
        <v>1954</v>
      </c>
      <c r="E893" s="43" t="s">
        <v>1955</v>
      </c>
      <c r="F893" t="s">
        <v>57</v>
      </c>
    </row>
    <row r="894" spans="1:6" ht="14.25" customHeight="1">
      <c r="A894" s="45"/>
      <c r="D894" s="42" t="s">
        <v>1956</v>
      </c>
      <c r="E894" s="43" t="s">
        <v>1957</v>
      </c>
      <c r="F894" t="s">
        <v>57</v>
      </c>
    </row>
    <row r="895" spans="1:6" ht="14.25" customHeight="1">
      <c r="A895" s="45"/>
      <c r="D895" s="42" t="s">
        <v>1958</v>
      </c>
      <c r="E895" s="43" t="s">
        <v>1959</v>
      </c>
      <c r="F895" t="s">
        <v>57</v>
      </c>
    </row>
    <row r="896" spans="1:6" ht="14.25" customHeight="1">
      <c r="A896" s="45"/>
      <c r="D896" s="42" t="s">
        <v>1960</v>
      </c>
      <c r="E896" s="43" t="s">
        <v>1961</v>
      </c>
      <c r="F896" t="s">
        <v>57</v>
      </c>
    </row>
    <row r="897" spans="1:6" ht="14.25" customHeight="1">
      <c r="A897" s="45"/>
      <c r="D897" s="42" t="s">
        <v>1962</v>
      </c>
      <c r="E897" s="43" t="s">
        <v>1963</v>
      </c>
      <c r="F897" t="s">
        <v>57</v>
      </c>
    </row>
    <row r="898" spans="1:6" ht="14.25" customHeight="1">
      <c r="A898" s="45"/>
      <c r="D898" s="42" t="s">
        <v>1964</v>
      </c>
      <c r="E898" s="43" t="s">
        <v>1965</v>
      </c>
      <c r="F898" t="s">
        <v>57</v>
      </c>
    </row>
    <row r="899" spans="1:6" ht="14.25" customHeight="1">
      <c r="A899" s="45"/>
      <c r="D899" s="42" t="s">
        <v>1966</v>
      </c>
      <c r="E899" s="43" t="s">
        <v>1967</v>
      </c>
      <c r="F899" t="s">
        <v>57</v>
      </c>
    </row>
    <row r="900" spans="1:6" ht="14.25" customHeight="1">
      <c r="A900" s="45"/>
      <c r="D900" s="42" t="s">
        <v>1968</v>
      </c>
      <c r="E900" s="43" t="s">
        <v>1969</v>
      </c>
      <c r="F900" t="s">
        <v>57</v>
      </c>
    </row>
    <row r="901" spans="1:6" ht="14.25" customHeight="1">
      <c r="A901" s="45"/>
      <c r="D901" s="42" t="s">
        <v>1970</v>
      </c>
      <c r="E901" s="43" t="s">
        <v>1971</v>
      </c>
      <c r="F901" t="s">
        <v>57</v>
      </c>
    </row>
    <row r="902" spans="1:6" ht="14.25" customHeight="1">
      <c r="A902" s="45"/>
      <c r="D902" s="42" t="s">
        <v>1972</v>
      </c>
      <c r="E902" s="43" t="s">
        <v>1973</v>
      </c>
      <c r="F902" t="s">
        <v>57</v>
      </c>
    </row>
    <row r="903" spans="1:6" ht="14.25" customHeight="1">
      <c r="A903" s="45"/>
      <c r="D903" s="42" t="s">
        <v>1974</v>
      </c>
      <c r="E903" s="43" t="s">
        <v>1975</v>
      </c>
      <c r="F903" t="s">
        <v>57</v>
      </c>
    </row>
    <row r="904" spans="1:6" ht="14.25" customHeight="1">
      <c r="A904" s="45"/>
      <c r="D904" s="42" t="s">
        <v>1976</v>
      </c>
      <c r="E904" s="43" t="s">
        <v>1977</v>
      </c>
      <c r="F904" t="s">
        <v>57</v>
      </c>
    </row>
    <row r="905" spans="1:6" ht="14.25" customHeight="1">
      <c r="A905" s="45"/>
      <c r="D905" s="42" t="s">
        <v>1978</v>
      </c>
      <c r="E905" s="43" t="s">
        <v>1979</v>
      </c>
      <c r="F905" t="s">
        <v>57</v>
      </c>
    </row>
    <row r="906" spans="1:6" ht="14.25" customHeight="1">
      <c r="A906" s="45"/>
      <c r="D906" s="42" t="s">
        <v>1980</v>
      </c>
      <c r="E906" s="43" t="s">
        <v>1981</v>
      </c>
      <c r="F906" t="s">
        <v>57</v>
      </c>
    </row>
    <row r="907" spans="1:6" ht="14.25" customHeight="1">
      <c r="A907" s="45"/>
      <c r="D907" s="42" t="s">
        <v>1982</v>
      </c>
      <c r="E907" s="43" t="s">
        <v>1983</v>
      </c>
      <c r="F907" t="s">
        <v>57</v>
      </c>
    </row>
    <row r="908" spans="1:6" ht="14.25" customHeight="1">
      <c r="A908" s="45"/>
      <c r="D908" s="42" t="s">
        <v>1984</v>
      </c>
      <c r="E908" s="43" t="s">
        <v>1985</v>
      </c>
      <c r="F908" t="s">
        <v>57</v>
      </c>
    </row>
    <row r="909" spans="1:6" ht="14.25" customHeight="1">
      <c r="A909" s="45"/>
      <c r="D909" s="42" t="s">
        <v>1986</v>
      </c>
      <c r="E909" s="43" t="s">
        <v>1987</v>
      </c>
      <c r="F909" t="s">
        <v>57</v>
      </c>
    </row>
    <row r="910" spans="1:6" ht="14.25" customHeight="1">
      <c r="A910" s="45"/>
      <c r="D910" s="42" t="s">
        <v>1988</v>
      </c>
      <c r="E910" s="43" t="s">
        <v>1989</v>
      </c>
      <c r="F910" t="s">
        <v>57</v>
      </c>
    </row>
    <row r="911" spans="1:6" ht="14.25" customHeight="1">
      <c r="A911" s="45"/>
      <c r="D911" s="42" t="s">
        <v>1990</v>
      </c>
      <c r="E911" s="43" t="s">
        <v>1991</v>
      </c>
      <c r="F911" t="s">
        <v>57</v>
      </c>
    </row>
    <row r="912" spans="1:6" ht="14.25" customHeight="1">
      <c r="A912" s="45"/>
      <c r="D912" s="42" t="s">
        <v>1992</v>
      </c>
      <c r="E912" s="43" t="s">
        <v>1993</v>
      </c>
      <c r="F912" t="s">
        <v>57</v>
      </c>
    </row>
    <row r="913" spans="1:6" ht="14.25" customHeight="1">
      <c r="A913" s="45"/>
      <c r="D913" s="42" t="s">
        <v>1994</v>
      </c>
      <c r="E913" s="43" t="s">
        <v>1995</v>
      </c>
      <c r="F913" t="s">
        <v>57</v>
      </c>
    </row>
    <row r="914" spans="1:6" ht="14.25" customHeight="1">
      <c r="A914" s="45"/>
      <c r="D914" s="42" t="s">
        <v>1996</v>
      </c>
      <c r="E914" s="43" t="s">
        <v>1997</v>
      </c>
      <c r="F914" t="s">
        <v>57</v>
      </c>
    </row>
    <row r="915" spans="1:6" ht="14.25" customHeight="1">
      <c r="A915" s="45"/>
      <c r="D915" s="42" t="s">
        <v>1998</v>
      </c>
      <c r="E915" s="43" t="s">
        <v>1999</v>
      </c>
      <c r="F915" t="s">
        <v>57</v>
      </c>
    </row>
    <row r="916" spans="1:6" ht="14.25" customHeight="1">
      <c r="A916" s="45"/>
      <c r="D916" s="42" t="s">
        <v>2000</v>
      </c>
      <c r="E916" s="43" t="s">
        <v>2001</v>
      </c>
      <c r="F916" t="s">
        <v>57</v>
      </c>
    </row>
    <row r="917" spans="1:6" ht="14.25" customHeight="1">
      <c r="A917" s="45"/>
      <c r="D917" s="42" t="s">
        <v>2002</v>
      </c>
      <c r="E917" s="43" t="s">
        <v>2003</v>
      </c>
      <c r="F917" t="s">
        <v>57</v>
      </c>
    </row>
    <row r="918" spans="1:6" ht="14.25" customHeight="1">
      <c r="A918" s="45"/>
      <c r="D918" s="42" t="s">
        <v>2004</v>
      </c>
      <c r="E918" s="43" t="s">
        <v>2005</v>
      </c>
      <c r="F918" t="s">
        <v>57</v>
      </c>
    </row>
    <row r="919" spans="1:6" ht="14.25" customHeight="1">
      <c r="A919" s="45"/>
      <c r="D919" s="42" t="s">
        <v>2006</v>
      </c>
      <c r="E919" s="43" t="s">
        <v>2007</v>
      </c>
      <c r="F919" t="s">
        <v>57</v>
      </c>
    </row>
    <row r="920" spans="1:6" ht="14.25" customHeight="1">
      <c r="A920" s="45"/>
      <c r="D920" s="42" t="s">
        <v>2008</v>
      </c>
      <c r="E920" s="43" t="s">
        <v>2009</v>
      </c>
      <c r="F920" t="s">
        <v>57</v>
      </c>
    </row>
    <row r="921" spans="1:6" ht="14.25" customHeight="1">
      <c r="A921" s="45"/>
      <c r="D921" s="42" t="s">
        <v>2010</v>
      </c>
      <c r="E921" s="43" t="s">
        <v>2011</v>
      </c>
      <c r="F921" t="s">
        <v>57</v>
      </c>
    </row>
    <row r="922" spans="1:6" ht="14.25" customHeight="1">
      <c r="A922" s="45"/>
      <c r="D922" s="42" t="s">
        <v>2012</v>
      </c>
      <c r="E922" s="43" t="s">
        <v>2013</v>
      </c>
      <c r="F922" t="s">
        <v>57</v>
      </c>
    </row>
    <row r="923" spans="1:6" ht="14.25" customHeight="1">
      <c r="A923" s="45"/>
      <c r="D923" s="42" t="s">
        <v>2014</v>
      </c>
      <c r="E923" s="43" t="s">
        <v>2015</v>
      </c>
      <c r="F923" t="s">
        <v>57</v>
      </c>
    </row>
    <row r="924" spans="1:6" ht="14.25" customHeight="1">
      <c r="A924" s="45"/>
      <c r="D924" s="42" t="s">
        <v>2016</v>
      </c>
      <c r="E924" s="43" t="s">
        <v>2017</v>
      </c>
      <c r="F924" t="s">
        <v>57</v>
      </c>
    </row>
    <row r="925" spans="1:6" ht="14.25" customHeight="1">
      <c r="A925" s="45"/>
      <c r="D925" s="42" t="s">
        <v>2018</v>
      </c>
      <c r="E925" s="43" t="s">
        <v>2019</v>
      </c>
      <c r="F925" t="s">
        <v>57</v>
      </c>
    </row>
    <row r="926" spans="1:6" ht="14.25" customHeight="1">
      <c r="A926" s="45"/>
      <c r="D926" s="42" t="s">
        <v>2020</v>
      </c>
      <c r="E926" s="43" t="s">
        <v>2021</v>
      </c>
      <c r="F926" t="s">
        <v>57</v>
      </c>
    </row>
    <row r="927" spans="1:6" ht="14.25" customHeight="1">
      <c r="A927" s="45"/>
      <c r="D927" s="42" t="s">
        <v>2022</v>
      </c>
      <c r="E927" s="43" t="s">
        <v>2023</v>
      </c>
      <c r="F927" t="s">
        <v>57</v>
      </c>
    </row>
    <row r="928" spans="1:6" ht="14.25" customHeight="1">
      <c r="A928" s="45"/>
      <c r="D928" s="42" t="s">
        <v>2024</v>
      </c>
      <c r="E928" s="43" t="s">
        <v>2025</v>
      </c>
      <c r="F928" t="s">
        <v>57</v>
      </c>
    </row>
    <row r="929" spans="1:6" ht="14.25" customHeight="1">
      <c r="A929" s="45"/>
      <c r="D929" s="42" t="s">
        <v>2026</v>
      </c>
      <c r="E929" s="43" t="s">
        <v>2027</v>
      </c>
      <c r="F929" t="s">
        <v>57</v>
      </c>
    </row>
    <row r="930" spans="1:6" ht="14.25" customHeight="1">
      <c r="A930" s="45"/>
      <c r="D930" s="42" t="s">
        <v>2028</v>
      </c>
      <c r="E930" s="43" t="s">
        <v>2029</v>
      </c>
      <c r="F930" t="s">
        <v>57</v>
      </c>
    </row>
    <row r="931" spans="1:6" ht="14.25" customHeight="1">
      <c r="A931" s="45"/>
      <c r="D931" s="42" t="s">
        <v>2030</v>
      </c>
      <c r="E931" s="43" t="s">
        <v>2031</v>
      </c>
      <c r="F931" t="s">
        <v>57</v>
      </c>
    </row>
    <row r="932" spans="1:6" ht="14.25" customHeight="1">
      <c r="A932" s="45"/>
      <c r="D932" s="42" t="s">
        <v>2032</v>
      </c>
      <c r="E932" s="43" t="s">
        <v>2033</v>
      </c>
      <c r="F932" t="s">
        <v>57</v>
      </c>
    </row>
    <row r="933" spans="1:6" ht="14.25" customHeight="1">
      <c r="A933" s="45"/>
      <c r="D933" s="42" t="s">
        <v>2034</v>
      </c>
      <c r="E933" s="43" t="s">
        <v>2035</v>
      </c>
      <c r="F933" t="s">
        <v>57</v>
      </c>
    </row>
    <row r="934" spans="1:6" ht="14.25" customHeight="1">
      <c r="A934" s="45"/>
      <c r="D934" s="42" t="s">
        <v>2036</v>
      </c>
      <c r="E934" s="43" t="s">
        <v>2037</v>
      </c>
      <c r="F934" t="s">
        <v>57</v>
      </c>
    </row>
    <row r="935" spans="1:6" ht="14.25" customHeight="1">
      <c r="A935" s="45"/>
      <c r="D935" s="42" t="s">
        <v>2038</v>
      </c>
      <c r="E935" s="43" t="s">
        <v>2039</v>
      </c>
      <c r="F935" t="s">
        <v>57</v>
      </c>
    </row>
    <row r="936" spans="1:6" ht="14.25" customHeight="1">
      <c r="A936" s="45"/>
      <c r="D936" s="42" t="s">
        <v>2040</v>
      </c>
      <c r="E936" s="43" t="s">
        <v>2041</v>
      </c>
      <c r="F936" t="s">
        <v>57</v>
      </c>
    </row>
    <row r="937" spans="1:6" ht="14.25" customHeight="1">
      <c r="A937" s="45"/>
      <c r="D937" s="42" t="s">
        <v>2042</v>
      </c>
      <c r="E937" s="43" t="s">
        <v>2043</v>
      </c>
      <c r="F937" t="s">
        <v>57</v>
      </c>
    </row>
    <row r="938" spans="1:6" ht="14.25" customHeight="1">
      <c r="A938" s="45"/>
      <c r="D938" s="42" t="s">
        <v>2044</v>
      </c>
      <c r="E938" s="43" t="s">
        <v>2045</v>
      </c>
      <c r="F938" t="s">
        <v>57</v>
      </c>
    </row>
    <row r="939" spans="1:6" ht="14.25" customHeight="1">
      <c r="A939" s="45"/>
      <c r="D939" s="42" t="s">
        <v>2046</v>
      </c>
      <c r="E939" s="43" t="s">
        <v>2047</v>
      </c>
      <c r="F939" t="s">
        <v>57</v>
      </c>
    </row>
    <row r="940" spans="1:6" ht="14.25" customHeight="1">
      <c r="A940" s="45"/>
      <c r="D940" s="42" t="s">
        <v>2048</v>
      </c>
      <c r="E940" s="43" t="s">
        <v>2049</v>
      </c>
      <c r="F940" t="s">
        <v>57</v>
      </c>
    </row>
    <row r="941" spans="1:6" ht="14.25" customHeight="1">
      <c r="A941" s="45"/>
      <c r="D941" s="42" t="s">
        <v>2050</v>
      </c>
      <c r="E941" s="43" t="s">
        <v>2051</v>
      </c>
      <c r="F941" t="s">
        <v>57</v>
      </c>
    </row>
    <row r="942" spans="1:6" ht="14.25" customHeight="1">
      <c r="A942" s="45"/>
      <c r="D942" s="42" t="s">
        <v>2052</v>
      </c>
      <c r="E942" s="43" t="s">
        <v>2053</v>
      </c>
      <c r="F942" t="s">
        <v>57</v>
      </c>
    </row>
    <row r="943" spans="1:6" ht="14.25" customHeight="1">
      <c r="A943" s="45"/>
      <c r="D943" s="42" t="s">
        <v>2054</v>
      </c>
      <c r="E943" s="43" t="s">
        <v>2055</v>
      </c>
      <c r="F943" t="s">
        <v>57</v>
      </c>
    </row>
    <row r="944" spans="1:6" ht="14.25" customHeight="1">
      <c r="A944" s="45"/>
      <c r="D944" s="42" t="s">
        <v>2056</v>
      </c>
      <c r="E944" s="43" t="s">
        <v>2057</v>
      </c>
      <c r="F944" t="s">
        <v>57</v>
      </c>
    </row>
    <row r="945" spans="1:6" ht="14.25" customHeight="1">
      <c r="A945" s="45"/>
      <c r="D945" s="42" t="s">
        <v>2058</v>
      </c>
      <c r="E945" s="43" t="s">
        <v>2059</v>
      </c>
      <c r="F945" t="s">
        <v>57</v>
      </c>
    </row>
    <row r="946" spans="1:6" ht="14.25" customHeight="1">
      <c r="A946" s="45"/>
      <c r="D946" s="42" t="s">
        <v>2060</v>
      </c>
      <c r="E946" s="43" t="s">
        <v>2061</v>
      </c>
      <c r="F946" t="s">
        <v>57</v>
      </c>
    </row>
    <row r="947" spans="1:6" ht="14.25" customHeight="1">
      <c r="A947" s="45"/>
      <c r="D947" s="42" t="s">
        <v>2062</v>
      </c>
      <c r="E947" s="43" t="s">
        <v>2063</v>
      </c>
      <c r="F947" t="s">
        <v>57</v>
      </c>
    </row>
    <row r="948" spans="1:6" ht="14.25" customHeight="1">
      <c r="A948" s="45"/>
      <c r="D948" s="42" t="s">
        <v>2064</v>
      </c>
      <c r="E948" s="43" t="s">
        <v>2065</v>
      </c>
      <c r="F948" t="s">
        <v>57</v>
      </c>
    </row>
    <row r="949" spans="1:6" ht="14.25" customHeight="1">
      <c r="A949" s="45"/>
      <c r="D949" s="42" t="s">
        <v>2066</v>
      </c>
      <c r="E949" s="43" t="s">
        <v>2067</v>
      </c>
      <c r="F949" t="s">
        <v>57</v>
      </c>
    </row>
    <row r="950" spans="1:6" ht="14.25" customHeight="1">
      <c r="A950" s="45"/>
      <c r="D950" s="42" t="s">
        <v>2068</v>
      </c>
      <c r="E950" s="43" t="s">
        <v>2069</v>
      </c>
      <c r="F950" t="s">
        <v>57</v>
      </c>
    </row>
    <row r="951" spans="1:6" ht="14.25" customHeight="1">
      <c r="A951" s="45"/>
      <c r="D951" s="42" t="s">
        <v>2070</v>
      </c>
      <c r="E951" s="43" t="s">
        <v>2071</v>
      </c>
      <c r="F951" t="s">
        <v>57</v>
      </c>
    </row>
    <row r="952" spans="1:6" ht="14.25" customHeight="1">
      <c r="A952" s="45"/>
      <c r="D952" s="42" t="s">
        <v>2072</v>
      </c>
      <c r="E952" s="43" t="s">
        <v>2073</v>
      </c>
      <c r="F952" t="s">
        <v>57</v>
      </c>
    </row>
    <row r="953" spans="1:6" ht="14.25" customHeight="1">
      <c r="A953" s="45"/>
      <c r="D953" s="42" t="s">
        <v>2074</v>
      </c>
      <c r="E953" s="43" t="s">
        <v>2075</v>
      </c>
      <c r="F953" t="s">
        <v>57</v>
      </c>
    </row>
    <row r="954" spans="1:6" ht="14.25" customHeight="1">
      <c r="A954" s="45"/>
      <c r="D954" s="42" t="s">
        <v>2076</v>
      </c>
      <c r="E954" s="43" t="s">
        <v>2077</v>
      </c>
      <c r="F954" t="s">
        <v>57</v>
      </c>
    </row>
    <row r="955" spans="1:6" ht="14.25" customHeight="1">
      <c r="A955" s="45"/>
      <c r="D955" s="42" t="s">
        <v>2078</v>
      </c>
      <c r="E955" s="43" t="s">
        <v>2079</v>
      </c>
      <c r="F955" t="s">
        <v>57</v>
      </c>
    </row>
    <row r="956" spans="1:6" ht="14.25" customHeight="1">
      <c r="A956" s="45"/>
      <c r="D956" s="42" t="s">
        <v>2080</v>
      </c>
      <c r="E956" s="43" t="s">
        <v>2081</v>
      </c>
      <c r="F956" t="s">
        <v>57</v>
      </c>
    </row>
    <row r="957" spans="1:6" ht="14.25" customHeight="1">
      <c r="A957" s="45"/>
      <c r="D957" s="42" t="s">
        <v>2082</v>
      </c>
      <c r="E957" s="43" t="s">
        <v>2083</v>
      </c>
      <c r="F957" t="s">
        <v>57</v>
      </c>
    </row>
    <row r="958" spans="1:6" ht="14.25" customHeight="1">
      <c r="A958" s="45"/>
      <c r="D958" s="42" t="s">
        <v>2084</v>
      </c>
      <c r="E958" s="43" t="s">
        <v>2085</v>
      </c>
      <c r="F958" t="s">
        <v>57</v>
      </c>
    </row>
    <row r="959" spans="1:6" ht="14.25" customHeight="1">
      <c r="A959" s="45"/>
      <c r="D959" s="42" t="s">
        <v>2086</v>
      </c>
      <c r="E959" s="43" t="s">
        <v>2087</v>
      </c>
      <c r="F959" t="s">
        <v>57</v>
      </c>
    </row>
    <row r="960" spans="1:6" ht="14.25" customHeight="1">
      <c r="A960" s="45"/>
      <c r="D960" s="42" t="s">
        <v>2088</v>
      </c>
      <c r="E960" s="43" t="s">
        <v>2089</v>
      </c>
      <c r="F960" t="s">
        <v>57</v>
      </c>
    </row>
    <row r="961" spans="1:6" ht="14.25" customHeight="1">
      <c r="A961" s="45"/>
      <c r="D961" s="42" t="s">
        <v>2090</v>
      </c>
      <c r="E961" s="43" t="s">
        <v>2091</v>
      </c>
      <c r="F961" t="s">
        <v>57</v>
      </c>
    </row>
    <row r="962" spans="1:6" ht="14.25" customHeight="1">
      <c r="A962" s="45"/>
      <c r="D962" s="42" t="s">
        <v>2092</v>
      </c>
      <c r="E962" s="43" t="s">
        <v>2093</v>
      </c>
      <c r="F962" t="s">
        <v>57</v>
      </c>
    </row>
    <row r="963" spans="1:6" ht="14.25" customHeight="1">
      <c r="A963" s="45"/>
      <c r="D963" s="42" t="s">
        <v>2094</v>
      </c>
      <c r="E963" s="43" t="s">
        <v>2095</v>
      </c>
      <c r="F963" t="s">
        <v>57</v>
      </c>
    </row>
    <row r="964" spans="1:6" ht="14.25" customHeight="1">
      <c r="A964" s="45"/>
      <c r="D964" s="42" t="s">
        <v>2096</v>
      </c>
      <c r="E964" s="43" t="s">
        <v>2097</v>
      </c>
      <c r="F964" t="s">
        <v>57</v>
      </c>
    </row>
    <row r="965" spans="1:6" ht="14.25" customHeight="1">
      <c r="A965" s="45"/>
      <c r="D965" s="42" t="s">
        <v>2098</v>
      </c>
      <c r="E965" s="43" t="s">
        <v>2099</v>
      </c>
      <c r="F965" t="s">
        <v>57</v>
      </c>
    </row>
    <row r="966" spans="1:6" ht="14.25" customHeight="1">
      <c r="A966" s="45"/>
      <c r="D966" s="42" t="s">
        <v>2100</v>
      </c>
      <c r="E966" s="43" t="s">
        <v>2101</v>
      </c>
      <c r="F966" t="s">
        <v>57</v>
      </c>
    </row>
    <row r="967" spans="1:6" ht="14.25" customHeight="1">
      <c r="A967" s="45"/>
      <c r="D967" s="42" t="s">
        <v>2102</v>
      </c>
      <c r="E967" s="43" t="s">
        <v>2103</v>
      </c>
      <c r="F967" t="s">
        <v>57</v>
      </c>
    </row>
    <row r="968" spans="1:6" ht="14.25" customHeight="1">
      <c r="A968" s="45"/>
      <c r="D968" s="42" t="s">
        <v>2104</v>
      </c>
      <c r="E968" s="43" t="s">
        <v>2105</v>
      </c>
      <c r="F968" t="s">
        <v>57</v>
      </c>
    </row>
    <row r="969" spans="1:6" ht="14.25" customHeight="1">
      <c r="A969" s="45"/>
      <c r="D969" s="42" t="s">
        <v>2106</v>
      </c>
      <c r="E969" s="43" t="s">
        <v>2107</v>
      </c>
      <c r="F969" t="s">
        <v>57</v>
      </c>
    </row>
    <row r="970" spans="1:6" ht="14.25" customHeight="1">
      <c r="A970" s="45"/>
      <c r="D970" s="42" t="s">
        <v>2108</v>
      </c>
      <c r="E970" s="43" t="s">
        <v>2109</v>
      </c>
      <c r="F970" t="s">
        <v>57</v>
      </c>
    </row>
    <row r="971" spans="1:6" ht="14.25" customHeight="1">
      <c r="A971" s="45"/>
      <c r="D971" s="42" t="s">
        <v>2110</v>
      </c>
      <c r="E971" s="43" t="s">
        <v>2111</v>
      </c>
      <c r="F971" t="s">
        <v>57</v>
      </c>
    </row>
    <row r="972" spans="1:6" ht="14.25" customHeight="1">
      <c r="A972" s="45"/>
      <c r="D972" s="42" t="s">
        <v>2112</v>
      </c>
      <c r="E972" s="43" t="s">
        <v>2113</v>
      </c>
      <c r="F972" t="s">
        <v>57</v>
      </c>
    </row>
    <row r="973" spans="1:6" ht="14.25" customHeight="1">
      <c r="A973" s="45"/>
      <c r="D973" s="42" t="s">
        <v>2114</v>
      </c>
      <c r="E973" s="43" t="s">
        <v>2115</v>
      </c>
      <c r="F973" t="s">
        <v>57</v>
      </c>
    </row>
    <row r="974" spans="1:6" ht="14.25" customHeight="1">
      <c r="A974" s="45"/>
      <c r="D974" s="42" t="s">
        <v>2116</v>
      </c>
      <c r="E974" s="43" t="s">
        <v>2117</v>
      </c>
      <c r="F974" t="s">
        <v>57</v>
      </c>
    </row>
    <row r="975" spans="1:6" ht="14.25" customHeight="1">
      <c r="A975" s="45"/>
      <c r="D975" s="42" t="s">
        <v>2118</v>
      </c>
      <c r="E975" s="43" t="s">
        <v>2119</v>
      </c>
      <c r="F975" t="s">
        <v>57</v>
      </c>
    </row>
    <row r="976" spans="1:6" ht="14.25" customHeight="1">
      <c r="A976" s="45"/>
      <c r="D976" s="42" t="s">
        <v>2120</v>
      </c>
      <c r="E976" s="43" t="s">
        <v>2121</v>
      </c>
      <c r="F976" t="s">
        <v>57</v>
      </c>
    </row>
    <row r="977" spans="1:6" ht="14.25" customHeight="1">
      <c r="A977" s="45"/>
      <c r="D977" s="42" t="s">
        <v>2122</v>
      </c>
      <c r="E977" s="43" t="s">
        <v>2123</v>
      </c>
      <c r="F977" t="s">
        <v>57</v>
      </c>
    </row>
    <row r="978" spans="1:6" ht="14.25" customHeight="1">
      <c r="A978" s="45"/>
      <c r="D978" s="42" t="s">
        <v>2124</v>
      </c>
      <c r="E978" s="43" t="s">
        <v>2125</v>
      </c>
      <c r="F978" t="s">
        <v>57</v>
      </c>
    </row>
    <row r="979" spans="1:6" ht="14.25" customHeight="1">
      <c r="A979" s="45"/>
      <c r="D979" s="42" t="s">
        <v>2126</v>
      </c>
      <c r="E979" s="43" t="s">
        <v>2127</v>
      </c>
      <c r="F979" t="s">
        <v>57</v>
      </c>
    </row>
    <row r="980" spans="1:6" ht="14.25" customHeight="1">
      <c r="A980" s="45"/>
      <c r="D980" s="42" t="s">
        <v>2128</v>
      </c>
      <c r="E980" s="43" t="s">
        <v>2129</v>
      </c>
      <c r="F980" t="s">
        <v>57</v>
      </c>
    </row>
    <row r="981" spans="1:6" ht="14.25" customHeight="1">
      <c r="A981" s="45"/>
      <c r="D981" s="42" t="s">
        <v>2130</v>
      </c>
      <c r="E981" s="43" t="s">
        <v>2131</v>
      </c>
      <c r="F981" t="s">
        <v>57</v>
      </c>
    </row>
    <row r="982" spans="1:6" ht="14.25" customHeight="1">
      <c r="A982" s="45"/>
      <c r="D982" s="42" t="s">
        <v>2132</v>
      </c>
      <c r="E982" s="43" t="s">
        <v>2133</v>
      </c>
      <c r="F982" t="s">
        <v>57</v>
      </c>
    </row>
    <row r="983" spans="1:6" ht="14.25" customHeight="1">
      <c r="A983" s="45"/>
      <c r="D983" s="42" t="s">
        <v>2134</v>
      </c>
      <c r="E983" s="43" t="s">
        <v>2135</v>
      </c>
      <c r="F983" t="s">
        <v>57</v>
      </c>
    </row>
    <row r="984" spans="1:6" ht="14.25" customHeight="1">
      <c r="A984" s="45"/>
      <c r="D984" s="42" t="s">
        <v>2136</v>
      </c>
      <c r="E984" s="43" t="s">
        <v>2137</v>
      </c>
      <c r="F984" t="s">
        <v>57</v>
      </c>
    </row>
    <row r="985" spans="1:6" ht="14.25" customHeight="1">
      <c r="A985" s="45"/>
      <c r="D985" s="42" t="s">
        <v>2138</v>
      </c>
      <c r="E985" s="43" t="s">
        <v>2139</v>
      </c>
      <c r="F985" t="s">
        <v>57</v>
      </c>
    </row>
    <row r="986" spans="1:6" ht="14.25" customHeight="1">
      <c r="A986" s="45"/>
      <c r="D986" s="42" t="s">
        <v>2140</v>
      </c>
      <c r="E986" s="43" t="s">
        <v>2141</v>
      </c>
      <c r="F986" t="s">
        <v>57</v>
      </c>
    </row>
    <row r="987" spans="1:6" ht="14.25" customHeight="1">
      <c r="A987" s="45"/>
      <c r="D987" s="42" t="s">
        <v>2142</v>
      </c>
      <c r="E987" s="43" t="s">
        <v>2143</v>
      </c>
      <c r="F987" t="s">
        <v>57</v>
      </c>
    </row>
    <row r="988" spans="1:6" ht="14.25" customHeight="1">
      <c r="A988" s="45"/>
      <c r="D988" s="42" t="s">
        <v>2144</v>
      </c>
      <c r="E988" s="43" t="s">
        <v>2145</v>
      </c>
      <c r="F988" t="s">
        <v>57</v>
      </c>
    </row>
    <row r="989" spans="1:6" ht="14.25" customHeight="1">
      <c r="A989" s="45"/>
      <c r="D989" s="42" t="s">
        <v>2146</v>
      </c>
      <c r="E989" s="43" t="s">
        <v>2147</v>
      </c>
      <c r="F989" t="s">
        <v>57</v>
      </c>
    </row>
    <row r="990" spans="1:6" ht="14.25" customHeight="1">
      <c r="A990" s="45"/>
      <c r="D990" s="42" t="s">
        <v>2148</v>
      </c>
      <c r="E990" s="43" t="s">
        <v>2149</v>
      </c>
      <c r="F990" t="s">
        <v>57</v>
      </c>
    </row>
    <row r="991" spans="1:6" ht="14.25" customHeight="1">
      <c r="A991" s="45"/>
      <c r="D991" s="42" t="s">
        <v>2150</v>
      </c>
      <c r="E991" s="43" t="s">
        <v>2151</v>
      </c>
      <c r="F991" t="s">
        <v>57</v>
      </c>
    </row>
    <row r="992" spans="1:6" ht="14.25" customHeight="1">
      <c r="A992" s="45"/>
      <c r="D992" s="42" t="s">
        <v>2152</v>
      </c>
      <c r="E992" s="43" t="s">
        <v>2153</v>
      </c>
      <c r="F992" t="s">
        <v>57</v>
      </c>
    </row>
    <row r="993" spans="1:6" ht="14.25" customHeight="1">
      <c r="A993" s="45"/>
      <c r="D993" s="42" t="s">
        <v>2154</v>
      </c>
      <c r="E993" s="43" t="s">
        <v>2155</v>
      </c>
      <c r="F993" t="s">
        <v>57</v>
      </c>
    </row>
    <row r="994" spans="1:6" ht="14.25" customHeight="1">
      <c r="A994" s="45"/>
      <c r="D994" s="42" t="s">
        <v>2156</v>
      </c>
      <c r="E994" s="43" t="s">
        <v>2157</v>
      </c>
      <c r="F994" t="s">
        <v>57</v>
      </c>
    </row>
    <row r="995" spans="1:6" ht="14.25" customHeight="1">
      <c r="A995" s="45"/>
      <c r="D995" s="42" t="s">
        <v>2158</v>
      </c>
      <c r="E995" s="43" t="s">
        <v>2159</v>
      </c>
      <c r="F995" t="s">
        <v>57</v>
      </c>
    </row>
    <row r="996" spans="1:6" ht="14.25" customHeight="1">
      <c r="A996" s="45"/>
      <c r="D996" s="42" t="s">
        <v>2160</v>
      </c>
      <c r="E996" s="43" t="s">
        <v>2161</v>
      </c>
      <c r="F996" t="s">
        <v>57</v>
      </c>
    </row>
    <row r="997" spans="1:6" ht="14.25" customHeight="1">
      <c r="A997" s="45"/>
      <c r="D997" s="42" t="s">
        <v>2162</v>
      </c>
      <c r="E997" s="43" t="s">
        <v>2163</v>
      </c>
      <c r="F997" t="s">
        <v>57</v>
      </c>
    </row>
    <row r="998" spans="1:6" ht="14.25" customHeight="1">
      <c r="A998" s="45"/>
      <c r="D998" s="42" t="s">
        <v>2164</v>
      </c>
      <c r="E998" s="43" t="s">
        <v>2165</v>
      </c>
      <c r="F998" t="s">
        <v>57</v>
      </c>
    </row>
    <row r="999" spans="1:6" ht="14.25" customHeight="1">
      <c r="A999" s="45"/>
      <c r="D999" s="42" t="s">
        <v>2166</v>
      </c>
      <c r="E999" s="43" t="s">
        <v>2167</v>
      </c>
      <c r="F999" t="s">
        <v>57</v>
      </c>
    </row>
    <row r="1000" spans="1:6" ht="14.25" customHeight="1">
      <c r="A1000" s="45"/>
      <c r="D1000" s="42" t="s">
        <v>2168</v>
      </c>
      <c r="E1000" s="43" t="s">
        <v>2169</v>
      </c>
      <c r="F1000" t="s">
        <v>57</v>
      </c>
    </row>
    <row r="1001" spans="1:6" ht="14.25" customHeight="1">
      <c r="A1001" s="45"/>
      <c r="D1001" s="42" t="s">
        <v>2170</v>
      </c>
      <c r="E1001" s="43" t="s">
        <v>2171</v>
      </c>
      <c r="F1001" t="s">
        <v>57</v>
      </c>
    </row>
    <row r="1002" spans="1:6" ht="14.25" customHeight="1">
      <c r="A1002" s="45"/>
      <c r="D1002" s="42" t="s">
        <v>2172</v>
      </c>
      <c r="E1002" s="43" t="s">
        <v>2173</v>
      </c>
      <c r="F1002" t="s">
        <v>57</v>
      </c>
    </row>
    <row r="1003" spans="1:6" ht="14.25" customHeight="1">
      <c r="A1003" s="45"/>
      <c r="D1003" s="42" t="s">
        <v>2174</v>
      </c>
      <c r="E1003" s="43" t="s">
        <v>2175</v>
      </c>
      <c r="F1003" t="s">
        <v>57</v>
      </c>
    </row>
    <row r="1004" spans="1:6" ht="14.25" customHeight="1">
      <c r="A1004" s="45"/>
      <c r="D1004" s="42" t="s">
        <v>2176</v>
      </c>
      <c r="E1004" s="43" t="s">
        <v>2177</v>
      </c>
      <c r="F1004" t="s">
        <v>57</v>
      </c>
    </row>
    <row r="1005" spans="1:6" ht="14.25" customHeight="1">
      <c r="A1005" s="45"/>
      <c r="D1005" s="42" t="s">
        <v>2178</v>
      </c>
      <c r="E1005" s="43" t="s">
        <v>2179</v>
      </c>
      <c r="F1005" t="s">
        <v>57</v>
      </c>
    </row>
    <row r="1006" spans="1:6" ht="14.25" customHeight="1">
      <c r="A1006" s="45"/>
      <c r="D1006" s="42" t="s">
        <v>2180</v>
      </c>
      <c r="E1006" s="43" t="s">
        <v>2181</v>
      </c>
      <c r="F1006" t="s">
        <v>57</v>
      </c>
    </row>
    <row r="1007" spans="1:6" ht="14.25" customHeight="1">
      <c r="A1007" s="45"/>
      <c r="D1007" s="42" t="s">
        <v>2182</v>
      </c>
      <c r="E1007" s="43" t="s">
        <v>2183</v>
      </c>
      <c r="F1007" t="s">
        <v>57</v>
      </c>
    </row>
    <row r="1008" spans="1:6" ht="14.25" customHeight="1">
      <c r="A1008" s="45"/>
      <c r="D1008" s="42" t="s">
        <v>2184</v>
      </c>
      <c r="E1008" s="43" t="s">
        <v>2185</v>
      </c>
      <c r="F1008" t="s">
        <v>57</v>
      </c>
    </row>
    <row r="1009" spans="1:6" ht="14.25" customHeight="1">
      <c r="A1009" s="45"/>
      <c r="D1009" s="42" t="s">
        <v>2186</v>
      </c>
      <c r="E1009" s="43" t="s">
        <v>2187</v>
      </c>
      <c r="F1009" t="s">
        <v>57</v>
      </c>
    </row>
    <row r="1010" spans="1:6" ht="14.25" customHeight="1">
      <c r="A1010" s="45"/>
      <c r="D1010" s="42" t="s">
        <v>2188</v>
      </c>
      <c r="E1010" s="43" t="s">
        <v>2189</v>
      </c>
      <c r="F1010" t="s">
        <v>57</v>
      </c>
    </row>
    <row r="1011" spans="1:6" ht="14.25" customHeight="1">
      <c r="A1011" s="45"/>
      <c r="D1011" s="42" t="s">
        <v>2190</v>
      </c>
      <c r="E1011" s="43" t="s">
        <v>2191</v>
      </c>
      <c r="F1011" t="s">
        <v>57</v>
      </c>
    </row>
    <row r="1012" spans="1:6" ht="14.25" customHeight="1">
      <c r="A1012" s="45"/>
      <c r="D1012" s="42" t="s">
        <v>2192</v>
      </c>
      <c r="E1012" s="43" t="s">
        <v>2193</v>
      </c>
      <c r="F1012" t="s">
        <v>57</v>
      </c>
    </row>
    <row r="1013" spans="1:6" ht="14.25" customHeight="1">
      <c r="A1013" s="45"/>
      <c r="D1013" s="42" t="s">
        <v>2194</v>
      </c>
      <c r="E1013" s="43" t="s">
        <v>2195</v>
      </c>
      <c r="F1013" t="s">
        <v>57</v>
      </c>
    </row>
    <row r="1014" spans="1:6" ht="14.25" customHeight="1">
      <c r="A1014" s="45"/>
      <c r="D1014" s="42" t="s">
        <v>2196</v>
      </c>
      <c r="E1014" s="43" t="s">
        <v>2197</v>
      </c>
      <c r="F1014" t="s">
        <v>57</v>
      </c>
    </row>
    <row r="1015" spans="1:6" ht="14.25" customHeight="1">
      <c r="A1015" s="45"/>
      <c r="D1015" s="42" t="s">
        <v>2198</v>
      </c>
      <c r="E1015" s="43" t="s">
        <v>2199</v>
      </c>
      <c r="F1015" t="s">
        <v>57</v>
      </c>
    </row>
    <row r="1016" spans="1:6" ht="14.25" customHeight="1">
      <c r="A1016" s="45"/>
      <c r="D1016" s="42" t="s">
        <v>2200</v>
      </c>
      <c r="E1016" s="43" t="s">
        <v>2201</v>
      </c>
      <c r="F1016" t="s">
        <v>57</v>
      </c>
    </row>
    <row r="1017" spans="1:6" ht="14.25" customHeight="1">
      <c r="A1017" s="45"/>
      <c r="D1017" s="42" t="s">
        <v>2202</v>
      </c>
      <c r="E1017" s="43" t="s">
        <v>2203</v>
      </c>
      <c r="F1017" t="s">
        <v>57</v>
      </c>
    </row>
    <row r="1018" spans="1:6" ht="14.25" customHeight="1">
      <c r="A1018" s="45"/>
      <c r="D1018" s="42" t="s">
        <v>2204</v>
      </c>
      <c r="E1018" s="43" t="s">
        <v>2205</v>
      </c>
      <c r="F1018" t="s">
        <v>57</v>
      </c>
    </row>
    <row r="1019" spans="1:6" ht="14.25" customHeight="1">
      <c r="A1019" s="45"/>
      <c r="D1019" s="42" t="s">
        <v>2206</v>
      </c>
      <c r="E1019" s="43" t="s">
        <v>2207</v>
      </c>
      <c r="F1019" t="s">
        <v>57</v>
      </c>
    </row>
    <row r="1020" spans="1:6" ht="14.25" customHeight="1">
      <c r="A1020" s="45"/>
      <c r="D1020" s="42" t="s">
        <v>2208</v>
      </c>
      <c r="E1020" s="43" t="s">
        <v>2209</v>
      </c>
      <c r="F1020" t="s">
        <v>57</v>
      </c>
    </row>
    <row r="1021" spans="1:6" ht="14.25" customHeight="1">
      <c r="A1021" s="45"/>
      <c r="D1021" s="42" t="s">
        <v>2210</v>
      </c>
      <c r="E1021" s="43" t="s">
        <v>2211</v>
      </c>
      <c r="F1021" t="s">
        <v>57</v>
      </c>
    </row>
    <row r="1022" spans="1:6" ht="14.25" customHeight="1">
      <c r="A1022" s="45"/>
      <c r="D1022" s="42" t="s">
        <v>2212</v>
      </c>
      <c r="E1022" s="43" t="s">
        <v>2213</v>
      </c>
      <c r="F1022" t="s">
        <v>57</v>
      </c>
    </row>
    <row r="1023" spans="1:6" ht="14.25" customHeight="1">
      <c r="A1023" s="45"/>
      <c r="D1023" s="42" t="s">
        <v>2214</v>
      </c>
      <c r="E1023" s="43" t="s">
        <v>2215</v>
      </c>
      <c r="F1023" t="s">
        <v>57</v>
      </c>
    </row>
    <row r="1024" spans="1:6" ht="14.25" customHeight="1">
      <c r="A1024" s="45"/>
      <c r="D1024" s="42" t="s">
        <v>2216</v>
      </c>
      <c r="E1024" s="43" t="s">
        <v>2217</v>
      </c>
      <c r="F1024" t="s">
        <v>57</v>
      </c>
    </row>
    <row r="1025" spans="1:6" ht="14.25" customHeight="1">
      <c r="A1025" s="45"/>
      <c r="D1025" s="42" t="s">
        <v>2218</v>
      </c>
      <c r="E1025" s="43" t="s">
        <v>2219</v>
      </c>
      <c r="F1025" t="s">
        <v>57</v>
      </c>
    </row>
    <row r="1026" spans="1:6" ht="14.25" customHeight="1">
      <c r="A1026" s="45"/>
      <c r="D1026" s="42" t="s">
        <v>2220</v>
      </c>
      <c r="E1026" s="43" t="s">
        <v>2221</v>
      </c>
      <c r="F1026" t="s">
        <v>57</v>
      </c>
    </row>
    <row r="1027" spans="1:6" ht="14.25" customHeight="1">
      <c r="A1027" s="45"/>
      <c r="D1027" s="42" t="s">
        <v>2222</v>
      </c>
      <c r="E1027" s="43" t="s">
        <v>2223</v>
      </c>
      <c r="F1027" t="s">
        <v>57</v>
      </c>
    </row>
    <row r="1028" spans="1:6" ht="14.25" customHeight="1">
      <c r="A1028" s="45"/>
      <c r="D1028" s="42" t="s">
        <v>2224</v>
      </c>
      <c r="E1028" s="43" t="s">
        <v>2225</v>
      </c>
      <c r="F1028" t="s">
        <v>57</v>
      </c>
    </row>
    <row r="1029" spans="1:6" ht="14.25" customHeight="1">
      <c r="A1029" s="45"/>
      <c r="D1029" s="42" t="s">
        <v>2226</v>
      </c>
      <c r="E1029" s="43" t="s">
        <v>2227</v>
      </c>
      <c r="F1029" t="s">
        <v>57</v>
      </c>
    </row>
    <row r="1030" spans="1:6" ht="14.25" customHeight="1">
      <c r="A1030" s="45"/>
      <c r="D1030" s="42" t="s">
        <v>2228</v>
      </c>
      <c r="E1030" s="43" t="s">
        <v>2229</v>
      </c>
      <c r="F1030" t="s">
        <v>57</v>
      </c>
    </row>
    <row r="1031" spans="1:6" ht="14.25" customHeight="1">
      <c r="A1031" s="45"/>
      <c r="D1031" s="42" t="s">
        <v>2230</v>
      </c>
      <c r="E1031" s="43" t="s">
        <v>2231</v>
      </c>
      <c r="F1031" t="s">
        <v>57</v>
      </c>
    </row>
    <row r="1032" spans="1:6" ht="14.25" customHeight="1">
      <c r="A1032" s="45"/>
      <c r="D1032" s="42" t="s">
        <v>2232</v>
      </c>
      <c r="E1032" s="43" t="s">
        <v>2233</v>
      </c>
      <c r="F1032" t="s">
        <v>57</v>
      </c>
    </row>
    <row r="1033" spans="1:6" ht="14.25" customHeight="1">
      <c r="A1033" s="45"/>
      <c r="D1033" s="42" t="s">
        <v>2234</v>
      </c>
      <c r="E1033" s="43" t="s">
        <v>2235</v>
      </c>
      <c r="F1033" t="s">
        <v>57</v>
      </c>
    </row>
    <row r="1034" spans="1:6" ht="14.25" customHeight="1">
      <c r="A1034" s="45"/>
      <c r="D1034" s="42" t="s">
        <v>2236</v>
      </c>
      <c r="E1034" s="43" t="s">
        <v>2237</v>
      </c>
      <c r="F1034" t="s">
        <v>57</v>
      </c>
    </row>
    <row r="1035" spans="1:6" ht="14.25" customHeight="1">
      <c r="A1035" s="45"/>
      <c r="D1035" s="42" t="s">
        <v>2238</v>
      </c>
      <c r="E1035" s="43" t="s">
        <v>2239</v>
      </c>
      <c r="F1035" t="s">
        <v>57</v>
      </c>
    </row>
    <row r="1036" spans="1:6" ht="14.25" customHeight="1">
      <c r="A1036" s="45"/>
      <c r="D1036" s="42" t="s">
        <v>2240</v>
      </c>
      <c r="E1036" s="43" t="s">
        <v>2241</v>
      </c>
      <c r="F1036" t="s">
        <v>57</v>
      </c>
    </row>
    <row r="1037" spans="1:6" ht="14.25" customHeight="1">
      <c r="A1037" s="45"/>
      <c r="D1037" s="42" t="s">
        <v>2242</v>
      </c>
      <c r="E1037" s="43" t="s">
        <v>2243</v>
      </c>
      <c r="F1037" t="s">
        <v>57</v>
      </c>
    </row>
    <row r="1038" spans="1:6" ht="14.25" customHeight="1">
      <c r="A1038" s="45"/>
      <c r="D1038" s="42" t="s">
        <v>2244</v>
      </c>
      <c r="E1038" s="43" t="s">
        <v>2245</v>
      </c>
      <c r="F1038" t="s">
        <v>57</v>
      </c>
    </row>
    <row r="1039" spans="1:6" ht="14.25" customHeight="1">
      <c r="A1039" s="45"/>
      <c r="D1039" s="42" t="s">
        <v>2246</v>
      </c>
      <c r="E1039" s="43" t="s">
        <v>2247</v>
      </c>
      <c r="F1039" t="s">
        <v>57</v>
      </c>
    </row>
    <row r="1040" spans="1:6" ht="14.25" customHeight="1">
      <c r="A1040" s="45"/>
      <c r="D1040" s="42" t="s">
        <v>2248</v>
      </c>
      <c r="E1040" s="43" t="s">
        <v>2249</v>
      </c>
      <c r="F1040" t="s">
        <v>57</v>
      </c>
    </row>
    <row r="1041" spans="1:6" ht="14.25" customHeight="1">
      <c r="A1041" s="45"/>
      <c r="D1041" s="42" t="s">
        <v>2250</v>
      </c>
      <c r="E1041" s="43" t="s">
        <v>2251</v>
      </c>
      <c r="F1041" t="s">
        <v>57</v>
      </c>
    </row>
    <row r="1042" spans="1:6" ht="14.25" customHeight="1">
      <c r="A1042" s="45"/>
      <c r="D1042" s="42" t="s">
        <v>2252</v>
      </c>
      <c r="E1042" s="43" t="s">
        <v>2253</v>
      </c>
      <c r="F1042" t="s">
        <v>57</v>
      </c>
    </row>
    <row r="1043" spans="1:6" ht="14.25" customHeight="1">
      <c r="A1043" s="45"/>
      <c r="D1043" s="42" t="s">
        <v>2254</v>
      </c>
      <c r="E1043" s="43" t="s">
        <v>2255</v>
      </c>
      <c r="F1043" t="s">
        <v>57</v>
      </c>
    </row>
    <row r="1044" spans="1:6" ht="14.25" customHeight="1">
      <c r="A1044" s="45"/>
      <c r="D1044" s="42" t="s">
        <v>2256</v>
      </c>
      <c r="E1044" s="43" t="s">
        <v>2257</v>
      </c>
      <c r="F1044" t="s">
        <v>57</v>
      </c>
    </row>
    <row r="1045" spans="1:6" ht="14.25" customHeight="1">
      <c r="A1045" s="45"/>
      <c r="D1045" s="42" t="s">
        <v>2258</v>
      </c>
      <c r="E1045" s="43" t="s">
        <v>2259</v>
      </c>
      <c r="F1045" t="s">
        <v>57</v>
      </c>
    </row>
    <row r="1046" spans="1:6" ht="14.25" customHeight="1">
      <c r="A1046" s="45"/>
      <c r="D1046" s="42" t="s">
        <v>2260</v>
      </c>
      <c r="E1046" s="43" t="s">
        <v>2261</v>
      </c>
      <c r="F1046" t="s">
        <v>57</v>
      </c>
    </row>
    <row r="1047" spans="1:6" ht="14.25" customHeight="1">
      <c r="A1047" s="45"/>
      <c r="D1047" s="42" t="s">
        <v>2262</v>
      </c>
      <c r="E1047" s="43" t="s">
        <v>2263</v>
      </c>
      <c r="F1047" t="s">
        <v>57</v>
      </c>
    </row>
    <row r="1048" spans="1:6" ht="14.25" customHeight="1">
      <c r="A1048" s="45"/>
      <c r="D1048" s="42" t="s">
        <v>2264</v>
      </c>
      <c r="E1048" s="43" t="s">
        <v>2265</v>
      </c>
      <c r="F1048" t="s">
        <v>57</v>
      </c>
    </row>
    <row r="1049" spans="1:6" ht="14.25" customHeight="1">
      <c r="A1049" s="45"/>
      <c r="D1049" s="42" t="s">
        <v>2266</v>
      </c>
      <c r="E1049" s="43" t="s">
        <v>2267</v>
      </c>
      <c r="F1049" t="s">
        <v>57</v>
      </c>
    </row>
    <row r="1050" spans="1:6" ht="14.25" customHeight="1">
      <c r="A1050" s="45"/>
      <c r="D1050" s="42" t="s">
        <v>2268</v>
      </c>
      <c r="E1050" s="43" t="s">
        <v>2269</v>
      </c>
      <c r="F1050" t="s">
        <v>57</v>
      </c>
    </row>
    <row r="1051" spans="1:6" ht="14.25" customHeight="1">
      <c r="A1051" s="45"/>
      <c r="D1051" s="42" t="s">
        <v>2270</v>
      </c>
      <c r="E1051" s="43" t="s">
        <v>2271</v>
      </c>
      <c r="F1051" t="s">
        <v>57</v>
      </c>
    </row>
    <row r="1052" spans="1:6" ht="14.25" customHeight="1">
      <c r="A1052" s="45"/>
      <c r="D1052" s="42" t="s">
        <v>2272</v>
      </c>
      <c r="E1052" s="43" t="s">
        <v>2273</v>
      </c>
      <c r="F1052" t="s">
        <v>57</v>
      </c>
    </row>
    <row r="1053" spans="1:6" ht="14.25" customHeight="1">
      <c r="A1053" s="45"/>
      <c r="D1053" s="42" t="s">
        <v>2274</v>
      </c>
      <c r="E1053" s="43" t="s">
        <v>2275</v>
      </c>
      <c r="F1053" t="s">
        <v>57</v>
      </c>
    </row>
    <row r="1054" spans="1:6" ht="14.25" customHeight="1">
      <c r="A1054" s="45"/>
      <c r="D1054" s="42" t="s">
        <v>2276</v>
      </c>
      <c r="E1054" s="43" t="s">
        <v>2277</v>
      </c>
      <c r="F1054" t="s">
        <v>57</v>
      </c>
    </row>
    <row r="1055" spans="1:6" ht="14.25" customHeight="1">
      <c r="A1055" s="45"/>
      <c r="D1055" s="42" t="s">
        <v>2278</v>
      </c>
      <c r="E1055" s="43" t="s">
        <v>2279</v>
      </c>
      <c r="F1055" t="s">
        <v>57</v>
      </c>
    </row>
    <row r="1056" spans="1:6" ht="14.25" customHeight="1">
      <c r="A1056" s="45"/>
      <c r="D1056" s="42" t="s">
        <v>2280</v>
      </c>
      <c r="E1056" s="43" t="s">
        <v>2281</v>
      </c>
      <c r="F1056" t="s">
        <v>57</v>
      </c>
    </row>
    <row r="1057" spans="1:6" ht="14.25" customHeight="1">
      <c r="A1057" s="45"/>
      <c r="D1057" s="42" t="s">
        <v>2282</v>
      </c>
      <c r="E1057" s="43" t="s">
        <v>2283</v>
      </c>
      <c r="F1057" t="s">
        <v>57</v>
      </c>
    </row>
    <row r="1058" spans="1:6" ht="14.25" customHeight="1">
      <c r="A1058" s="45"/>
      <c r="D1058" s="42" t="s">
        <v>2284</v>
      </c>
      <c r="E1058" s="43" t="s">
        <v>2285</v>
      </c>
      <c r="F1058" t="s">
        <v>57</v>
      </c>
    </row>
    <row r="1059" spans="1:6" ht="14.25" customHeight="1">
      <c r="A1059" s="45"/>
      <c r="D1059" s="42" t="s">
        <v>2286</v>
      </c>
      <c r="E1059" s="43" t="s">
        <v>2287</v>
      </c>
      <c r="F1059" t="s">
        <v>57</v>
      </c>
    </row>
    <row r="1060" spans="1:6" ht="14.25" customHeight="1">
      <c r="A1060" s="45"/>
      <c r="D1060" s="42" t="s">
        <v>2288</v>
      </c>
      <c r="E1060" s="43" t="s">
        <v>2289</v>
      </c>
      <c r="F1060" t="s">
        <v>57</v>
      </c>
    </row>
    <row r="1061" spans="1:6" ht="14.25" customHeight="1">
      <c r="A1061" s="45"/>
      <c r="D1061" s="42" t="s">
        <v>2290</v>
      </c>
      <c r="E1061" s="43" t="s">
        <v>2291</v>
      </c>
      <c r="F1061" t="s">
        <v>57</v>
      </c>
    </row>
    <row r="1062" spans="1:6" ht="14.25" customHeight="1">
      <c r="A1062" s="45"/>
      <c r="D1062" s="42" t="s">
        <v>2292</v>
      </c>
      <c r="E1062" s="43" t="s">
        <v>2293</v>
      </c>
      <c r="F1062" t="s">
        <v>57</v>
      </c>
    </row>
    <row r="1063" spans="1:6" ht="14.25" customHeight="1">
      <c r="A1063" s="45"/>
      <c r="D1063" s="42" t="s">
        <v>2294</v>
      </c>
      <c r="E1063" s="43" t="s">
        <v>2295</v>
      </c>
      <c r="F1063" t="s">
        <v>57</v>
      </c>
    </row>
    <row r="1064" spans="1:6" ht="14.25" customHeight="1">
      <c r="A1064" s="45"/>
      <c r="D1064" s="42" t="s">
        <v>2296</v>
      </c>
      <c r="E1064" s="43" t="s">
        <v>2297</v>
      </c>
      <c r="F1064" t="s">
        <v>57</v>
      </c>
    </row>
    <row r="1065" spans="1:6" ht="14.25" customHeight="1">
      <c r="A1065" s="45"/>
      <c r="D1065" s="42" t="s">
        <v>2298</v>
      </c>
      <c r="E1065" s="43" t="s">
        <v>2299</v>
      </c>
      <c r="F1065" t="s">
        <v>57</v>
      </c>
    </row>
    <row r="1066" spans="1:6" ht="14.25" customHeight="1">
      <c r="A1066" s="45"/>
      <c r="D1066" s="42" t="s">
        <v>2300</v>
      </c>
      <c r="E1066" s="43" t="s">
        <v>2301</v>
      </c>
      <c r="F1066" t="s">
        <v>57</v>
      </c>
    </row>
    <row r="1067" spans="1:6" ht="14.25" customHeight="1">
      <c r="A1067" s="45"/>
      <c r="D1067" s="42" t="s">
        <v>2302</v>
      </c>
      <c r="E1067" s="43" t="s">
        <v>2303</v>
      </c>
      <c r="F1067" t="s">
        <v>57</v>
      </c>
    </row>
    <row r="1068" spans="1:6" ht="14.25" customHeight="1">
      <c r="A1068" s="45"/>
      <c r="D1068" s="42" t="s">
        <v>2304</v>
      </c>
      <c r="E1068" s="43" t="s">
        <v>2305</v>
      </c>
      <c r="F1068" t="s">
        <v>57</v>
      </c>
    </row>
    <row r="1069" spans="1:6" ht="14.25" customHeight="1">
      <c r="A1069" s="45"/>
      <c r="D1069" s="42" t="s">
        <v>2306</v>
      </c>
      <c r="E1069" s="43" t="s">
        <v>2307</v>
      </c>
      <c r="F1069" t="s">
        <v>57</v>
      </c>
    </row>
    <row r="1070" spans="1:6" ht="14.25" customHeight="1">
      <c r="A1070" s="45"/>
      <c r="D1070" s="42" t="s">
        <v>2308</v>
      </c>
      <c r="E1070" s="43" t="s">
        <v>2309</v>
      </c>
      <c r="F1070" t="s">
        <v>57</v>
      </c>
    </row>
    <row r="1071" spans="1:6" ht="14.25" customHeight="1">
      <c r="A1071" s="45"/>
      <c r="D1071" s="42" t="s">
        <v>2310</v>
      </c>
      <c r="E1071" s="43" t="s">
        <v>2311</v>
      </c>
      <c r="F1071" t="s">
        <v>57</v>
      </c>
    </row>
    <row r="1072" spans="1:6" ht="14.25" customHeight="1">
      <c r="A1072" s="45"/>
      <c r="D1072" s="42" t="s">
        <v>2312</v>
      </c>
      <c r="E1072" s="43" t="s">
        <v>2313</v>
      </c>
      <c r="F1072" t="s">
        <v>57</v>
      </c>
    </row>
    <row r="1073" spans="1:6" ht="14.25" customHeight="1">
      <c r="A1073" s="45"/>
      <c r="D1073" s="42" t="s">
        <v>2314</v>
      </c>
      <c r="E1073" s="43" t="s">
        <v>2315</v>
      </c>
      <c r="F1073" t="s">
        <v>57</v>
      </c>
    </row>
    <row r="1074" spans="1:6" ht="14.25" customHeight="1">
      <c r="A1074" s="45"/>
      <c r="D1074" s="42" t="s">
        <v>2316</v>
      </c>
      <c r="E1074" s="43" t="s">
        <v>2317</v>
      </c>
      <c r="F1074" t="s">
        <v>57</v>
      </c>
    </row>
    <row r="1075" spans="1:6" ht="14.25" customHeight="1">
      <c r="A1075" s="45"/>
      <c r="D1075" s="42" t="s">
        <v>2318</v>
      </c>
      <c r="E1075" s="43" t="s">
        <v>2319</v>
      </c>
      <c r="F1075" t="s">
        <v>57</v>
      </c>
    </row>
    <row r="1076" spans="1:6" ht="14.25" customHeight="1">
      <c r="A1076" s="45"/>
      <c r="D1076" s="42" t="s">
        <v>2320</v>
      </c>
      <c r="E1076" s="43" t="s">
        <v>2321</v>
      </c>
      <c r="F1076" t="s">
        <v>57</v>
      </c>
    </row>
    <row r="1077" spans="1:6" ht="14.25" customHeight="1">
      <c r="A1077" s="45"/>
      <c r="D1077" s="42" t="s">
        <v>2322</v>
      </c>
      <c r="E1077" s="43" t="s">
        <v>2323</v>
      </c>
      <c r="F1077" t="s">
        <v>57</v>
      </c>
    </row>
    <row r="1078" spans="1:6" ht="14.25" customHeight="1">
      <c r="A1078" s="45"/>
      <c r="D1078" s="42" t="s">
        <v>2324</v>
      </c>
      <c r="E1078" s="43" t="s">
        <v>2325</v>
      </c>
      <c r="F1078" t="s">
        <v>57</v>
      </c>
    </row>
    <row r="1079" spans="1:6" ht="14.25" customHeight="1">
      <c r="A1079" s="45"/>
      <c r="D1079" s="42" t="s">
        <v>2326</v>
      </c>
      <c r="E1079" s="43" t="s">
        <v>2327</v>
      </c>
      <c r="F1079" t="s">
        <v>57</v>
      </c>
    </row>
    <row r="1080" spans="1:6" ht="14.25" customHeight="1">
      <c r="A1080" s="45"/>
      <c r="D1080" s="42" t="s">
        <v>2328</v>
      </c>
      <c r="E1080" s="43" t="s">
        <v>2329</v>
      </c>
      <c r="F1080" t="s">
        <v>57</v>
      </c>
    </row>
    <row r="1081" spans="1:6" ht="14.25" customHeight="1">
      <c r="A1081" s="45"/>
      <c r="D1081" s="42" t="s">
        <v>2330</v>
      </c>
      <c r="E1081" s="43" t="s">
        <v>2331</v>
      </c>
      <c r="F1081" t="s">
        <v>57</v>
      </c>
    </row>
    <row r="1082" spans="1:6" ht="14.25" customHeight="1">
      <c r="A1082" s="45"/>
      <c r="D1082" s="42" t="s">
        <v>2332</v>
      </c>
      <c r="E1082" s="43" t="s">
        <v>2333</v>
      </c>
      <c r="F1082" t="s">
        <v>57</v>
      </c>
    </row>
    <row r="1083" spans="1:6" ht="14.25" customHeight="1">
      <c r="A1083" s="45"/>
      <c r="D1083" s="42" t="s">
        <v>2334</v>
      </c>
      <c r="E1083" s="43" t="s">
        <v>2335</v>
      </c>
      <c r="F1083" t="s">
        <v>57</v>
      </c>
    </row>
    <row r="1084" spans="1:6" ht="14.25" customHeight="1">
      <c r="A1084" s="45"/>
      <c r="D1084" s="42" t="s">
        <v>2336</v>
      </c>
      <c r="E1084" s="43" t="s">
        <v>2337</v>
      </c>
      <c r="F1084" t="s">
        <v>57</v>
      </c>
    </row>
    <row r="1085" spans="1:6" ht="14.25" customHeight="1">
      <c r="A1085" s="45"/>
      <c r="D1085" s="42" t="s">
        <v>2338</v>
      </c>
      <c r="E1085" s="43" t="s">
        <v>2339</v>
      </c>
      <c r="F1085" t="s">
        <v>57</v>
      </c>
    </row>
    <row r="1086" spans="1:6" ht="14.25" customHeight="1">
      <c r="A1086" s="45"/>
      <c r="D1086" s="42" t="s">
        <v>2340</v>
      </c>
      <c r="E1086" s="43" t="s">
        <v>2341</v>
      </c>
      <c r="F1086" t="s">
        <v>57</v>
      </c>
    </row>
    <row r="1087" spans="1:6" ht="14.25" customHeight="1">
      <c r="A1087" s="45"/>
      <c r="D1087" s="42" t="s">
        <v>2342</v>
      </c>
      <c r="E1087" s="43" t="s">
        <v>2343</v>
      </c>
      <c r="F1087" t="s">
        <v>57</v>
      </c>
    </row>
    <row r="1088" spans="1:6" ht="14.25" customHeight="1">
      <c r="A1088" s="45"/>
      <c r="D1088" s="42" t="s">
        <v>2344</v>
      </c>
      <c r="E1088" s="43" t="s">
        <v>2345</v>
      </c>
      <c r="F1088" t="s">
        <v>57</v>
      </c>
    </row>
    <row r="1089" spans="1:6" ht="14.25" customHeight="1">
      <c r="A1089" s="45"/>
      <c r="D1089" s="42" t="s">
        <v>2346</v>
      </c>
      <c r="E1089" s="43" t="s">
        <v>2347</v>
      </c>
      <c r="F1089" t="s">
        <v>57</v>
      </c>
    </row>
    <row r="1090" spans="1:6" ht="14.25" customHeight="1">
      <c r="A1090" s="45"/>
      <c r="D1090" s="42" t="s">
        <v>2348</v>
      </c>
      <c r="E1090" s="43" t="s">
        <v>2349</v>
      </c>
      <c r="F1090" t="s">
        <v>57</v>
      </c>
    </row>
    <row r="1091" spans="1:6" ht="14.25" customHeight="1">
      <c r="A1091" s="45"/>
      <c r="D1091" s="42" t="s">
        <v>2350</v>
      </c>
      <c r="E1091" s="43" t="s">
        <v>2351</v>
      </c>
      <c r="F1091" t="s">
        <v>57</v>
      </c>
    </row>
    <row r="1092" spans="1:6" ht="14.25" customHeight="1">
      <c r="A1092" s="45"/>
      <c r="D1092" s="42" t="s">
        <v>2352</v>
      </c>
      <c r="E1092" s="43" t="s">
        <v>2353</v>
      </c>
      <c r="F1092" t="s">
        <v>57</v>
      </c>
    </row>
    <row r="1093" spans="1:6" ht="14.25" customHeight="1">
      <c r="A1093" s="45"/>
      <c r="D1093" s="42" t="s">
        <v>2354</v>
      </c>
      <c r="E1093" s="43" t="s">
        <v>2355</v>
      </c>
      <c r="F1093" t="s">
        <v>57</v>
      </c>
    </row>
    <row r="1094" spans="1:6" ht="14.25" customHeight="1">
      <c r="A1094" s="45"/>
      <c r="D1094" s="42" t="s">
        <v>2356</v>
      </c>
      <c r="E1094" s="43" t="s">
        <v>2357</v>
      </c>
      <c r="F1094" t="s">
        <v>57</v>
      </c>
    </row>
    <row r="1095" spans="1:6" ht="14.25" customHeight="1">
      <c r="A1095" s="45"/>
      <c r="D1095" s="42" t="s">
        <v>2358</v>
      </c>
      <c r="E1095" s="43" t="s">
        <v>2359</v>
      </c>
      <c r="F1095" t="s">
        <v>57</v>
      </c>
    </row>
    <row r="1096" spans="1:6" ht="14.25" customHeight="1">
      <c r="A1096" s="45"/>
      <c r="D1096" s="42" t="s">
        <v>2360</v>
      </c>
      <c r="E1096" s="43" t="s">
        <v>2361</v>
      </c>
      <c r="F1096" t="s">
        <v>57</v>
      </c>
    </row>
    <row r="1097" spans="1:6" ht="14.25" customHeight="1">
      <c r="A1097" s="45"/>
      <c r="D1097" s="42" t="s">
        <v>2362</v>
      </c>
      <c r="E1097" s="43" t="s">
        <v>2363</v>
      </c>
      <c r="F1097" t="s">
        <v>57</v>
      </c>
    </row>
    <row r="1098" spans="1:6" ht="14.25" customHeight="1">
      <c r="A1098" s="45"/>
      <c r="D1098" s="42" t="s">
        <v>2364</v>
      </c>
      <c r="E1098" s="43" t="s">
        <v>2365</v>
      </c>
      <c r="F1098" t="s">
        <v>57</v>
      </c>
    </row>
    <row r="1099" spans="1:6" ht="14.25" customHeight="1">
      <c r="A1099" s="45"/>
      <c r="D1099" s="42" t="s">
        <v>2366</v>
      </c>
      <c r="E1099" s="43" t="s">
        <v>2367</v>
      </c>
      <c r="F1099" t="s">
        <v>57</v>
      </c>
    </row>
    <row r="1100" spans="1:6" ht="14.25" customHeight="1">
      <c r="A1100" s="45"/>
      <c r="D1100" s="42" t="s">
        <v>2368</v>
      </c>
      <c r="E1100" s="43" t="s">
        <v>2369</v>
      </c>
      <c r="F1100" t="s">
        <v>57</v>
      </c>
    </row>
    <row r="1101" spans="1:6" ht="14.25" customHeight="1">
      <c r="A1101" s="45"/>
      <c r="D1101" s="42" t="s">
        <v>2370</v>
      </c>
      <c r="E1101" s="43" t="s">
        <v>2371</v>
      </c>
      <c r="F1101" t="s">
        <v>57</v>
      </c>
    </row>
    <row r="1102" spans="1:6" ht="14.25" customHeight="1">
      <c r="A1102" s="45"/>
      <c r="D1102" s="42" t="s">
        <v>2372</v>
      </c>
      <c r="E1102" s="43" t="s">
        <v>2373</v>
      </c>
      <c r="F1102" t="s">
        <v>57</v>
      </c>
    </row>
  </sheetData>
  <autoFilter ref="A2:T1102"/>
  <mergeCells count="7">
    <mergeCell ref="P1:Q1"/>
    <mergeCell ref="S1:T1"/>
    <mergeCell ref="A1:B1"/>
    <mergeCell ref="D1:E1"/>
    <mergeCell ref="G1:H1"/>
    <mergeCell ref="J1:K1"/>
    <mergeCell ref="M1:N1"/>
  </mergeCells>
  <pageMargins left="0.7" right="0.7" top="0.78740157499999996" bottom="0.78740157499999996" header="0" footer="0"/>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2EFD9"/>
  </sheetPr>
  <dimension ref="A1:C1000"/>
  <sheetViews>
    <sheetView workbookViewId="0"/>
  </sheetViews>
  <sheetFormatPr baseColWidth="10" defaultColWidth="14.33203125" defaultRowHeight="15" customHeight="1"/>
  <cols>
    <col min="1" max="1" width="27.33203125" customWidth="1"/>
    <col min="2" max="6" width="11.33203125" customWidth="1"/>
  </cols>
  <sheetData>
    <row r="1" spans="1:3" ht="14.25" customHeight="1">
      <c r="A1" s="19" t="s">
        <v>2799</v>
      </c>
    </row>
    <row r="2" spans="1:3" ht="14.25" customHeight="1"/>
    <row r="3" spans="1:3" ht="14.25" customHeight="1">
      <c r="A3" s="19" t="s">
        <v>2800</v>
      </c>
      <c r="B3" s="19" t="s">
        <v>2460</v>
      </c>
      <c r="C3" s="19" t="s">
        <v>2425</v>
      </c>
    </row>
    <row r="4" spans="1:3" ht="14.25" customHeight="1">
      <c r="A4" s="19">
        <v>1</v>
      </c>
      <c r="B4" s="19" t="s">
        <v>2801</v>
      </c>
      <c r="C4" s="19" t="s">
        <v>2802</v>
      </c>
    </row>
    <row r="5" spans="1:3" ht="14.25" customHeight="1">
      <c r="A5" s="19">
        <f t="shared" ref="A5:A103" si="0">A4+1</f>
        <v>2</v>
      </c>
    </row>
    <row r="6" spans="1:3" ht="14.25" customHeight="1">
      <c r="A6">
        <f t="shared" si="0"/>
        <v>3</v>
      </c>
    </row>
    <row r="7" spans="1:3" ht="14.25" customHeight="1">
      <c r="A7">
        <f t="shared" si="0"/>
        <v>4</v>
      </c>
    </row>
    <row r="8" spans="1:3" ht="14.25" customHeight="1">
      <c r="A8">
        <f t="shared" si="0"/>
        <v>5</v>
      </c>
    </row>
    <row r="9" spans="1:3" ht="14.25" customHeight="1">
      <c r="A9">
        <f t="shared" si="0"/>
        <v>6</v>
      </c>
    </row>
    <row r="10" spans="1:3" ht="14.25" customHeight="1">
      <c r="A10">
        <f t="shared" si="0"/>
        <v>7</v>
      </c>
    </row>
    <row r="11" spans="1:3" ht="14.25" customHeight="1">
      <c r="A11">
        <f t="shared" si="0"/>
        <v>8</v>
      </c>
    </row>
    <row r="12" spans="1:3" ht="14.25" customHeight="1">
      <c r="A12">
        <f t="shared" si="0"/>
        <v>9</v>
      </c>
    </row>
    <row r="13" spans="1:3" ht="14.25" customHeight="1">
      <c r="A13">
        <f t="shared" si="0"/>
        <v>10</v>
      </c>
    </row>
    <row r="14" spans="1:3" ht="14.25" customHeight="1">
      <c r="A14">
        <f t="shared" si="0"/>
        <v>11</v>
      </c>
    </row>
    <row r="15" spans="1:3" ht="14.25" customHeight="1">
      <c r="A15">
        <f t="shared" si="0"/>
        <v>12</v>
      </c>
    </row>
    <row r="16" spans="1:3" ht="14.25" customHeight="1">
      <c r="A16">
        <f t="shared" si="0"/>
        <v>13</v>
      </c>
    </row>
    <row r="17" spans="1:1" ht="14.25" customHeight="1">
      <c r="A17">
        <f t="shared" si="0"/>
        <v>14</v>
      </c>
    </row>
    <row r="18" spans="1:1" ht="14.25" customHeight="1">
      <c r="A18">
        <f t="shared" si="0"/>
        <v>15</v>
      </c>
    </row>
    <row r="19" spans="1:1" ht="14.25" customHeight="1">
      <c r="A19">
        <f t="shared" si="0"/>
        <v>16</v>
      </c>
    </row>
    <row r="20" spans="1:1" ht="14.25" customHeight="1">
      <c r="A20">
        <f t="shared" si="0"/>
        <v>17</v>
      </c>
    </row>
    <row r="21" spans="1:1" ht="14.25" customHeight="1">
      <c r="A21">
        <f t="shared" si="0"/>
        <v>18</v>
      </c>
    </row>
    <row r="22" spans="1:1" ht="14.25" customHeight="1">
      <c r="A22">
        <f t="shared" si="0"/>
        <v>19</v>
      </c>
    </row>
    <row r="23" spans="1:1" ht="14.25" customHeight="1">
      <c r="A23">
        <f t="shared" si="0"/>
        <v>20</v>
      </c>
    </row>
    <row r="24" spans="1:1" ht="14.25" customHeight="1">
      <c r="A24">
        <f t="shared" si="0"/>
        <v>21</v>
      </c>
    </row>
    <row r="25" spans="1:1" ht="14.25" customHeight="1">
      <c r="A25">
        <f t="shared" si="0"/>
        <v>22</v>
      </c>
    </row>
    <row r="26" spans="1:1" ht="14.25" customHeight="1">
      <c r="A26">
        <f t="shared" si="0"/>
        <v>23</v>
      </c>
    </row>
    <row r="27" spans="1:1" ht="14.25" customHeight="1">
      <c r="A27">
        <f t="shared" si="0"/>
        <v>24</v>
      </c>
    </row>
    <row r="28" spans="1:1" ht="14.25" customHeight="1">
      <c r="A28">
        <f t="shared" si="0"/>
        <v>25</v>
      </c>
    </row>
    <row r="29" spans="1:1" ht="14.25" customHeight="1">
      <c r="A29">
        <f t="shared" si="0"/>
        <v>26</v>
      </c>
    </row>
    <row r="30" spans="1:1" ht="14.25" customHeight="1">
      <c r="A30">
        <f t="shared" si="0"/>
        <v>27</v>
      </c>
    </row>
    <row r="31" spans="1:1" ht="14.25" customHeight="1">
      <c r="A31">
        <f t="shared" si="0"/>
        <v>28</v>
      </c>
    </row>
    <row r="32" spans="1:1" ht="14.25" customHeight="1">
      <c r="A32">
        <f t="shared" si="0"/>
        <v>29</v>
      </c>
    </row>
    <row r="33" spans="1:1" ht="14.25" customHeight="1">
      <c r="A33">
        <f t="shared" si="0"/>
        <v>30</v>
      </c>
    </row>
    <row r="34" spans="1:1" ht="14.25" customHeight="1">
      <c r="A34">
        <f t="shared" si="0"/>
        <v>31</v>
      </c>
    </row>
    <row r="35" spans="1:1" ht="14.25" customHeight="1">
      <c r="A35">
        <f t="shared" si="0"/>
        <v>32</v>
      </c>
    </row>
    <row r="36" spans="1:1" ht="14.25" customHeight="1">
      <c r="A36">
        <f t="shared" si="0"/>
        <v>33</v>
      </c>
    </row>
    <row r="37" spans="1:1" ht="14.25" customHeight="1">
      <c r="A37">
        <f t="shared" si="0"/>
        <v>34</v>
      </c>
    </row>
    <row r="38" spans="1:1" ht="14.25" customHeight="1">
      <c r="A38">
        <f t="shared" si="0"/>
        <v>35</v>
      </c>
    </row>
    <row r="39" spans="1:1" ht="14.25" customHeight="1">
      <c r="A39">
        <f t="shared" si="0"/>
        <v>36</v>
      </c>
    </row>
    <row r="40" spans="1:1" ht="14.25" customHeight="1">
      <c r="A40">
        <f t="shared" si="0"/>
        <v>37</v>
      </c>
    </row>
    <row r="41" spans="1:1" ht="14.25" customHeight="1">
      <c r="A41">
        <f t="shared" si="0"/>
        <v>38</v>
      </c>
    </row>
    <row r="42" spans="1:1" ht="14.25" customHeight="1">
      <c r="A42">
        <f t="shared" si="0"/>
        <v>39</v>
      </c>
    </row>
    <row r="43" spans="1:1" ht="14.25" customHeight="1">
      <c r="A43">
        <f t="shared" si="0"/>
        <v>40</v>
      </c>
    </row>
    <row r="44" spans="1:1" ht="14.25" customHeight="1">
      <c r="A44">
        <f t="shared" si="0"/>
        <v>41</v>
      </c>
    </row>
    <row r="45" spans="1:1" ht="14.25" customHeight="1">
      <c r="A45">
        <f t="shared" si="0"/>
        <v>42</v>
      </c>
    </row>
    <row r="46" spans="1:1" ht="14.25" customHeight="1">
      <c r="A46">
        <f t="shared" si="0"/>
        <v>43</v>
      </c>
    </row>
    <row r="47" spans="1:1" ht="14.25" customHeight="1">
      <c r="A47">
        <f t="shared" si="0"/>
        <v>44</v>
      </c>
    </row>
    <row r="48" spans="1:1" ht="14.25" customHeight="1">
      <c r="A48">
        <f t="shared" si="0"/>
        <v>45</v>
      </c>
    </row>
    <row r="49" spans="1:1" ht="14.25" customHeight="1">
      <c r="A49">
        <f t="shared" si="0"/>
        <v>46</v>
      </c>
    </row>
    <row r="50" spans="1:1" ht="14.25" customHeight="1">
      <c r="A50">
        <f t="shared" si="0"/>
        <v>47</v>
      </c>
    </row>
    <row r="51" spans="1:1" ht="14.25" customHeight="1">
      <c r="A51">
        <f t="shared" si="0"/>
        <v>48</v>
      </c>
    </row>
    <row r="52" spans="1:1" ht="14.25" customHeight="1">
      <c r="A52">
        <f t="shared" si="0"/>
        <v>49</v>
      </c>
    </row>
    <row r="53" spans="1:1" ht="14.25" customHeight="1">
      <c r="A53">
        <f t="shared" si="0"/>
        <v>50</v>
      </c>
    </row>
    <row r="54" spans="1:1" ht="14.25" customHeight="1">
      <c r="A54">
        <f t="shared" si="0"/>
        <v>51</v>
      </c>
    </row>
    <row r="55" spans="1:1" ht="14.25" customHeight="1">
      <c r="A55">
        <f t="shared" si="0"/>
        <v>52</v>
      </c>
    </row>
    <row r="56" spans="1:1" ht="14.25" customHeight="1">
      <c r="A56">
        <f t="shared" si="0"/>
        <v>53</v>
      </c>
    </row>
    <row r="57" spans="1:1" ht="14.25" customHeight="1">
      <c r="A57">
        <f t="shared" si="0"/>
        <v>54</v>
      </c>
    </row>
    <row r="58" spans="1:1" ht="14.25" customHeight="1">
      <c r="A58">
        <f t="shared" si="0"/>
        <v>55</v>
      </c>
    </row>
    <row r="59" spans="1:1" ht="14.25" customHeight="1">
      <c r="A59">
        <f t="shared" si="0"/>
        <v>56</v>
      </c>
    </row>
    <row r="60" spans="1:1" ht="14.25" customHeight="1">
      <c r="A60">
        <f t="shared" si="0"/>
        <v>57</v>
      </c>
    </row>
    <row r="61" spans="1:1" ht="14.25" customHeight="1">
      <c r="A61">
        <f t="shared" si="0"/>
        <v>58</v>
      </c>
    </row>
    <row r="62" spans="1:1" ht="14.25" customHeight="1">
      <c r="A62">
        <f t="shared" si="0"/>
        <v>59</v>
      </c>
    </row>
    <row r="63" spans="1:1" ht="14.25" customHeight="1">
      <c r="A63">
        <f t="shared" si="0"/>
        <v>60</v>
      </c>
    </row>
    <row r="64" spans="1:1" ht="14.25" customHeight="1">
      <c r="A64">
        <f t="shared" si="0"/>
        <v>61</v>
      </c>
    </row>
    <row r="65" spans="1:1" ht="14.25" customHeight="1">
      <c r="A65">
        <f t="shared" si="0"/>
        <v>62</v>
      </c>
    </row>
    <row r="66" spans="1:1" ht="14.25" customHeight="1">
      <c r="A66">
        <f t="shared" si="0"/>
        <v>63</v>
      </c>
    </row>
    <row r="67" spans="1:1" ht="14.25" customHeight="1">
      <c r="A67">
        <f t="shared" si="0"/>
        <v>64</v>
      </c>
    </row>
    <row r="68" spans="1:1" ht="14.25" customHeight="1">
      <c r="A68">
        <f t="shared" si="0"/>
        <v>65</v>
      </c>
    </row>
    <row r="69" spans="1:1" ht="14.25" customHeight="1">
      <c r="A69">
        <f t="shared" si="0"/>
        <v>66</v>
      </c>
    </row>
    <row r="70" spans="1:1" ht="14.25" customHeight="1">
      <c r="A70">
        <f t="shared" si="0"/>
        <v>67</v>
      </c>
    </row>
    <row r="71" spans="1:1" ht="14.25" customHeight="1">
      <c r="A71">
        <f t="shared" si="0"/>
        <v>68</v>
      </c>
    </row>
    <row r="72" spans="1:1" ht="14.25" customHeight="1">
      <c r="A72">
        <f t="shared" si="0"/>
        <v>69</v>
      </c>
    </row>
    <row r="73" spans="1:1" ht="14.25" customHeight="1">
      <c r="A73">
        <f t="shared" si="0"/>
        <v>70</v>
      </c>
    </row>
    <row r="74" spans="1:1" ht="14.25" customHeight="1">
      <c r="A74">
        <f t="shared" si="0"/>
        <v>71</v>
      </c>
    </row>
    <row r="75" spans="1:1" ht="14.25" customHeight="1">
      <c r="A75">
        <f t="shared" si="0"/>
        <v>72</v>
      </c>
    </row>
    <row r="76" spans="1:1" ht="14.25" customHeight="1">
      <c r="A76">
        <f t="shared" si="0"/>
        <v>73</v>
      </c>
    </row>
    <row r="77" spans="1:1" ht="14.25" customHeight="1">
      <c r="A77">
        <f t="shared" si="0"/>
        <v>74</v>
      </c>
    </row>
    <row r="78" spans="1:1" ht="14.25" customHeight="1">
      <c r="A78">
        <f t="shared" si="0"/>
        <v>75</v>
      </c>
    </row>
    <row r="79" spans="1:1" ht="14.25" customHeight="1">
      <c r="A79">
        <f t="shared" si="0"/>
        <v>76</v>
      </c>
    </row>
    <row r="80" spans="1:1" ht="14.25" customHeight="1">
      <c r="A80">
        <f t="shared" si="0"/>
        <v>77</v>
      </c>
    </row>
    <row r="81" spans="1:1" ht="14.25" customHeight="1">
      <c r="A81">
        <f t="shared" si="0"/>
        <v>78</v>
      </c>
    </row>
    <row r="82" spans="1:1" ht="14.25" customHeight="1">
      <c r="A82">
        <f t="shared" si="0"/>
        <v>79</v>
      </c>
    </row>
    <row r="83" spans="1:1" ht="14.25" customHeight="1">
      <c r="A83">
        <f t="shared" si="0"/>
        <v>80</v>
      </c>
    </row>
    <row r="84" spans="1:1" ht="14.25" customHeight="1">
      <c r="A84">
        <f t="shared" si="0"/>
        <v>81</v>
      </c>
    </row>
    <row r="85" spans="1:1" ht="14.25" customHeight="1">
      <c r="A85">
        <f t="shared" si="0"/>
        <v>82</v>
      </c>
    </row>
    <row r="86" spans="1:1" ht="14.25" customHeight="1">
      <c r="A86">
        <f t="shared" si="0"/>
        <v>83</v>
      </c>
    </row>
    <row r="87" spans="1:1" ht="14.25" customHeight="1">
      <c r="A87">
        <f t="shared" si="0"/>
        <v>84</v>
      </c>
    </row>
    <row r="88" spans="1:1" ht="14.25" customHeight="1">
      <c r="A88">
        <f t="shared" si="0"/>
        <v>85</v>
      </c>
    </row>
    <row r="89" spans="1:1" ht="14.25" customHeight="1">
      <c r="A89">
        <f t="shared" si="0"/>
        <v>86</v>
      </c>
    </row>
    <row r="90" spans="1:1" ht="14.25" customHeight="1">
      <c r="A90">
        <f t="shared" si="0"/>
        <v>87</v>
      </c>
    </row>
    <row r="91" spans="1:1" ht="14.25" customHeight="1">
      <c r="A91">
        <f t="shared" si="0"/>
        <v>88</v>
      </c>
    </row>
    <row r="92" spans="1:1" ht="14.25" customHeight="1">
      <c r="A92">
        <f t="shared" si="0"/>
        <v>89</v>
      </c>
    </row>
    <row r="93" spans="1:1" ht="14.25" customHeight="1">
      <c r="A93">
        <f t="shared" si="0"/>
        <v>90</v>
      </c>
    </row>
    <row r="94" spans="1:1" ht="14.25" customHeight="1">
      <c r="A94">
        <f t="shared" si="0"/>
        <v>91</v>
      </c>
    </row>
    <row r="95" spans="1:1" ht="14.25" customHeight="1">
      <c r="A95">
        <f t="shared" si="0"/>
        <v>92</v>
      </c>
    </row>
    <row r="96" spans="1:1" ht="14.25" customHeight="1">
      <c r="A96">
        <f t="shared" si="0"/>
        <v>93</v>
      </c>
    </row>
    <row r="97" spans="1:1" ht="14.25" customHeight="1">
      <c r="A97">
        <f t="shared" si="0"/>
        <v>94</v>
      </c>
    </row>
    <row r="98" spans="1:1" ht="14.25" customHeight="1">
      <c r="A98">
        <f t="shared" si="0"/>
        <v>95</v>
      </c>
    </row>
    <row r="99" spans="1:1" ht="14.25" customHeight="1">
      <c r="A99">
        <f t="shared" si="0"/>
        <v>96</v>
      </c>
    </row>
    <row r="100" spans="1:1" ht="14.25" customHeight="1">
      <c r="A100">
        <f t="shared" si="0"/>
        <v>97</v>
      </c>
    </row>
    <row r="101" spans="1:1" ht="14.25" customHeight="1">
      <c r="A101">
        <f t="shared" si="0"/>
        <v>98</v>
      </c>
    </row>
    <row r="102" spans="1:1" ht="14.25" customHeight="1">
      <c r="A102">
        <f t="shared" si="0"/>
        <v>99</v>
      </c>
    </row>
    <row r="103" spans="1:1" ht="14.25" customHeight="1">
      <c r="A103">
        <f t="shared" si="0"/>
        <v>100</v>
      </c>
    </row>
    <row r="104" spans="1:1" ht="14.25" customHeight="1"/>
    <row r="105" spans="1:1" ht="14.25" customHeight="1"/>
    <row r="106" spans="1:1" ht="14.25" customHeight="1"/>
    <row r="107" spans="1:1" ht="14.25" customHeight="1"/>
    <row r="108" spans="1:1" ht="14.25" customHeight="1"/>
    <row r="109" spans="1:1" ht="14.25" customHeight="1"/>
    <row r="110" spans="1:1" ht="14.25" customHeight="1"/>
    <row r="111" spans="1:1" ht="14.25" customHeight="1"/>
    <row r="112" spans="1:1"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8740157499999996" bottom="0.78740157499999996" header="0" footer="0"/>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2EFD9"/>
  </sheetPr>
  <dimension ref="A1:A1000"/>
  <sheetViews>
    <sheetView workbookViewId="0"/>
  </sheetViews>
  <sheetFormatPr baseColWidth="10" defaultColWidth="14.33203125" defaultRowHeight="15" customHeight="1"/>
  <cols>
    <col min="1" max="6" width="11.332031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8740157499999996" bottom="0.78740157499999996" header="0" footer="0"/>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2EFD9"/>
  </sheetPr>
  <dimension ref="A1:A1000"/>
  <sheetViews>
    <sheetView workbookViewId="0"/>
  </sheetViews>
  <sheetFormatPr baseColWidth="10" defaultColWidth="14.33203125" defaultRowHeight="15" customHeight="1"/>
  <cols>
    <col min="1" max="6" width="11.332031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8740157499999996" bottom="0.78740157499999996" header="0" footer="0"/>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2EFD9"/>
  </sheetPr>
  <dimension ref="A1:A1000"/>
  <sheetViews>
    <sheetView workbookViewId="0"/>
  </sheetViews>
  <sheetFormatPr baseColWidth="10" defaultColWidth="14.33203125" defaultRowHeight="15" customHeight="1"/>
  <cols>
    <col min="1" max="6" width="11.332031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8740157499999996" bottom="0.78740157499999996" header="0" footer="0"/>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2EFD9"/>
  </sheetPr>
  <dimension ref="A1:Q1000"/>
  <sheetViews>
    <sheetView workbookViewId="0">
      <selection activeCell="D3" sqref="D3"/>
    </sheetView>
  </sheetViews>
  <sheetFormatPr baseColWidth="10" defaultColWidth="14.33203125" defaultRowHeight="15" customHeight="1"/>
  <cols>
    <col min="1" max="1" width="18.33203125" customWidth="1"/>
    <col min="2" max="2" width="13.33203125" customWidth="1"/>
    <col min="3" max="3" width="11.33203125" customWidth="1"/>
    <col min="4" max="4" width="19.6640625" customWidth="1"/>
    <col min="5" max="5" width="11.33203125" customWidth="1"/>
    <col min="6" max="6" width="20.33203125" customWidth="1"/>
    <col min="7" max="7" width="11.33203125" customWidth="1"/>
    <col min="8" max="8" width="9.33203125" customWidth="1"/>
    <col min="9" max="9" width="5" customWidth="1"/>
    <col min="10" max="11" width="37.33203125" customWidth="1"/>
    <col min="12" max="12" width="11.33203125" customWidth="1"/>
    <col min="13" max="13" width="44.5546875" customWidth="1"/>
    <col min="14" max="14" width="11.33203125" customWidth="1"/>
    <col min="15" max="15" width="39.33203125" customWidth="1"/>
    <col min="16" max="17" width="11.33203125" customWidth="1"/>
  </cols>
  <sheetData>
    <row r="1" spans="1:17" ht="14.25" customHeight="1">
      <c r="A1" s="1122" t="s">
        <v>2433</v>
      </c>
      <c r="B1" s="1037"/>
      <c r="D1" s="144" t="s">
        <v>2815</v>
      </c>
      <c r="F1" s="144" t="s">
        <v>2816</v>
      </c>
      <c r="H1" s="891" t="s">
        <v>14</v>
      </c>
      <c r="I1" s="892" t="s">
        <v>3824</v>
      </c>
      <c r="J1" s="893" t="s">
        <v>2460</v>
      </c>
      <c r="K1" s="890" t="s">
        <v>3823</v>
      </c>
      <c r="M1" s="144" t="s">
        <v>2817</v>
      </c>
      <c r="O1" s="144" t="s">
        <v>2818</v>
      </c>
    </row>
    <row r="2" spans="1:17" ht="14.25" customHeight="1">
      <c r="A2" s="145" t="s">
        <v>99</v>
      </c>
      <c r="B2" s="146" t="s">
        <v>21</v>
      </c>
      <c r="D2" s="146" t="s">
        <v>11</v>
      </c>
      <c r="F2" s="146" t="s">
        <v>88</v>
      </c>
      <c r="H2" s="147" t="s">
        <v>3825</v>
      </c>
      <c r="I2" s="146">
        <v>1</v>
      </c>
      <c r="J2" s="147" t="s">
        <v>2819</v>
      </c>
      <c r="K2" s="889"/>
      <c r="M2" s="146" t="s">
        <v>17</v>
      </c>
      <c r="N2" s="148"/>
      <c r="O2" s="146" t="s">
        <v>2820</v>
      </c>
      <c r="Q2" s="149"/>
    </row>
    <row r="3" spans="1:17" ht="14.25" customHeight="1">
      <c r="A3" s="145" t="s">
        <v>107</v>
      </c>
      <c r="B3" s="146" t="s">
        <v>21</v>
      </c>
      <c r="D3" s="146" t="s">
        <v>3</v>
      </c>
      <c r="F3" s="146" t="s">
        <v>101</v>
      </c>
      <c r="H3" s="147" t="s">
        <v>3826</v>
      </c>
      <c r="I3" s="146">
        <f t="shared" ref="I3:I250" si="0">I2+1</f>
        <v>2</v>
      </c>
      <c r="J3" s="147" t="s">
        <v>2821</v>
      </c>
      <c r="K3" s="889"/>
      <c r="M3" s="146" t="s">
        <v>2420</v>
      </c>
      <c r="N3" s="148"/>
      <c r="O3" s="146" t="s">
        <v>2822</v>
      </c>
    </row>
    <row r="4" spans="1:17" ht="14.25" customHeight="1">
      <c r="A4" s="145" t="s">
        <v>113</v>
      </c>
      <c r="B4" s="146" t="s">
        <v>21</v>
      </c>
      <c r="H4" s="147" t="s">
        <v>3827</v>
      </c>
      <c r="I4" s="146">
        <f t="shared" si="0"/>
        <v>3</v>
      </c>
      <c r="J4" s="147" t="s">
        <v>2823</v>
      </c>
      <c r="K4" s="889"/>
      <c r="M4" s="146" t="s">
        <v>3092</v>
      </c>
      <c r="N4" s="148"/>
      <c r="O4" s="146" t="s">
        <v>2824</v>
      </c>
    </row>
    <row r="5" spans="1:17" ht="14.25" customHeight="1">
      <c r="A5" s="145" t="s">
        <v>119</v>
      </c>
      <c r="B5" s="146" t="s">
        <v>21</v>
      </c>
      <c r="D5" s="144" t="s">
        <v>2825</v>
      </c>
      <c r="F5" s="144" t="s">
        <v>78</v>
      </c>
      <c r="H5" s="147" t="s">
        <v>143</v>
      </c>
      <c r="I5" s="146">
        <f t="shared" si="0"/>
        <v>4</v>
      </c>
      <c r="J5" s="147" t="s">
        <v>2826</v>
      </c>
      <c r="K5" s="889"/>
      <c r="N5" s="148"/>
      <c r="O5" s="146" t="s">
        <v>2827</v>
      </c>
    </row>
    <row r="6" spans="1:17" ht="14.25" customHeight="1">
      <c r="A6" s="145" t="s">
        <v>123</v>
      </c>
      <c r="B6" s="146" t="s">
        <v>21</v>
      </c>
      <c r="D6" s="146" t="s">
        <v>2828</v>
      </c>
      <c r="F6" s="146" t="s">
        <v>93</v>
      </c>
      <c r="H6" s="147" t="s">
        <v>3828</v>
      </c>
      <c r="I6" s="146">
        <f t="shared" si="0"/>
        <v>5</v>
      </c>
      <c r="J6" s="147" t="s">
        <v>2829</v>
      </c>
      <c r="K6" s="889"/>
      <c r="M6" s="144" t="s">
        <v>2830</v>
      </c>
      <c r="N6" s="148"/>
      <c r="O6" s="148"/>
    </row>
    <row r="7" spans="1:17" ht="14.25" customHeight="1">
      <c r="A7" s="145" t="s">
        <v>127</v>
      </c>
      <c r="B7" s="146" t="s">
        <v>21</v>
      </c>
      <c r="D7" s="146" t="s">
        <v>2831</v>
      </c>
      <c r="F7" s="146" t="s">
        <v>103</v>
      </c>
      <c r="H7" s="147" t="s">
        <v>3829</v>
      </c>
      <c r="I7" s="146">
        <f t="shared" si="0"/>
        <v>6</v>
      </c>
      <c r="J7" s="147" t="s">
        <v>2832</v>
      </c>
      <c r="K7" s="889"/>
      <c r="M7" s="146" t="s">
        <v>2833</v>
      </c>
      <c r="N7" s="148"/>
      <c r="O7" s="144" t="s">
        <v>2834</v>
      </c>
    </row>
    <row r="8" spans="1:17" ht="14.25" customHeight="1">
      <c r="A8" s="145" t="s">
        <v>131</v>
      </c>
      <c r="B8" s="146" t="s">
        <v>21</v>
      </c>
      <c r="F8" s="146" t="s">
        <v>109</v>
      </c>
      <c r="H8" s="147" t="s">
        <v>3830</v>
      </c>
      <c r="I8" s="146">
        <f t="shared" si="0"/>
        <v>7</v>
      </c>
      <c r="J8" s="147" t="s">
        <v>2835</v>
      </c>
      <c r="K8" s="889"/>
      <c r="M8" s="146" t="s">
        <v>2836</v>
      </c>
      <c r="N8" s="148"/>
      <c r="O8" s="150" t="s">
        <v>2837</v>
      </c>
    </row>
    <row r="9" spans="1:17" ht="14.25" customHeight="1">
      <c r="A9" s="145" t="s">
        <v>135</v>
      </c>
      <c r="B9" s="146" t="s">
        <v>21</v>
      </c>
      <c r="H9" s="147" t="s">
        <v>3831</v>
      </c>
      <c r="I9" s="146">
        <f t="shared" si="0"/>
        <v>8</v>
      </c>
      <c r="J9" s="147" t="s">
        <v>2838</v>
      </c>
      <c r="K9" s="889"/>
      <c r="M9" s="146" t="s">
        <v>2839</v>
      </c>
      <c r="N9" s="148"/>
      <c r="O9" s="150" t="s">
        <v>2840</v>
      </c>
    </row>
    <row r="10" spans="1:17" ht="14.25" customHeight="1">
      <c r="A10" s="145" t="s">
        <v>139</v>
      </c>
      <c r="B10" s="146" t="s">
        <v>21</v>
      </c>
      <c r="D10" s="19">
        <f>TYPE(D2)</f>
        <v>2</v>
      </c>
      <c r="H10" s="147" t="s">
        <v>3832</v>
      </c>
      <c r="I10" s="146">
        <f t="shared" si="0"/>
        <v>9</v>
      </c>
      <c r="J10" s="147" t="s">
        <v>2841</v>
      </c>
      <c r="K10" s="889"/>
      <c r="M10" s="146" t="s">
        <v>2842</v>
      </c>
      <c r="N10" s="148"/>
      <c r="O10" s="150" t="s">
        <v>2843</v>
      </c>
    </row>
    <row r="11" spans="1:17" ht="14.25" customHeight="1">
      <c r="A11" s="145" t="s">
        <v>143</v>
      </c>
      <c r="B11" s="146" t="s">
        <v>21</v>
      </c>
      <c r="H11" s="147" t="s">
        <v>3833</v>
      </c>
      <c r="I11" s="146">
        <f t="shared" si="0"/>
        <v>10</v>
      </c>
      <c r="J11" s="147" t="s">
        <v>2844</v>
      </c>
      <c r="K11" s="889"/>
      <c r="N11" s="148"/>
      <c r="O11" s="150" t="s">
        <v>2845</v>
      </c>
    </row>
    <row r="12" spans="1:17" ht="14.25" customHeight="1">
      <c r="A12" s="145" t="s">
        <v>147</v>
      </c>
      <c r="B12" s="146" t="s">
        <v>21</v>
      </c>
      <c r="H12" s="147" t="s">
        <v>3834</v>
      </c>
      <c r="I12" s="146">
        <f t="shared" si="0"/>
        <v>11</v>
      </c>
      <c r="J12" s="147" t="s">
        <v>2846</v>
      </c>
      <c r="K12" s="889"/>
      <c r="N12" s="148"/>
    </row>
    <row r="13" spans="1:17" ht="14.25" customHeight="1">
      <c r="A13" s="145" t="s">
        <v>151</v>
      </c>
      <c r="B13" s="146" t="s">
        <v>21</v>
      </c>
      <c r="H13" s="147" t="s">
        <v>3835</v>
      </c>
      <c r="I13" s="146">
        <f t="shared" si="0"/>
        <v>12</v>
      </c>
      <c r="J13" s="147" t="s">
        <v>2847</v>
      </c>
      <c r="K13" s="889" t="s">
        <v>3823</v>
      </c>
      <c r="M13" s="784" t="s">
        <v>3766</v>
      </c>
      <c r="N13" s="148"/>
    </row>
    <row r="14" spans="1:17" ht="14.25" customHeight="1">
      <c r="A14" s="145" t="s">
        <v>155</v>
      </c>
      <c r="B14" s="146" t="s">
        <v>21</v>
      </c>
      <c r="H14" s="147" t="s">
        <v>3836</v>
      </c>
      <c r="I14" s="146">
        <f t="shared" si="0"/>
        <v>13</v>
      </c>
      <c r="J14" s="147" t="s">
        <v>2848</v>
      </c>
      <c r="K14" s="889"/>
      <c r="M14" s="785" t="s">
        <v>3767</v>
      </c>
      <c r="N14" s="148"/>
      <c r="O14" s="148"/>
    </row>
    <row r="15" spans="1:17" ht="14.25" customHeight="1">
      <c r="A15" s="145" t="s">
        <v>159</v>
      </c>
      <c r="B15" s="146" t="s">
        <v>21</v>
      </c>
      <c r="H15" s="147" t="s">
        <v>3837</v>
      </c>
      <c r="I15" s="146">
        <f t="shared" si="0"/>
        <v>14</v>
      </c>
      <c r="J15" s="147" t="s">
        <v>2849</v>
      </c>
      <c r="K15" s="889"/>
      <c r="M15" s="785" t="s">
        <v>3728</v>
      </c>
      <c r="N15" s="148"/>
      <c r="O15" s="148"/>
    </row>
    <row r="16" spans="1:17" ht="14.25" customHeight="1">
      <c r="A16" s="145" t="s">
        <v>163</v>
      </c>
      <c r="B16" s="146" t="s">
        <v>58</v>
      </c>
      <c r="H16" s="147" t="s">
        <v>3838</v>
      </c>
      <c r="I16" s="146">
        <f t="shared" si="0"/>
        <v>15</v>
      </c>
      <c r="J16" s="147" t="s">
        <v>2850</v>
      </c>
      <c r="K16" s="889"/>
      <c r="M16" s="785" t="s">
        <v>2421</v>
      </c>
      <c r="N16" s="148"/>
      <c r="O16" s="148"/>
    </row>
    <row r="17" spans="1:15" ht="14.25" customHeight="1">
      <c r="A17" s="145" t="s">
        <v>167</v>
      </c>
      <c r="B17" s="146" t="s">
        <v>21</v>
      </c>
      <c r="H17" s="147" t="s">
        <v>3839</v>
      </c>
      <c r="I17" s="146">
        <f t="shared" si="0"/>
        <v>16</v>
      </c>
      <c r="J17" s="147" t="s">
        <v>2851</v>
      </c>
      <c r="K17" s="889"/>
      <c r="N17" s="148"/>
      <c r="O17" s="148"/>
    </row>
    <row r="18" spans="1:15" ht="14.25" customHeight="1">
      <c r="A18" s="145" t="s">
        <v>171</v>
      </c>
      <c r="B18" s="146" t="s">
        <v>21</v>
      </c>
      <c r="H18" s="147" t="s">
        <v>3840</v>
      </c>
      <c r="I18" s="146">
        <f t="shared" si="0"/>
        <v>17</v>
      </c>
      <c r="J18" s="147" t="s">
        <v>2852</v>
      </c>
      <c r="K18" s="889"/>
      <c r="N18" s="148"/>
    </row>
    <row r="19" spans="1:15" ht="14.25" customHeight="1">
      <c r="A19" s="145" t="s">
        <v>175</v>
      </c>
      <c r="B19" s="146" t="s">
        <v>58</v>
      </c>
      <c r="H19" s="147" t="s">
        <v>3841</v>
      </c>
      <c r="I19" s="146">
        <f t="shared" si="0"/>
        <v>18</v>
      </c>
      <c r="J19" s="147" t="s">
        <v>2853</v>
      </c>
      <c r="K19" s="889"/>
      <c r="N19" s="148"/>
      <c r="O19" s="148"/>
    </row>
    <row r="20" spans="1:15" ht="14.25" customHeight="1">
      <c r="A20" s="145" t="s">
        <v>179</v>
      </c>
      <c r="B20" s="146" t="s">
        <v>21</v>
      </c>
      <c r="H20" s="147" t="s">
        <v>3842</v>
      </c>
      <c r="I20" s="146">
        <f t="shared" si="0"/>
        <v>19</v>
      </c>
      <c r="J20" s="147" t="s">
        <v>2854</v>
      </c>
      <c r="K20" s="889"/>
      <c r="N20" s="148"/>
    </row>
    <row r="21" spans="1:15" ht="14.25" customHeight="1">
      <c r="A21" s="145" t="s">
        <v>183</v>
      </c>
      <c r="B21" s="146" t="s">
        <v>21</v>
      </c>
      <c r="H21" s="147" t="s">
        <v>3843</v>
      </c>
      <c r="I21" s="146">
        <f t="shared" si="0"/>
        <v>20</v>
      </c>
      <c r="J21" s="147" t="s">
        <v>2855</v>
      </c>
      <c r="K21" s="889" t="s">
        <v>3823</v>
      </c>
      <c r="N21" s="148"/>
      <c r="O21" s="148"/>
    </row>
    <row r="22" spans="1:15" ht="14.25" customHeight="1">
      <c r="A22" s="145" t="s">
        <v>187</v>
      </c>
      <c r="B22" s="146" t="s">
        <v>21</v>
      </c>
      <c r="H22" s="147" t="s">
        <v>3844</v>
      </c>
      <c r="I22" s="146">
        <f t="shared" si="0"/>
        <v>21</v>
      </c>
      <c r="J22" s="147" t="s">
        <v>2856</v>
      </c>
      <c r="K22" s="889"/>
      <c r="N22" s="148"/>
      <c r="O22" s="148"/>
    </row>
    <row r="23" spans="1:15" ht="14.25" customHeight="1">
      <c r="A23" s="145" t="s">
        <v>191</v>
      </c>
      <c r="B23" s="146" t="s">
        <v>21</v>
      </c>
      <c r="H23" s="147" t="s">
        <v>3845</v>
      </c>
      <c r="I23" s="146">
        <f t="shared" si="0"/>
        <v>22</v>
      </c>
      <c r="J23" s="147" t="s">
        <v>2857</v>
      </c>
      <c r="K23" s="889" t="s">
        <v>3823</v>
      </c>
      <c r="N23" s="148"/>
      <c r="O23" s="148"/>
    </row>
    <row r="24" spans="1:15" ht="14.25" customHeight="1">
      <c r="A24" s="145" t="s">
        <v>195</v>
      </c>
      <c r="B24" s="146" t="s">
        <v>21</v>
      </c>
      <c r="H24" s="147" t="s">
        <v>3846</v>
      </c>
      <c r="I24" s="146">
        <f t="shared" si="0"/>
        <v>23</v>
      </c>
      <c r="J24" s="147" t="s">
        <v>2858</v>
      </c>
      <c r="K24" s="889"/>
      <c r="N24" s="148"/>
      <c r="O24" s="148"/>
    </row>
    <row r="25" spans="1:15" ht="14.25" customHeight="1">
      <c r="A25" s="145" t="s">
        <v>199</v>
      </c>
      <c r="B25" s="146" t="s">
        <v>21</v>
      </c>
      <c r="H25" s="147" t="s">
        <v>3847</v>
      </c>
      <c r="I25" s="146">
        <f t="shared" si="0"/>
        <v>24</v>
      </c>
      <c r="J25" s="147" t="s">
        <v>2859</v>
      </c>
      <c r="K25" s="889"/>
      <c r="N25" s="148"/>
      <c r="O25" s="148"/>
    </row>
    <row r="26" spans="1:15" ht="14.25" customHeight="1">
      <c r="A26" s="145" t="s">
        <v>203</v>
      </c>
      <c r="B26" s="146" t="s">
        <v>21</v>
      </c>
      <c r="H26" s="147" t="s">
        <v>3848</v>
      </c>
      <c r="I26" s="146">
        <f t="shared" si="0"/>
        <v>25</v>
      </c>
      <c r="J26" s="147" t="s">
        <v>2860</v>
      </c>
      <c r="K26" s="889"/>
      <c r="N26" s="148"/>
      <c r="O26" s="148"/>
    </row>
    <row r="27" spans="1:15" ht="14.25" customHeight="1">
      <c r="A27" s="145" t="s">
        <v>207</v>
      </c>
      <c r="B27" s="146" t="s">
        <v>21</v>
      </c>
      <c r="H27" s="147" t="s">
        <v>3849</v>
      </c>
      <c r="I27" s="146">
        <f t="shared" si="0"/>
        <v>26</v>
      </c>
      <c r="J27" s="147" t="s">
        <v>2861</v>
      </c>
      <c r="K27" s="889"/>
      <c r="N27" s="148"/>
      <c r="O27" s="148"/>
    </row>
    <row r="28" spans="1:15" ht="14.25" customHeight="1">
      <c r="A28" s="145" t="s">
        <v>211</v>
      </c>
      <c r="B28" s="146" t="s">
        <v>21</v>
      </c>
      <c r="H28" s="147" t="s">
        <v>3850</v>
      </c>
      <c r="I28" s="146">
        <f t="shared" si="0"/>
        <v>27</v>
      </c>
      <c r="J28" s="147" t="s">
        <v>2862</v>
      </c>
      <c r="K28" s="889"/>
      <c r="N28" s="148"/>
      <c r="O28" s="148"/>
    </row>
    <row r="29" spans="1:15" ht="14.25" customHeight="1">
      <c r="A29" s="145" t="s">
        <v>215</v>
      </c>
      <c r="B29" s="146" t="s">
        <v>58</v>
      </c>
      <c r="H29" s="147" t="s">
        <v>3851</v>
      </c>
      <c r="I29" s="146">
        <f t="shared" si="0"/>
        <v>28</v>
      </c>
      <c r="J29" s="147" t="s">
        <v>2863</v>
      </c>
      <c r="K29" s="889"/>
      <c r="N29" s="148"/>
    </row>
    <row r="30" spans="1:15" ht="14.25" customHeight="1">
      <c r="A30" s="145" t="s">
        <v>219</v>
      </c>
      <c r="B30" s="146" t="s">
        <v>21</v>
      </c>
      <c r="H30" s="147" t="s">
        <v>3852</v>
      </c>
      <c r="I30" s="146">
        <f t="shared" si="0"/>
        <v>29</v>
      </c>
      <c r="J30" s="147" t="s">
        <v>2864</v>
      </c>
      <c r="K30" s="889"/>
      <c r="N30" s="148"/>
      <c r="O30" s="148"/>
    </row>
    <row r="31" spans="1:15" ht="14.25" customHeight="1">
      <c r="A31" s="145" t="s">
        <v>223</v>
      </c>
      <c r="B31" s="146" t="s">
        <v>21</v>
      </c>
      <c r="H31" s="147" t="s">
        <v>3853</v>
      </c>
      <c r="I31" s="146">
        <f t="shared" si="0"/>
        <v>30</v>
      </c>
      <c r="J31" s="147" t="s">
        <v>2865</v>
      </c>
      <c r="K31" s="889"/>
      <c r="N31" s="148"/>
      <c r="O31" s="148"/>
    </row>
    <row r="32" spans="1:15" ht="14.25" customHeight="1">
      <c r="A32" s="145" t="s">
        <v>227</v>
      </c>
      <c r="B32" s="146" t="s">
        <v>21</v>
      </c>
      <c r="H32" s="147" t="s">
        <v>3854</v>
      </c>
      <c r="I32" s="146">
        <f t="shared" si="0"/>
        <v>31</v>
      </c>
      <c r="J32" s="147" t="s">
        <v>2866</v>
      </c>
      <c r="K32" s="889"/>
      <c r="N32" s="148"/>
      <c r="O32" s="148"/>
    </row>
    <row r="33" spans="1:15" ht="14.25" customHeight="1">
      <c r="A33" s="145" t="s">
        <v>231</v>
      </c>
      <c r="B33" s="146" t="s">
        <v>58</v>
      </c>
      <c r="H33" s="147" t="s">
        <v>3855</v>
      </c>
      <c r="I33" s="146">
        <f t="shared" si="0"/>
        <v>32</v>
      </c>
      <c r="J33" s="147" t="s">
        <v>2867</v>
      </c>
      <c r="K33" s="889"/>
      <c r="N33" s="148"/>
      <c r="O33" s="148"/>
    </row>
    <row r="34" spans="1:15" ht="14.25" customHeight="1">
      <c r="A34" s="145" t="s">
        <v>235</v>
      </c>
      <c r="B34" s="146" t="s">
        <v>21</v>
      </c>
      <c r="H34" s="147" t="s">
        <v>3856</v>
      </c>
      <c r="I34" s="146">
        <f t="shared" si="0"/>
        <v>33</v>
      </c>
      <c r="J34" s="147" t="s">
        <v>2868</v>
      </c>
      <c r="K34" s="889"/>
      <c r="N34" s="148"/>
      <c r="O34" s="148"/>
    </row>
    <row r="35" spans="1:15" ht="14.25" customHeight="1">
      <c r="A35" s="145" t="s">
        <v>239</v>
      </c>
      <c r="B35" s="146" t="s">
        <v>21</v>
      </c>
      <c r="H35" s="147" t="s">
        <v>3857</v>
      </c>
      <c r="I35" s="146">
        <f t="shared" si="0"/>
        <v>34</v>
      </c>
      <c r="J35" s="147" t="s">
        <v>2869</v>
      </c>
      <c r="K35" s="889"/>
    </row>
    <row r="36" spans="1:15" ht="14.25" customHeight="1">
      <c r="A36" s="151" t="s">
        <v>243</v>
      </c>
      <c r="B36" s="151" t="s">
        <v>58</v>
      </c>
      <c r="H36" s="147" t="s">
        <v>3858</v>
      </c>
      <c r="I36" s="146">
        <f t="shared" si="0"/>
        <v>35</v>
      </c>
      <c r="J36" s="147" t="s">
        <v>2870</v>
      </c>
      <c r="K36" s="889"/>
      <c r="N36" s="148"/>
    </row>
    <row r="37" spans="1:15" ht="14.25" customHeight="1">
      <c r="A37" s="151" t="s">
        <v>247</v>
      </c>
      <c r="B37" s="151" t="s">
        <v>58</v>
      </c>
      <c r="H37" s="147" t="s">
        <v>3859</v>
      </c>
      <c r="I37" s="146">
        <f t="shared" si="0"/>
        <v>36</v>
      </c>
      <c r="J37" s="147" t="s">
        <v>2871</v>
      </c>
      <c r="K37" s="889"/>
    </row>
    <row r="38" spans="1:15" ht="14.25" customHeight="1">
      <c r="A38" s="151" t="s">
        <v>251</v>
      </c>
      <c r="B38" s="151" t="s">
        <v>58</v>
      </c>
      <c r="H38" s="147" t="s">
        <v>3860</v>
      </c>
      <c r="I38" s="146">
        <f t="shared" si="0"/>
        <v>37</v>
      </c>
      <c r="J38" s="147" t="s">
        <v>2872</v>
      </c>
      <c r="K38" s="889"/>
    </row>
    <row r="39" spans="1:15" ht="14.25" customHeight="1">
      <c r="A39" s="151" t="s">
        <v>255</v>
      </c>
      <c r="B39" s="151" t="s">
        <v>21</v>
      </c>
      <c r="H39" s="147" t="s">
        <v>3861</v>
      </c>
      <c r="I39" s="146">
        <f t="shared" si="0"/>
        <v>38</v>
      </c>
      <c r="J39" s="147" t="s">
        <v>2873</v>
      </c>
      <c r="K39" s="889"/>
    </row>
    <row r="40" spans="1:15" ht="14.25" customHeight="1">
      <c r="A40" s="151" t="s">
        <v>3784</v>
      </c>
      <c r="B40" s="151" t="s">
        <v>21</v>
      </c>
      <c r="H40" s="147" t="s">
        <v>3862</v>
      </c>
      <c r="I40" s="146">
        <f t="shared" si="0"/>
        <v>39</v>
      </c>
      <c r="J40" s="147" t="s">
        <v>2874</v>
      </c>
      <c r="K40" s="889"/>
    </row>
    <row r="41" spans="1:15" ht="14.25" customHeight="1">
      <c r="A41" s="151" t="s">
        <v>3814</v>
      </c>
      <c r="B41" s="151" t="s">
        <v>21</v>
      </c>
      <c r="H41" s="147" t="s">
        <v>3863</v>
      </c>
      <c r="I41" s="146">
        <f t="shared" si="0"/>
        <v>40</v>
      </c>
      <c r="J41" s="147" t="s">
        <v>2875</v>
      </c>
      <c r="K41" s="889"/>
    </row>
    <row r="42" spans="1:15" ht="14.25" customHeight="1">
      <c r="H42" s="147" t="s">
        <v>3864</v>
      </c>
      <c r="I42" s="146">
        <f t="shared" si="0"/>
        <v>41</v>
      </c>
      <c r="J42" s="147" t="s">
        <v>2876</v>
      </c>
      <c r="K42" s="889"/>
    </row>
    <row r="43" spans="1:15" ht="14.25" customHeight="1">
      <c r="H43" s="147" t="s">
        <v>3865</v>
      </c>
      <c r="I43" s="146">
        <f t="shared" si="0"/>
        <v>42</v>
      </c>
      <c r="J43" s="147" t="s">
        <v>2877</v>
      </c>
      <c r="K43" s="889"/>
    </row>
    <row r="44" spans="1:15" ht="14.25" customHeight="1">
      <c r="H44" s="147" t="s">
        <v>3866</v>
      </c>
      <c r="I44" s="146">
        <f t="shared" si="0"/>
        <v>43</v>
      </c>
      <c r="J44" s="147" t="s">
        <v>2878</v>
      </c>
      <c r="K44" s="889"/>
    </row>
    <row r="45" spans="1:15" ht="14.25" customHeight="1">
      <c r="H45" s="147" t="s">
        <v>3867</v>
      </c>
      <c r="I45" s="146">
        <f t="shared" si="0"/>
        <v>44</v>
      </c>
      <c r="J45" s="147" t="s">
        <v>2879</v>
      </c>
      <c r="K45" s="889"/>
    </row>
    <row r="46" spans="1:15" ht="14.25" customHeight="1">
      <c r="H46" s="147" t="s">
        <v>3868</v>
      </c>
      <c r="I46" s="146">
        <f t="shared" si="0"/>
        <v>45</v>
      </c>
      <c r="J46" s="147" t="s">
        <v>2880</v>
      </c>
      <c r="K46" s="889"/>
      <c r="N46" s="148"/>
    </row>
    <row r="47" spans="1:15" ht="14.25" customHeight="1">
      <c r="H47" s="147" t="s">
        <v>3869</v>
      </c>
      <c r="I47" s="146">
        <f t="shared" si="0"/>
        <v>46</v>
      </c>
      <c r="J47" s="147" t="s">
        <v>2881</v>
      </c>
      <c r="K47" s="889"/>
      <c r="N47" s="148"/>
      <c r="O47" s="148"/>
    </row>
    <row r="48" spans="1:15" ht="14.25" customHeight="1">
      <c r="H48" s="147" t="s">
        <v>3870</v>
      </c>
      <c r="I48" s="146">
        <f t="shared" si="0"/>
        <v>47</v>
      </c>
      <c r="J48" s="147" t="s">
        <v>2882</v>
      </c>
      <c r="K48" s="889"/>
    </row>
    <row r="49" spans="8:15" ht="14.25" customHeight="1">
      <c r="H49" s="147" t="s">
        <v>3871</v>
      </c>
      <c r="I49" s="146">
        <f t="shared" si="0"/>
        <v>48</v>
      </c>
      <c r="J49" s="147" t="s">
        <v>2883</v>
      </c>
      <c r="K49" s="889"/>
      <c r="N49" s="148"/>
    </row>
    <row r="50" spans="8:15" ht="14.25" customHeight="1">
      <c r="H50" s="147" t="s">
        <v>3872</v>
      </c>
      <c r="I50" s="146">
        <f t="shared" si="0"/>
        <v>49</v>
      </c>
      <c r="J50" s="147" t="s">
        <v>2884</v>
      </c>
      <c r="K50" s="889"/>
    </row>
    <row r="51" spans="8:15" ht="14.25" customHeight="1">
      <c r="H51" s="147" t="s">
        <v>3873</v>
      </c>
      <c r="I51" s="146">
        <f t="shared" si="0"/>
        <v>50</v>
      </c>
      <c r="J51" s="147" t="s">
        <v>2885</v>
      </c>
      <c r="K51" s="889"/>
    </row>
    <row r="52" spans="8:15" ht="14.25" customHeight="1">
      <c r="H52" s="147" t="s">
        <v>3874</v>
      </c>
      <c r="I52" s="146">
        <f t="shared" si="0"/>
        <v>51</v>
      </c>
      <c r="J52" s="147" t="s">
        <v>2886</v>
      </c>
      <c r="K52" s="889"/>
    </row>
    <row r="53" spans="8:15" ht="14.25" customHeight="1">
      <c r="H53" s="147" t="s">
        <v>3875</v>
      </c>
      <c r="I53" s="146">
        <f t="shared" si="0"/>
        <v>52</v>
      </c>
      <c r="J53" s="147" t="s">
        <v>2887</v>
      </c>
      <c r="K53" s="889"/>
    </row>
    <row r="54" spans="8:15" ht="14.25" customHeight="1">
      <c r="H54" s="147" t="s">
        <v>3876</v>
      </c>
      <c r="I54" s="146">
        <f t="shared" si="0"/>
        <v>53</v>
      </c>
      <c r="J54" s="147" t="s">
        <v>2888</v>
      </c>
      <c r="K54" s="889"/>
    </row>
    <row r="55" spans="8:15" ht="14.25" customHeight="1">
      <c r="H55" s="147" t="s">
        <v>3877</v>
      </c>
      <c r="I55" s="146">
        <f t="shared" si="0"/>
        <v>54</v>
      </c>
      <c r="J55" s="147" t="s">
        <v>2889</v>
      </c>
      <c r="K55" s="889"/>
    </row>
    <row r="56" spans="8:15" ht="14.25" customHeight="1">
      <c r="H56" s="147" t="s">
        <v>3878</v>
      </c>
      <c r="I56" s="146">
        <f t="shared" si="0"/>
        <v>55</v>
      </c>
      <c r="J56" s="147" t="s">
        <v>2890</v>
      </c>
      <c r="K56" s="889" t="s">
        <v>3823</v>
      </c>
    </row>
    <row r="57" spans="8:15" ht="14.25" customHeight="1">
      <c r="H57" s="147" t="s">
        <v>3879</v>
      </c>
      <c r="I57" s="146">
        <f t="shared" si="0"/>
        <v>56</v>
      </c>
      <c r="J57" s="147" t="s">
        <v>2891</v>
      </c>
      <c r="K57" s="889" t="s">
        <v>3823</v>
      </c>
    </row>
    <row r="58" spans="8:15" ht="14.25" customHeight="1">
      <c r="H58" s="147" t="s">
        <v>89</v>
      </c>
      <c r="I58" s="146">
        <f t="shared" si="0"/>
        <v>57</v>
      </c>
      <c r="J58" s="147" t="s">
        <v>2892</v>
      </c>
      <c r="K58" s="889" t="s">
        <v>3823</v>
      </c>
    </row>
    <row r="59" spans="8:15" ht="14.25" customHeight="1">
      <c r="H59" s="147" t="s">
        <v>3880</v>
      </c>
      <c r="I59" s="146">
        <f t="shared" si="0"/>
        <v>58</v>
      </c>
      <c r="J59" s="147" t="s">
        <v>2893</v>
      </c>
      <c r="K59" s="889"/>
    </row>
    <row r="60" spans="8:15" ht="14.25" customHeight="1">
      <c r="H60" s="147" t="s">
        <v>3881</v>
      </c>
      <c r="I60" s="146">
        <f t="shared" si="0"/>
        <v>59</v>
      </c>
      <c r="J60" s="147" t="s">
        <v>2894</v>
      </c>
      <c r="K60" s="889" t="s">
        <v>3823</v>
      </c>
    </row>
    <row r="61" spans="8:15" ht="14.25" customHeight="1">
      <c r="H61" s="147" t="s">
        <v>3882</v>
      </c>
      <c r="I61" s="146">
        <f t="shared" si="0"/>
        <v>60</v>
      </c>
      <c r="J61" s="147" t="s">
        <v>2895</v>
      </c>
      <c r="K61" s="889"/>
    </row>
    <row r="62" spans="8:15" ht="14.25" customHeight="1">
      <c r="H62" s="147" t="s">
        <v>3883</v>
      </c>
      <c r="I62" s="146">
        <f t="shared" si="0"/>
        <v>61</v>
      </c>
      <c r="J62" s="147" t="s">
        <v>2896</v>
      </c>
      <c r="K62" s="889"/>
      <c r="N62" s="148"/>
      <c r="O62" s="148"/>
    </row>
    <row r="63" spans="8:15" ht="14.25" customHeight="1">
      <c r="H63" s="147" t="s">
        <v>3884</v>
      </c>
      <c r="I63" s="146">
        <f t="shared" si="0"/>
        <v>62</v>
      </c>
      <c r="J63" s="147" t="s">
        <v>2897</v>
      </c>
      <c r="K63" s="889"/>
      <c r="N63" s="148"/>
    </row>
    <row r="64" spans="8:15" ht="14.25" customHeight="1">
      <c r="H64" s="147" t="s">
        <v>3885</v>
      </c>
      <c r="I64" s="146">
        <f t="shared" si="0"/>
        <v>63</v>
      </c>
      <c r="J64" s="147" t="s">
        <v>2898</v>
      </c>
      <c r="K64" s="889"/>
      <c r="N64" s="148"/>
      <c r="O64" s="148"/>
    </row>
    <row r="65" spans="8:15" ht="14.25" customHeight="1">
      <c r="H65" s="147" t="s">
        <v>3886</v>
      </c>
      <c r="I65" s="146">
        <f t="shared" si="0"/>
        <v>64</v>
      </c>
      <c r="J65" s="147" t="s">
        <v>2899</v>
      </c>
      <c r="K65" s="889" t="s">
        <v>3823</v>
      </c>
      <c r="N65" s="148"/>
      <c r="O65" s="148"/>
    </row>
    <row r="66" spans="8:15" ht="14.25" customHeight="1">
      <c r="H66" s="147" t="s">
        <v>3887</v>
      </c>
      <c r="I66" s="146">
        <f t="shared" si="0"/>
        <v>65</v>
      </c>
      <c r="J66" s="147" t="s">
        <v>2900</v>
      </c>
      <c r="K66" s="889"/>
      <c r="N66" s="148"/>
      <c r="O66" s="148"/>
    </row>
    <row r="67" spans="8:15" ht="14.25" customHeight="1">
      <c r="H67" s="147" t="s">
        <v>3888</v>
      </c>
      <c r="I67" s="146">
        <f t="shared" si="0"/>
        <v>66</v>
      </c>
      <c r="J67" s="147" t="s">
        <v>2901</v>
      </c>
      <c r="K67" s="889"/>
      <c r="N67" s="148"/>
      <c r="O67" s="148"/>
    </row>
    <row r="68" spans="8:15" ht="14.25" customHeight="1">
      <c r="H68" s="147" t="s">
        <v>3889</v>
      </c>
      <c r="I68" s="146">
        <f t="shared" si="0"/>
        <v>67</v>
      </c>
      <c r="J68" s="147" t="s">
        <v>2902</v>
      </c>
      <c r="K68" s="889"/>
      <c r="N68" s="148"/>
      <c r="O68" s="148"/>
    </row>
    <row r="69" spans="8:15" ht="14.25" customHeight="1">
      <c r="H69" s="147" t="s">
        <v>3890</v>
      </c>
      <c r="I69" s="146">
        <f t="shared" si="0"/>
        <v>68</v>
      </c>
      <c r="J69" s="147" t="s">
        <v>2903</v>
      </c>
      <c r="K69" s="889" t="s">
        <v>3823</v>
      </c>
      <c r="N69" s="148"/>
      <c r="O69" s="148"/>
    </row>
    <row r="70" spans="8:15" ht="14.25" customHeight="1">
      <c r="H70" s="147" t="s">
        <v>3891</v>
      </c>
      <c r="I70" s="146">
        <f t="shared" si="0"/>
        <v>69</v>
      </c>
      <c r="J70" s="147" t="s">
        <v>2904</v>
      </c>
      <c r="K70" s="889"/>
      <c r="N70" s="148"/>
      <c r="O70" s="148"/>
    </row>
    <row r="71" spans="8:15" ht="14.25" customHeight="1">
      <c r="H71" s="147" t="s">
        <v>3782</v>
      </c>
      <c r="I71" s="146">
        <f t="shared" si="0"/>
        <v>70</v>
      </c>
      <c r="J71" s="147" t="s">
        <v>2905</v>
      </c>
      <c r="K71" s="889" t="s">
        <v>3823</v>
      </c>
      <c r="N71" s="148"/>
      <c r="O71" s="148"/>
    </row>
    <row r="72" spans="8:15" ht="14.25" customHeight="1">
      <c r="H72" s="147" t="s">
        <v>3892</v>
      </c>
      <c r="I72" s="146">
        <f t="shared" si="0"/>
        <v>71</v>
      </c>
      <c r="J72" s="147" t="s">
        <v>2906</v>
      </c>
      <c r="K72" s="889"/>
      <c r="N72" s="148"/>
      <c r="O72" s="148"/>
    </row>
    <row r="73" spans="8:15" ht="14.25" customHeight="1">
      <c r="H73" s="147" t="s">
        <v>3893</v>
      </c>
      <c r="I73" s="146">
        <f t="shared" si="0"/>
        <v>72</v>
      </c>
      <c r="J73" s="147" t="s">
        <v>2907</v>
      </c>
      <c r="K73" s="889"/>
    </row>
    <row r="74" spans="8:15" ht="14.25" customHeight="1">
      <c r="H74" s="147" t="s">
        <v>3894</v>
      </c>
      <c r="I74" s="146">
        <f t="shared" si="0"/>
        <v>73</v>
      </c>
      <c r="J74" s="147" t="s">
        <v>2908</v>
      </c>
      <c r="K74" s="889"/>
      <c r="N74" s="148"/>
      <c r="O74" s="148"/>
    </row>
    <row r="75" spans="8:15" ht="14.25" customHeight="1">
      <c r="H75" s="147" t="s">
        <v>3895</v>
      </c>
      <c r="I75" s="146">
        <f t="shared" si="0"/>
        <v>74</v>
      </c>
      <c r="J75" s="147" t="s">
        <v>2909</v>
      </c>
      <c r="K75" s="889"/>
      <c r="N75" s="148"/>
      <c r="O75" s="148"/>
    </row>
    <row r="76" spans="8:15" ht="14.25" customHeight="1">
      <c r="H76" s="147" t="s">
        <v>3896</v>
      </c>
      <c r="I76" s="146">
        <f t="shared" si="0"/>
        <v>75</v>
      </c>
      <c r="J76" s="147" t="s">
        <v>2910</v>
      </c>
      <c r="K76" s="889" t="s">
        <v>3823</v>
      </c>
      <c r="N76" s="148"/>
      <c r="O76" s="148"/>
    </row>
    <row r="77" spans="8:15" ht="14.25" customHeight="1">
      <c r="H77" s="147" t="s">
        <v>3897</v>
      </c>
      <c r="I77" s="146">
        <f t="shared" si="0"/>
        <v>76</v>
      </c>
      <c r="J77" s="147" t="s">
        <v>2911</v>
      </c>
      <c r="K77" s="889"/>
    </row>
    <row r="78" spans="8:15" ht="14.25" customHeight="1">
      <c r="H78" s="147" t="s">
        <v>3898</v>
      </c>
      <c r="I78" s="146">
        <f t="shared" si="0"/>
        <v>77</v>
      </c>
      <c r="J78" s="147" t="s">
        <v>2912</v>
      </c>
      <c r="K78" s="889"/>
      <c r="N78" s="148"/>
      <c r="O78" s="148"/>
    </row>
    <row r="79" spans="8:15" ht="14.25" customHeight="1">
      <c r="H79" s="147" t="s">
        <v>3899</v>
      </c>
      <c r="I79" s="146">
        <f t="shared" si="0"/>
        <v>78</v>
      </c>
      <c r="J79" s="147" t="s">
        <v>2913</v>
      </c>
      <c r="K79" s="889"/>
      <c r="N79" s="148"/>
      <c r="O79" s="148"/>
    </row>
    <row r="80" spans="8:15" ht="14.25" customHeight="1">
      <c r="H80" s="147" t="s">
        <v>3900</v>
      </c>
      <c r="I80" s="146">
        <f t="shared" si="0"/>
        <v>79</v>
      </c>
      <c r="J80" s="147" t="s">
        <v>2914</v>
      </c>
      <c r="K80" s="889"/>
      <c r="N80" s="148"/>
    </row>
    <row r="81" spans="8:15" ht="14.25" customHeight="1">
      <c r="H81" s="147" t="s">
        <v>3901</v>
      </c>
      <c r="I81" s="146">
        <f t="shared" si="0"/>
        <v>80</v>
      </c>
      <c r="J81" s="147" t="s">
        <v>2915</v>
      </c>
      <c r="K81" s="889"/>
      <c r="N81" s="148"/>
      <c r="O81" s="148"/>
    </row>
    <row r="82" spans="8:15" ht="14.25" customHeight="1">
      <c r="H82" s="147" t="s">
        <v>3902</v>
      </c>
      <c r="I82" s="146">
        <f t="shared" si="0"/>
        <v>81</v>
      </c>
      <c r="J82" s="147" t="s">
        <v>2916</v>
      </c>
      <c r="K82" s="889"/>
      <c r="N82" s="148"/>
      <c r="O82" s="148"/>
    </row>
    <row r="83" spans="8:15" ht="14.25" customHeight="1">
      <c r="H83" s="147" t="s">
        <v>3903</v>
      </c>
      <c r="I83" s="146">
        <f t="shared" si="0"/>
        <v>82</v>
      </c>
      <c r="J83" s="147" t="s">
        <v>2917</v>
      </c>
      <c r="K83" s="889"/>
      <c r="N83" s="148"/>
      <c r="O83" s="148"/>
    </row>
    <row r="84" spans="8:15" ht="14.25" customHeight="1">
      <c r="H84" s="147" t="s">
        <v>3157</v>
      </c>
      <c r="I84" s="146">
        <f t="shared" si="0"/>
        <v>83</v>
      </c>
      <c r="J84" s="147" t="s">
        <v>2918</v>
      </c>
      <c r="K84" s="889"/>
      <c r="N84" s="148"/>
      <c r="O84" s="148"/>
    </row>
    <row r="85" spans="8:15" ht="14.25" customHeight="1">
      <c r="H85" s="147" t="s">
        <v>3904</v>
      </c>
      <c r="I85" s="146">
        <f t="shared" si="0"/>
        <v>84</v>
      </c>
      <c r="J85" s="147" t="s">
        <v>2919</v>
      </c>
      <c r="K85" s="889"/>
      <c r="N85" s="148"/>
      <c r="O85" s="148"/>
    </row>
    <row r="86" spans="8:15" ht="14.25" customHeight="1">
      <c r="H86" s="147" t="s">
        <v>3905</v>
      </c>
      <c r="I86" s="146">
        <f t="shared" si="0"/>
        <v>85</v>
      </c>
      <c r="J86" s="147" t="s">
        <v>2920</v>
      </c>
      <c r="K86" s="889"/>
      <c r="N86" s="148"/>
      <c r="O86" s="148"/>
    </row>
    <row r="87" spans="8:15" ht="14.25" customHeight="1">
      <c r="H87" s="147" t="s">
        <v>3906</v>
      </c>
      <c r="I87" s="146">
        <f t="shared" si="0"/>
        <v>86</v>
      </c>
      <c r="J87" s="147" t="s">
        <v>2921</v>
      </c>
      <c r="K87" s="889"/>
      <c r="N87" s="148"/>
      <c r="O87" s="148"/>
    </row>
    <row r="88" spans="8:15" ht="14.25" customHeight="1">
      <c r="H88" s="147" t="s">
        <v>3907</v>
      </c>
      <c r="I88" s="146">
        <f t="shared" si="0"/>
        <v>87</v>
      </c>
      <c r="J88" s="147" t="s">
        <v>2922</v>
      </c>
      <c r="K88" s="889"/>
    </row>
    <row r="89" spans="8:15" ht="14.25" customHeight="1">
      <c r="H89" s="147" t="s">
        <v>3908</v>
      </c>
      <c r="I89" s="146">
        <f t="shared" si="0"/>
        <v>88</v>
      </c>
      <c r="J89" s="147" t="s">
        <v>2923</v>
      </c>
      <c r="K89" s="889"/>
      <c r="N89" s="148"/>
      <c r="O89" s="148"/>
    </row>
    <row r="90" spans="8:15" ht="14.25" customHeight="1">
      <c r="H90" s="147" t="s">
        <v>3909</v>
      </c>
      <c r="I90" s="146">
        <f t="shared" si="0"/>
        <v>89</v>
      </c>
      <c r="J90" s="147" t="s">
        <v>2924</v>
      </c>
      <c r="K90" s="889" t="s">
        <v>3823</v>
      </c>
      <c r="N90" s="148"/>
      <c r="O90" s="148"/>
    </row>
    <row r="91" spans="8:15" ht="14.25" customHeight="1">
      <c r="H91" s="147" t="s">
        <v>3910</v>
      </c>
      <c r="I91" s="146">
        <f t="shared" si="0"/>
        <v>90</v>
      </c>
      <c r="J91" s="147" t="s">
        <v>2925</v>
      </c>
      <c r="K91" s="889"/>
      <c r="N91" s="148"/>
      <c r="O91" s="148"/>
    </row>
    <row r="92" spans="8:15" ht="14.25" customHeight="1">
      <c r="H92" s="147" t="s">
        <v>3911</v>
      </c>
      <c r="I92" s="146">
        <f t="shared" si="0"/>
        <v>91</v>
      </c>
      <c r="J92" s="147" t="s">
        <v>2926</v>
      </c>
      <c r="K92" s="889"/>
      <c r="N92" s="148"/>
      <c r="O92" s="148"/>
    </row>
    <row r="93" spans="8:15" ht="14.25" customHeight="1">
      <c r="H93" s="147" t="s">
        <v>3912</v>
      </c>
      <c r="I93" s="146">
        <f t="shared" si="0"/>
        <v>92</v>
      </c>
      <c r="J93" s="147" t="s">
        <v>2927</v>
      </c>
      <c r="K93" s="889"/>
      <c r="N93" s="148"/>
      <c r="O93" s="148"/>
    </row>
    <row r="94" spans="8:15" ht="14.25" customHeight="1">
      <c r="H94" s="147" t="s">
        <v>3913</v>
      </c>
      <c r="I94" s="146">
        <f t="shared" si="0"/>
        <v>93</v>
      </c>
      <c r="J94" s="147" t="s">
        <v>2928</v>
      </c>
      <c r="K94" s="889"/>
    </row>
    <row r="95" spans="8:15" ht="14.25" customHeight="1">
      <c r="H95" s="147" t="s">
        <v>3914</v>
      </c>
      <c r="I95" s="146">
        <f t="shared" si="0"/>
        <v>94</v>
      </c>
      <c r="J95" s="147" t="s">
        <v>2929</v>
      </c>
      <c r="K95" s="889"/>
      <c r="N95" s="148"/>
      <c r="O95" s="148"/>
    </row>
    <row r="96" spans="8:15" ht="14.25" customHeight="1">
      <c r="H96" s="147" t="s">
        <v>3915</v>
      </c>
      <c r="I96" s="146">
        <f t="shared" si="0"/>
        <v>95</v>
      </c>
      <c r="J96" s="147" t="s">
        <v>2930</v>
      </c>
      <c r="K96" s="889"/>
    </row>
    <row r="97" spans="8:15" ht="14.25" customHeight="1">
      <c r="H97" s="147" t="s">
        <v>3916</v>
      </c>
      <c r="I97" s="146">
        <f t="shared" si="0"/>
        <v>96</v>
      </c>
      <c r="J97" s="147" t="s">
        <v>2931</v>
      </c>
      <c r="K97" s="889"/>
    </row>
    <row r="98" spans="8:15" ht="14.25" customHeight="1">
      <c r="H98" s="147" t="s">
        <v>3917</v>
      </c>
      <c r="I98" s="146">
        <f t="shared" si="0"/>
        <v>97</v>
      </c>
      <c r="J98" s="147" t="s">
        <v>2932</v>
      </c>
      <c r="K98" s="889"/>
      <c r="N98" s="148"/>
      <c r="O98" s="148"/>
    </row>
    <row r="99" spans="8:15" ht="14.25" customHeight="1">
      <c r="H99" s="147" t="s">
        <v>3918</v>
      </c>
      <c r="I99" s="146">
        <f t="shared" si="0"/>
        <v>98</v>
      </c>
      <c r="J99" s="147" t="s">
        <v>2933</v>
      </c>
      <c r="K99" s="889" t="s">
        <v>3823</v>
      </c>
      <c r="N99" s="148"/>
      <c r="O99" s="148"/>
    </row>
    <row r="100" spans="8:15" ht="14.25" customHeight="1">
      <c r="H100" s="147" t="s">
        <v>3919</v>
      </c>
      <c r="I100" s="146">
        <f t="shared" si="0"/>
        <v>99</v>
      </c>
      <c r="J100" s="147" t="s">
        <v>2934</v>
      </c>
      <c r="K100" s="889"/>
      <c r="N100" s="148"/>
      <c r="O100" s="148"/>
    </row>
    <row r="101" spans="8:15" ht="14.25" customHeight="1">
      <c r="H101" s="147" t="s">
        <v>3920</v>
      </c>
      <c r="I101" s="146">
        <f t="shared" si="0"/>
        <v>100</v>
      </c>
      <c r="J101" s="147" t="s">
        <v>2935</v>
      </c>
      <c r="K101" s="889" t="s">
        <v>3823</v>
      </c>
      <c r="N101" s="148"/>
      <c r="O101" s="148"/>
    </row>
    <row r="102" spans="8:15" ht="14.25" customHeight="1">
      <c r="H102" s="147" t="s">
        <v>3921</v>
      </c>
      <c r="I102" s="146">
        <f t="shared" si="0"/>
        <v>101</v>
      </c>
      <c r="J102" s="147" t="s">
        <v>2936</v>
      </c>
      <c r="K102" s="889"/>
    </row>
    <row r="103" spans="8:15" ht="14.25" customHeight="1">
      <c r="H103" s="147" t="s">
        <v>3922</v>
      </c>
      <c r="I103" s="146">
        <f t="shared" si="0"/>
        <v>102</v>
      </c>
      <c r="J103" s="147" t="s">
        <v>2937</v>
      </c>
      <c r="K103" s="889" t="s">
        <v>3823</v>
      </c>
      <c r="L103" s="148"/>
      <c r="M103" s="148"/>
    </row>
    <row r="104" spans="8:15" ht="14.25" customHeight="1">
      <c r="H104" s="147" t="s">
        <v>3923</v>
      </c>
      <c r="I104" s="146">
        <f t="shared" si="0"/>
        <v>103</v>
      </c>
      <c r="J104" s="147" t="s">
        <v>2938</v>
      </c>
      <c r="K104" s="889"/>
      <c r="N104" s="148"/>
      <c r="O104" s="148"/>
    </row>
    <row r="105" spans="8:15" ht="14.25" customHeight="1">
      <c r="H105" s="147" t="s">
        <v>3924</v>
      </c>
      <c r="I105" s="146">
        <f t="shared" si="0"/>
        <v>104</v>
      </c>
      <c r="J105" s="147" t="s">
        <v>2939</v>
      </c>
      <c r="K105" s="889"/>
      <c r="N105" s="148"/>
      <c r="O105" s="148"/>
    </row>
    <row r="106" spans="8:15" ht="14.25" customHeight="1">
      <c r="H106" s="147" t="s">
        <v>3925</v>
      </c>
      <c r="I106" s="146">
        <f t="shared" si="0"/>
        <v>105</v>
      </c>
      <c r="J106" s="147" t="s">
        <v>2940</v>
      </c>
      <c r="K106" s="889"/>
      <c r="N106" s="148"/>
      <c r="O106" s="148"/>
    </row>
    <row r="107" spans="8:15" ht="14.25" customHeight="1">
      <c r="H107" s="147" t="s">
        <v>3926</v>
      </c>
      <c r="I107" s="146">
        <f t="shared" si="0"/>
        <v>106</v>
      </c>
      <c r="J107" s="147" t="s">
        <v>2941</v>
      </c>
      <c r="K107" s="889"/>
      <c r="N107" s="148"/>
      <c r="O107" s="148"/>
    </row>
    <row r="108" spans="8:15" ht="14.25" customHeight="1">
      <c r="H108" s="147" t="s">
        <v>3927</v>
      </c>
      <c r="I108" s="146">
        <f t="shared" si="0"/>
        <v>107</v>
      </c>
      <c r="J108" s="147" t="s">
        <v>2942</v>
      </c>
      <c r="K108" s="889"/>
      <c r="N108" s="148"/>
    </row>
    <row r="109" spans="8:15" ht="14.25" customHeight="1">
      <c r="H109" s="147" t="s">
        <v>3928</v>
      </c>
      <c r="I109" s="146">
        <f t="shared" si="0"/>
        <v>108</v>
      </c>
      <c r="J109" s="147" t="s">
        <v>2943</v>
      </c>
      <c r="K109" s="889"/>
      <c r="N109" s="148"/>
      <c r="O109" s="148"/>
    </row>
    <row r="110" spans="8:15" ht="14.25" customHeight="1">
      <c r="H110" s="147" t="s">
        <v>3929</v>
      </c>
      <c r="I110" s="146">
        <f t="shared" si="0"/>
        <v>109</v>
      </c>
      <c r="J110" s="147" t="s">
        <v>2944</v>
      </c>
      <c r="K110" s="889"/>
      <c r="N110" s="148"/>
      <c r="O110" s="148"/>
    </row>
    <row r="111" spans="8:15" ht="14.25" customHeight="1">
      <c r="H111" s="147" t="s">
        <v>3930</v>
      </c>
      <c r="I111" s="146">
        <f t="shared" si="0"/>
        <v>110</v>
      </c>
      <c r="J111" s="147" t="s">
        <v>2945</v>
      </c>
      <c r="K111" s="889" t="s">
        <v>3823</v>
      </c>
      <c r="N111" s="148"/>
      <c r="O111" s="148"/>
    </row>
    <row r="112" spans="8:15" ht="14.25" customHeight="1">
      <c r="H112" s="147" t="s">
        <v>3931</v>
      </c>
      <c r="I112" s="146">
        <f t="shared" si="0"/>
        <v>111</v>
      </c>
      <c r="J112" s="147" t="s">
        <v>2946</v>
      </c>
      <c r="K112" s="889"/>
      <c r="N112" s="148"/>
      <c r="O112" s="148"/>
    </row>
    <row r="113" spans="8:15" ht="14.25" customHeight="1">
      <c r="H113" s="147" t="s">
        <v>3932</v>
      </c>
      <c r="I113" s="146">
        <f t="shared" si="0"/>
        <v>112</v>
      </c>
      <c r="J113" s="147" t="s">
        <v>2947</v>
      </c>
      <c r="K113" s="889"/>
    </row>
    <row r="114" spans="8:15" ht="14.25" customHeight="1">
      <c r="H114" s="147" t="s">
        <v>3933</v>
      </c>
      <c r="I114" s="146">
        <f t="shared" si="0"/>
        <v>113</v>
      </c>
      <c r="J114" s="147" t="s">
        <v>2948</v>
      </c>
      <c r="K114" s="889"/>
      <c r="N114" s="148"/>
    </row>
    <row r="115" spans="8:15" ht="14.25" customHeight="1">
      <c r="H115" s="147" t="s">
        <v>3934</v>
      </c>
      <c r="I115" s="146">
        <f t="shared" si="0"/>
        <v>114</v>
      </c>
      <c r="J115" s="147" t="s">
        <v>2949</v>
      </c>
      <c r="K115" s="889"/>
      <c r="N115" s="148"/>
      <c r="O115" s="148"/>
    </row>
    <row r="116" spans="8:15" ht="14.25" customHeight="1">
      <c r="H116" s="147" t="s">
        <v>3935</v>
      </c>
      <c r="I116" s="146">
        <f t="shared" si="0"/>
        <v>115</v>
      </c>
      <c r="J116" s="147" t="s">
        <v>2950</v>
      </c>
      <c r="K116" s="889"/>
      <c r="N116" s="148"/>
    </row>
    <row r="117" spans="8:15" ht="14.25" customHeight="1">
      <c r="H117" s="147" t="s">
        <v>187</v>
      </c>
      <c r="I117" s="146">
        <f t="shared" si="0"/>
        <v>116</v>
      </c>
      <c r="J117" s="147" t="s">
        <v>2951</v>
      </c>
      <c r="K117" s="889"/>
      <c r="N117" s="148"/>
      <c r="O117" s="148"/>
    </row>
    <row r="118" spans="8:15" ht="14.25" customHeight="1">
      <c r="H118" s="147" t="s">
        <v>3936</v>
      </c>
      <c r="I118" s="146">
        <f t="shared" si="0"/>
        <v>117</v>
      </c>
      <c r="J118" s="147" t="s">
        <v>2952</v>
      </c>
      <c r="K118" s="889"/>
      <c r="N118" s="148"/>
      <c r="O118" s="148"/>
    </row>
    <row r="119" spans="8:15" ht="14.25" customHeight="1">
      <c r="H119" s="147" t="s">
        <v>3937</v>
      </c>
      <c r="I119" s="146">
        <f t="shared" si="0"/>
        <v>118</v>
      </c>
      <c r="J119" s="147" t="s">
        <v>2953</v>
      </c>
      <c r="K119" s="889"/>
      <c r="N119" s="148"/>
      <c r="O119" s="148"/>
    </row>
    <row r="120" spans="8:15" ht="14.25" customHeight="1">
      <c r="H120" s="147" t="s">
        <v>3938</v>
      </c>
      <c r="I120" s="146">
        <f t="shared" si="0"/>
        <v>119</v>
      </c>
      <c r="J120" s="147" t="s">
        <v>2954</v>
      </c>
      <c r="K120" s="889"/>
      <c r="N120" s="148"/>
      <c r="O120" s="148"/>
    </row>
    <row r="121" spans="8:15" ht="14.25" customHeight="1">
      <c r="H121" s="147" t="s">
        <v>3939</v>
      </c>
      <c r="I121" s="146">
        <f t="shared" si="0"/>
        <v>120</v>
      </c>
      <c r="J121" s="147" t="s">
        <v>2955</v>
      </c>
      <c r="K121" s="889"/>
      <c r="N121" s="148"/>
      <c r="O121" s="148"/>
    </row>
    <row r="122" spans="8:15" ht="14.25" customHeight="1">
      <c r="H122" s="147" t="s">
        <v>3940</v>
      </c>
      <c r="I122" s="146">
        <f t="shared" si="0"/>
        <v>121</v>
      </c>
      <c r="J122" s="147" t="s">
        <v>2956</v>
      </c>
      <c r="K122" s="889"/>
    </row>
    <row r="123" spans="8:15" ht="14.25" customHeight="1">
      <c r="H123" s="147" t="s">
        <v>3941</v>
      </c>
      <c r="I123" s="146">
        <f t="shared" si="0"/>
        <v>122</v>
      </c>
      <c r="J123" s="147" t="s">
        <v>2957</v>
      </c>
      <c r="K123" s="889"/>
      <c r="L123" s="148"/>
      <c r="M123" s="148"/>
    </row>
    <row r="124" spans="8:15" ht="14.25" customHeight="1">
      <c r="H124" s="147" t="s">
        <v>3942</v>
      </c>
      <c r="I124" s="146">
        <f t="shared" si="0"/>
        <v>123</v>
      </c>
      <c r="J124" s="147" t="s">
        <v>2958</v>
      </c>
      <c r="K124" s="889"/>
      <c r="N124" s="148"/>
      <c r="O124" s="148"/>
    </row>
    <row r="125" spans="8:15" ht="14.25" customHeight="1">
      <c r="H125" s="147" t="s">
        <v>3943</v>
      </c>
      <c r="I125" s="146">
        <f t="shared" si="0"/>
        <v>124</v>
      </c>
      <c r="J125" s="147" t="s">
        <v>2959</v>
      </c>
      <c r="K125" s="889"/>
      <c r="N125" s="148"/>
      <c r="O125" s="148"/>
    </row>
    <row r="126" spans="8:15" ht="14.25" customHeight="1">
      <c r="H126" s="147" t="s">
        <v>3944</v>
      </c>
      <c r="I126" s="146">
        <f t="shared" si="0"/>
        <v>125</v>
      </c>
      <c r="J126" s="147" t="s">
        <v>2960</v>
      </c>
      <c r="K126" s="889"/>
      <c r="N126" s="148"/>
      <c r="O126" s="148"/>
    </row>
    <row r="127" spans="8:15" ht="14.25" customHeight="1">
      <c r="H127" s="147" t="s">
        <v>3945</v>
      </c>
      <c r="I127" s="146">
        <f t="shared" si="0"/>
        <v>126</v>
      </c>
      <c r="J127" s="147" t="s">
        <v>2961</v>
      </c>
      <c r="K127" s="889"/>
      <c r="N127" s="148"/>
      <c r="O127" s="148"/>
    </row>
    <row r="128" spans="8:15" ht="14.25" customHeight="1">
      <c r="H128" s="147" t="s">
        <v>3946</v>
      </c>
      <c r="I128" s="146">
        <f t="shared" si="0"/>
        <v>127</v>
      </c>
      <c r="J128" s="147" t="s">
        <v>2962</v>
      </c>
      <c r="K128" s="889"/>
      <c r="N128" s="148"/>
      <c r="O128" s="148"/>
    </row>
    <row r="129" spans="8:15" ht="14.25" customHeight="1">
      <c r="H129" s="147" t="s">
        <v>3947</v>
      </c>
      <c r="I129" s="146">
        <f t="shared" si="0"/>
        <v>128</v>
      </c>
      <c r="J129" s="147" t="s">
        <v>2963</v>
      </c>
      <c r="K129" s="889"/>
      <c r="N129" s="148"/>
      <c r="O129" s="148"/>
    </row>
    <row r="130" spans="8:15" ht="14.25" customHeight="1">
      <c r="H130" s="147" t="s">
        <v>3948</v>
      </c>
      <c r="I130" s="146">
        <f t="shared" si="0"/>
        <v>129</v>
      </c>
      <c r="J130" s="147" t="s">
        <v>2964</v>
      </c>
      <c r="K130" s="889"/>
      <c r="N130" s="148"/>
      <c r="O130" s="148"/>
    </row>
    <row r="131" spans="8:15" ht="14.25" customHeight="1">
      <c r="H131" s="147" t="s">
        <v>3949</v>
      </c>
      <c r="I131" s="146">
        <f t="shared" si="0"/>
        <v>130</v>
      </c>
      <c r="J131" s="147" t="s">
        <v>2965</v>
      </c>
      <c r="K131" s="889"/>
      <c r="N131" s="148"/>
      <c r="O131" s="148"/>
    </row>
    <row r="132" spans="8:15" ht="14.25" customHeight="1">
      <c r="H132" s="147" t="s">
        <v>3950</v>
      </c>
      <c r="I132" s="146">
        <f t="shared" si="0"/>
        <v>131</v>
      </c>
      <c r="J132" s="147" t="s">
        <v>2966</v>
      </c>
      <c r="K132" s="889"/>
      <c r="N132" s="148"/>
    </row>
    <row r="133" spans="8:15" ht="14.25" customHeight="1">
      <c r="H133" s="147" t="s">
        <v>3951</v>
      </c>
      <c r="I133" s="146">
        <f t="shared" si="0"/>
        <v>132</v>
      </c>
      <c r="J133" s="147" t="s">
        <v>2967</v>
      </c>
      <c r="K133" s="889"/>
    </row>
    <row r="134" spans="8:15" ht="14.25" customHeight="1">
      <c r="H134" s="147" t="s">
        <v>3952</v>
      </c>
      <c r="I134" s="146">
        <f t="shared" si="0"/>
        <v>133</v>
      </c>
      <c r="J134" s="147" t="s">
        <v>2968</v>
      </c>
      <c r="K134" s="889" t="s">
        <v>3823</v>
      </c>
      <c r="L134" s="148"/>
      <c r="M134" s="148"/>
    </row>
    <row r="135" spans="8:15" ht="14.25" customHeight="1">
      <c r="H135" s="147" t="s">
        <v>3953</v>
      </c>
      <c r="I135" s="146">
        <f t="shared" si="0"/>
        <v>134</v>
      </c>
      <c r="J135" s="147" t="s">
        <v>2969</v>
      </c>
      <c r="K135" s="889" t="s">
        <v>3823</v>
      </c>
      <c r="N135" s="148"/>
    </row>
    <row r="136" spans="8:15" ht="14.25" customHeight="1">
      <c r="H136" s="147" t="s">
        <v>3954</v>
      </c>
      <c r="I136" s="146">
        <f t="shared" si="0"/>
        <v>135</v>
      </c>
      <c r="J136" s="147" t="s">
        <v>2970</v>
      </c>
      <c r="K136" s="889" t="s">
        <v>3823</v>
      </c>
      <c r="N136" s="148"/>
      <c r="O136" s="148"/>
    </row>
    <row r="137" spans="8:15" ht="14.25" customHeight="1">
      <c r="H137" s="147" t="s">
        <v>3955</v>
      </c>
      <c r="I137" s="146">
        <f t="shared" si="0"/>
        <v>136</v>
      </c>
      <c r="J137" s="147" t="s">
        <v>2971</v>
      </c>
      <c r="K137" s="889"/>
      <c r="N137" s="148"/>
      <c r="O137" s="148"/>
    </row>
    <row r="138" spans="8:15" ht="14.25" customHeight="1">
      <c r="H138" s="147" t="s">
        <v>3956</v>
      </c>
      <c r="I138" s="146">
        <f t="shared" si="0"/>
        <v>137</v>
      </c>
      <c r="J138" s="147" t="s">
        <v>2972</v>
      </c>
      <c r="K138" s="889"/>
      <c r="N138" s="148"/>
      <c r="O138" s="148"/>
    </row>
    <row r="139" spans="8:15" ht="14.25" customHeight="1">
      <c r="H139" s="147" t="s">
        <v>3957</v>
      </c>
      <c r="I139" s="146">
        <f t="shared" si="0"/>
        <v>138</v>
      </c>
      <c r="J139" s="147" t="s">
        <v>2973</v>
      </c>
      <c r="K139" s="889"/>
      <c r="N139" s="148"/>
    </row>
    <row r="140" spans="8:15" ht="14.25" customHeight="1">
      <c r="H140" s="147" t="s">
        <v>3958</v>
      </c>
      <c r="I140" s="146">
        <f t="shared" si="0"/>
        <v>139</v>
      </c>
      <c r="J140" s="147" t="s">
        <v>2974</v>
      </c>
      <c r="K140" s="889"/>
      <c r="N140" s="148"/>
      <c r="O140" s="148"/>
    </row>
    <row r="141" spans="8:15" ht="14.25" customHeight="1">
      <c r="H141" s="147" t="s">
        <v>3959</v>
      </c>
      <c r="I141" s="146">
        <f t="shared" si="0"/>
        <v>140</v>
      </c>
      <c r="J141" s="147" t="s">
        <v>2975</v>
      </c>
      <c r="K141" s="889"/>
      <c r="N141" s="148"/>
    </row>
    <row r="142" spans="8:15" ht="14.25" customHeight="1">
      <c r="H142" s="147" t="s">
        <v>3960</v>
      </c>
      <c r="I142" s="146">
        <f t="shared" si="0"/>
        <v>141</v>
      </c>
      <c r="J142" s="147" t="s">
        <v>2976</v>
      </c>
      <c r="K142" s="889"/>
    </row>
    <row r="143" spans="8:15" ht="14.25" customHeight="1">
      <c r="H143" s="147" t="s">
        <v>3961</v>
      </c>
      <c r="I143" s="146">
        <f t="shared" si="0"/>
        <v>142</v>
      </c>
      <c r="J143" s="147" t="s">
        <v>2977</v>
      </c>
      <c r="K143" s="889"/>
      <c r="N143" s="148"/>
      <c r="O143" s="148"/>
    </row>
    <row r="144" spans="8:15" ht="14.25" customHeight="1">
      <c r="H144" s="147" t="s">
        <v>3962</v>
      </c>
      <c r="I144" s="146">
        <f t="shared" si="0"/>
        <v>143</v>
      </c>
      <c r="J144" s="147" t="s">
        <v>2978</v>
      </c>
      <c r="K144" s="889"/>
      <c r="N144" s="148"/>
    </row>
    <row r="145" spans="8:15" ht="14.25" customHeight="1">
      <c r="H145" s="147" t="s">
        <v>3963</v>
      </c>
      <c r="I145" s="146">
        <f t="shared" si="0"/>
        <v>144</v>
      </c>
      <c r="J145" s="147" t="s">
        <v>2979</v>
      </c>
      <c r="K145" s="889"/>
      <c r="N145" s="148"/>
      <c r="O145" s="148"/>
    </row>
    <row r="146" spans="8:15" ht="14.25" customHeight="1">
      <c r="H146" s="147" t="s">
        <v>3964</v>
      </c>
      <c r="I146" s="146">
        <f t="shared" si="0"/>
        <v>145</v>
      </c>
      <c r="J146" s="147" t="s">
        <v>2980</v>
      </c>
      <c r="K146" s="889"/>
      <c r="N146" s="148"/>
      <c r="O146" s="148"/>
    </row>
    <row r="147" spans="8:15" ht="14.25" customHeight="1">
      <c r="H147" s="147" t="s">
        <v>3965</v>
      </c>
      <c r="I147" s="146">
        <f t="shared" si="0"/>
        <v>146</v>
      </c>
      <c r="J147" s="147" t="s">
        <v>2981</v>
      </c>
      <c r="K147" s="889"/>
      <c r="N147" s="148"/>
      <c r="O147" s="148"/>
    </row>
    <row r="148" spans="8:15" ht="14.25" customHeight="1">
      <c r="H148" s="147" t="s">
        <v>3966</v>
      </c>
      <c r="I148" s="146">
        <f t="shared" si="0"/>
        <v>147</v>
      </c>
      <c r="J148" s="147" t="s">
        <v>2982</v>
      </c>
      <c r="K148" s="889"/>
      <c r="N148" s="148"/>
      <c r="O148" s="148"/>
    </row>
    <row r="149" spans="8:15" ht="14.25" customHeight="1">
      <c r="H149" s="147" t="s">
        <v>3967</v>
      </c>
      <c r="I149" s="146">
        <f t="shared" si="0"/>
        <v>148</v>
      </c>
      <c r="J149" s="147" t="s">
        <v>2983</v>
      </c>
      <c r="K149" s="889"/>
      <c r="N149" s="148"/>
    </row>
    <row r="150" spans="8:15" ht="14.25" customHeight="1">
      <c r="H150" s="147" t="s">
        <v>3968</v>
      </c>
      <c r="I150" s="146">
        <f t="shared" si="0"/>
        <v>149</v>
      </c>
      <c r="J150" s="147" t="s">
        <v>2984</v>
      </c>
      <c r="K150" s="889"/>
    </row>
    <row r="151" spans="8:15" ht="14.25" customHeight="1">
      <c r="H151" s="147" t="s">
        <v>3969</v>
      </c>
      <c r="I151" s="146">
        <f t="shared" si="0"/>
        <v>150</v>
      </c>
      <c r="J151" s="147" t="s">
        <v>2985</v>
      </c>
      <c r="K151" s="889"/>
      <c r="N151" s="148"/>
      <c r="O151" s="148"/>
    </row>
    <row r="152" spans="8:15" ht="14.25" customHeight="1">
      <c r="H152" s="147" t="s">
        <v>3970</v>
      </c>
      <c r="I152" s="146">
        <f t="shared" si="0"/>
        <v>151</v>
      </c>
      <c r="J152" s="147" t="s">
        <v>2986</v>
      </c>
      <c r="K152" s="889"/>
      <c r="N152" s="148"/>
    </row>
    <row r="153" spans="8:15" ht="14.25" customHeight="1">
      <c r="H153" s="147" t="s">
        <v>3971</v>
      </c>
      <c r="I153" s="146">
        <f t="shared" si="0"/>
        <v>152</v>
      </c>
      <c r="J153" s="147" t="s">
        <v>2987</v>
      </c>
      <c r="K153" s="889"/>
      <c r="N153" s="148"/>
      <c r="O153" s="148"/>
    </row>
    <row r="154" spans="8:15" ht="14.25" customHeight="1">
      <c r="H154" s="147" t="s">
        <v>3972</v>
      </c>
      <c r="I154" s="146">
        <f t="shared" si="0"/>
        <v>153</v>
      </c>
      <c r="J154" s="147" t="s">
        <v>2988</v>
      </c>
      <c r="K154" s="889" t="s">
        <v>3823</v>
      </c>
      <c r="N154" s="148"/>
      <c r="O154" s="148"/>
    </row>
    <row r="155" spans="8:15" ht="14.25" customHeight="1">
      <c r="H155" s="147" t="s">
        <v>3973</v>
      </c>
      <c r="I155" s="146">
        <f t="shared" si="0"/>
        <v>154</v>
      </c>
      <c r="J155" s="147" t="s">
        <v>2989</v>
      </c>
      <c r="K155" s="889"/>
      <c r="N155" s="148"/>
      <c r="O155" s="148"/>
    </row>
    <row r="156" spans="8:15" ht="14.25" customHeight="1">
      <c r="H156" s="147" t="s">
        <v>3974</v>
      </c>
      <c r="I156" s="146">
        <f t="shared" si="0"/>
        <v>155</v>
      </c>
      <c r="J156" s="147" t="s">
        <v>2990</v>
      </c>
      <c r="K156" s="889"/>
      <c r="N156" s="148"/>
      <c r="O156" s="148"/>
    </row>
    <row r="157" spans="8:15" ht="14.25" customHeight="1">
      <c r="H157" s="147" t="s">
        <v>3975</v>
      </c>
      <c r="I157" s="146">
        <f t="shared" si="0"/>
        <v>156</v>
      </c>
      <c r="J157" s="147" t="s">
        <v>2991</v>
      </c>
      <c r="K157" s="889"/>
      <c r="N157" s="148"/>
      <c r="O157" s="148"/>
    </row>
    <row r="158" spans="8:15" ht="14.25" customHeight="1">
      <c r="H158" s="147" t="s">
        <v>3976</v>
      </c>
      <c r="I158" s="146">
        <f t="shared" si="0"/>
        <v>157</v>
      </c>
      <c r="J158" s="147" t="s">
        <v>2992</v>
      </c>
      <c r="K158" s="889"/>
      <c r="N158" s="148"/>
    </row>
    <row r="159" spans="8:15" ht="14.25" customHeight="1">
      <c r="H159" s="147" t="s">
        <v>3977</v>
      </c>
      <c r="I159" s="146">
        <f t="shared" si="0"/>
        <v>158</v>
      </c>
      <c r="J159" s="147" t="s">
        <v>2993</v>
      </c>
      <c r="K159" s="889"/>
      <c r="N159" s="148"/>
      <c r="O159" s="148"/>
    </row>
    <row r="160" spans="8:15" ht="14.25" customHeight="1">
      <c r="H160" s="147" t="s">
        <v>3978</v>
      </c>
      <c r="I160" s="146">
        <f t="shared" si="0"/>
        <v>159</v>
      </c>
      <c r="J160" s="147" t="s">
        <v>2994</v>
      </c>
      <c r="K160" s="889"/>
      <c r="N160" s="148"/>
      <c r="O160" s="148"/>
    </row>
    <row r="161" spans="8:15" ht="14.25" customHeight="1">
      <c r="H161" s="147" t="s">
        <v>3979</v>
      </c>
      <c r="I161" s="146">
        <f t="shared" si="0"/>
        <v>160</v>
      </c>
      <c r="J161" s="147" t="s">
        <v>2995</v>
      </c>
      <c r="K161" s="889"/>
    </row>
    <row r="162" spans="8:15" ht="14.25" customHeight="1">
      <c r="H162" s="147" t="s">
        <v>3980</v>
      </c>
      <c r="I162" s="146">
        <f t="shared" si="0"/>
        <v>161</v>
      </c>
      <c r="J162" s="147" t="s">
        <v>2996</v>
      </c>
      <c r="K162" s="889"/>
      <c r="N162" s="148"/>
      <c r="O162" s="148"/>
    </row>
    <row r="163" spans="8:15" ht="14.25" customHeight="1">
      <c r="H163" s="147" t="s">
        <v>3981</v>
      </c>
      <c r="I163" s="146">
        <f t="shared" si="0"/>
        <v>162</v>
      </c>
      <c r="J163" s="147" t="s">
        <v>2997</v>
      </c>
      <c r="K163" s="889"/>
    </row>
    <row r="164" spans="8:15" ht="14.25" customHeight="1">
      <c r="H164" s="147" t="s">
        <v>3982</v>
      </c>
      <c r="I164" s="146">
        <f t="shared" si="0"/>
        <v>163</v>
      </c>
      <c r="J164" s="147" t="s">
        <v>2998</v>
      </c>
      <c r="K164" s="889"/>
    </row>
    <row r="165" spans="8:15" ht="14.25" customHeight="1">
      <c r="H165" s="147" t="s">
        <v>3983</v>
      </c>
      <c r="I165" s="146">
        <f t="shared" si="0"/>
        <v>164</v>
      </c>
      <c r="J165" s="147" t="s">
        <v>2999</v>
      </c>
      <c r="K165" s="889"/>
    </row>
    <row r="166" spans="8:15" ht="14.25" customHeight="1">
      <c r="H166" s="147" t="s">
        <v>3984</v>
      </c>
      <c r="I166" s="146">
        <f t="shared" si="0"/>
        <v>165</v>
      </c>
      <c r="J166" s="147" t="s">
        <v>3000</v>
      </c>
      <c r="K166" s="889"/>
      <c r="N166" s="148"/>
      <c r="O166" s="148"/>
    </row>
    <row r="167" spans="8:15" ht="14.25" customHeight="1">
      <c r="H167" s="147" t="s">
        <v>3985</v>
      </c>
      <c r="I167" s="146">
        <f t="shared" si="0"/>
        <v>166</v>
      </c>
      <c r="J167" s="147" t="s">
        <v>3001</v>
      </c>
      <c r="K167" s="889" t="s">
        <v>3823</v>
      </c>
      <c r="N167" s="148"/>
      <c r="O167" s="148"/>
    </row>
    <row r="168" spans="8:15" ht="14.25" customHeight="1">
      <c r="H168" s="147" t="s">
        <v>94</v>
      </c>
      <c r="I168" s="146">
        <f t="shared" si="0"/>
        <v>167</v>
      </c>
      <c r="J168" s="147" t="s">
        <v>3002</v>
      </c>
      <c r="K168" s="889"/>
      <c r="N168" s="148"/>
      <c r="O168" s="148"/>
    </row>
    <row r="169" spans="8:15" ht="14.25" customHeight="1">
      <c r="H169" s="147" t="s">
        <v>3986</v>
      </c>
      <c r="I169" s="146">
        <f t="shared" si="0"/>
        <v>168</v>
      </c>
      <c r="J169" s="147" t="s">
        <v>3003</v>
      </c>
      <c r="K169" s="889"/>
      <c r="N169" s="148"/>
    </row>
    <row r="170" spans="8:15" ht="14.25" customHeight="1">
      <c r="H170" s="147" t="s">
        <v>3824</v>
      </c>
      <c r="I170" s="146">
        <f t="shared" si="0"/>
        <v>169</v>
      </c>
      <c r="J170" s="147" t="s">
        <v>3004</v>
      </c>
      <c r="K170" s="889"/>
      <c r="N170" s="148"/>
    </row>
    <row r="171" spans="8:15" ht="14.25" customHeight="1">
      <c r="H171" s="147" t="s">
        <v>3987</v>
      </c>
      <c r="I171" s="146">
        <f t="shared" si="0"/>
        <v>170</v>
      </c>
      <c r="J171" s="147" t="s">
        <v>3005</v>
      </c>
      <c r="K171" s="889"/>
    </row>
    <row r="172" spans="8:15" ht="14.25" customHeight="1">
      <c r="H172" s="147" t="s">
        <v>3988</v>
      </c>
      <c r="I172" s="146">
        <f t="shared" si="0"/>
        <v>171</v>
      </c>
      <c r="J172" s="147" t="s">
        <v>3006</v>
      </c>
      <c r="K172" s="889"/>
      <c r="N172" s="148"/>
      <c r="O172" s="148"/>
    </row>
    <row r="173" spans="8:15" ht="14.25" customHeight="1">
      <c r="H173" s="147" t="s">
        <v>3989</v>
      </c>
      <c r="I173" s="146">
        <f t="shared" si="0"/>
        <v>172</v>
      </c>
      <c r="J173" s="147" t="s">
        <v>3007</v>
      </c>
      <c r="K173" s="889"/>
      <c r="N173" s="148"/>
      <c r="O173" s="148"/>
    </row>
    <row r="174" spans="8:15" ht="14.25" customHeight="1">
      <c r="H174" s="147" t="s">
        <v>3990</v>
      </c>
      <c r="I174" s="146">
        <f t="shared" si="0"/>
        <v>173</v>
      </c>
      <c r="J174" s="147" t="s">
        <v>3008</v>
      </c>
      <c r="K174" s="889"/>
      <c r="N174" s="148"/>
      <c r="O174" s="148"/>
    </row>
    <row r="175" spans="8:15" ht="14.25" customHeight="1">
      <c r="H175" s="147" t="s">
        <v>3991</v>
      </c>
      <c r="I175" s="146">
        <f t="shared" si="0"/>
        <v>174</v>
      </c>
      <c r="J175" s="147" t="s">
        <v>3009</v>
      </c>
      <c r="K175" s="889"/>
      <c r="N175" s="148"/>
      <c r="O175" s="148"/>
    </row>
    <row r="176" spans="8:15" ht="14.25" customHeight="1">
      <c r="H176" s="147" t="s">
        <v>3992</v>
      </c>
      <c r="I176" s="146">
        <f t="shared" si="0"/>
        <v>175</v>
      </c>
      <c r="J176" s="147" t="s">
        <v>3010</v>
      </c>
      <c r="K176" s="889"/>
    </row>
    <row r="177" spans="8:15" ht="14.25" customHeight="1">
      <c r="H177" s="147" t="s">
        <v>3993</v>
      </c>
      <c r="I177" s="146">
        <f t="shared" si="0"/>
        <v>176</v>
      </c>
      <c r="J177" s="147" t="s">
        <v>3011</v>
      </c>
      <c r="K177" s="889"/>
    </row>
    <row r="178" spans="8:15" ht="14.25" customHeight="1">
      <c r="H178" s="147" t="s">
        <v>3994</v>
      </c>
      <c r="I178" s="146">
        <f t="shared" si="0"/>
        <v>177</v>
      </c>
      <c r="J178" s="147" t="s">
        <v>3012</v>
      </c>
      <c r="K178" s="889"/>
      <c r="N178" s="148"/>
      <c r="O178" s="148"/>
    </row>
    <row r="179" spans="8:15" ht="14.25" customHeight="1">
      <c r="H179" s="147" t="s">
        <v>3995</v>
      </c>
      <c r="I179" s="146">
        <f t="shared" si="0"/>
        <v>178</v>
      </c>
      <c r="J179" s="147" t="s">
        <v>3013</v>
      </c>
      <c r="K179" s="889"/>
    </row>
    <row r="180" spans="8:15" ht="14.25" customHeight="1">
      <c r="H180" s="147" t="s">
        <v>3996</v>
      </c>
      <c r="I180" s="146">
        <f t="shared" si="0"/>
        <v>179</v>
      </c>
      <c r="J180" s="147" t="s">
        <v>3014</v>
      </c>
      <c r="K180" s="889" t="s">
        <v>3823</v>
      </c>
      <c r="L180" s="148"/>
    </row>
    <row r="181" spans="8:15" ht="14.25" customHeight="1">
      <c r="H181" s="147" t="s">
        <v>3997</v>
      </c>
      <c r="I181" s="146">
        <f t="shared" si="0"/>
        <v>180</v>
      </c>
      <c r="J181" s="147" t="s">
        <v>3015</v>
      </c>
      <c r="K181" s="889"/>
      <c r="N181" s="148"/>
    </row>
    <row r="182" spans="8:15" ht="14.25" customHeight="1">
      <c r="H182" s="147" t="s">
        <v>3998</v>
      </c>
      <c r="I182" s="146">
        <f t="shared" si="0"/>
        <v>181</v>
      </c>
      <c r="J182" s="147" t="s">
        <v>3016</v>
      </c>
      <c r="K182" s="889"/>
      <c r="N182" s="148"/>
      <c r="O182" s="148"/>
    </row>
    <row r="183" spans="8:15" ht="14.25" customHeight="1">
      <c r="H183" s="147" t="s">
        <v>3999</v>
      </c>
      <c r="I183" s="146">
        <f t="shared" si="0"/>
        <v>182</v>
      </c>
      <c r="J183" s="147" t="s">
        <v>3017</v>
      </c>
      <c r="K183" s="889"/>
      <c r="N183" s="148"/>
      <c r="O183" s="148"/>
    </row>
    <row r="184" spans="8:15" ht="14.25" customHeight="1">
      <c r="H184" s="147" t="s">
        <v>4000</v>
      </c>
      <c r="I184" s="146">
        <f t="shared" si="0"/>
        <v>183</v>
      </c>
      <c r="J184" s="147" t="s">
        <v>3018</v>
      </c>
      <c r="K184" s="889"/>
      <c r="N184" s="148"/>
      <c r="O184" s="148"/>
    </row>
    <row r="185" spans="8:15" ht="14.25" customHeight="1">
      <c r="H185" s="147" t="s">
        <v>4001</v>
      </c>
      <c r="I185" s="146">
        <f t="shared" si="0"/>
        <v>184</v>
      </c>
      <c r="J185" s="147" t="s">
        <v>3019</v>
      </c>
      <c r="K185" s="889" t="s">
        <v>3823</v>
      </c>
    </row>
    <row r="186" spans="8:15" ht="14.25" customHeight="1">
      <c r="H186" s="147" t="s">
        <v>4002</v>
      </c>
      <c r="I186" s="146">
        <f t="shared" si="0"/>
        <v>185</v>
      </c>
      <c r="J186" s="147" t="s">
        <v>3020</v>
      </c>
      <c r="K186" s="889"/>
      <c r="N186" s="148"/>
      <c r="O186" s="148"/>
    </row>
    <row r="187" spans="8:15" ht="14.25" customHeight="1">
      <c r="H187" s="147" t="s">
        <v>4003</v>
      </c>
      <c r="I187" s="146">
        <f t="shared" si="0"/>
        <v>186</v>
      </c>
      <c r="J187" s="147" t="s">
        <v>3021</v>
      </c>
      <c r="K187" s="889"/>
      <c r="N187" s="148"/>
      <c r="O187" s="148"/>
    </row>
    <row r="188" spans="8:15" ht="14.25" customHeight="1">
      <c r="H188" s="147" t="s">
        <v>4004</v>
      </c>
      <c r="I188" s="146">
        <f t="shared" si="0"/>
        <v>187</v>
      </c>
      <c r="J188" s="147" t="s">
        <v>3022</v>
      </c>
      <c r="K188" s="889"/>
      <c r="N188" s="148"/>
      <c r="O188" s="148"/>
    </row>
    <row r="189" spans="8:15" ht="14.25" customHeight="1">
      <c r="H189" s="147" t="s">
        <v>4005</v>
      </c>
      <c r="I189" s="146">
        <f t="shared" si="0"/>
        <v>188</v>
      </c>
      <c r="J189" s="147" t="s">
        <v>3023</v>
      </c>
      <c r="K189" s="889"/>
      <c r="N189" s="148"/>
      <c r="O189" s="148"/>
    </row>
    <row r="190" spans="8:15" ht="14.25" customHeight="1">
      <c r="H190" s="147" t="s">
        <v>4006</v>
      </c>
      <c r="I190" s="146">
        <f t="shared" si="0"/>
        <v>189</v>
      </c>
      <c r="J190" s="147" t="s">
        <v>3024</v>
      </c>
      <c r="K190" s="889" t="s">
        <v>3823</v>
      </c>
      <c r="N190" s="148"/>
      <c r="O190" s="148"/>
    </row>
    <row r="191" spans="8:15" ht="14.25" customHeight="1">
      <c r="H191" s="147" t="s">
        <v>4007</v>
      </c>
      <c r="I191" s="146">
        <f t="shared" si="0"/>
        <v>190</v>
      </c>
      <c r="J191" s="147" t="s">
        <v>3025</v>
      </c>
      <c r="K191" s="889"/>
      <c r="N191" s="148"/>
      <c r="O191" s="148"/>
    </row>
    <row r="192" spans="8:15" ht="14.25" customHeight="1">
      <c r="H192" s="147" t="s">
        <v>4008</v>
      </c>
      <c r="I192" s="146">
        <f t="shared" si="0"/>
        <v>191</v>
      </c>
      <c r="J192" s="147" t="s">
        <v>3026</v>
      </c>
      <c r="K192" s="889"/>
    </row>
    <row r="193" spans="8:15" ht="14.25" customHeight="1">
      <c r="H193" s="147" t="s">
        <v>4009</v>
      </c>
      <c r="I193" s="146">
        <f t="shared" si="0"/>
        <v>192</v>
      </c>
      <c r="J193" s="147" t="s">
        <v>3027</v>
      </c>
      <c r="K193" s="889"/>
      <c r="N193" s="148"/>
      <c r="O193" s="148"/>
    </row>
    <row r="194" spans="8:15" ht="14.25" customHeight="1">
      <c r="H194" s="147" t="s">
        <v>131</v>
      </c>
      <c r="I194" s="146">
        <f t="shared" si="0"/>
        <v>193</v>
      </c>
      <c r="J194" s="147" t="s">
        <v>3028</v>
      </c>
      <c r="K194" s="889"/>
      <c r="N194" s="148"/>
      <c r="O194" s="148"/>
    </row>
    <row r="195" spans="8:15" ht="14.25" customHeight="1">
      <c r="H195" s="147" t="s">
        <v>4010</v>
      </c>
      <c r="I195" s="146">
        <f t="shared" si="0"/>
        <v>194</v>
      </c>
      <c r="J195" s="147" t="s">
        <v>3029</v>
      </c>
      <c r="K195" s="889"/>
      <c r="N195" s="148"/>
      <c r="O195" s="148"/>
    </row>
    <row r="196" spans="8:15" ht="14.25" customHeight="1">
      <c r="H196" s="147" t="s">
        <v>4011</v>
      </c>
      <c r="I196" s="146">
        <f t="shared" si="0"/>
        <v>195</v>
      </c>
      <c r="J196" s="147" t="s">
        <v>3030</v>
      </c>
      <c r="K196" s="889"/>
      <c r="N196" s="148"/>
    </row>
    <row r="197" spans="8:15" ht="14.25" customHeight="1">
      <c r="H197" s="147" t="s">
        <v>4012</v>
      </c>
      <c r="I197" s="146">
        <f t="shared" si="0"/>
        <v>196</v>
      </c>
      <c r="J197" s="147" t="s">
        <v>3031</v>
      </c>
      <c r="K197" s="889"/>
      <c r="N197" s="148"/>
    </row>
    <row r="198" spans="8:15" ht="14.25" customHeight="1">
      <c r="H198" s="147" t="s">
        <v>147</v>
      </c>
      <c r="I198" s="146">
        <f t="shared" si="0"/>
        <v>197</v>
      </c>
      <c r="J198" s="147" t="s">
        <v>3032</v>
      </c>
      <c r="K198" s="889" t="s">
        <v>3823</v>
      </c>
      <c r="N198" s="148"/>
    </row>
    <row r="199" spans="8:15" ht="14.25" customHeight="1">
      <c r="H199" s="147" t="s">
        <v>4013</v>
      </c>
      <c r="I199" s="146">
        <f t="shared" si="0"/>
        <v>198</v>
      </c>
      <c r="J199" s="147" t="s">
        <v>3033</v>
      </c>
      <c r="K199" s="889"/>
      <c r="N199" s="148"/>
      <c r="O199" s="148"/>
    </row>
    <row r="200" spans="8:15" ht="14.25" customHeight="1">
      <c r="H200" s="147" t="s">
        <v>4014</v>
      </c>
      <c r="I200" s="146">
        <f t="shared" si="0"/>
        <v>199</v>
      </c>
      <c r="J200" s="147" t="s">
        <v>3034</v>
      </c>
      <c r="K200" s="889"/>
      <c r="N200" s="148"/>
      <c r="O200" s="148"/>
    </row>
    <row r="201" spans="8:15" ht="14.25" customHeight="1">
      <c r="H201" s="147" t="s">
        <v>4015</v>
      </c>
      <c r="I201" s="146">
        <f t="shared" si="0"/>
        <v>200</v>
      </c>
      <c r="J201" s="147" t="s">
        <v>3035</v>
      </c>
      <c r="K201" s="889" t="s">
        <v>3823</v>
      </c>
      <c r="N201" s="148"/>
      <c r="O201" s="148"/>
    </row>
    <row r="202" spans="8:15" ht="14.25" customHeight="1">
      <c r="H202" s="147" t="s">
        <v>4016</v>
      </c>
      <c r="I202" s="146">
        <f t="shared" si="0"/>
        <v>201</v>
      </c>
      <c r="J202" s="147" t="s">
        <v>3036</v>
      </c>
      <c r="K202" s="889"/>
    </row>
    <row r="203" spans="8:15" ht="14.25" customHeight="1">
      <c r="H203" s="147" t="s">
        <v>4017</v>
      </c>
      <c r="I203" s="146">
        <f t="shared" si="0"/>
        <v>202</v>
      </c>
      <c r="J203" s="147" t="s">
        <v>3037</v>
      </c>
      <c r="K203" s="889" t="s">
        <v>3823</v>
      </c>
      <c r="N203" s="148"/>
      <c r="O203" s="148"/>
    </row>
    <row r="204" spans="8:15" ht="14.25" customHeight="1">
      <c r="H204" s="147" t="s">
        <v>4018</v>
      </c>
      <c r="I204" s="146">
        <f t="shared" si="0"/>
        <v>203</v>
      </c>
      <c r="J204" s="147" t="s">
        <v>3038</v>
      </c>
      <c r="K204" s="889"/>
    </row>
    <row r="205" spans="8:15" ht="14.25" customHeight="1">
      <c r="H205" s="147" t="s">
        <v>4019</v>
      </c>
      <c r="I205" s="146">
        <f t="shared" si="0"/>
        <v>204</v>
      </c>
      <c r="J205" s="147" t="s">
        <v>3039</v>
      </c>
      <c r="K205" s="889"/>
      <c r="N205" s="148"/>
      <c r="O205" s="148"/>
    </row>
    <row r="206" spans="8:15" ht="14.25" customHeight="1">
      <c r="H206" s="147" t="s">
        <v>4020</v>
      </c>
      <c r="I206" s="146">
        <f t="shared" si="0"/>
        <v>205</v>
      </c>
      <c r="J206" s="147" t="s">
        <v>3040</v>
      </c>
      <c r="K206" s="889"/>
      <c r="N206" s="148"/>
    </row>
    <row r="207" spans="8:15" ht="14.25" customHeight="1">
      <c r="H207" s="147" t="s">
        <v>4021</v>
      </c>
      <c r="I207" s="146">
        <f t="shared" si="0"/>
        <v>206</v>
      </c>
      <c r="J207" s="147" t="s">
        <v>3041</v>
      </c>
      <c r="K207" s="889"/>
      <c r="N207" s="148"/>
      <c r="O207" s="148"/>
    </row>
    <row r="208" spans="8:15" ht="14.25" customHeight="1">
      <c r="H208" s="147" t="s">
        <v>4022</v>
      </c>
      <c r="I208" s="146">
        <f t="shared" si="0"/>
        <v>207</v>
      </c>
      <c r="J208" s="147" t="s">
        <v>3042</v>
      </c>
      <c r="K208" s="889"/>
      <c r="N208" s="148"/>
      <c r="O208" s="148"/>
    </row>
    <row r="209" spans="8:15" ht="14.25" customHeight="1">
      <c r="H209" s="147" t="s">
        <v>4023</v>
      </c>
      <c r="I209" s="146">
        <f t="shared" si="0"/>
        <v>208</v>
      </c>
      <c r="J209" s="147" t="s">
        <v>3043</v>
      </c>
      <c r="K209" s="889"/>
      <c r="N209" s="148"/>
    </row>
    <row r="210" spans="8:15" ht="14.25" customHeight="1">
      <c r="H210" s="147" t="s">
        <v>4024</v>
      </c>
      <c r="I210" s="146">
        <f t="shared" si="0"/>
        <v>209</v>
      </c>
      <c r="J210" s="147" t="s">
        <v>3044</v>
      </c>
      <c r="K210" s="889"/>
    </row>
    <row r="211" spans="8:15" ht="14.25" customHeight="1">
      <c r="H211" s="147" t="s">
        <v>4025</v>
      </c>
      <c r="I211" s="146">
        <f t="shared" si="0"/>
        <v>210</v>
      </c>
      <c r="J211" s="147" t="s">
        <v>3045</v>
      </c>
      <c r="K211" s="889"/>
      <c r="L211" s="148"/>
      <c r="M211" s="148"/>
    </row>
    <row r="212" spans="8:15" ht="14.25" customHeight="1">
      <c r="H212" s="147" t="s">
        <v>4026</v>
      </c>
      <c r="I212" s="146">
        <f t="shared" si="0"/>
        <v>211</v>
      </c>
      <c r="J212" s="147" t="s">
        <v>3046</v>
      </c>
      <c r="K212" s="889"/>
    </row>
    <row r="213" spans="8:15" ht="14.25" customHeight="1">
      <c r="H213" s="147" t="s">
        <v>4027</v>
      </c>
      <c r="I213" s="146">
        <f t="shared" si="0"/>
        <v>212</v>
      </c>
      <c r="J213" s="147" t="s">
        <v>3047</v>
      </c>
      <c r="K213" s="889"/>
      <c r="L213" s="148"/>
      <c r="M213" s="148"/>
    </row>
    <row r="214" spans="8:15" ht="14.25" customHeight="1">
      <c r="H214" s="147" t="s">
        <v>4028</v>
      </c>
      <c r="I214" s="146">
        <f t="shared" si="0"/>
        <v>213</v>
      </c>
      <c r="J214" s="147" t="s">
        <v>3048</v>
      </c>
      <c r="K214" s="889"/>
    </row>
    <row r="215" spans="8:15" ht="14.25" customHeight="1">
      <c r="H215" s="147" t="s">
        <v>4029</v>
      </c>
      <c r="I215" s="146">
        <f t="shared" si="0"/>
        <v>214</v>
      </c>
      <c r="J215" s="147" t="s">
        <v>3049</v>
      </c>
      <c r="K215" s="889"/>
      <c r="N215" s="148"/>
      <c r="O215" s="148"/>
    </row>
    <row r="216" spans="8:15" ht="14.25" customHeight="1">
      <c r="H216" s="147" t="s">
        <v>4030</v>
      </c>
      <c r="I216" s="146">
        <f t="shared" si="0"/>
        <v>215</v>
      </c>
      <c r="J216" s="147" t="s">
        <v>3050</v>
      </c>
      <c r="K216" s="889"/>
    </row>
    <row r="217" spans="8:15" ht="14.25" customHeight="1">
      <c r="H217" s="147" t="s">
        <v>4031</v>
      </c>
      <c r="I217" s="146">
        <f t="shared" si="0"/>
        <v>216</v>
      </c>
      <c r="J217" s="147" t="s">
        <v>3051</v>
      </c>
      <c r="K217" s="889"/>
      <c r="N217" s="148"/>
      <c r="O217" s="148"/>
    </row>
    <row r="218" spans="8:15" ht="14.25" customHeight="1">
      <c r="H218" s="147" t="s">
        <v>4032</v>
      </c>
      <c r="I218" s="146">
        <f t="shared" si="0"/>
        <v>217</v>
      </c>
      <c r="J218" s="147" t="s">
        <v>3052</v>
      </c>
      <c r="K218" s="889"/>
      <c r="N218" s="148"/>
      <c r="O218" s="148"/>
    </row>
    <row r="219" spans="8:15" ht="14.25" customHeight="1">
      <c r="H219" s="147" t="s">
        <v>4033</v>
      </c>
      <c r="I219" s="146">
        <f t="shared" si="0"/>
        <v>218</v>
      </c>
      <c r="J219" s="147" t="s">
        <v>3053</v>
      </c>
      <c r="K219" s="889"/>
      <c r="N219" s="148"/>
      <c r="O219" s="148"/>
    </row>
    <row r="220" spans="8:15" ht="14.25" customHeight="1">
      <c r="H220" s="147" t="s">
        <v>4034</v>
      </c>
      <c r="I220" s="146">
        <f t="shared" si="0"/>
        <v>219</v>
      </c>
      <c r="J220" s="147" t="s">
        <v>3054</v>
      </c>
      <c r="K220" s="889"/>
      <c r="N220" s="148"/>
    </row>
    <row r="221" spans="8:15" ht="14.25" customHeight="1">
      <c r="H221" s="147" t="s">
        <v>4035</v>
      </c>
      <c r="I221" s="146">
        <f t="shared" si="0"/>
        <v>220</v>
      </c>
      <c r="J221" s="147" t="s">
        <v>3055</v>
      </c>
      <c r="K221" s="889"/>
      <c r="N221" s="148"/>
    </row>
    <row r="222" spans="8:15" ht="14.25" customHeight="1">
      <c r="H222" s="147" t="s">
        <v>4036</v>
      </c>
      <c r="I222" s="146">
        <f t="shared" si="0"/>
        <v>221</v>
      </c>
      <c r="J222" s="147" t="s">
        <v>3056</v>
      </c>
      <c r="K222" s="889"/>
      <c r="N222" s="148"/>
    </row>
    <row r="223" spans="8:15" ht="14.25" customHeight="1">
      <c r="H223" s="147" t="s">
        <v>4037</v>
      </c>
      <c r="I223" s="146">
        <f t="shared" si="0"/>
        <v>222</v>
      </c>
      <c r="J223" s="147" t="s">
        <v>3057</v>
      </c>
      <c r="K223" s="889"/>
      <c r="N223" s="148"/>
      <c r="O223" s="148"/>
    </row>
    <row r="224" spans="8:15" ht="14.25" customHeight="1">
      <c r="H224" s="147" t="s">
        <v>4038</v>
      </c>
      <c r="I224" s="146">
        <f t="shared" si="0"/>
        <v>223</v>
      </c>
      <c r="J224" s="147" t="s">
        <v>3058</v>
      </c>
      <c r="K224" s="889"/>
    </row>
    <row r="225" spans="8:15" ht="14.25" customHeight="1">
      <c r="H225" s="147" t="s">
        <v>4039</v>
      </c>
      <c r="I225" s="146">
        <f t="shared" si="0"/>
        <v>224</v>
      </c>
      <c r="J225" s="147" t="s">
        <v>3059</v>
      </c>
      <c r="K225" s="889"/>
      <c r="N225" s="148"/>
      <c r="O225" s="148"/>
    </row>
    <row r="226" spans="8:15" ht="14.25" customHeight="1">
      <c r="H226" s="147" t="s">
        <v>4040</v>
      </c>
      <c r="I226" s="146">
        <f t="shared" si="0"/>
        <v>225</v>
      </c>
      <c r="J226" s="147" t="s">
        <v>3060</v>
      </c>
      <c r="K226" s="889"/>
      <c r="N226" s="148"/>
    </row>
    <row r="227" spans="8:15" ht="14.25" customHeight="1">
      <c r="H227" s="147" t="s">
        <v>4041</v>
      </c>
      <c r="I227" s="146">
        <f t="shared" si="0"/>
        <v>226</v>
      </c>
      <c r="J227" s="147" t="s">
        <v>3061</v>
      </c>
      <c r="K227" s="889"/>
      <c r="N227" s="148"/>
      <c r="O227" s="148"/>
    </row>
    <row r="228" spans="8:15" ht="14.25" customHeight="1">
      <c r="H228" s="147" t="s">
        <v>4042</v>
      </c>
      <c r="I228" s="146">
        <f t="shared" si="0"/>
        <v>227</v>
      </c>
      <c r="J228" s="147" t="s">
        <v>3062</v>
      </c>
      <c r="K228" s="889"/>
      <c r="N228" s="148"/>
      <c r="O228" s="148"/>
    </row>
    <row r="229" spans="8:15" ht="14.25" customHeight="1">
      <c r="H229" s="147" t="s">
        <v>4043</v>
      </c>
      <c r="I229" s="146">
        <f t="shared" si="0"/>
        <v>228</v>
      </c>
      <c r="J229" s="147" t="s">
        <v>3063</v>
      </c>
      <c r="K229" s="889"/>
      <c r="N229" s="148"/>
      <c r="O229" s="148"/>
    </row>
    <row r="230" spans="8:15" ht="14.25" customHeight="1">
      <c r="H230" s="147" t="s">
        <v>4044</v>
      </c>
      <c r="I230" s="146">
        <f t="shared" si="0"/>
        <v>229</v>
      </c>
      <c r="J230" s="147" t="s">
        <v>3064</v>
      </c>
      <c r="K230" s="889"/>
    </row>
    <row r="231" spans="8:15" ht="14.25" customHeight="1">
      <c r="H231" s="147" t="s">
        <v>4045</v>
      </c>
      <c r="I231" s="146">
        <f t="shared" si="0"/>
        <v>230</v>
      </c>
      <c r="J231" s="147" t="s">
        <v>3065</v>
      </c>
      <c r="K231" s="889"/>
      <c r="N231" s="148"/>
      <c r="O231" s="148"/>
    </row>
    <row r="232" spans="8:15" ht="14.25" customHeight="1">
      <c r="H232" s="147" t="s">
        <v>211</v>
      </c>
      <c r="I232" s="146">
        <f t="shared" si="0"/>
        <v>231</v>
      </c>
      <c r="J232" s="147" t="s">
        <v>3066</v>
      </c>
      <c r="K232" s="889"/>
      <c r="N232" s="148"/>
      <c r="O232" s="148"/>
    </row>
    <row r="233" spans="8:15" ht="14.25" customHeight="1">
      <c r="H233" s="147" t="s">
        <v>4046</v>
      </c>
      <c r="I233" s="146">
        <f t="shared" si="0"/>
        <v>232</v>
      </c>
      <c r="J233" s="147" t="s">
        <v>3067</v>
      </c>
      <c r="K233" s="889"/>
      <c r="N233" s="148"/>
      <c r="O233" s="148"/>
    </row>
    <row r="234" spans="8:15" ht="14.25" customHeight="1">
      <c r="H234" s="147" t="s">
        <v>4047</v>
      </c>
      <c r="I234" s="146">
        <f t="shared" si="0"/>
        <v>233</v>
      </c>
      <c r="J234" s="147" t="s">
        <v>3068</v>
      </c>
      <c r="K234" s="889"/>
      <c r="N234" s="148"/>
      <c r="O234" s="148"/>
    </row>
    <row r="235" spans="8:15" ht="14.25" customHeight="1">
      <c r="H235" s="147" t="s">
        <v>4048</v>
      </c>
      <c r="I235" s="146">
        <f t="shared" si="0"/>
        <v>234</v>
      </c>
      <c r="J235" s="147" t="s">
        <v>3069</v>
      </c>
      <c r="K235" s="889"/>
      <c r="N235" s="148"/>
      <c r="O235" s="148"/>
    </row>
    <row r="236" spans="8:15" ht="14.25" customHeight="1">
      <c r="H236" s="147" t="s">
        <v>4049</v>
      </c>
      <c r="I236" s="146">
        <f t="shared" si="0"/>
        <v>235</v>
      </c>
      <c r="J236" s="147" t="s">
        <v>3070</v>
      </c>
      <c r="K236" s="889"/>
      <c r="N236" s="148"/>
    </row>
    <row r="237" spans="8:15" ht="14.25" customHeight="1">
      <c r="H237" s="147" t="s">
        <v>4050</v>
      </c>
      <c r="I237" s="146">
        <f t="shared" si="0"/>
        <v>236</v>
      </c>
      <c r="J237" s="147" t="s">
        <v>3071</v>
      </c>
      <c r="K237" s="889"/>
      <c r="N237" s="148"/>
    </row>
    <row r="238" spans="8:15" ht="14.25" customHeight="1">
      <c r="H238" s="147" t="s">
        <v>4051</v>
      </c>
      <c r="I238" s="146">
        <f t="shared" si="0"/>
        <v>237</v>
      </c>
      <c r="J238" s="147" t="s">
        <v>3072</v>
      </c>
      <c r="K238" s="889"/>
      <c r="N238" s="148"/>
    </row>
    <row r="239" spans="8:15" ht="14.25" customHeight="1">
      <c r="H239" s="147" t="s">
        <v>4052</v>
      </c>
      <c r="I239" s="146">
        <f t="shared" si="0"/>
        <v>238</v>
      </c>
      <c r="J239" s="147" t="s">
        <v>3073</v>
      </c>
      <c r="K239" s="889"/>
      <c r="N239" s="148"/>
      <c r="O239" s="148"/>
    </row>
    <row r="240" spans="8:15" ht="14.25" customHeight="1">
      <c r="H240" s="147" t="s">
        <v>4053</v>
      </c>
      <c r="I240" s="146">
        <f t="shared" si="0"/>
        <v>239</v>
      </c>
      <c r="J240" s="147" t="s">
        <v>3074</v>
      </c>
      <c r="K240" s="889"/>
      <c r="N240" s="148"/>
      <c r="O240" s="148"/>
    </row>
    <row r="241" spans="8:15" ht="14.25" customHeight="1">
      <c r="H241" s="147" t="s">
        <v>4054</v>
      </c>
      <c r="I241" s="146">
        <f t="shared" si="0"/>
        <v>240</v>
      </c>
      <c r="J241" s="147" t="s">
        <v>3075</v>
      </c>
      <c r="K241" s="889"/>
      <c r="N241" s="148"/>
      <c r="O241" s="148"/>
    </row>
    <row r="242" spans="8:15" ht="14.25" customHeight="1">
      <c r="H242" s="147" t="s">
        <v>4055</v>
      </c>
      <c r="I242" s="146">
        <f t="shared" si="0"/>
        <v>241</v>
      </c>
      <c r="J242" s="147" t="s">
        <v>3076</v>
      </c>
      <c r="K242" s="889"/>
      <c r="N242" s="148"/>
      <c r="O242" s="148"/>
    </row>
    <row r="243" spans="8:15" ht="14.25" customHeight="1">
      <c r="H243" s="147" t="s">
        <v>4056</v>
      </c>
      <c r="I243" s="146">
        <f t="shared" si="0"/>
        <v>242</v>
      </c>
      <c r="J243" s="147" t="s">
        <v>3077</v>
      </c>
      <c r="K243" s="889"/>
      <c r="N243" s="148"/>
      <c r="O243" s="148"/>
    </row>
    <row r="244" spans="8:15" ht="14.25" customHeight="1">
      <c r="H244" s="147" t="s">
        <v>4057</v>
      </c>
      <c r="I244" s="146">
        <f t="shared" si="0"/>
        <v>243</v>
      </c>
      <c r="J244" s="147" t="s">
        <v>3078</v>
      </c>
      <c r="K244" s="889"/>
      <c r="N244" s="148"/>
    </row>
    <row r="245" spans="8:15" ht="14.25" customHeight="1">
      <c r="H245" s="147" t="s">
        <v>4058</v>
      </c>
      <c r="I245" s="146">
        <f t="shared" si="0"/>
        <v>244</v>
      </c>
      <c r="J245" s="147" t="s">
        <v>3079</v>
      </c>
      <c r="K245" s="889"/>
      <c r="N245" s="148"/>
      <c r="O245" s="148"/>
    </row>
    <row r="246" spans="8:15" ht="14.25" customHeight="1">
      <c r="H246" s="147" t="s">
        <v>4059</v>
      </c>
      <c r="I246" s="146">
        <f t="shared" si="0"/>
        <v>245</v>
      </c>
      <c r="J246" s="147" t="s">
        <v>3080</v>
      </c>
      <c r="K246" s="889"/>
    </row>
    <row r="247" spans="8:15" ht="14.25" customHeight="1">
      <c r="H247" s="147" t="s">
        <v>4060</v>
      </c>
      <c r="I247" s="146">
        <f t="shared" si="0"/>
        <v>246</v>
      </c>
      <c r="J247" s="147" t="s">
        <v>3081</v>
      </c>
      <c r="K247" s="889"/>
      <c r="N247" s="148"/>
      <c r="O247" s="148"/>
    </row>
    <row r="248" spans="8:15" ht="14.25" customHeight="1">
      <c r="H248" s="147" t="s">
        <v>4061</v>
      </c>
      <c r="I248" s="146">
        <f t="shared" si="0"/>
        <v>247</v>
      </c>
      <c r="J248" s="147" t="s">
        <v>3082</v>
      </c>
      <c r="K248" s="889"/>
      <c r="N248" s="148"/>
      <c r="O248" s="148"/>
    </row>
    <row r="249" spans="8:15" ht="14.25" customHeight="1">
      <c r="H249" s="147" t="s">
        <v>4062</v>
      </c>
      <c r="I249" s="146">
        <f t="shared" si="0"/>
        <v>248</v>
      </c>
      <c r="J249" s="147" t="s">
        <v>3083</v>
      </c>
      <c r="K249" s="889"/>
      <c r="N249" s="148"/>
      <c r="O249" s="148"/>
    </row>
    <row r="250" spans="8:15" ht="14.25" customHeight="1">
      <c r="H250" s="147" t="s">
        <v>4063</v>
      </c>
      <c r="I250" s="146">
        <f t="shared" si="0"/>
        <v>249</v>
      </c>
      <c r="J250" s="147" t="s">
        <v>3084</v>
      </c>
      <c r="K250" s="889"/>
      <c r="N250" s="148"/>
      <c r="O250" s="148"/>
    </row>
    <row r="251" spans="8:15" ht="14.25" customHeight="1">
      <c r="N251" s="148"/>
      <c r="O251" s="148"/>
    </row>
    <row r="252" spans="8:15" ht="14.25" customHeight="1"/>
    <row r="253" spans="8:15" ht="14.25" customHeight="1">
      <c r="N253" s="148"/>
      <c r="O253" s="148"/>
    </row>
    <row r="254" spans="8:15" ht="14.25" customHeight="1">
      <c r="N254" s="148"/>
      <c r="O254" s="148"/>
    </row>
    <row r="255" spans="8:15" ht="14.25" customHeight="1"/>
    <row r="256" spans="8:15" ht="14.25" customHeight="1">
      <c r="N256" s="148"/>
      <c r="O256" s="148"/>
    </row>
    <row r="257" spans="14:15" ht="14.25" customHeight="1"/>
    <row r="258" spans="14:15" ht="14.25" customHeight="1">
      <c r="N258" s="148"/>
      <c r="O258" s="148"/>
    </row>
    <row r="259" spans="14:15" ht="14.25" customHeight="1">
      <c r="N259" s="148"/>
      <c r="O259" s="148"/>
    </row>
    <row r="260" spans="14:15" ht="14.25" customHeight="1">
      <c r="N260" s="148"/>
      <c r="O260" s="148"/>
    </row>
    <row r="261" spans="14:15" ht="14.25" customHeight="1">
      <c r="N261" s="148"/>
      <c r="O261" s="148"/>
    </row>
    <row r="262" spans="14:15" ht="14.25" customHeight="1">
      <c r="N262" s="148"/>
      <c r="O262" s="148"/>
    </row>
    <row r="263" spans="14:15" ht="14.25" customHeight="1"/>
    <row r="264" spans="14:15" ht="14.25" customHeight="1">
      <c r="N264" s="148"/>
      <c r="O264" s="148"/>
    </row>
    <row r="265" spans="14:15" ht="14.25" customHeight="1"/>
    <row r="266" spans="14:15" ht="14.25" customHeight="1"/>
    <row r="267" spans="14:15" ht="14.25" customHeight="1"/>
    <row r="268" spans="14:15" ht="14.25" customHeight="1"/>
    <row r="269" spans="14:15" ht="14.25" customHeight="1"/>
    <row r="270" spans="14:15" ht="14.25" customHeight="1"/>
    <row r="271" spans="14:15" ht="14.25" customHeight="1"/>
    <row r="272" spans="14:15"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H1:K250"/>
  <mergeCells count="1">
    <mergeCell ref="A1:B1"/>
  </mergeCells>
  <pageMargins left="0.7" right="0.7" top="0.78740157499999996" bottom="0.78740157499999996" header="0" footer="0"/>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G1000"/>
  <sheetViews>
    <sheetView topLeftCell="A22" workbookViewId="0">
      <selection activeCell="A22" sqref="A22"/>
    </sheetView>
  </sheetViews>
  <sheetFormatPr baseColWidth="10" defaultColWidth="14.33203125" defaultRowHeight="15" customHeight="1"/>
  <cols>
    <col min="1" max="1" width="19.33203125" customWidth="1"/>
    <col min="2" max="2" width="20.33203125" customWidth="1"/>
    <col min="3" max="7" width="11.33203125" customWidth="1"/>
  </cols>
  <sheetData>
    <row r="1" spans="1:7" ht="14.25" customHeight="1">
      <c r="A1" s="1123" t="s">
        <v>3600</v>
      </c>
      <c r="B1" s="438" t="s">
        <v>3209</v>
      </c>
    </row>
    <row r="2" spans="1:7" ht="14.25" customHeight="1">
      <c r="A2" s="1115"/>
      <c r="B2" s="438" t="s">
        <v>171</v>
      </c>
    </row>
    <row r="3" spans="1:7" ht="14.25" customHeight="1">
      <c r="A3" s="1115"/>
      <c r="B3" s="438" t="s">
        <v>3210</v>
      </c>
    </row>
    <row r="4" spans="1:7" ht="14.25" customHeight="1">
      <c r="A4" s="1115"/>
      <c r="B4" s="438" t="s">
        <v>3211</v>
      </c>
    </row>
    <row r="5" spans="1:7" ht="14.25" customHeight="1">
      <c r="A5" s="1068"/>
      <c r="B5" s="438" t="s">
        <v>3212</v>
      </c>
    </row>
    <row r="6" spans="1:7" ht="14.25" customHeight="1">
      <c r="G6" s="48"/>
    </row>
    <row r="7" spans="1:7" ht="14.25" customHeight="1">
      <c r="G7" s="48"/>
    </row>
    <row r="8" spans="1:7" ht="30.75" customHeight="1">
      <c r="A8" s="439" t="s">
        <v>2429</v>
      </c>
      <c r="B8" s="440" t="s">
        <v>3601</v>
      </c>
      <c r="G8" s="48"/>
    </row>
    <row r="9" spans="1:7" ht="14.25" customHeight="1">
      <c r="A9" s="441" t="s">
        <v>99</v>
      </c>
      <c r="B9" t="s">
        <v>171</v>
      </c>
      <c r="G9" s="48"/>
    </row>
    <row r="10" spans="1:7" ht="14.25" customHeight="1">
      <c r="A10" s="441" t="s">
        <v>107</v>
      </c>
      <c r="B10" t="s">
        <v>3209</v>
      </c>
      <c r="G10" s="48"/>
    </row>
    <row r="11" spans="1:7" ht="14.25" customHeight="1">
      <c r="A11" s="441" t="s">
        <v>113</v>
      </c>
      <c r="B11" t="s">
        <v>3209</v>
      </c>
    </row>
    <row r="12" spans="1:7" ht="14.25" customHeight="1">
      <c r="A12" s="441" t="s">
        <v>119</v>
      </c>
      <c r="B12" t="s">
        <v>3210</v>
      </c>
    </row>
    <row r="13" spans="1:7" ht="14.25" customHeight="1">
      <c r="A13" s="441" t="s">
        <v>123</v>
      </c>
      <c r="B13" t="s">
        <v>3209</v>
      </c>
    </row>
    <row r="14" spans="1:7" ht="14.25" customHeight="1">
      <c r="A14" s="441" t="s">
        <v>127</v>
      </c>
      <c r="B14" t="s">
        <v>171</v>
      </c>
    </row>
    <row r="15" spans="1:7" ht="14.25" customHeight="1">
      <c r="A15" s="441" t="s">
        <v>131</v>
      </c>
      <c r="B15" t="s">
        <v>3209</v>
      </c>
    </row>
    <row r="16" spans="1:7" ht="14.25" customHeight="1">
      <c r="A16" s="441" t="s">
        <v>135</v>
      </c>
      <c r="B16" t="s">
        <v>3212</v>
      </c>
    </row>
    <row r="17" spans="1:2" ht="14.25" customHeight="1">
      <c r="A17" s="441" t="s">
        <v>139</v>
      </c>
      <c r="B17" t="s">
        <v>3212</v>
      </c>
    </row>
    <row r="18" spans="1:2" ht="14.25" customHeight="1">
      <c r="A18" s="441" t="s">
        <v>143</v>
      </c>
      <c r="B18" t="s">
        <v>3209</v>
      </c>
    </row>
    <row r="19" spans="1:2" ht="14.25" customHeight="1">
      <c r="A19" s="441" t="s">
        <v>147</v>
      </c>
      <c r="B19" t="s">
        <v>3209</v>
      </c>
    </row>
    <row r="20" spans="1:2" ht="14.25" customHeight="1">
      <c r="A20" s="441" t="s">
        <v>151</v>
      </c>
      <c r="B20" t="s">
        <v>3211</v>
      </c>
    </row>
    <row r="21" spans="1:2" ht="14.25" customHeight="1">
      <c r="A21" s="441" t="s">
        <v>155</v>
      </c>
      <c r="B21" t="s">
        <v>3211</v>
      </c>
    </row>
    <row r="22" spans="1:2" ht="14.25" customHeight="1">
      <c r="A22" s="441" t="s">
        <v>159</v>
      </c>
      <c r="B22" t="s">
        <v>3210</v>
      </c>
    </row>
    <row r="23" spans="1:2" ht="14.25" customHeight="1">
      <c r="A23" s="441" t="s">
        <v>163</v>
      </c>
      <c r="B23" t="s">
        <v>3210</v>
      </c>
    </row>
    <row r="24" spans="1:2" ht="14.25" customHeight="1">
      <c r="A24" s="441" t="s">
        <v>167</v>
      </c>
      <c r="B24" t="s">
        <v>3210</v>
      </c>
    </row>
    <row r="25" spans="1:2" ht="14.25" customHeight="1">
      <c r="A25" s="441" t="s">
        <v>171</v>
      </c>
      <c r="B25" t="s">
        <v>171</v>
      </c>
    </row>
    <row r="26" spans="1:2" ht="14.25" customHeight="1">
      <c r="A26" s="441" t="s">
        <v>175</v>
      </c>
      <c r="B26" t="s">
        <v>171</v>
      </c>
    </row>
    <row r="27" spans="1:2" ht="14.25" customHeight="1">
      <c r="A27" s="441" t="s">
        <v>179</v>
      </c>
      <c r="B27" t="s">
        <v>171</v>
      </c>
    </row>
    <row r="28" spans="1:2" ht="14.25" customHeight="1">
      <c r="A28" s="441" t="s">
        <v>183</v>
      </c>
      <c r="B28" t="s">
        <v>3211</v>
      </c>
    </row>
    <row r="29" spans="1:2" ht="14.25" customHeight="1">
      <c r="A29" s="441" t="s">
        <v>187</v>
      </c>
      <c r="B29" t="s">
        <v>3210</v>
      </c>
    </row>
    <row r="30" spans="1:2" ht="14.25" customHeight="1">
      <c r="A30" s="441" t="s">
        <v>191</v>
      </c>
      <c r="B30" t="s">
        <v>3209</v>
      </c>
    </row>
    <row r="31" spans="1:2" ht="14.25" customHeight="1">
      <c r="A31" s="441" t="s">
        <v>195</v>
      </c>
      <c r="B31" t="s">
        <v>171</v>
      </c>
    </row>
    <row r="32" spans="1:2" ht="14.25" customHeight="1">
      <c r="A32" s="441" t="s">
        <v>199</v>
      </c>
      <c r="B32" t="s">
        <v>3210</v>
      </c>
    </row>
    <row r="33" spans="1:2" ht="14.25" customHeight="1">
      <c r="A33" s="441" t="s">
        <v>203</v>
      </c>
      <c r="B33" t="s">
        <v>3212</v>
      </c>
    </row>
    <row r="34" spans="1:2" ht="14.25" customHeight="1">
      <c r="A34" s="441" t="s">
        <v>207</v>
      </c>
      <c r="B34" t="s">
        <v>3212</v>
      </c>
    </row>
    <row r="35" spans="1:2" ht="14.25" customHeight="1">
      <c r="A35" s="441" t="s">
        <v>211</v>
      </c>
      <c r="B35" t="s">
        <v>3602</v>
      </c>
    </row>
    <row r="36" spans="1:2" ht="14.25" customHeight="1">
      <c r="A36" s="441" t="s">
        <v>215</v>
      </c>
      <c r="B36" t="s">
        <v>3211</v>
      </c>
    </row>
    <row r="37" spans="1:2" ht="14.25" customHeight="1">
      <c r="A37" s="441" t="s">
        <v>219</v>
      </c>
      <c r="B37" t="s">
        <v>3212</v>
      </c>
    </row>
    <row r="38" spans="1:2" ht="14.25" customHeight="1">
      <c r="A38" s="441" t="s">
        <v>223</v>
      </c>
      <c r="B38" t="s">
        <v>3211</v>
      </c>
    </row>
    <row r="39" spans="1:2" ht="14.25" customHeight="1">
      <c r="A39" s="441" t="s">
        <v>227</v>
      </c>
      <c r="B39" t="s">
        <v>3211</v>
      </c>
    </row>
    <row r="40" spans="1:2" ht="14.25" customHeight="1">
      <c r="A40" s="441" t="s">
        <v>231</v>
      </c>
      <c r="B40" t="s">
        <v>3211</v>
      </c>
    </row>
    <row r="41" spans="1:2" ht="14.25" customHeight="1">
      <c r="A41" s="441" t="s">
        <v>235</v>
      </c>
      <c r="B41" t="s">
        <v>3212</v>
      </c>
    </row>
    <row r="42" spans="1:2" ht="14.25" customHeight="1">
      <c r="A42" s="441" t="s">
        <v>239</v>
      </c>
      <c r="B42" t="s">
        <v>3209</v>
      </c>
    </row>
    <row r="43" spans="1:2" ht="14.25" customHeight="1">
      <c r="A43" s="442" t="s">
        <v>243</v>
      </c>
      <c r="B43" t="s">
        <v>3211</v>
      </c>
    </row>
    <row r="44" spans="1:2" ht="14.25" customHeight="1">
      <c r="A44" s="442" t="s">
        <v>247</v>
      </c>
      <c r="B44" t="s">
        <v>3210</v>
      </c>
    </row>
    <row r="45" spans="1:2" ht="14.25" customHeight="1">
      <c r="A45" s="19" t="s">
        <v>251</v>
      </c>
      <c r="B45" s="19" t="s">
        <v>3211</v>
      </c>
    </row>
    <row r="46" spans="1:2" ht="14.25" customHeight="1">
      <c r="A46" s="19" t="s">
        <v>255</v>
      </c>
      <c r="B46" s="19" t="s">
        <v>3209</v>
      </c>
    </row>
    <row r="47" spans="1:2" ht="14.25" customHeight="1">
      <c r="A47" s="19" t="s">
        <v>3784</v>
      </c>
      <c r="B47" s="19" t="s">
        <v>3209</v>
      </c>
    </row>
    <row r="48" spans="1:2"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8:B45"/>
  <mergeCells count="1">
    <mergeCell ref="A1:A5"/>
  </mergeCells>
  <dataValidations count="1">
    <dataValidation type="list" allowBlank="1" showErrorMessage="1" sqref="B9:B44">
      <formula1>$B$1:$B$5</formula1>
    </dataValidation>
  </dataValidations>
  <pageMargins left="0.7" right="0.7" top="0.78740157499999996" bottom="0.78740157499999996" header="0" footer="0"/>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Y1000"/>
  <sheetViews>
    <sheetView showGridLines="0" workbookViewId="0"/>
  </sheetViews>
  <sheetFormatPr baseColWidth="10" defaultColWidth="14.33203125" defaultRowHeight="15" customHeight="1"/>
  <cols>
    <col min="1" max="1" width="10.6640625" customWidth="1"/>
    <col min="2" max="2" width="115.5546875" customWidth="1"/>
    <col min="3" max="3" width="21.6640625" customWidth="1"/>
    <col min="4" max="5" width="21.33203125" customWidth="1"/>
    <col min="6" max="25" width="10.6640625" customWidth="1"/>
  </cols>
  <sheetData>
    <row r="1" spans="1:25" ht="39.450000000000003" customHeight="1">
      <c r="A1" s="8" t="s">
        <v>14</v>
      </c>
      <c r="B1" s="8" t="s">
        <v>15</v>
      </c>
      <c r="C1" s="8" t="s">
        <v>16</v>
      </c>
      <c r="D1" s="8" t="s">
        <v>17</v>
      </c>
      <c r="E1" s="8" t="s">
        <v>18</v>
      </c>
      <c r="F1" s="9"/>
      <c r="G1" s="9"/>
      <c r="H1" s="9"/>
      <c r="I1" s="9"/>
      <c r="J1" s="9"/>
      <c r="K1" s="9"/>
      <c r="L1" s="9"/>
      <c r="M1" s="9"/>
      <c r="N1" s="9"/>
      <c r="O1" s="9"/>
      <c r="P1" s="9"/>
      <c r="Q1" s="9"/>
      <c r="R1" s="9"/>
      <c r="S1" s="9"/>
      <c r="T1" s="9"/>
      <c r="U1" s="9"/>
      <c r="V1" s="9"/>
      <c r="W1" s="9"/>
      <c r="X1" s="9"/>
      <c r="Y1" s="9"/>
    </row>
    <row r="2" spans="1:25" ht="31.95" customHeight="1">
      <c r="A2" s="10" t="s">
        <v>19</v>
      </c>
      <c r="B2" s="11" t="s">
        <v>20</v>
      </c>
      <c r="C2" s="12" t="s">
        <v>21</v>
      </c>
      <c r="D2" s="13" t="s">
        <v>22</v>
      </c>
      <c r="E2" s="14"/>
      <c r="F2" s="15"/>
      <c r="G2" s="15"/>
      <c r="H2" s="15"/>
      <c r="I2" s="15"/>
      <c r="J2" s="15"/>
      <c r="K2" s="15"/>
      <c r="L2" s="15"/>
      <c r="M2" s="15"/>
      <c r="N2" s="15"/>
      <c r="O2" s="15"/>
      <c r="P2" s="15"/>
      <c r="Q2" s="15"/>
      <c r="R2" s="15"/>
      <c r="S2" s="15"/>
      <c r="T2" s="15"/>
      <c r="U2" s="15"/>
      <c r="V2" s="15"/>
      <c r="W2" s="15"/>
      <c r="X2" s="15"/>
      <c r="Y2" s="15"/>
    </row>
    <row r="3" spans="1:25" ht="31.95" customHeight="1">
      <c r="A3" s="10" t="s">
        <v>23</v>
      </c>
      <c r="B3" s="11" t="s">
        <v>24</v>
      </c>
      <c r="C3" s="12" t="s">
        <v>25</v>
      </c>
      <c r="D3" s="14"/>
      <c r="E3" s="13" t="s">
        <v>22</v>
      </c>
      <c r="F3" s="15"/>
      <c r="G3" s="15"/>
      <c r="H3" s="15"/>
      <c r="I3" s="15"/>
      <c r="J3" s="15"/>
      <c r="K3" s="15"/>
      <c r="L3" s="15"/>
      <c r="M3" s="15"/>
      <c r="N3" s="15"/>
      <c r="O3" s="15"/>
      <c r="P3" s="15"/>
      <c r="Q3" s="15"/>
      <c r="R3" s="15"/>
      <c r="S3" s="15"/>
      <c r="T3" s="15"/>
      <c r="U3" s="15"/>
      <c r="V3" s="15"/>
      <c r="W3" s="15"/>
      <c r="X3" s="15"/>
      <c r="Y3" s="15"/>
    </row>
    <row r="4" spans="1:25" ht="31.95" customHeight="1">
      <c r="A4" s="10" t="s">
        <v>26</v>
      </c>
      <c r="B4" s="11" t="s">
        <v>27</v>
      </c>
      <c r="C4" s="12" t="s">
        <v>21</v>
      </c>
      <c r="D4" s="14"/>
      <c r="E4" s="13" t="s">
        <v>22</v>
      </c>
      <c r="F4" s="15"/>
      <c r="G4" s="15"/>
      <c r="H4" s="15"/>
      <c r="I4" s="15"/>
      <c r="J4" s="15"/>
      <c r="K4" s="15"/>
      <c r="L4" s="15"/>
      <c r="M4" s="15"/>
      <c r="N4" s="15"/>
      <c r="O4" s="15"/>
      <c r="P4" s="15"/>
      <c r="Q4" s="15"/>
      <c r="R4" s="15"/>
      <c r="S4" s="15"/>
      <c r="T4" s="15"/>
      <c r="U4" s="15"/>
      <c r="V4" s="15"/>
      <c r="W4" s="15"/>
      <c r="X4" s="15"/>
      <c r="Y4" s="15"/>
    </row>
    <row r="5" spans="1:25" ht="31.95" customHeight="1">
      <c r="A5" s="10" t="s">
        <v>28</v>
      </c>
      <c r="B5" s="11" t="s">
        <v>29</v>
      </c>
      <c r="C5" s="12" t="s">
        <v>21</v>
      </c>
      <c r="D5" s="14"/>
      <c r="E5" s="13" t="s">
        <v>22</v>
      </c>
      <c r="F5" s="15"/>
      <c r="G5" s="15"/>
      <c r="H5" s="15"/>
      <c r="I5" s="15"/>
      <c r="J5" s="15"/>
      <c r="K5" s="15"/>
      <c r="L5" s="15"/>
      <c r="M5" s="15"/>
      <c r="N5" s="15"/>
      <c r="O5" s="15"/>
      <c r="P5" s="15"/>
      <c r="Q5" s="15"/>
      <c r="R5" s="15"/>
      <c r="S5" s="15"/>
      <c r="T5" s="15"/>
      <c r="U5" s="15"/>
      <c r="V5" s="15"/>
      <c r="W5" s="15"/>
      <c r="X5" s="15"/>
      <c r="Y5" s="15"/>
    </row>
    <row r="6" spans="1:25" ht="31.95" customHeight="1">
      <c r="A6" s="10" t="s">
        <v>30</v>
      </c>
      <c r="B6" s="11" t="s">
        <v>31</v>
      </c>
      <c r="C6" s="12" t="s">
        <v>21</v>
      </c>
      <c r="D6" s="14"/>
      <c r="E6" s="13" t="s">
        <v>22</v>
      </c>
      <c r="F6" s="15"/>
      <c r="G6" s="15"/>
      <c r="H6" s="15"/>
      <c r="I6" s="15"/>
      <c r="J6" s="15"/>
      <c r="K6" s="15"/>
      <c r="L6" s="15"/>
      <c r="M6" s="15"/>
      <c r="N6" s="15"/>
      <c r="O6" s="15"/>
      <c r="P6" s="15"/>
      <c r="Q6" s="15"/>
      <c r="R6" s="15"/>
      <c r="S6" s="15"/>
      <c r="T6" s="15"/>
      <c r="U6" s="15"/>
      <c r="V6" s="15"/>
      <c r="W6" s="15"/>
      <c r="X6" s="15"/>
      <c r="Y6" s="15"/>
    </row>
    <row r="7" spans="1:25" ht="31.95" customHeight="1">
      <c r="A7" s="16" t="s">
        <v>32</v>
      </c>
      <c r="B7" s="16" t="s">
        <v>33</v>
      </c>
      <c r="C7" s="12" t="s">
        <v>21</v>
      </c>
      <c r="D7" s="14"/>
      <c r="E7" s="13" t="s">
        <v>22</v>
      </c>
      <c r="F7" s="9"/>
      <c r="G7" s="9"/>
      <c r="H7" s="9"/>
      <c r="I7" s="9"/>
      <c r="J7" s="9"/>
      <c r="K7" s="9"/>
      <c r="L7" s="9"/>
      <c r="M7" s="9"/>
      <c r="N7" s="9"/>
      <c r="O7" s="9"/>
      <c r="P7" s="9"/>
      <c r="Q7" s="9"/>
      <c r="R7" s="9"/>
      <c r="S7" s="9"/>
      <c r="T7" s="9"/>
      <c r="U7" s="9"/>
      <c r="V7" s="9"/>
      <c r="W7" s="9"/>
      <c r="X7" s="9"/>
      <c r="Y7" s="9"/>
    </row>
    <row r="8" spans="1:25" ht="31.95" customHeight="1">
      <c r="A8" s="16" t="s">
        <v>34</v>
      </c>
      <c r="B8" s="16" t="s">
        <v>33</v>
      </c>
      <c r="C8" s="12" t="s">
        <v>25</v>
      </c>
      <c r="D8" s="14"/>
      <c r="E8" s="13" t="s">
        <v>22</v>
      </c>
      <c r="F8" s="9"/>
      <c r="G8" s="9"/>
      <c r="H8" s="9"/>
      <c r="I8" s="9"/>
      <c r="J8" s="9"/>
      <c r="K8" s="9"/>
      <c r="L8" s="9"/>
      <c r="M8" s="9"/>
      <c r="N8" s="9"/>
      <c r="O8" s="9"/>
      <c r="P8" s="9"/>
      <c r="Q8" s="9"/>
      <c r="R8" s="9"/>
      <c r="S8" s="9"/>
      <c r="T8" s="9"/>
      <c r="U8" s="9"/>
      <c r="V8" s="9"/>
      <c r="W8" s="9"/>
      <c r="X8" s="9"/>
      <c r="Y8" s="9"/>
    </row>
    <row r="9" spans="1:25" ht="31.95" customHeight="1">
      <c r="A9" s="10" t="s">
        <v>35</v>
      </c>
      <c r="B9" s="11" t="s">
        <v>36</v>
      </c>
      <c r="C9" s="12" t="s">
        <v>21</v>
      </c>
      <c r="D9" s="14"/>
      <c r="E9" s="17" t="s">
        <v>37</v>
      </c>
      <c r="F9" s="15"/>
      <c r="G9" s="15"/>
      <c r="H9" s="15"/>
      <c r="I9" s="15"/>
      <c r="J9" s="15"/>
      <c r="K9" s="15"/>
      <c r="L9" s="15"/>
      <c r="M9" s="15"/>
      <c r="N9" s="15"/>
      <c r="O9" s="15"/>
      <c r="P9" s="15"/>
      <c r="Q9" s="15"/>
      <c r="R9" s="15"/>
      <c r="S9" s="15"/>
      <c r="T9" s="15"/>
      <c r="U9" s="15"/>
      <c r="V9" s="15"/>
      <c r="W9" s="15"/>
      <c r="X9" s="15"/>
      <c r="Y9" s="15"/>
    </row>
    <row r="10" spans="1:25" ht="31.95" customHeight="1">
      <c r="A10" s="10" t="s">
        <v>38</v>
      </c>
      <c r="B10" s="11" t="s">
        <v>39</v>
      </c>
      <c r="C10" s="12" t="s">
        <v>21</v>
      </c>
      <c r="D10" s="14"/>
      <c r="E10" s="17" t="s">
        <v>37</v>
      </c>
      <c r="F10" s="15"/>
      <c r="G10" s="15"/>
      <c r="H10" s="15"/>
      <c r="I10" s="15"/>
      <c r="J10" s="15"/>
      <c r="K10" s="15"/>
      <c r="L10" s="15"/>
      <c r="M10" s="15"/>
      <c r="N10" s="15"/>
      <c r="O10" s="15"/>
      <c r="P10" s="15"/>
      <c r="Q10" s="15"/>
      <c r="R10" s="15"/>
      <c r="S10" s="15"/>
      <c r="T10" s="15"/>
      <c r="U10" s="15"/>
      <c r="V10" s="15"/>
      <c r="W10" s="15"/>
      <c r="X10" s="15"/>
      <c r="Y10" s="15"/>
    </row>
    <row r="11" spans="1:25" ht="31.95" customHeight="1">
      <c r="A11" s="10" t="s">
        <v>40</v>
      </c>
      <c r="B11" s="11" t="s">
        <v>41</v>
      </c>
      <c r="C11" s="12" t="s">
        <v>25</v>
      </c>
      <c r="D11" s="14"/>
      <c r="E11" s="17" t="s">
        <v>37</v>
      </c>
      <c r="F11" s="15"/>
      <c r="G11" s="15"/>
      <c r="H11" s="15"/>
      <c r="I11" s="15"/>
      <c r="J11" s="15"/>
      <c r="K11" s="15"/>
      <c r="L11" s="15"/>
      <c r="M11" s="15"/>
      <c r="N11" s="15"/>
      <c r="O11" s="15"/>
      <c r="P11" s="15"/>
      <c r="Q11" s="15"/>
      <c r="R11" s="15"/>
      <c r="S11" s="15"/>
      <c r="T11" s="15"/>
      <c r="U11" s="15"/>
      <c r="V11" s="15"/>
      <c r="W11" s="15"/>
      <c r="X11" s="15"/>
      <c r="Y11" s="15"/>
    </row>
    <row r="12" spans="1:25" ht="31.95" customHeight="1">
      <c r="A12" s="10" t="s">
        <v>42</v>
      </c>
      <c r="B12" s="11" t="s">
        <v>43</v>
      </c>
      <c r="C12" s="12" t="s">
        <v>21</v>
      </c>
      <c r="D12" s="14"/>
      <c r="E12" s="17" t="s">
        <v>37</v>
      </c>
      <c r="F12" s="15"/>
      <c r="G12" s="15"/>
      <c r="H12" s="15"/>
      <c r="I12" s="15"/>
      <c r="J12" s="15"/>
      <c r="K12" s="15"/>
      <c r="L12" s="15"/>
      <c r="M12" s="15"/>
      <c r="N12" s="15"/>
      <c r="O12" s="15"/>
      <c r="P12" s="15"/>
      <c r="Q12" s="15"/>
      <c r="R12" s="15"/>
      <c r="S12" s="15"/>
      <c r="T12" s="15"/>
      <c r="U12" s="15"/>
      <c r="V12" s="15"/>
      <c r="W12" s="15"/>
      <c r="X12" s="15"/>
      <c r="Y12" s="15"/>
    </row>
    <row r="13" spans="1:25" ht="31.95" customHeight="1">
      <c r="A13" s="10" t="s">
        <v>44</v>
      </c>
      <c r="B13" s="11" t="s">
        <v>45</v>
      </c>
      <c r="C13" s="12"/>
      <c r="D13" s="14"/>
      <c r="E13" s="14"/>
      <c r="F13" s="15"/>
      <c r="G13" s="15"/>
      <c r="H13" s="15"/>
      <c r="I13" s="15"/>
      <c r="J13" s="15"/>
      <c r="K13" s="15"/>
      <c r="L13" s="15"/>
      <c r="M13" s="15"/>
      <c r="N13" s="15"/>
      <c r="O13" s="15"/>
      <c r="P13" s="15"/>
      <c r="Q13" s="15"/>
      <c r="R13" s="15"/>
      <c r="S13" s="15"/>
      <c r="T13" s="15"/>
      <c r="U13" s="15"/>
      <c r="V13" s="15"/>
      <c r="W13" s="15"/>
      <c r="X13" s="15"/>
      <c r="Y13" s="15"/>
    </row>
    <row r="14" spans="1:25" ht="31.95" customHeight="1">
      <c r="A14" s="10" t="s">
        <v>46</v>
      </c>
      <c r="B14" s="11" t="s">
        <v>47</v>
      </c>
      <c r="C14" s="12"/>
      <c r="D14" s="14"/>
      <c r="E14" s="14"/>
      <c r="F14" s="15"/>
      <c r="G14" s="15"/>
      <c r="H14" s="15"/>
      <c r="I14" s="15"/>
      <c r="J14" s="15"/>
      <c r="K14" s="15"/>
      <c r="L14" s="15"/>
      <c r="M14" s="15"/>
      <c r="N14" s="15"/>
      <c r="O14" s="15"/>
      <c r="P14" s="15"/>
      <c r="Q14" s="15"/>
      <c r="R14" s="15"/>
      <c r="S14" s="15"/>
      <c r="T14" s="15"/>
      <c r="U14" s="15"/>
      <c r="V14" s="15"/>
      <c r="W14" s="15"/>
      <c r="X14" s="15"/>
      <c r="Y14" s="15"/>
    </row>
    <row r="15" spans="1:25" ht="31.95" customHeight="1">
      <c r="A15" s="10" t="s">
        <v>48</v>
      </c>
      <c r="B15" s="11" t="s">
        <v>49</v>
      </c>
      <c r="C15" s="12"/>
      <c r="D15" s="14"/>
      <c r="E15" s="14"/>
      <c r="F15" s="15"/>
      <c r="G15" s="15"/>
      <c r="H15" s="15"/>
      <c r="I15" s="15"/>
      <c r="J15" s="15"/>
      <c r="K15" s="15"/>
      <c r="L15" s="15"/>
      <c r="M15" s="15"/>
      <c r="N15" s="15"/>
      <c r="O15" s="15"/>
      <c r="P15" s="15"/>
      <c r="Q15" s="15"/>
      <c r="R15" s="15"/>
      <c r="S15" s="15"/>
      <c r="T15" s="15"/>
      <c r="U15" s="15"/>
      <c r="V15" s="15"/>
      <c r="W15" s="15"/>
      <c r="X15" s="15"/>
      <c r="Y15" s="15"/>
    </row>
    <row r="16" spans="1:25" ht="31.95" customHeight="1">
      <c r="A16" s="10" t="s">
        <v>50</v>
      </c>
      <c r="B16" s="11" t="s">
        <v>51</v>
      </c>
      <c r="C16" s="12"/>
      <c r="D16" s="14"/>
      <c r="E16" s="14"/>
      <c r="F16" s="15"/>
      <c r="G16" s="15"/>
      <c r="H16" s="15"/>
      <c r="I16" s="15"/>
      <c r="J16" s="15"/>
      <c r="K16" s="15"/>
      <c r="L16" s="15"/>
      <c r="M16" s="15"/>
      <c r="N16" s="15"/>
      <c r="O16" s="15"/>
      <c r="P16" s="15"/>
      <c r="Q16" s="15"/>
      <c r="R16" s="15"/>
      <c r="S16" s="15"/>
      <c r="T16" s="15"/>
      <c r="U16" s="15"/>
      <c r="V16" s="15"/>
      <c r="W16" s="15"/>
      <c r="X16" s="15"/>
      <c r="Y16" s="15"/>
    </row>
    <row r="17" spans="1:25" ht="31.95" customHeight="1">
      <c r="A17" s="10" t="s">
        <v>52</v>
      </c>
      <c r="B17" s="11" t="s">
        <v>53</v>
      </c>
      <c r="C17" s="12"/>
      <c r="D17" s="14"/>
      <c r="E17" s="14"/>
      <c r="F17" s="15"/>
      <c r="G17" s="15"/>
      <c r="H17" s="15"/>
      <c r="I17" s="15"/>
      <c r="J17" s="15"/>
      <c r="K17" s="15"/>
      <c r="L17" s="15"/>
      <c r="M17" s="15"/>
      <c r="N17" s="15"/>
      <c r="O17" s="15"/>
      <c r="P17" s="15"/>
      <c r="Q17" s="15"/>
      <c r="R17" s="15"/>
      <c r="S17" s="15"/>
      <c r="T17" s="15"/>
      <c r="U17" s="15"/>
      <c r="V17" s="15"/>
      <c r="W17" s="15"/>
      <c r="X17" s="15"/>
      <c r="Y17" s="15"/>
    </row>
    <row r="18" spans="1:25" ht="31.95" customHeight="1">
      <c r="A18" s="10" t="s">
        <v>54</v>
      </c>
      <c r="B18" s="11" t="s">
        <v>55</v>
      </c>
      <c r="C18" s="12"/>
      <c r="D18" s="14"/>
      <c r="E18" s="14"/>
      <c r="F18" s="15"/>
      <c r="G18" s="15"/>
      <c r="H18" s="15"/>
      <c r="I18" s="15"/>
      <c r="J18" s="15"/>
      <c r="K18" s="15"/>
      <c r="L18" s="15"/>
      <c r="M18" s="15"/>
      <c r="N18" s="15"/>
      <c r="O18" s="15"/>
      <c r="P18" s="15"/>
      <c r="Q18" s="15"/>
      <c r="R18" s="15"/>
      <c r="S18" s="15"/>
      <c r="T18" s="15"/>
      <c r="U18" s="15"/>
      <c r="V18" s="15"/>
      <c r="W18" s="15"/>
      <c r="X18" s="15"/>
      <c r="Y18" s="15"/>
    </row>
    <row r="19" spans="1:25" ht="15.75" customHeight="1">
      <c r="A19" s="9"/>
      <c r="B19" s="9"/>
      <c r="C19" s="9"/>
      <c r="D19" s="9"/>
      <c r="E19" s="9"/>
      <c r="F19" s="9"/>
      <c r="G19" s="9"/>
      <c r="H19" s="9"/>
      <c r="I19" s="9"/>
      <c r="J19" s="9"/>
      <c r="K19" s="9"/>
      <c r="L19" s="9"/>
      <c r="M19" s="9"/>
      <c r="N19" s="9"/>
      <c r="O19" s="9"/>
      <c r="P19" s="9"/>
      <c r="Q19" s="9"/>
      <c r="R19" s="9"/>
      <c r="S19" s="9"/>
      <c r="T19" s="9"/>
      <c r="U19" s="9"/>
      <c r="V19" s="9"/>
      <c r="W19" s="9"/>
      <c r="X19" s="9"/>
      <c r="Y19" s="9"/>
    </row>
    <row r="20" spans="1:25" ht="15.75" customHeight="1">
      <c r="A20" s="9"/>
      <c r="B20" s="9"/>
      <c r="C20" s="9"/>
      <c r="D20" s="9"/>
      <c r="E20" s="9"/>
      <c r="F20" s="9"/>
      <c r="G20" s="9"/>
      <c r="H20" s="9"/>
      <c r="I20" s="9"/>
      <c r="J20" s="9"/>
      <c r="K20" s="9"/>
      <c r="L20" s="9"/>
      <c r="M20" s="9"/>
      <c r="N20" s="9"/>
      <c r="O20" s="9"/>
      <c r="P20" s="9"/>
      <c r="Q20" s="9"/>
      <c r="R20" s="9"/>
      <c r="S20" s="9"/>
      <c r="T20" s="9"/>
      <c r="U20" s="9"/>
      <c r="V20" s="9"/>
      <c r="W20" s="9"/>
      <c r="X20" s="9"/>
      <c r="Y20" s="9"/>
    </row>
    <row r="21" spans="1:25" ht="15.75" customHeight="1">
      <c r="A21" s="9"/>
      <c r="B21" s="9"/>
      <c r="C21" s="9"/>
      <c r="D21" s="9"/>
      <c r="E21" s="9"/>
      <c r="F21" s="9"/>
      <c r="G21" s="9"/>
      <c r="H21" s="9"/>
      <c r="I21" s="9"/>
      <c r="J21" s="9"/>
      <c r="K21" s="9"/>
      <c r="L21" s="9"/>
      <c r="M21" s="9"/>
      <c r="N21" s="9"/>
      <c r="O21" s="9"/>
      <c r="P21" s="9"/>
      <c r="Q21" s="9"/>
      <c r="R21" s="9"/>
      <c r="S21" s="9"/>
      <c r="T21" s="9"/>
      <c r="U21" s="9"/>
      <c r="V21" s="9"/>
      <c r="W21" s="9"/>
      <c r="X21" s="9"/>
      <c r="Y21" s="9"/>
    </row>
    <row r="22" spans="1:25" ht="15.75" customHeight="1">
      <c r="A22" s="9"/>
      <c r="B22" s="9"/>
      <c r="C22" s="9"/>
      <c r="D22" s="9"/>
      <c r="E22" s="9"/>
      <c r="F22" s="9"/>
      <c r="G22" s="9"/>
      <c r="H22" s="9"/>
      <c r="I22" s="9"/>
      <c r="J22" s="9"/>
      <c r="K22" s="9"/>
      <c r="L22" s="9"/>
      <c r="M22" s="9"/>
      <c r="N22" s="9"/>
      <c r="O22" s="9"/>
      <c r="P22" s="9"/>
      <c r="Q22" s="9"/>
      <c r="R22" s="9"/>
      <c r="S22" s="9"/>
      <c r="T22" s="9"/>
      <c r="U22" s="9"/>
      <c r="V22" s="9"/>
      <c r="W22" s="9"/>
      <c r="X22" s="9"/>
      <c r="Y22" s="9"/>
    </row>
    <row r="23" spans="1:25" ht="15.75" customHeight="1">
      <c r="A23" s="9"/>
      <c r="B23" s="9"/>
      <c r="C23" s="9"/>
      <c r="D23" s="9"/>
      <c r="E23" s="9"/>
      <c r="F23" s="9"/>
      <c r="G23" s="9"/>
      <c r="H23" s="9"/>
      <c r="I23" s="9"/>
      <c r="J23" s="9"/>
      <c r="K23" s="9"/>
      <c r="L23" s="9"/>
      <c r="M23" s="9"/>
      <c r="N23" s="9"/>
      <c r="O23" s="9"/>
      <c r="P23" s="9"/>
      <c r="Q23" s="9"/>
      <c r="R23" s="9"/>
      <c r="S23" s="9"/>
      <c r="T23" s="9"/>
      <c r="U23" s="9"/>
      <c r="V23" s="9"/>
      <c r="W23" s="9"/>
      <c r="X23" s="9"/>
      <c r="Y23" s="9"/>
    </row>
    <row r="24" spans="1:25" ht="15.75" customHeight="1">
      <c r="A24" s="9"/>
      <c r="B24" s="9"/>
      <c r="C24" s="9"/>
      <c r="D24" s="9"/>
      <c r="E24" s="9"/>
      <c r="F24" s="9"/>
      <c r="G24" s="9"/>
      <c r="H24" s="9"/>
      <c r="I24" s="9"/>
      <c r="J24" s="9"/>
      <c r="K24" s="9"/>
      <c r="L24" s="9"/>
      <c r="M24" s="9"/>
      <c r="N24" s="9"/>
      <c r="O24" s="9"/>
      <c r="P24" s="9"/>
      <c r="Q24" s="9"/>
      <c r="R24" s="9"/>
      <c r="S24" s="9"/>
      <c r="T24" s="9"/>
      <c r="U24" s="9"/>
      <c r="V24" s="9"/>
      <c r="W24" s="9"/>
      <c r="X24" s="9"/>
      <c r="Y24" s="9"/>
    </row>
    <row r="25" spans="1:25" ht="15.75" customHeight="1">
      <c r="A25" s="9"/>
      <c r="B25" s="9"/>
      <c r="C25" s="9"/>
      <c r="D25" s="9"/>
      <c r="E25" s="9"/>
      <c r="F25" s="9"/>
      <c r="G25" s="9"/>
      <c r="H25" s="9"/>
      <c r="I25" s="9"/>
      <c r="J25" s="9"/>
      <c r="K25" s="9"/>
      <c r="L25" s="9"/>
      <c r="M25" s="9"/>
      <c r="N25" s="9"/>
      <c r="O25" s="9"/>
      <c r="P25" s="9"/>
      <c r="Q25" s="9"/>
      <c r="R25" s="9"/>
      <c r="S25" s="9"/>
      <c r="T25" s="9"/>
      <c r="U25" s="9"/>
      <c r="V25" s="9"/>
      <c r="W25" s="9"/>
      <c r="X25" s="9"/>
      <c r="Y25" s="9"/>
    </row>
    <row r="26" spans="1:25" ht="15.75" customHeight="1">
      <c r="A26" s="9"/>
      <c r="B26" s="9"/>
      <c r="C26" s="9"/>
      <c r="D26" s="9"/>
      <c r="E26" s="9"/>
      <c r="F26" s="9"/>
      <c r="G26" s="9"/>
      <c r="H26" s="9"/>
      <c r="I26" s="9"/>
      <c r="J26" s="9"/>
      <c r="K26" s="9"/>
      <c r="L26" s="9"/>
      <c r="M26" s="9"/>
      <c r="N26" s="9"/>
      <c r="O26" s="9"/>
      <c r="P26" s="9"/>
      <c r="Q26" s="9"/>
      <c r="R26" s="9"/>
      <c r="S26" s="9"/>
      <c r="T26" s="9"/>
      <c r="U26" s="9"/>
      <c r="V26" s="9"/>
      <c r="W26" s="9"/>
      <c r="X26" s="9"/>
      <c r="Y26" s="9"/>
    </row>
    <row r="27" spans="1:25" ht="15.75" customHeight="1">
      <c r="A27" s="9"/>
      <c r="B27" s="9"/>
      <c r="C27" s="9"/>
      <c r="D27" s="9"/>
      <c r="E27" s="9"/>
      <c r="F27" s="9"/>
      <c r="G27" s="9"/>
      <c r="H27" s="9"/>
      <c r="I27" s="9"/>
      <c r="J27" s="9"/>
      <c r="K27" s="9"/>
      <c r="L27" s="9"/>
      <c r="M27" s="9"/>
      <c r="N27" s="9"/>
      <c r="O27" s="9"/>
      <c r="P27" s="9"/>
      <c r="Q27" s="9"/>
      <c r="R27" s="9"/>
      <c r="S27" s="9"/>
      <c r="T27" s="9"/>
      <c r="U27" s="9"/>
      <c r="V27" s="9"/>
      <c r="W27" s="9"/>
      <c r="X27" s="9"/>
      <c r="Y27" s="9"/>
    </row>
    <row r="28" spans="1:25" ht="15.75" customHeight="1">
      <c r="A28" s="9"/>
      <c r="B28" s="9"/>
      <c r="C28" s="9"/>
      <c r="D28" s="9"/>
      <c r="E28" s="9"/>
      <c r="F28" s="9"/>
      <c r="G28" s="9"/>
      <c r="H28" s="9"/>
      <c r="I28" s="9"/>
      <c r="J28" s="9"/>
      <c r="K28" s="9"/>
      <c r="L28" s="9"/>
      <c r="M28" s="9"/>
      <c r="N28" s="9"/>
      <c r="O28" s="9"/>
      <c r="P28" s="9"/>
      <c r="Q28" s="9"/>
      <c r="R28" s="9"/>
      <c r="S28" s="9"/>
      <c r="T28" s="9"/>
      <c r="U28" s="9"/>
      <c r="V28" s="9"/>
      <c r="W28" s="9"/>
      <c r="X28" s="9"/>
      <c r="Y28" s="9"/>
    </row>
    <row r="29" spans="1:25" ht="15.75" customHeight="1">
      <c r="A29" s="9"/>
      <c r="B29" s="9"/>
      <c r="C29" s="9"/>
      <c r="D29" s="9"/>
      <c r="E29" s="9"/>
      <c r="F29" s="9"/>
      <c r="G29" s="9"/>
      <c r="H29" s="9"/>
      <c r="I29" s="9"/>
      <c r="J29" s="9"/>
      <c r="K29" s="9"/>
      <c r="L29" s="9"/>
      <c r="M29" s="9"/>
      <c r="N29" s="9"/>
      <c r="O29" s="9"/>
      <c r="P29" s="9"/>
      <c r="Q29" s="9"/>
      <c r="R29" s="9"/>
      <c r="S29" s="9"/>
      <c r="T29" s="9"/>
      <c r="U29" s="9"/>
      <c r="V29" s="9"/>
      <c r="W29" s="9"/>
      <c r="X29" s="9"/>
      <c r="Y29" s="9"/>
    </row>
    <row r="30" spans="1:25" ht="15.75" customHeight="1">
      <c r="A30" s="9"/>
      <c r="B30" s="9"/>
      <c r="C30" s="9"/>
      <c r="D30" s="9"/>
      <c r="E30" s="9"/>
      <c r="F30" s="9"/>
      <c r="G30" s="9"/>
      <c r="H30" s="9"/>
      <c r="I30" s="9"/>
      <c r="J30" s="9"/>
      <c r="K30" s="9"/>
      <c r="L30" s="9"/>
      <c r="M30" s="9"/>
      <c r="N30" s="9"/>
      <c r="O30" s="9"/>
      <c r="P30" s="9"/>
      <c r="Q30" s="9"/>
      <c r="R30" s="9"/>
      <c r="S30" s="9"/>
      <c r="T30" s="9"/>
      <c r="U30" s="9"/>
      <c r="V30" s="9"/>
      <c r="W30" s="9"/>
      <c r="X30" s="9"/>
      <c r="Y30" s="9"/>
    </row>
    <row r="31" spans="1:25" ht="15.75" customHeight="1">
      <c r="A31" s="9"/>
      <c r="B31" s="9"/>
      <c r="C31" s="9"/>
      <c r="D31" s="9"/>
      <c r="E31" s="9"/>
      <c r="F31" s="9"/>
      <c r="G31" s="9"/>
      <c r="H31" s="9"/>
      <c r="I31" s="9"/>
      <c r="J31" s="9"/>
      <c r="K31" s="9"/>
      <c r="L31" s="9"/>
      <c r="M31" s="9"/>
      <c r="N31" s="9"/>
      <c r="O31" s="9"/>
      <c r="P31" s="9"/>
      <c r="Q31" s="9"/>
      <c r="R31" s="9"/>
      <c r="S31" s="9"/>
      <c r="T31" s="9"/>
      <c r="U31" s="9"/>
      <c r="V31" s="9"/>
      <c r="W31" s="9"/>
      <c r="X31" s="9"/>
      <c r="Y31" s="9"/>
    </row>
    <row r="32" spans="1:25" ht="15.75" customHeight="1">
      <c r="A32" s="9"/>
      <c r="B32" s="9"/>
      <c r="C32" s="9"/>
      <c r="D32" s="9"/>
      <c r="E32" s="9"/>
      <c r="F32" s="9"/>
      <c r="G32" s="9"/>
      <c r="H32" s="9"/>
      <c r="I32" s="9"/>
      <c r="J32" s="9"/>
      <c r="K32" s="9"/>
      <c r="L32" s="9"/>
      <c r="M32" s="9"/>
      <c r="N32" s="9"/>
      <c r="O32" s="9"/>
      <c r="P32" s="9"/>
      <c r="Q32" s="9"/>
      <c r="R32" s="9"/>
      <c r="S32" s="9"/>
      <c r="T32" s="9"/>
      <c r="U32" s="9"/>
      <c r="V32" s="9"/>
      <c r="W32" s="9"/>
      <c r="X32" s="9"/>
      <c r="Y32" s="9"/>
    </row>
    <row r="33" spans="1:25" ht="15.75" customHeight="1">
      <c r="A33" s="9"/>
      <c r="B33" s="9"/>
      <c r="C33" s="9"/>
      <c r="D33" s="9"/>
      <c r="E33" s="9"/>
      <c r="F33" s="9"/>
      <c r="G33" s="9"/>
      <c r="H33" s="9"/>
      <c r="I33" s="9"/>
      <c r="J33" s="9"/>
      <c r="K33" s="9"/>
      <c r="L33" s="9"/>
      <c r="M33" s="9"/>
      <c r="N33" s="9"/>
      <c r="O33" s="9"/>
      <c r="P33" s="9"/>
      <c r="Q33" s="9"/>
      <c r="R33" s="9"/>
      <c r="S33" s="9"/>
      <c r="T33" s="9"/>
      <c r="U33" s="9"/>
      <c r="V33" s="9"/>
      <c r="W33" s="9"/>
      <c r="X33" s="9"/>
      <c r="Y33" s="9"/>
    </row>
    <row r="34" spans="1:25" ht="15.75" customHeight="1">
      <c r="A34" s="9"/>
      <c r="B34" s="9"/>
      <c r="C34" s="9"/>
      <c r="D34" s="9"/>
      <c r="E34" s="9"/>
      <c r="F34" s="9"/>
      <c r="G34" s="9"/>
      <c r="H34" s="9"/>
      <c r="I34" s="9"/>
      <c r="J34" s="9"/>
      <c r="K34" s="9"/>
      <c r="L34" s="9"/>
      <c r="M34" s="9"/>
      <c r="N34" s="9"/>
      <c r="O34" s="9"/>
      <c r="P34" s="9"/>
      <c r="Q34" s="9"/>
      <c r="R34" s="9"/>
      <c r="S34" s="9"/>
      <c r="T34" s="9"/>
      <c r="U34" s="9"/>
      <c r="V34" s="9"/>
      <c r="W34" s="9"/>
      <c r="X34" s="9"/>
      <c r="Y34" s="9"/>
    </row>
    <row r="35" spans="1:25" ht="15.75" customHeight="1">
      <c r="A35" s="9"/>
      <c r="B35" s="9"/>
      <c r="C35" s="9"/>
      <c r="D35" s="9"/>
      <c r="E35" s="9"/>
      <c r="F35" s="9"/>
      <c r="G35" s="9"/>
      <c r="H35" s="9"/>
      <c r="I35" s="9"/>
      <c r="J35" s="9"/>
      <c r="K35" s="9"/>
      <c r="L35" s="9"/>
      <c r="M35" s="9"/>
      <c r="N35" s="9"/>
      <c r="O35" s="9"/>
      <c r="P35" s="9"/>
      <c r="Q35" s="9"/>
      <c r="R35" s="9"/>
      <c r="S35" s="9"/>
      <c r="T35" s="9"/>
      <c r="U35" s="9"/>
      <c r="V35" s="9"/>
      <c r="W35" s="9"/>
      <c r="X35" s="9"/>
      <c r="Y35" s="9"/>
    </row>
    <row r="36" spans="1:25" ht="15.75" customHeight="1">
      <c r="A36" s="9"/>
      <c r="B36" s="9"/>
      <c r="C36" s="9"/>
      <c r="D36" s="9"/>
      <c r="E36" s="9"/>
      <c r="F36" s="9"/>
      <c r="G36" s="9"/>
      <c r="H36" s="9"/>
      <c r="I36" s="9"/>
      <c r="J36" s="9"/>
      <c r="K36" s="9"/>
      <c r="L36" s="9"/>
      <c r="M36" s="9"/>
      <c r="N36" s="9"/>
      <c r="O36" s="9"/>
      <c r="P36" s="9"/>
      <c r="Q36" s="9"/>
      <c r="R36" s="9"/>
      <c r="S36" s="9"/>
      <c r="T36" s="9"/>
      <c r="U36" s="9"/>
      <c r="V36" s="9"/>
      <c r="W36" s="9"/>
      <c r="X36" s="9"/>
      <c r="Y36" s="9"/>
    </row>
    <row r="37" spans="1:25" ht="15.75" customHeight="1">
      <c r="A37" s="9"/>
      <c r="B37" s="9"/>
      <c r="C37" s="9"/>
      <c r="D37" s="9"/>
      <c r="E37" s="9"/>
      <c r="F37" s="9"/>
      <c r="G37" s="9"/>
      <c r="H37" s="9"/>
      <c r="I37" s="9"/>
      <c r="J37" s="9"/>
      <c r="K37" s="9"/>
      <c r="L37" s="9"/>
      <c r="M37" s="9"/>
      <c r="N37" s="9"/>
      <c r="O37" s="9"/>
      <c r="P37" s="9"/>
      <c r="Q37" s="9"/>
      <c r="R37" s="9"/>
      <c r="S37" s="9"/>
      <c r="T37" s="9"/>
      <c r="U37" s="9"/>
      <c r="V37" s="9"/>
      <c r="W37" s="9"/>
      <c r="X37" s="9"/>
      <c r="Y37" s="9"/>
    </row>
    <row r="38" spans="1:25" ht="15.75" customHeight="1">
      <c r="A38" s="9"/>
      <c r="B38" s="9"/>
      <c r="C38" s="9"/>
      <c r="D38" s="9"/>
      <c r="E38" s="9"/>
      <c r="F38" s="9"/>
      <c r="G38" s="9"/>
      <c r="H38" s="9"/>
      <c r="I38" s="9"/>
      <c r="J38" s="9"/>
      <c r="K38" s="9"/>
      <c r="L38" s="9"/>
      <c r="M38" s="9"/>
      <c r="N38" s="9"/>
      <c r="O38" s="9"/>
      <c r="P38" s="9"/>
      <c r="Q38" s="9"/>
      <c r="R38" s="9"/>
      <c r="S38" s="9"/>
      <c r="T38" s="9"/>
      <c r="U38" s="9"/>
      <c r="V38" s="9"/>
      <c r="W38" s="9"/>
      <c r="X38" s="9"/>
      <c r="Y38" s="9"/>
    </row>
    <row r="39" spans="1:25" ht="15.75" customHeight="1">
      <c r="A39" s="9"/>
      <c r="B39" s="9"/>
      <c r="C39" s="9"/>
      <c r="D39" s="9"/>
      <c r="E39" s="9"/>
      <c r="F39" s="9"/>
      <c r="G39" s="9"/>
      <c r="H39" s="9"/>
      <c r="I39" s="9"/>
      <c r="J39" s="9"/>
      <c r="K39" s="9"/>
      <c r="L39" s="9"/>
      <c r="M39" s="9"/>
      <c r="N39" s="9"/>
      <c r="O39" s="9"/>
      <c r="P39" s="9"/>
      <c r="Q39" s="9"/>
      <c r="R39" s="9"/>
      <c r="S39" s="9"/>
      <c r="T39" s="9"/>
      <c r="U39" s="9"/>
      <c r="V39" s="9"/>
      <c r="W39" s="9"/>
      <c r="X39" s="9"/>
      <c r="Y39" s="9"/>
    </row>
    <row r="40" spans="1:25" ht="15.75" customHeight="1">
      <c r="A40" s="9"/>
      <c r="B40" s="9"/>
      <c r="C40" s="9"/>
      <c r="D40" s="9"/>
      <c r="E40" s="9"/>
      <c r="F40" s="9"/>
      <c r="G40" s="9"/>
      <c r="H40" s="9"/>
      <c r="I40" s="9"/>
      <c r="J40" s="9"/>
      <c r="K40" s="9"/>
      <c r="L40" s="9"/>
      <c r="M40" s="9"/>
      <c r="N40" s="9"/>
      <c r="O40" s="9"/>
      <c r="P40" s="9"/>
      <c r="Q40" s="9"/>
      <c r="R40" s="9"/>
      <c r="S40" s="9"/>
      <c r="T40" s="9"/>
      <c r="U40" s="9"/>
      <c r="V40" s="9"/>
      <c r="W40" s="9"/>
      <c r="X40" s="9"/>
      <c r="Y40" s="9"/>
    </row>
    <row r="41" spans="1:25" ht="15.75" customHeight="1">
      <c r="A41" s="9"/>
      <c r="B41" s="9"/>
      <c r="C41" s="9"/>
      <c r="D41" s="9"/>
      <c r="E41" s="9"/>
      <c r="F41" s="9"/>
      <c r="G41" s="9"/>
      <c r="H41" s="9"/>
      <c r="I41" s="9"/>
      <c r="J41" s="9"/>
      <c r="K41" s="9"/>
      <c r="L41" s="9"/>
      <c r="M41" s="9"/>
      <c r="N41" s="9"/>
      <c r="O41" s="9"/>
      <c r="P41" s="9"/>
      <c r="Q41" s="9"/>
      <c r="R41" s="9"/>
      <c r="S41" s="9"/>
      <c r="T41" s="9"/>
      <c r="U41" s="9"/>
      <c r="V41" s="9"/>
      <c r="W41" s="9"/>
      <c r="X41" s="9"/>
      <c r="Y41" s="9"/>
    </row>
    <row r="42" spans="1:25" ht="15.75" customHeight="1">
      <c r="A42" s="9"/>
      <c r="B42" s="9"/>
      <c r="C42" s="9"/>
      <c r="D42" s="9"/>
      <c r="E42" s="9"/>
      <c r="F42" s="9"/>
      <c r="G42" s="9"/>
      <c r="H42" s="9"/>
      <c r="I42" s="9"/>
      <c r="J42" s="9"/>
      <c r="K42" s="9"/>
      <c r="L42" s="9"/>
      <c r="M42" s="9"/>
      <c r="N42" s="9"/>
      <c r="O42" s="9"/>
      <c r="P42" s="9"/>
      <c r="Q42" s="9"/>
      <c r="R42" s="9"/>
      <c r="S42" s="9"/>
      <c r="T42" s="9"/>
      <c r="U42" s="9"/>
      <c r="V42" s="9"/>
      <c r="W42" s="9"/>
      <c r="X42" s="9"/>
      <c r="Y42" s="9"/>
    </row>
    <row r="43" spans="1:25" ht="15.75" customHeight="1">
      <c r="A43" s="9"/>
      <c r="B43" s="9"/>
      <c r="C43" s="9"/>
      <c r="D43" s="9"/>
      <c r="E43" s="9"/>
      <c r="F43" s="9"/>
      <c r="G43" s="9"/>
      <c r="H43" s="9"/>
      <c r="I43" s="9"/>
      <c r="J43" s="9"/>
      <c r="K43" s="9"/>
      <c r="L43" s="9"/>
      <c r="M43" s="9"/>
      <c r="N43" s="9"/>
      <c r="O43" s="9"/>
      <c r="P43" s="9"/>
      <c r="Q43" s="9"/>
      <c r="R43" s="9"/>
      <c r="S43" s="9"/>
      <c r="T43" s="9"/>
      <c r="U43" s="9"/>
      <c r="V43" s="9"/>
      <c r="W43" s="9"/>
      <c r="X43" s="9"/>
      <c r="Y43" s="9"/>
    </row>
    <row r="44" spans="1:25" ht="15.75" customHeight="1">
      <c r="A44" s="9"/>
      <c r="B44" s="9"/>
      <c r="C44" s="9"/>
      <c r="D44" s="9"/>
      <c r="E44" s="9"/>
      <c r="F44" s="9"/>
      <c r="G44" s="9"/>
      <c r="H44" s="9"/>
      <c r="I44" s="9"/>
      <c r="J44" s="9"/>
      <c r="K44" s="9"/>
      <c r="L44" s="9"/>
      <c r="M44" s="9"/>
      <c r="N44" s="9"/>
      <c r="O44" s="9"/>
      <c r="P44" s="9"/>
      <c r="Q44" s="9"/>
      <c r="R44" s="9"/>
      <c r="S44" s="9"/>
      <c r="T44" s="9"/>
      <c r="U44" s="9"/>
      <c r="V44" s="9"/>
      <c r="W44" s="9"/>
      <c r="X44" s="9"/>
      <c r="Y44" s="9"/>
    </row>
    <row r="45" spans="1:25" ht="15.75" customHeight="1">
      <c r="A45" s="9"/>
      <c r="B45" s="9"/>
      <c r="C45" s="9"/>
      <c r="D45" s="9"/>
      <c r="E45" s="9"/>
      <c r="F45" s="9"/>
      <c r="G45" s="9"/>
      <c r="H45" s="9"/>
      <c r="I45" s="9"/>
      <c r="J45" s="9"/>
      <c r="K45" s="9"/>
      <c r="L45" s="9"/>
      <c r="M45" s="9"/>
      <c r="N45" s="9"/>
      <c r="O45" s="9"/>
      <c r="P45" s="9"/>
      <c r="Q45" s="9"/>
      <c r="R45" s="9"/>
      <c r="S45" s="9"/>
      <c r="T45" s="9"/>
      <c r="U45" s="9"/>
      <c r="V45" s="9"/>
      <c r="W45" s="9"/>
      <c r="X45" s="9"/>
      <c r="Y45" s="9"/>
    </row>
    <row r="46" spans="1:25" ht="15.75" customHeight="1">
      <c r="A46" s="9"/>
      <c r="B46" s="9"/>
      <c r="C46" s="9"/>
      <c r="D46" s="9"/>
      <c r="E46" s="9"/>
      <c r="F46" s="9"/>
      <c r="G46" s="9"/>
      <c r="H46" s="9"/>
      <c r="I46" s="9"/>
      <c r="J46" s="9"/>
      <c r="K46" s="9"/>
      <c r="L46" s="9"/>
      <c r="M46" s="9"/>
      <c r="N46" s="9"/>
      <c r="O46" s="9"/>
      <c r="P46" s="9"/>
      <c r="Q46" s="9"/>
      <c r="R46" s="9"/>
      <c r="S46" s="9"/>
      <c r="T46" s="9"/>
      <c r="U46" s="9"/>
      <c r="V46" s="9"/>
      <c r="W46" s="9"/>
      <c r="X46" s="9"/>
      <c r="Y46" s="9"/>
    </row>
    <row r="47" spans="1:25" ht="15.75" customHeight="1">
      <c r="A47" s="9"/>
      <c r="B47" s="9"/>
      <c r="C47" s="9"/>
      <c r="D47" s="9"/>
      <c r="E47" s="9"/>
      <c r="F47" s="9"/>
      <c r="G47" s="9"/>
      <c r="H47" s="9"/>
      <c r="I47" s="9"/>
      <c r="J47" s="9"/>
      <c r="K47" s="9"/>
      <c r="L47" s="9"/>
      <c r="M47" s="9"/>
      <c r="N47" s="9"/>
      <c r="O47" s="9"/>
      <c r="P47" s="9"/>
      <c r="Q47" s="9"/>
      <c r="R47" s="9"/>
      <c r="S47" s="9"/>
      <c r="T47" s="9"/>
      <c r="U47" s="9"/>
      <c r="V47" s="9"/>
      <c r="W47" s="9"/>
      <c r="X47" s="9"/>
      <c r="Y47" s="9"/>
    </row>
    <row r="48" spans="1:25" ht="15.75" customHeight="1">
      <c r="A48" s="9"/>
      <c r="B48" s="9"/>
      <c r="C48" s="9"/>
      <c r="D48" s="9"/>
      <c r="E48" s="9"/>
      <c r="F48" s="9"/>
      <c r="G48" s="9"/>
      <c r="H48" s="9"/>
      <c r="I48" s="9"/>
      <c r="J48" s="9"/>
      <c r="K48" s="9"/>
      <c r="L48" s="9"/>
      <c r="M48" s="9"/>
      <c r="N48" s="9"/>
      <c r="O48" s="9"/>
      <c r="P48" s="9"/>
      <c r="Q48" s="9"/>
      <c r="R48" s="9"/>
      <c r="S48" s="9"/>
      <c r="T48" s="9"/>
      <c r="U48" s="9"/>
      <c r="V48" s="9"/>
      <c r="W48" s="9"/>
      <c r="X48" s="9"/>
      <c r="Y48" s="9"/>
    </row>
    <row r="49" spans="1:25" ht="15.75" customHeight="1">
      <c r="A49" s="9"/>
      <c r="B49" s="9"/>
      <c r="C49" s="9"/>
      <c r="D49" s="9"/>
      <c r="E49" s="9"/>
      <c r="F49" s="9"/>
      <c r="G49" s="9"/>
      <c r="H49" s="9"/>
      <c r="I49" s="9"/>
      <c r="J49" s="9"/>
      <c r="K49" s="9"/>
      <c r="L49" s="9"/>
      <c r="M49" s="9"/>
      <c r="N49" s="9"/>
      <c r="O49" s="9"/>
      <c r="P49" s="9"/>
      <c r="Q49" s="9"/>
      <c r="R49" s="9"/>
      <c r="S49" s="9"/>
      <c r="T49" s="9"/>
      <c r="U49" s="9"/>
      <c r="V49" s="9"/>
      <c r="W49" s="9"/>
      <c r="X49" s="9"/>
      <c r="Y49" s="9"/>
    </row>
    <row r="50" spans="1:25" ht="15.75" customHeight="1">
      <c r="A50" s="9"/>
      <c r="B50" s="9"/>
      <c r="C50" s="9"/>
      <c r="D50" s="9"/>
      <c r="E50" s="9"/>
      <c r="F50" s="9"/>
      <c r="G50" s="9"/>
      <c r="H50" s="9"/>
      <c r="I50" s="9"/>
      <c r="J50" s="9"/>
      <c r="K50" s="9"/>
      <c r="L50" s="9"/>
      <c r="M50" s="9"/>
      <c r="N50" s="9"/>
      <c r="O50" s="9"/>
      <c r="P50" s="9"/>
      <c r="Q50" s="9"/>
      <c r="R50" s="9"/>
      <c r="S50" s="9"/>
      <c r="T50" s="9"/>
      <c r="U50" s="9"/>
      <c r="V50" s="9"/>
      <c r="W50" s="9"/>
      <c r="X50" s="9"/>
      <c r="Y50" s="9"/>
    </row>
    <row r="51" spans="1:25" ht="15.75" customHeight="1">
      <c r="A51" s="9"/>
      <c r="B51" s="9"/>
      <c r="C51" s="9"/>
      <c r="D51" s="9"/>
      <c r="E51" s="9"/>
      <c r="F51" s="9"/>
      <c r="G51" s="9"/>
      <c r="H51" s="9"/>
      <c r="I51" s="9"/>
      <c r="J51" s="9"/>
      <c r="K51" s="9"/>
      <c r="L51" s="9"/>
      <c r="M51" s="9"/>
      <c r="N51" s="9"/>
      <c r="O51" s="9"/>
      <c r="P51" s="9"/>
      <c r="Q51" s="9"/>
      <c r="R51" s="9"/>
      <c r="S51" s="9"/>
      <c r="T51" s="9"/>
      <c r="U51" s="9"/>
      <c r="V51" s="9"/>
      <c r="W51" s="9"/>
      <c r="X51" s="9"/>
      <c r="Y51" s="9"/>
    </row>
    <row r="52" spans="1:25" ht="15.75" customHeight="1">
      <c r="A52" s="9"/>
      <c r="B52" s="9"/>
      <c r="C52" s="9"/>
      <c r="D52" s="9"/>
      <c r="E52" s="9"/>
      <c r="F52" s="9"/>
      <c r="G52" s="9"/>
      <c r="H52" s="9"/>
      <c r="I52" s="9"/>
      <c r="J52" s="9"/>
      <c r="K52" s="9"/>
      <c r="L52" s="9"/>
      <c r="M52" s="9"/>
      <c r="N52" s="9"/>
      <c r="O52" s="9"/>
      <c r="P52" s="9"/>
      <c r="Q52" s="9"/>
      <c r="R52" s="9"/>
      <c r="S52" s="9"/>
      <c r="T52" s="9"/>
      <c r="U52" s="9"/>
      <c r="V52" s="9"/>
      <c r="W52" s="9"/>
      <c r="X52" s="9"/>
      <c r="Y52" s="9"/>
    </row>
    <row r="53" spans="1:25" ht="15.75" customHeight="1">
      <c r="A53" s="9"/>
      <c r="B53" s="9"/>
      <c r="C53" s="9"/>
      <c r="D53" s="9"/>
      <c r="E53" s="9"/>
      <c r="F53" s="9"/>
      <c r="G53" s="9"/>
      <c r="H53" s="9"/>
      <c r="I53" s="9"/>
      <c r="J53" s="9"/>
      <c r="K53" s="9"/>
      <c r="L53" s="9"/>
      <c r="M53" s="9"/>
      <c r="N53" s="9"/>
      <c r="O53" s="9"/>
      <c r="P53" s="9"/>
      <c r="Q53" s="9"/>
      <c r="R53" s="9"/>
      <c r="S53" s="9"/>
      <c r="T53" s="9"/>
      <c r="U53" s="9"/>
      <c r="V53" s="9"/>
      <c r="W53" s="9"/>
      <c r="X53" s="9"/>
      <c r="Y53" s="9"/>
    </row>
    <row r="54" spans="1:25" ht="15.75" customHeight="1">
      <c r="A54" s="9"/>
      <c r="B54" s="9"/>
      <c r="C54" s="9"/>
      <c r="D54" s="9"/>
      <c r="E54" s="9"/>
      <c r="F54" s="9"/>
      <c r="G54" s="9"/>
      <c r="H54" s="9"/>
      <c r="I54" s="9"/>
      <c r="J54" s="9"/>
      <c r="K54" s="9"/>
      <c r="L54" s="9"/>
      <c r="M54" s="9"/>
      <c r="N54" s="9"/>
      <c r="O54" s="9"/>
      <c r="P54" s="9"/>
      <c r="Q54" s="9"/>
      <c r="R54" s="9"/>
      <c r="S54" s="9"/>
      <c r="T54" s="9"/>
      <c r="U54" s="9"/>
      <c r="V54" s="9"/>
      <c r="W54" s="9"/>
      <c r="X54" s="9"/>
      <c r="Y54" s="9"/>
    </row>
    <row r="55" spans="1:25" ht="15.75" customHeight="1">
      <c r="A55" s="9"/>
      <c r="B55" s="9"/>
      <c r="C55" s="9"/>
      <c r="D55" s="9"/>
      <c r="E55" s="9"/>
      <c r="F55" s="9"/>
      <c r="G55" s="9"/>
      <c r="H55" s="9"/>
      <c r="I55" s="9"/>
      <c r="J55" s="9"/>
      <c r="K55" s="9"/>
      <c r="L55" s="9"/>
      <c r="M55" s="9"/>
      <c r="N55" s="9"/>
      <c r="O55" s="9"/>
      <c r="P55" s="9"/>
      <c r="Q55" s="9"/>
      <c r="R55" s="9"/>
      <c r="S55" s="9"/>
      <c r="T55" s="9"/>
      <c r="U55" s="9"/>
      <c r="V55" s="9"/>
      <c r="W55" s="9"/>
      <c r="X55" s="9"/>
      <c r="Y55" s="9"/>
    </row>
    <row r="56" spans="1:25" ht="15.75" customHeight="1">
      <c r="A56" s="9"/>
      <c r="B56" s="9"/>
      <c r="C56" s="9"/>
      <c r="D56" s="9"/>
      <c r="E56" s="9"/>
      <c r="F56" s="9"/>
      <c r="G56" s="9"/>
      <c r="H56" s="9"/>
      <c r="I56" s="9"/>
      <c r="J56" s="9"/>
      <c r="K56" s="9"/>
      <c r="L56" s="9"/>
      <c r="M56" s="9"/>
      <c r="N56" s="9"/>
      <c r="O56" s="9"/>
      <c r="P56" s="9"/>
      <c r="Q56" s="9"/>
      <c r="R56" s="9"/>
      <c r="S56" s="9"/>
      <c r="T56" s="9"/>
      <c r="U56" s="9"/>
      <c r="V56" s="9"/>
      <c r="W56" s="9"/>
      <c r="X56" s="9"/>
      <c r="Y56" s="9"/>
    </row>
    <row r="57" spans="1:25" ht="15.75" customHeight="1">
      <c r="A57" s="9"/>
      <c r="B57" s="9"/>
      <c r="C57" s="9"/>
      <c r="D57" s="9"/>
      <c r="E57" s="9"/>
      <c r="F57" s="9"/>
      <c r="G57" s="9"/>
      <c r="H57" s="9"/>
      <c r="I57" s="9"/>
      <c r="J57" s="9"/>
      <c r="K57" s="9"/>
      <c r="L57" s="9"/>
      <c r="M57" s="9"/>
      <c r="N57" s="9"/>
      <c r="O57" s="9"/>
      <c r="P57" s="9"/>
      <c r="Q57" s="9"/>
      <c r="R57" s="9"/>
      <c r="S57" s="9"/>
      <c r="T57" s="9"/>
      <c r="U57" s="9"/>
      <c r="V57" s="9"/>
      <c r="W57" s="9"/>
      <c r="X57" s="9"/>
      <c r="Y57" s="9"/>
    </row>
    <row r="58" spans="1:25" ht="15.75" customHeight="1">
      <c r="A58" s="9"/>
      <c r="B58" s="9"/>
      <c r="C58" s="9"/>
      <c r="D58" s="9"/>
      <c r="E58" s="9"/>
      <c r="F58" s="9"/>
      <c r="G58" s="9"/>
      <c r="H58" s="9"/>
      <c r="I58" s="9"/>
      <c r="J58" s="9"/>
      <c r="K58" s="9"/>
      <c r="L58" s="9"/>
      <c r="M58" s="9"/>
      <c r="N58" s="9"/>
      <c r="O58" s="9"/>
      <c r="P58" s="9"/>
      <c r="Q58" s="9"/>
      <c r="R58" s="9"/>
      <c r="S58" s="9"/>
      <c r="T58" s="9"/>
      <c r="U58" s="9"/>
      <c r="V58" s="9"/>
      <c r="W58" s="9"/>
      <c r="X58" s="9"/>
      <c r="Y58" s="9"/>
    </row>
    <row r="59" spans="1:25" ht="15.75" customHeight="1">
      <c r="A59" s="9"/>
      <c r="B59" s="9"/>
      <c r="C59" s="9"/>
      <c r="D59" s="9"/>
      <c r="E59" s="9"/>
      <c r="F59" s="9"/>
      <c r="G59" s="9"/>
      <c r="H59" s="9"/>
      <c r="I59" s="9"/>
      <c r="J59" s="9"/>
      <c r="K59" s="9"/>
      <c r="L59" s="9"/>
      <c r="M59" s="9"/>
      <c r="N59" s="9"/>
      <c r="O59" s="9"/>
      <c r="P59" s="9"/>
      <c r="Q59" s="9"/>
      <c r="R59" s="9"/>
      <c r="S59" s="9"/>
      <c r="T59" s="9"/>
      <c r="U59" s="9"/>
      <c r="V59" s="9"/>
      <c r="W59" s="9"/>
      <c r="X59" s="9"/>
      <c r="Y59" s="9"/>
    </row>
    <row r="60" spans="1:25" ht="15.75" customHeight="1">
      <c r="A60" s="9"/>
      <c r="B60" s="9"/>
      <c r="C60" s="9"/>
      <c r="D60" s="9"/>
      <c r="E60" s="9"/>
      <c r="F60" s="9"/>
      <c r="G60" s="9"/>
      <c r="H60" s="9"/>
      <c r="I60" s="9"/>
      <c r="J60" s="9"/>
      <c r="K60" s="9"/>
      <c r="L60" s="9"/>
      <c r="M60" s="9"/>
      <c r="N60" s="9"/>
      <c r="O60" s="9"/>
      <c r="P60" s="9"/>
      <c r="Q60" s="9"/>
      <c r="R60" s="9"/>
      <c r="S60" s="9"/>
      <c r="T60" s="9"/>
      <c r="U60" s="9"/>
      <c r="V60" s="9"/>
      <c r="W60" s="9"/>
      <c r="X60" s="9"/>
      <c r="Y60" s="9"/>
    </row>
    <row r="61" spans="1:25" ht="15.75" customHeight="1">
      <c r="A61" s="9"/>
      <c r="B61" s="9"/>
      <c r="C61" s="9"/>
      <c r="D61" s="9"/>
      <c r="E61" s="9"/>
      <c r="F61" s="9"/>
      <c r="G61" s="9"/>
      <c r="H61" s="9"/>
      <c r="I61" s="9"/>
      <c r="J61" s="9"/>
      <c r="K61" s="9"/>
      <c r="L61" s="9"/>
      <c r="M61" s="9"/>
      <c r="N61" s="9"/>
      <c r="O61" s="9"/>
      <c r="P61" s="9"/>
      <c r="Q61" s="9"/>
      <c r="R61" s="9"/>
      <c r="S61" s="9"/>
      <c r="T61" s="9"/>
      <c r="U61" s="9"/>
      <c r="V61" s="9"/>
      <c r="W61" s="9"/>
      <c r="X61" s="9"/>
      <c r="Y61" s="9"/>
    </row>
    <row r="62" spans="1:25" ht="15.75" customHeight="1">
      <c r="A62" s="9"/>
      <c r="B62" s="9"/>
      <c r="C62" s="9"/>
      <c r="D62" s="9"/>
      <c r="E62" s="9"/>
      <c r="F62" s="9"/>
      <c r="G62" s="9"/>
      <c r="H62" s="9"/>
      <c r="I62" s="9"/>
      <c r="J62" s="9"/>
      <c r="K62" s="9"/>
      <c r="L62" s="9"/>
      <c r="M62" s="9"/>
      <c r="N62" s="9"/>
      <c r="O62" s="9"/>
      <c r="P62" s="9"/>
      <c r="Q62" s="9"/>
      <c r="R62" s="9"/>
      <c r="S62" s="9"/>
      <c r="T62" s="9"/>
      <c r="U62" s="9"/>
      <c r="V62" s="9"/>
      <c r="W62" s="9"/>
      <c r="X62" s="9"/>
      <c r="Y62" s="9"/>
    </row>
    <row r="63" spans="1:25" ht="15.75" customHeight="1">
      <c r="A63" s="9"/>
      <c r="B63" s="9"/>
      <c r="C63" s="9"/>
      <c r="D63" s="9"/>
      <c r="E63" s="9"/>
      <c r="F63" s="9"/>
      <c r="G63" s="9"/>
      <c r="H63" s="9"/>
      <c r="I63" s="9"/>
      <c r="J63" s="9"/>
      <c r="K63" s="9"/>
      <c r="L63" s="9"/>
      <c r="M63" s="9"/>
      <c r="N63" s="9"/>
      <c r="O63" s="9"/>
      <c r="P63" s="9"/>
      <c r="Q63" s="9"/>
      <c r="R63" s="9"/>
      <c r="S63" s="9"/>
      <c r="T63" s="9"/>
      <c r="U63" s="9"/>
      <c r="V63" s="9"/>
      <c r="W63" s="9"/>
      <c r="X63" s="9"/>
      <c r="Y63" s="9"/>
    </row>
    <row r="64" spans="1:25" ht="15.75" customHeight="1">
      <c r="A64" s="9"/>
      <c r="B64" s="9"/>
      <c r="C64" s="9"/>
      <c r="D64" s="9"/>
      <c r="E64" s="9"/>
      <c r="F64" s="9"/>
      <c r="G64" s="9"/>
      <c r="H64" s="9"/>
      <c r="I64" s="9"/>
      <c r="J64" s="9"/>
      <c r="K64" s="9"/>
      <c r="L64" s="9"/>
      <c r="M64" s="9"/>
      <c r="N64" s="9"/>
      <c r="O64" s="9"/>
      <c r="P64" s="9"/>
      <c r="Q64" s="9"/>
      <c r="R64" s="9"/>
      <c r="S64" s="9"/>
      <c r="T64" s="9"/>
      <c r="U64" s="9"/>
      <c r="V64" s="9"/>
      <c r="W64" s="9"/>
      <c r="X64" s="9"/>
      <c r="Y64" s="9"/>
    </row>
    <row r="65" spans="1:25" ht="15.75" customHeight="1">
      <c r="A65" s="9"/>
      <c r="B65" s="9"/>
      <c r="C65" s="9"/>
      <c r="D65" s="9"/>
      <c r="E65" s="9"/>
      <c r="F65" s="9"/>
      <c r="G65" s="9"/>
      <c r="H65" s="9"/>
      <c r="I65" s="9"/>
      <c r="J65" s="9"/>
      <c r="K65" s="9"/>
      <c r="L65" s="9"/>
      <c r="M65" s="9"/>
      <c r="N65" s="9"/>
      <c r="O65" s="9"/>
      <c r="P65" s="9"/>
      <c r="Q65" s="9"/>
      <c r="R65" s="9"/>
      <c r="S65" s="9"/>
      <c r="T65" s="9"/>
      <c r="U65" s="9"/>
      <c r="V65" s="9"/>
      <c r="W65" s="9"/>
      <c r="X65" s="9"/>
      <c r="Y65" s="9"/>
    </row>
    <row r="66" spans="1:25" ht="15.75" customHeight="1">
      <c r="A66" s="9"/>
      <c r="B66" s="9"/>
      <c r="C66" s="9"/>
      <c r="D66" s="9"/>
      <c r="E66" s="9"/>
      <c r="F66" s="9"/>
      <c r="G66" s="9"/>
      <c r="H66" s="9"/>
      <c r="I66" s="9"/>
      <c r="J66" s="9"/>
      <c r="K66" s="9"/>
      <c r="L66" s="9"/>
      <c r="M66" s="9"/>
      <c r="N66" s="9"/>
      <c r="O66" s="9"/>
      <c r="P66" s="9"/>
      <c r="Q66" s="9"/>
      <c r="R66" s="9"/>
      <c r="S66" s="9"/>
      <c r="T66" s="9"/>
      <c r="U66" s="9"/>
      <c r="V66" s="9"/>
      <c r="W66" s="9"/>
      <c r="X66" s="9"/>
      <c r="Y66" s="9"/>
    </row>
    <row r="67" spans="1:25" ht="15.75" customHeight="1">
      <c r="A67" s="9"/>
      <c r="B67" s="9"/>
      <c r="C67" s="9"/>
      <c r="D67" s="9"/>
      <c r="E67" s="9"/>
      <c r="F67" s="9"/>
      <c r="G67" s="9"/>
      <c r="H67" s="9"/>
      <c r="I67" s="9"/>
      <c r="J67" s="9"/>
      <c r="K67" s="9"/>
      <c r="L67" s="9"/>
      <c r="M67" s="9"/>
      <c r="N67" s="9"/>
      <c r="O67" s="9"/>
      <c r="P67" s="9"/>
      <c r="Q67" s="9"/>
      <c r="R67" s="9"/>
      <c r="S67" s="9"/>
      <c r="T67" s="9"/>
      <c r="U67" s="9"/>
      <c r="V67" s="9"/>
      <c r="W67" s="9"/>
      <c r="X67" s="9"/>
      <c r="Y67" s="9"/>
    </row>
    <row r="68" spans="1:25" ht="15.75" customHeight="1">
      <c r="A68" s="9"/>
      <c r="B68" s="9"/>
      <c r="C68" s="9"/>
      <c r="D68" s="9"/>
      <c r="E68" s="9"/>
      <c r="F68" s="9"/>
      <c r="G68" s="9"/>
      <c r="H68" s="9"/>
      <c r="I68" s="9"/>
      <c r="J68" s="9"/>
      <c r="K68" s="9"/>
      <c r="L68" s="9"/>
      <c r="M68" s="9"/>
      <c r="N68" s="9"/>
      <c r="O68" s="9"/>
      <c r="P68" s="9"/>
      <c r="Q68" s="9"/>
      <c r="R68" s="9"/>
      <c r="S68" s="9"/>
      <c r="T68" s="9"/>
      <c r="U68" s="9"/>
      <c r="V68" s="9"/>
      <c r="W68" s="9"/>
      <c r="X68" s="9"/>
      <c r="Y68" s="9"/>
    </row>
    <row r="69" spans="1:25" ht="15.75" customHeight="1">
      <c r="A69" s="9"/>
      <c r="B69" s="9"/>
      <c r="C69" s="9"/>
      <c r="D69" s="9"/>
      <c r="E69" s="9"/>
      <c r="F69" s="9"/>
      <c r="G69" s="9"/>
      <c r="H69" s="9"/>
      <c r="I69" s="9"/>
      <c r="J69" s="9"/>
      <c r="K69" s="9"/>
      <c r="L69" s="9"/>
      <c r="M69" s="9"/>
      <c r="N69" s="9"/>
      <c r="O69" s="9"/>
      <c r="P69" s="9"/>
      <c r="Q69" s="9"/>
      <c r="R69" s="9"/>
      <c r="S69" s="9"/>
      <c r="T69" s="9"/>
      <c r="U69" s="9"/>
      <c r="V69" s="9"/>
      <c r="W69" s="9"/>
      <c r="X69" s="9"/>
      <c r="Y69" s="9"/>
    </row>
    <row r="70" spans="1:25" ht="15.75" customHeight="1">
      <c r="A70" s="9"/>
      <c r="B70" s="9"/>
      <c r="C70" s="9"/>
      <c r="D70" s="9"/>
      <c r="E70" s="9"/>
      <c r="F70" s="9"/>
      <c r="G70" s="9"/>
      <c r="H70" s="9"/>
      <c r="I70" s="9"/>
      <c r="J70" s="9"/>
      <c r="K70" s="9"/>
      <c r="L70" s="9"/>
      <c r="M70" s="9"/>
      <c r="N70" s="9"/>
      <c r="O70" s="9"/>
      <c r="P70" s="9"/>
      <c r="Q70" s="9"/>
      <c r="R70" s="9"/>
      <c r="S70" s="9"/>
      <c r="T70" s="9"/>
      <c r="U70" s="9"/>
      <c r="V70" s="9"/>
      <c r="W70" s="9"/>
      <c r="X70" s="9"/>
      <c r="Y70" s="9"/>
    </row>
    <row r="71" spans="1:25" ht="15.75" customHeight="1">
      <c r="A71" s="9"/>
      <c r="B71" s="9"/>
      <c r="C71" s="9"/>
      <c r="D71" s="9"/>
      <c r="E71" s="9"/>
      <c r="F71" s="9"/>
      <c r="G71" s="9"/>
      <c r="H71" s="9"/>
      <c r="I71" s="9"/>
      <c r="J71" s="9"/>
      <c r="K71" s="9"/>
      <c r="L71" s="9"/>
      <c r="M71" s="9"/>
      <c r="N71" s="9"/>
      <c r="O71" s="9"/>
      <c r="P71" s="9"/>
      <c r="Q71" s="9"/>
      <c r="R71" s="9"/>
      <c r="S71" s="9"/>
      <c r="T71" s="9"/>
      <c r="U71" s="9"/>
      <c r="V71" s="9"/>
      <c r="W71" s="9"/>
      <c r="X71" s="9"/>
      <c r="Y71" s="9"/>
    </row>
    <row r="72" spans="1:25" ht="15.75" customHeight="1">
      <c r="A72" s="9"/>
      <c r="B72" s="9"/>
      <c r="C72" s="9"/>
      <c r="D72" s="9"/>
      <c r="E72" s="9"/>
      <c r="F72" s="9"/>
      <c r="G72" s="9"/>
      <c r="H72" s="9"/>
      <c r="I72" s="9"/>
      <c r="J72" s="9"/>
      <c r="K72" s="9"/>
      <c r="L72" s="9"/>
      <c r="M72" s="9"/>
      <c r="N72" s="9"/>
      <c r="O72" s="9"/>
      <c r="P72" s="9"/>
      <c r="Q72" s="9"/>
      <c r="R72" s="9"/>
      <c r="S72" s="9"/>
      <c r="T72" s="9"/>
      <c r="U72" s="9"/>
      <c r="V72" s="9"/>
      <c r="W72" s="9"/>
      <c r="X72" s="9"/>
      <c r="Y72" s="9"/>
    </row>
    <row r="73" spans="1:25" ht="15.75" customHeight="1">
      <c r="A73" s="9"/>
      <c r="B73" s="9"/>
      <c r="C73" s="9"/>
      <c r="D73" s="9"/>
      <c r="E73" s="9"/>
      <c r="F73" s="9"/>
      <c r="G73" s="9"/>
      <c r="H73" s="9"/>
      <c r="I73" s="9"/>
      <c r="J73" s="9"/>
      <c r="K73" s="9"/>
      <c r="L73" s="9"/>
      <c r="M73" s="9"/>
      <c r="N73" s="9"/>
      <c r="O73" s="9"/>
      <c r="P73" s="9"/>
      <c r="Q73" s="9"/>
      <c r="R73" s="9"/>
      <c r="S73" s="9"/>
      <c r="T73" s="9"/>
      <c r="U73" s="9"/>
      <c r="V73" s="9"/>
      <c r="W73" s="9"/>
      <c r="X73" s="9"/>
      <c r="Y73" s="9"/>
    </row>
    <row r="74" spans="1:25" ht="15.75" customHeight="1">
      <c r="A74" s="9"/>
      <c r="B74" s="9"/>
      <c r="C74" s="9"/>
      <c r="D74" s="9"/>
      <c r="E74" s="9"/>
      <c r="F74" s="9"/>
      <c r="G74" s="9"/>
      <c r="H74" s="9"/>
      <c r="I74" s="9"/>
      <c r="J74" s="9"/>
      <c r="K74" s="9"/>
      <c r="L74" s="9"/>
      <c r="M74" s="9"/>
      <c r="N74" s="9"/>
      <c r="O74" s="9"/>
      <c r="P74" s="9"/>
      <c r="Q74" s="9"/>
      <c r="R74" s="9"/>
      <c r="S74" s="9"/>
      <c r="T74" s="9"/>
      <c r="U74" s="9"/>
      <c r="V74" s="9"/>
      <c r="W74" s="9"/>
      <c r="X74" s="9"/>
      <c r="Y74" s="9"/>
    </row>
    <row r="75" spans="1:25" ht="15.75" customHeight="1">
      <c r="A75" s="9"/>
      <c r="B75" s="9"/>
      <c r="C75" s="9"/>
      <c r="D75" s="9"/>
      <c r="E75" s="9"/>
      <c r="F75" s="9"/>
      <c r="G75" s="9"/>
      <c r="H75" s="9"/>
      <c r="I75" s="9"/>
      <c r="J75" s="9"/>
      <c r="K75" s="9"/>
      <c r="L75" s="9"/>
      <c r="M75" s="9"/>
      <c r="N75" s="9"/>
      <c r="O75" s="9"/>
      <c r="P75" s="9"/>
      <c r="Q75" s="9"/>
      <c r="R75" s="9"/>
      <c r="S75" s="9"/>
      <c r="T75" s="9"/>
      <c r="U75" s="9"/>
      <c r="V75" s="9"/>
      <c r="W75" s="9"/>
      <c r="X75" s="9"/>
      <c r="Y75" s="9"/>
    </row>
    <row r="76" spans="1:25" ht="15.75" customHeight="1">
      <c r="A76" s="9"/>
      <c r="B76" s="9"/>
      <c r="C76" s="9"/>
      <c r="D76" s="9"/>
      <c r="E76" s="9"/>
      <c r="F76" s="9"/>
      <c r="G76" s="9"/>
      <c r="H76" s="9"/>
      <c r="I76" s="9"/>
      <c r="J76" s="9"/>
      <c r="K76" s="9"/>
      <c r="L76" s="9"/>
      <c r="M76" s="9"/>
      <c r="N76" s="9"/>
      <c r="O76" s="9"/>
      <c r="P76" s="9"/>
      <c r="Q76" s="9"/>
      <c r="R76" s="9"/>
      <c r="S76" s="9"/>
      <c r="T76" s="9"/>
      <c r="U76" s="9"/>
      <c r="V76" s="9"/>
      <c r="W76" s="9"/>
      <c r="X76" s="9"/>
      <c r="Y76" s="9"/>
    </row>
    <row r="77" spans="1:25" ht="15.75" customHeight="1">
      <c r="A77" s="9"/>
      <c r="B77" s="9"/>
      <c r="C77" s="9"/>
      <c r="D77" s="9"/>
      <c r="E77" s="9"/>
      <c r="F77" s="9"/>
      <c r="G77" s="9"/>
      <c r="H77" s="9"/>
      <c r="I77" s="9"/>
      <c r="J77" s="9"/>
      <c r="K77" s="9"/>
      <c r="L77" s="9"/>
      <c r="M77" s="9"/>
      <c r="N77" s="9"/>
      <c r="O77" s="9"/>
      <c r="P77" s="9"/>
      <c r="Q77" s="9"/>
      <c r="R77" s="9"/>
      <c r="S77" s="9"/>
      <c r="T77" s="9"/>
      <c r="U77" s="9"/>
      <c r="V77" s="9"/>
      <c r="W77" s="9"/>
      <c r="X77" s="9"/>
      <c r="Y77" s="9"/>
    </row>
    <row r="78" spans="1:25" ht="15.75" customHeight="1">
      <c r="A78" s="9"/>
      <c r="B78" s="9"/>
      <c r="C78" s="9"/>
      <c r="D78" s="9"/>
      <c r="E78" s="9"/>
      <c r="F78" s="9"/>
      <c r="G78" s="9"/>
      <c r="H78" s="9"/>
      <c r="I78" s="9"/>
      <c r="J78" s="9"/>
      <c r="K78" s="9"/>
      <c r="L78" s="9"/>
      <c r="M78" s="9"/>
      <c r="N78" s="9"/>
      <c r="O78" s="9"/>
      <c r="P78" s="9"/>
      <c r="Q78" s="9"/>
      <c r="R78" s="9"/>
      <c r="S78" s="9"/>
      <c r="T78" s="9"/>
      <c r="U78" s="9"/>
      <c r="V78" s="9"/>
      <c r="W78" s="9"/>
      <c r="X78" s="9"/>
      <c r="Y78" s="9"/>
    </row>
    <row r="79" spans="1:25" ht="15.75" customHeight="1">
      <c r="A79" s="9"/>
      <c r="B79" s="9"/>
      <c r="C79" s="9"/>
      <c r="D79" s="9"/>
      <c r="E79" s="9"/>
      <c r="F79" s="9"/>
      <c r="G79" s="9"/>
      <c r="H79" s="9"/>
      <c r="I79" s="9"/>
      <c r="J79" s="9"/>
      <c r="K79" s="9"/>
      <c r="L79" s="9"/>
      <c r="M79" s="9"/>
      <c r="N79" s="9"/>
      <c r="O79" s="9"/>
      <c r="P79" s="9"/>
      <c r="Q79" s="9"/>
      <c r="R79" s="9"/>
      <c r="S79" s="9"/>
      <c r="T79" s="9"/>
      <c r="U79" s="9"/>
      <c r="V79" s="9"/>
      <c r="W79" s="9"/>
      <c r="X79" s="9"/>
      <c r="Y79" s="9"/>
    </row>
    <row r="80" spans="1:25" ht="15.75" customHeight="1">
      <c r="A80" s="9"/>
      <c r="B80" s="9"/>
      <c r="C80" s="9"/>
      <c r="D80" s="9"/>
      <c r="E80" s="9"/>
      <c r="F80" s="9"/>
      <c r="G80" s="9"/>
      <c r="H80" s="9"/>
      <c r="I80" s="9"/>
      <c r="J80" s="9"/>
      <c r="K80" s="9"/>
      <c r="L80" s="9"/>
      <c r="M80" s="9"/>
      <c r="N80" s="9"/>
      <c r="O80" s="9"/>
      <c r="P80" s="9"/>
      <c r="Q80" s="9"/>
      <c r="R80" s="9"/>
      <c r="S80" s="9"/>
      <c r="T80" s="9"/>
      <c r="U80" s="9"/>
      <c r="V80" s="9"/>
      <c r="W80" s="9"/>
      <c r="X80" s="9"/>
      <c r="Y80" s="9"/>
    </row>
    <row r="81" spans="1:25" ht="15.75" customHeight="1">
      <c r="A81" s="9"/>
      <c r="B81" s="9"/>
      <c r="C81" s="9"/>
      <c r="D81" s="9"/>
      <c r="E81" s="9"/>
      <c r="F81" s="9"/>
      <c r="G81" s="9"/>
      <c r="H81" s="9"/>
      <c r="I81" s="9"/>
      <c r="J81" s="9"/>
      <c r="K81" s="9"/>
      <c r="L81" s="9"/>
      <c r="M81" s="9"/>
      <c r="N81" s="9"/>
      <c r="O81" s="9"/>
      <c r="P81" s="9"/>
      <c r="Q81" s="9"/>
      <c r="R81" s="9"/>
      <c r="S81" s="9"/>
      <c r="T81" s="9"/>
      <c r="U81" s="9"/>
      <c r="V81" s="9"/>
      <c r="W81" s="9"/>
      <c r="X81" s="9"/>
      <c r="Y81" s="9"/>
    </row>
    <row r="82" spans="1:25" ht="15.75" customHeight="1">
      <c r="A82" s="9"/>
      <c r="B82" s="9"/>
      <c r="C82" s="9"/>
      <c r="D82" s="9"/>
      <c r="E82" s="9"/>
      <c r="F82" s="9"/>
      <c r="G82" s="9"/>
      <c r="H82" s="9"/>
      <c r="I82" s="9"/>
      <c r="J82" s="9"/>
      <c r="K82" s="9"/>
      <c r="L82" s="9"/>
      <c r="M82" s="9"/>
      <c r="N82" s="9"/>
      <c r="O82" s="9"/>
      <c r="P82" s="9"/>
      <c r="Q82" s="9"/>
      <c r="R82" s="9"/>
      <c r="S82" s="9"/>
      <c r="T82" s="9"/>
      <c r="U82" s="9"/>
      <c r="V82" s="9"/>
      <c r="W82" s="9"/>
      <c r="X82" s="9"/>
      <c r="Y82" s="9"/>
    </row>
    <row r="83" spans="1:25" ht="15.75" customHeight="1">
      <c r="A83" s="9"/>
      <c r="B83" s="9"/>
      <c r="C83" s="9"/>
      <c r="D83" s="9"/>
      <c r="E83" s="9"/>
      <c r="F83" s="9"/>
      <c r="G83" s="9"/>
      <c r="H83" s="9"/>
      <c r="I83" s="9"/>
      <c r="J83" s="9"/>
      <c r="K83" s="9"/>
      <c r="L83" s="9"/>
      <c r="M83" s="9"/>
      <c r="N83" s="9"/>
      <c r="O83" s="9"/>
      <c r="P83" s="9"/>
      <c r="Q83" s="9"/>
      <c r="R83" s="9"/>
      <c r="S83" s="9"/>
      <c r="T83" s="9"/>
      <c r="U83" s="9"/>
      <c r="V83" s="9"/>
      <c r="W83" s="9"/>
      <c r="X83" s="9"/>
      <c r="Y83" s="9"/>
    </row>
    <row r="84" spans="1:25" ht="15.75" customHeight="1">
      <c r="A84" s="9"/>
      <c r="B84" s="9"/>
      <c r="C84" s="9"/>
      <c r="D84" s="9"/>
      <c r="E84" s="9"/>
      <c r="F84" s="9"/>
      <c r="G84" s="9"/>
      <c r="H84" s="9"/>
      <c r="I84" s="9"/>
      <c r="J84" s="9"/>
      <c r="K84" s="9"/>
      <c r="L84" s="9"/>
      <c r="M84" s="9"/>
      <c r="N84" s="9"/>
      <c r="O84" s="9"/>
      <c r="P84" s="9"/>
      <c r="Q84" s="9"/>
      <c r="R84" s="9"/>
      <c r="S84" s="9"/>
      <c r="T84" s="9"/>
      <c r="U84" s="9"/>
      <c r="V84" s="9"/>
      <c r="W84" s="9"/>
      <c r="X84" s="9"/>
      <c r="Y84" s="9"/>
    </row>
    <row r="85" spans="1:25" ht="15.75" customHeight="1">
      <c r="A85" s="9"/>
      <c r="B85" s="9"/>
      <c r="C85" s="9"/>
      <c r="D85" s="9"/>
      <c r="E85" s="9"/>
      <c r="F85" s="9"/>
      <c r="G85" s="9"/>
      <c r="H85" s="9"/>
      <c r="I85" s="9"/>
      <c r="J85" s="9"/>
      <c r="K85" s="9"/>
      <c r="L85" s="9"/>
      <c r="M85" s="9"/>
      <c r="N85" s="9"/>
      <c r="O85" s="9"/>
      <c r="P85" s="9"/>
      <c r="Q85" s="9"/>
      <c r="R85" s="9"/>
      <c r="S85" s="9"/>
      <c r="T85" s="9"/>
      <c r="U85" s="9"/>
      <c r="V85" s="9"/>
      <c r="W85" s="9"/>
      <c r="X85" s="9"/>
      <c r="Y85" s="9"/>
    </row>
    <row r="86" spans="1:25" ht="15.75" customHeight="1">
      <c r="A86" s="9"/>
      <c r="B86" s="9"/>
      <c r="C86" s="9"/>
      <c r="D86" s="9"/>
      <c r="E86" s="9"/>
      <c r="F86" s="9"/>
      <c r="G86" s="9"/>
      <c r="H86" s="9"/>
      <c r="I86" s="9"/>
      <c r="J86" s="9"/>
      <c r="K86" s="9"/>
      <c r="L86" s="9"/>
      <c r="M86" s="9"/>
      <c r="N86" s="9"/>
      <c r="O86" s="9"/>
      <c r="P86" s="9"/>
      <c r="Q86" s="9"/>
      <c r="R86" s="9"/>
      <c r="S86" s="9"/>
      <c r="T86" s="9"/>
      <c r="U86" s="9"/>
      <c r="V86" s="9"/>
      <c r="W86" s="9"/>
      <c r="X86" s="9"/>
      <c r="Y86" s="9"/>
    </row>
    <row r="87" spans="1:25" ht="15.75" customHeight="1">
      <c r="A87" s="9"/>
      <c r="B87" s="9"/>
      <c r="C87" s="9"/>
      <c r="D87" s="9"/>
      <c r="E87" s="9"/>
      <c r="F87" s="9"/>
      <c r="G87" s="9"/>
      <c r="H87" s="9"/>
      <c r="I87" s="9"/>
      <c r="J87" s="9"/>
      <c r="K87" s="9"/>
      <c r="L87" s="9"/>
      <c r="M87" s="9"/>
      <c r="N87" s="9"/>
      <c r="O87" s="9"/>
      <c r="P87" s="9"/>
      <c r="Q87" s="9"/>
      <c r="R87" s="9"/>
      <c r="S87" s="9"/>
      <c r="T87" s="9"/>
      <c r="U87" s="9"/>
      <c r="V87" s="9"/>
      <c r="W87" s="9"/>
      <c r="X87" s="9"/>
      <c r="Y87" s="9"/>
    </row>
    <row r="88" spans="1:25" ht="15.75" customHeight="1">
      <c r="A88" s="9"/>
      <c r="B88" s="9"/>
      <c r="C88" s="9"/>
      <c r="D88" s="9"/>
      <c r="E88" s="9"/>
      <c r="F88" s="9"/>
      <c r="G88" s="9"/>
      <c r="H88" s="9"/>
      <c r="I88" s="9"/>
      <c r="J88" s="9"/>
      <c r="K88" s="9"/>
      <c r="L88" s="9"/>
      <c r="M88" s="9"/>
      <c r="N88" s="9"/>
      <c r="O88" s="9"/>
      <c r="P88" s="9"/>
      <c r="Q88" s="9"/>
      <c r="R88" s="9"/>
      <c r="S88" s="9"/>
      <c r="T88" s="9"/>
      <c r="U88" s="9"/>
      <c r="V88" s="9"/>
      <c r="W88" s="9"/>
      <c r="X88" s="9"/>
      <c r="Y88" s="9"/>
    </row>
    <row r="89" spans="1:25" ht="15.75" customHeight="1">
      <c r="A89" s="9"/>
      <c r="B89" s="9"/>
      <c r="C89" s="9"/>
      <c r="D89" s="9"/>
      <c r="E89" s="9"/>
      <c r="F89" s="9"/>
      <c r="G89" s="9"/>
      <c r="H89" s="9"/>
      <c r="I89" s="9"/>
      <c r="J89" s="9"/>
      <c r="K89" s="9"/>
      <c r="L89" s="9"/>
      <c r="M89" s="9"/>
      <c r="N89" s="9"/>
      <c r="O89" s="9"/>
      <c r="P89" s="9"/>
      <c r="Q89" s="9"/>
      <c r="R89" s="9"/>
      <c r="S89" s="9"/>
      <c r="T89" s="9"/>
      <c r="U89" s="9"/>
      <c r="V89" s="9"/>
      <c r="W89" s="9"/>
      <c r="X89" s="9"/>
      <c r="Y89" s="9"/>
    </row>
    <row r="90" spans="1:25" ht="15.75" customHeight="1">
      <c r="A90" s="9"/>
      <c r="B90" s="9"/>
      <c r="C90" s="9"/>
      <c r="D90" s="9"/>
      <c r="E90" s="9"/>
      <c r="F90" s="9"/>
      <c r="G90" s="9"/>
      <c r="H90" s="9"/>
      <c r="I90" s="9"/>
      <c r="J90" s="9"/>
      <c r="K90" s="9"/>
      <c r="L90" s="9"/>
      <c r="M90" s="9"/>
      <c r="N90" s="9"/>
      <c r="O90" s="9"/>
      <c r="P90" s="9"/>
      <c r="Q90" s="9"/>
      <c r="R90" s="9"/>
      <c r="S90" s="9"/>
      <c r="T90" s="9"/>
      <c r="U90" s="9"/>
      <c r="V90" s="9"/>
      <c r="W90" s="9"/>
      <c r="X90" s="9"/>
      <c r="Y90" s="9"/>
    </row>
    <row r="91" spans="1:25" ht="15.75" customHeight="1">
      <c r="A91" s="9"/>
      <c r="B91" s="9"/>
      <c r="C91" s="9"/>
      <c r="D91" s="9"/>
      <c r="E91" s="9"/>
      <c r="F91" s="9"/>
      <c r="G91" s="9"/>
      <c r="H91" s="9"/>
      <c r="I91" s="9"/>
      <c r="J91" s="9"/>
      <c r="K91" s="9"/>
      <c r="L91" s="9"/>
      <c r="M91" s="9"/>
      <c r="N91" s="9"/>
      <c r="O91" s="9"/>
      <c r="P91" s="9"/>
      <c r="Q91" s="9"/>
      <c r="R91" s="9"/>
      <c r="S91" s="9"/>
      <c r="T91" s="9"/>
      <c r="U91" s="9"/>
      <c r="V91" s="9"/>
      <c r="W91" s="9"/>
      <c r="X91" s="9"/>
      <c r="Y91" s="9"/>
    </row>
    <row r="92" spans="1:25" ht="15.75" customHeight="1">
      <c r="A92" s="9"/>
      <c r="B92" s="9"/>
      <c r="C92" s="9"/>
      <c r="D92" s="9"/>
      <c r="E92" s="9"/>
      <c r="F92" s="9"/>
      <c r="G92" s="9"/>
      <c r="H92" s="9"/>
      <c r="I92" s="9"/>
      <c r="J92" s="9"/>
      <c r="K92" s="9"/>
      <c r="L92" s="9"/>
      <c r="M92" s="9"/>
      <c r="N92" s="9"/>
      <c r="O92" s="9"/>
      <c r="P92" s="9"/>
      <c r="Q92" s="9"/>
      <c r="R92" s="9"/>
      <c r="S92" s="9"/>
      <c r="T92" s="9"/>
      <c r="U92" s="9"/>
      <c r="V92" s="9"/>
      <c r="W92" s="9"/>
      <c r="X92" s="9"/>
      <c r="Y92" s="9"/>
    </row>
    <row r="93" spans="1:25" ht="15.75" customHeight="1">
      <c r="A93" s="9"/>
      <c r="B93" s="9"/>
      <c r="C93" s="9"/>
      <c r="D93" s="9"/>
      <c r="E93" s="9"/>
      <c r="F93" s="9"/>
      <c r="G93" s="9"/>
      <c r="H93" s="9"/>
      <c r="I93" s="9"/>
      <c r="J93" s="9"/>
      <c r="K93" s="9"/>
      <c r="L93" s="9"/>
      <c r="M93" s="9"/>
      <c r="N93" s="9"/>
      <c r="O93" s="9"/>
      <c r="P93" s="9"/>
      <c r="Q93" s="9"/>
      <c r="R93" s="9"/>
      <c r="S93" s="9"/>
      <c r="T93" s="9"/>
      <c r="U93" s="9"/>
      <c r="V93" s="9"/>
      <c r="W93" s="9"/>
      <c r="X93" s="9"/>
      <c r="Y93" s="9"/>
    </row>
    <row r="94" spans="1:25" ht="15.75" customHeight="1">
      <c r="A94" s="9"/>
      <c r="B94" s="9"/>
      <c r="C94" s="9"/>
      <c r="D94" s="9"/>
      <c r="E94" s="9"/>
      <c r="F94" s="9"/>
      <c r="G94" s="9"/>
      <c r="H94" s="9"/>
      <c r="I94" s="9"/>
      <c r="J94" s="9"/>
      <c r="K94" s="9"/>
      <c r="L94" s="9"/>
      <c r="M94" s="9"/>
      <c r="N94" s="9"/>
      <c r="O94" s="9"/>
      <c r="P94" s="9"/>
      <c r="Q94" s="9"/>
      <c r="R94" s="9"/>
      <c r="S94" s="9"/>
      <c r="T94" s="9"/>
      <c r="U94" s="9"/>
      <c r="V94" s="9"/>
      <c r="W94" s="9"/>
      <c r="X94" s="9"/>
      <c r="Y94" s="9"/>
    </row>
    <row r="95" spans="1:25" ht="15.75" customHeight="1">
      <c r="A95" s="9"/>
      <c r="B95" s="9"/>
      <c r="C95" s="9"/>
      <c r="D95" s="9"/>
      <c r="E95" s="9"/>
      <c r="F95" s="9"/>
      <c r="G95" s="9"/>
      <c r="H95" s="9"/>
      <c r="I95" s="9"/>
      <c r="J95" s="9"/>
      <c r="K95" s="9"/>
      <c r="L95" s="9"/>
      <c r="M95" s="9"/>
      <c r="N95" s="9"/>
      <c r="O95" s="9"/>
      <c r="P95" s="9"/>
      <c r="Q95" s="9"/>
      <c r="R95" s="9"/>
      <c r="S95" s="9"/>
      <c r="T95" s="9"/>
      <c r="U95" s="9"/>
      <c r="V95" s="9"/>
      <c r="W95" s="9"/>
      <c r="X95" s="9"/>
      <c r="Y95" s="9"/>
    </row>
    <row r="96" spans="1:25" ht="15.75" customHeight="1">
      <c r="A96" s="9"/>
      <c r="B96" s="9"/>
      <c r="C96" s="9"/>
      <c r="D96" s="9"/>
      <c r="E96" s="9"/>
      <c r="F96" s="9"/>
      <c r="G96" s="9"/>
      <c r="H96" s="9"/>
      <c r="I96" s="9"/>
      <c r="J96" s="9"/>
      <c r="K96" s="9"/>
      <c r="L96" s="9"/>
      <c r="M96" s="9"/>
      <c r="N96" s="9"/>
      <c r="O96" s="9"/>
      <c r="P96" s="9"/>
      <c r="Q96" s="9"/>
      <c r="R96" s="9"/>
      <c r="S96" s="9"/>
      <c r="T96" s="9"/>
      <c r="U96" s="9"/>
      <c r="V96" s="9"/>
      <c r="W96" s="9"/>
      <c r="X96" s="9"/>
      <c r="Y96" s="9"/>
    </row>
    <row r="97" spans="1:25" ht="15.75" customHeight="1">
      <c r="A97" s="9"/>
      <c r="B97" s="9"/>
      <c r="C97" s="9"/>
      <c r="D97" s="9"/>
      <c r="E97" s="9"/>
      <c r="F97" s="9"/>
      <c r="G97" s="9"/>
      <c r="H97" s="9"/>
      <c r="I97" s="9"/>
      <c r="J97" s="9"/>
      <c r="K97" s="9"/>
      <c r="L97" s="9"/>
      <c r="M97" s="9"/>
      <c r="N97" s="9"/>
      <c r="O97" s="9"/>
      <c r="P97" s="9"/>
      <c r="Q97" s="9"/>
      <c r="R97" s="9"/>
      <c r="S97" s="9"/>
      <c r="T97" s="9"/>
      <c r="U97" s="9"/>
      <c r="V97" s="9"/>
      <c r="W97" s="9"/>
      <c r="X97" s="9"/>
      <c r="Y97" s="9"/>
    </row>
    <row r="98" spans="1:25" ht="15.75" customHeight="1">
      <c r="A98" s="9"/>
      <c r="B98" s="9"/>
      <c r="C98" s="9"/>
      <c r="D98" s="9"/>
      <c r="E98" s="9"/>
      <c r="F98" s="9"/>
      <c r="G98" s="9"/>
      <c r="H98" s="9"/>
      <c r="I98" s="9"/>
      <c r="J98" s="9"/>
      <c r="K98" s="9"/>
      <c r="L98" s="9"/>
      <c r="M98" s="9"/>
      <c r="N98" s="9"/>
      <c r="O98" s="9"/>
      <c r="P98" s="9"/>
      <c r="Q98" s="9"/>
      <c r="R98" s="9"/>
      <c r="S98" s="9"/>
      <c r="T98" s="9"/>
      <c r="U98" s="9"/>
      <c r="V98" s="9"/>
      <c r="W98" s="9"/>
      <c r="X98" s="9"/>
      <c r="Y98" s="9"/>
    </row>
    <row r="99" spans="1:25" ht="15.75" customHeight="1">
      <c r="A99" s="9"/>
      <c r="B99" s="9"/>
      <c r="C99" s="9"/>
      <c r="D99" s="9"/>
      <c r="E99" s="9"/>
      <c r="F99" s="9"/>
      <c r="G99" s="9"/>
      <c r="H99" s="9"/>
      <c r="I99" s="9"/>
      <c r="J99" s="9"/>
      <c r="K99" s="9"/>
      <c r="L99" s="9"/>
      <c r="M99" s="9"/>
      <c r="N99" s="9"/>
      <c r="O99" s="9"/>
      <c r="P99" s="9"/>
      <c r="Q99" s="9"/>
      <c r="R99" s="9"/>
      <c r="S99" s="9"/>
      <c r="T99" s="9"/>
      <c r="U99" s="9"/>
      <c r="V99" s="9"/>
      <c r="W99" s="9"/>
      <c r="X99" s="9"/>
      <c r="Y99" s="9"/>
    </row>
    <row r="100" spans="1:25"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row>
    <row r="101" spans="1:25"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row>
    <row r="102" spans="1:25"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row>
    <row r="103" spans="1:25"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row>
    <row r="104" spans="1:25"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row>
    <row r="105" spans="1:2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row>
    <row r="106" spans="1:25"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row>
    <row r="107" spans="1:25"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row>
    <row r="108" spans="1:25"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row>
    <row r="109" spans="1:25"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row>
    <row r="110" spans="1:25"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row>
    <row r="111" spans="1:25"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row>
    <row r="112" spans="1:25"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row>
    <row r="113" spans="1:25"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row>
    <row r="114" spans="1:25"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row>
    <row r="115" spans="1:2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row>
    <row r="116" spans="1:25"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row>
    <row r="117" spans="1:25"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row>
    <row r="118" spans="1:25"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row>
    <row r="119" spans="1:25"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row>
    <row r="120" spans="1:25"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row>
    <row r="121" spans="1:25"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row>
    <row r="122" spans="1:25"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row>
    <row r="123" spans="1:25"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row>
    <row r="124" spans="1:25"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row>
    <row r="125" spans="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row>
    <row r="126" spans="1:25"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row>
    <row r="127" spans="1:25"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row>
    <row r="128" spans="1:25"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row>
    <row r="129" spans="1:25"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row>
    <row r="130" spans="1:25"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row>
    <row r="131" spans="1:25"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row>
    <row r="132" spans="1:25"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row>
    <row r="133" spans="1:25"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row>
    <row r="134" spans="1:25"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row>
    <row r="135" spans="1:2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row>
    <row r="136" spans="1:25"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row>
    <row r="137" spans="1:25"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row>
    <row r="138" spans="1:25"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row>
    <row r="139" spans="1:25"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row>
    <row r="140" spans="1:25"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row>
    <row r="141" spans="1:25"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row>
    <row r="142" spans="1:25"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row>
    <row r="143" spans="1:25"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row>
    <row r="144" spans="1:25"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row>
    <row r="145" spans="1:2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row>
    <row r="146" spans="1:25"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row>
    <row r="147" spans="1:25"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row>
    <row r="148" spans="1:25"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row>
    <row r="149" spans="1:25"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row>
    <row r="150" spans="1:25"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row>
    <row r="151" spans="1:25"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row>
    <row r="152" spans="1:25"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row>
    <row r="153" spans="1:25"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row>
    <row r="154" spans="1:25"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row>
    <row r="155" spans="1:2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row>
    <row r="156" spans="1:25"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row>
    <row r="157" spans="1:25"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row>
    <row r="158" spans="1:25"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row>
    <row r="159" spans="1:25"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row>
    <row r="160" spans="1:25"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row>
    <row r="161" spans="1:25"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row>
    <row r="162" spans="1:25"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row>
    <row r="163" spans="1:25"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row>
    <row r="164" spans="1:25"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row>
    <row r="165" spans="1:2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spans="1:25"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spans="1:25"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spans="1:25"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spans="1:25"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spans="1:25"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spans="1:25"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spans="1:25"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spans="1:25"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spans="1:25"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spans="1:2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spans="1:25"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row>
    <row r="177" spans="1:25"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row>
    <row r="178" spans="1:25"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row>
    <row r="179" spans="1:25"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row>
    <row r="180" spans="1:25"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row>
    <row r="181" spans="1:25"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row>
    <row r="182" spans="1:25"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row>
    <row r="183" spans="1:25"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row>
    <row r="184" spans="1:25"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spans="1:2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row>
    <row r="186" spans="1:25"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row>
    <row r="187" spans="1:25"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spans="1:25"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spans="1:25"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spans="1:25"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spans="1:25"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spans="1:25"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spans="1:25"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spans="1:25"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spans="1:2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spans="1:25"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spans="1:25"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spans="1:25"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spans="1:25"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spans="1:25"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spans="1:25"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spans="1:25"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spans="1:25"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spans="1:25"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spans="1:2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spans="1:25"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spans="1:25"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spans="1:25"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spans="1:25"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spans="1:25"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spans="1:25"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spans="1:25"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spans="1:25"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spans="1:25"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spans="1:2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spans="1:25"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spans="1:25"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spans="1:25"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spans="1:25"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spans="1:25"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spans="1:25" ht="15.75" customHeight="1"/>
    <row r="222" spans="1:25" ht="15.75" customHeight="1"/>
    <row r="223" spans="1:25" ht="15.75" customHeight="1"/>
    <row r="224" spans="1:25"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18"/>
  <pageMargins left="0.7" right="0.7" top="0.78740157499999996" bottom="0.78740157499999996" header="0" footer="0"/>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L1000"/>
  <sheetViews>
    <sheetView workbookViewId="0"/>
  </sheetViews>
  <sheetFormatPr baseColWidth="10" defaultColWidth="14.33203125" defaultRowHeight="15" customHeight="1"/>
  <cols>
    <col min="1" max="2" width="17.33203125" customWidth="1"/>
    <col min="3" max="3" width="49.33203125" customWidth="1"/>
    <col min="4" max="11" width="11.33203125" customWidth="1"/>
    <col min="12" max="12" width="15.33203125" customWidth="1"/>
  </cols>
  <sheetData>
    <row r="1" spans="1:12" ht="14.25" customHeight="1">
      <c r="A1" s="18" t="s">
        <v>56</v>
      </c>
    </row>
    <row r="2" spans="1:12" ht="14.25" customHeight="1">
      <c r="A2" s="19" t="s">
        <v>11</v>
      </c>
      <c r="B2" s="10" t="s">
        <v>19</v>
      </c>
      <c r="C2" s="11" t="s">
        <v>20</v>
      </c>
    </row>
    <row r="3" spans="1:12" ht="14.25" customHeight="1">
      <c r="A3" s="19" t="s">
        <v>3</v>
      </c>
      <c r="B3" s="10" t="s">
        <v>23</v>
      </c>
      <c r="C3" s="11" t="s">
        <v>24</v>
      </c>
      <c r="L3" s="20" t="s">
        <v>56</v>
      </c>
    </row>
    <row r="4" spans="1:12" ht="14.25" customHeight="1">
      <c r="A4" s="19" t="s">
        <v>3</v>
      </c>
      <c r="B4" s="10" t="s">
        <v>26</v>
      </c>
      <c r="C4" s="11" t="s">
        <v>27</v>
      </c>
      <c r="L4" s="21" t="s">
        <v>11</v>
      </c>
    </row>
    <row r="5" spans="1:12" ht="14.25" customHeight="1">
      <c r="A5" s="19" t="s">
        <v>3</v>
      </c>
      <c r="B5" s="10" t="s">
        <v>28</v>
      </c>
      <c r="C5" s="11" t="s">
        <v>29</v>
      </c>
      <c r="L5" s="21" t="s">
        <v>3</v>
      </c>
    </row>
    <row r="6" spans="1:12" ht="14.25" customHeight="1">
      <c r="A6" s="19" t="s">
        <v>3</v>
      </c>
      <c r="B6" s="10" t="s">
        <v>30</v>
      </c>
      <c r="C6" s="11" t="s">
        <v>31</v>
      </c>
    </row>
    <row r="7" spans="1:12" ht="14.25" customHeight="1">
      <c r="A7" s="19" t="s">
        <v>3</v>
      </c>
      <c r="B7" s="16" t="s">
        <v>32</v>
      </c>
      <c r="C7" s="16" t="s">
        <v>33</v>
      </c>
    </row>
    <row r="8" spans="1:12" ht="14.25" customHeight="1">
      <c r="A8" s="19" t="s">
        <v>3</v>
      </c>
      <c r="B8" s="16" t="s">
        <v>34</v>
      </c>
      <c r="C8" s="16" t="s">
        <v>33</v>
      </c>
    </row>
    <row r="9" spans="1:12" ht="14.25" customHeight="1">
      <c r="A9" s="22">
        <f>COUNTIF(A2:A8,"ja")</f>
        <v>1</v>
      </c>
    </row>
    <row r="10" spans="1:12" ht="14.25" customHeight="1">
      <c r="H10" s="19" t="s">
        <v>57</v>
      </c>
    </row>
    <row r="11" spans="1:12" ht="14.25" customHeight="1"/>
    <row r="12" spans="1:12" ht="14.25" customHeight="1"/>
    <row r="13" spans="1:12" ht="14.25" customHeight="1">
      <c r="D13" s="19" t="s">
        <v>57</v>
      </c>
    </row>
    <row r="14" spans="1:12" ht="14.25" customHeight="1"/>
    <row r="15" spans="1:12" ht="14.25" customHeight="1"/>
    <row r="16" spans="1: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A2:A8">
      <formula1>$L$4:$L$5</formula1>
    </dataValidation>
  </dataValidations>
  <pageMargins left="0.7" right="0.7" top="0.78740157499999996" bottom="0.78740157499999996" header="0" footer="0"/>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G1000"/>
  <sheetViews>
    <sheetView topLeftCell="A16" workbookViewId="0">
      <selection activeCell="C5" sqref="C5"/>
    </sheetView>
  </sheetViews>
  <sheetFormatPr baseColWidth="10" defaultColWidth="14.33203125" defaultRowHeight="15" customHeight="1"/>
  <cols>
    <col min="1" max="1" width="45" customWidth="1"/>
    <col min="2" max="2" width="25" customWidth="1"/>
    <col min="3" max="7" width="12.33203125" customWidth="1"/>
  </cols>
  <sheetData>
    <row r="1" spans="1:7" ht="14.25" customHeight="1">
      <c r="A1" s="47" t="s">
        <v>2374</v>
      </c>
      <c r="B1" s="48" t="s">
        <v>2375</v>
      </c>
      <c r="C1" s="49"/>
      <c r="D1" s="50"/>
      <c r="E1" s="50"/>
      <c r="F1" s="50"/>
      <c r="G1" s="50"/>
    </row>
    <row r="2" spans="1:7" ht="14.25" customHeight="1">
      <c r="B2" s="51" t="s">
        <v>2376</v>
      </c>
      <c r="C2" s="49"/>
      <c r="D2" s="50"/>
      <c r="E2" s="50"/>
      <c r="F2" s="50"/>
      <c r="G2" s="50"/>
    </row>
    <row r="3" spans="1:7" ht="14.25" customHeight="1">
      <c r="B3" s="51" t="s">
        <v>2377</v>
      </c>
      <c r="C3" s="49"/>
      <c r="D3" s="50"/>
      <c r="E3" s="50"/>
      <c r="F3" s="50"/>
      <c r="G3" s="50"/>
    </row>
    <row r="4" spans="1:7" ht="14.25" customHeight="1">
      <c r="B4" s="51" t="s">
        <v>2378</v>
      </c>
      <c r="C4" s="49"/>
      <c r="D4" s="50"/>
      <c r="E4" s="50"/>
      <c r="F4" s="50"/>
      <c r="G4" s="50"/>
    </row>
    <row r="5" spans="1:7" ht="14.25" customHeight="1">
      <c r="B5" s="51" t="s">
        <v>2379</v>
      </c>
      <c r="C5" s="49"/>
      <c r="D5" s="50"/>
      <c r="E5" s="50"/>
      <c r="F5" s="50"/>
      <c r="G5" s="50"/>
    </row>
    <row r="6" spans="1:7" ht="14.25" customHeight="1">
      <c r="B6" s="51" t="s">
        <v>2380</v>
      </c>
      <c r="C6" s="49"/>
      <c r="D6" s="50"/>
      <c r="E6" s="50"/>
      <c r="F6" s="50"/>
      <c r="G6" s="50"/>
    </row>
    <row r="7" spans="1:7" ht="14.25" customHeight="1">
      <c r="B7" s="51"/>
      <c r="C7" s="49"/>
      <c r="D7" s="50"/>
      <c r="E7" s="50"/>
      <c r="F7" s="50"/>
      <c r="G7" s="50"/>
    </row>
    <row r="8" spans="1:7" ht="14.25" customHeight="1">
      <c r="B8" s="48" t="s">
        <v>2381</v>
      </c>
      <c r="C8" s="49"/>
      <c r="D8" s="50"/>
      <c r="E8" s="50"/>
      <c r="F8" s="50"/>
      <c r="G8" s="50"/>
    </row>
    <row r="9" spans="1:7" ht="14.25" customHeight="1">
      <c r="B9" s="51" t="s">
        <v>2381</v>
      </c>
      <c r="C9" s="49">
        <f>SUM(C4:C6)</f>
        <v>0</v>
      </c>
      <c r="D9" s="50"/>
      <c r="E9" s="50"/>
      <c r="F9" s="50"/>
      <c r="G9" s="50"/>
    </row>
    <row r="10" spans="1:7" ht="14.25" customHeight="1">
      <c r="B10" s="51"/>
      <c r="C10" s="49"/>
      <c r="D10" s="50"/>
      <c r="E10" s="50"/>
      <c r="F10" s="50"/>
      <c r="G10" s="50"/>
    </row>
    <row r="11" spans="1:7" ht="14.25" customHeight="1">
      <c r="B11" s="48" t="s">
        <v>2382</v>
      </c>
      <c r="C11" s="49"/>
      <c r="D11" s="50"/>
      <c r="E11" s="50"/>
      <c r="F11" s="50"/>
      <c r="G11" s="50"/>
    </row>
    <row r="12" spans="1:7" ht="14.25" customHeight="1">
      <c r="B12" s="51" t="s">
        <v>2383</v>
      </c>
      <c r="C12" s="49">
        <f>C9*D12</f>
        <v>0</v>
      </c>
      <c r="D12" s="52">
        <v>0.1</v>
      </c>
      <c r="E12" s="50"/>
      <c r="F12" s="50"/>
      <c r="G12" s="50"/>
    </row>
    <row r="13" spans="1:7" ht="14.25" customHeight="1">
      <c r="B13" s="51" t="s">
        <v>2384</v>
      </c>
      <c r="C13" s="49">
        <f>C9*D13</f>
        <v>0</v>
      </c>
      <c r="D13" s="52">
        <v>0.2</v>
      </c>
      <c r="E13" s="50"/>
      <c r="F13" s="50"/>
      <c r="G13" s="50"/>
    </row>
    <row r="14" spans="1:7" ht="14.25" customHeight="1">
      <c r="B14" s="51" t="s">
        <v>2385</v>
      </c>
      <c r="C14" s="49">
        <f>C9*D14</f>
        <v>0</v>
      </c>
      <c r="D14" s="52">
        <v>0.3</v>
      </c>
      <c r="E14" s="50"/>
      <c r="F14" s="50"/>
      <c r="G14" s="50"/>
    </row>
    <row r="15" spans="1:7" ht="14.25" customHeight="1">
      <c r="B15" s="50"/>
      <c r="C15" s="53"/>
      <c r="D15" s="50"/>
      <c r="E15" s="50"/>
      <c r="F15" s="50"/>
      <c r="G15" s="50"/>
    </row>
    <row r="16" spans="1:7" ht="14.25" customHeight="1">
      <c r="B16" s="54" t="s">
        <v>2386</v>
      </c>
      <c r="C16" s="53"/>
      <c r="D16" s="55" t="s">
        <v>2387</v>
      </c>
      <c r="E16" s="56" t="s">
        <v>2388</v>
      </c>
      <c r="F16" s="56" t="s">
        <v>2389</v>
      </c>
      <c r="G16" s="57" t="s">
        <v>2390</v>
      </c>
    </row>
    <row r="17" spans="2:7" ht="14.25" customHeight="1">
      <c r="B17" s="50" t="s">
        <v>2391</v>
      </c>
      <c r="C17" s="49">
        <v>250000</v>
      </c>
      <c r="D17" s="58">
        <f t="shared" ref="D17:D31" si="0">ABS($C17-$C$12)</f>
        <v>250000</v>
      </c>
      <c r="E17" s="53">
        <f t="shared" ref="E17:E31" si="1">ABS($C17-$C$13)</f>
        <v>250000</v>
      </c>
      <c r="F17" s="53">
        <f t="shared" ref="F17:F31" si="2">ABS($C17-$C$14)</f>
        <v>250000</v>
      </c>
      <c r="G17" s="59">
        <v>250000</v>
      </c>
    </row>
    <row r="18" spans="2:7" ht="14.25" customHeight="1">
      <c r="B18" s="50" t="s">
        <v>2391</v>
      </c>
      <c r="C18" s="49">
        <v>500000</v>
      </c>
      <c r="D18" s="58">
        <f t="shared" si="0"/>
        <v>500000</v>
      </c>
      <c r="E18" s="53">
        <f t="shared" si="1"/>
        <v>500000</v>
      </c>
      <c r="F18" s="53">
        <f t="shared" si="2"/>
        <v>500000</v>
      </c>
      <c r="G18" s="59">
        <v>500000</v>
      </c>
    </row>
    <row r="19" spans="2:7" ht="14.25" customHeight="1">
      <c r="B19" s="50" t="s">
        <v>2391</v>
      </c>
      <c r="C19" s="49">
        <v>1000000</v>
      </c>
      <c r="D19" s="58">
        <f t="shared" si="0"/>
        <v>1000000</v>
      </c>
      <c r="E19" s="53">
        <f t="shared" si="1"/>
        <v>1000000</v>
      </c>
      <c r="F19" s="53">
        <f t="shared" si="2"/>
        <v>1000000</v>
      </c>
      <c r="G19" s="59">
        <v>1000000</v>
      </c>
    </row>
    <row r="20" spans="2:7" ht="14.25" customHeight="1">
      <c r="B20" s="50" t="s">
        <v>2391</v>
      </c>
      <c r="C20" s="49">
        <f>C19+500000</f>
        <v>1500000</v>
      </c>
      <c r="D20" s="58">
        <f t="shared" si="0"/>
        <v>1500000</v>
      </c>
      <c r="E20" s="53">
        <f t="shared" si="1"/>
        <v>1500000</v>
      </c>
      <c r="F20" s="53">
        <f t="shared" si="2"/>
        <v>1500000</v>
      </c>
      <c r="G20" s="59">
        <f>G19+500000</f>
        <v>1500000</v>
      </c>
    </row>
    <row r="21" spans="2:7" ht="14.25" customHeight="1">
      <c r="B21" s="50" t="s">
        <v>2391</v>
      </c>
      <c r="C21" s="49">
        <f>C20+500000</f>
        <v>2000000</v>
      </c>
      <c r="D21" s="58">
        <f t="shared" si="0"/>
        <v>2000000</v>
      </c>
      <c r="E21" s="53">
        <f t="shared" si="1"/>
        <v>2000000</v>
      </c>
      <c r="F21" s="53">
        <f t="shared" si="2"/>
        <v>2000000</v>
      </c>
      <c r="G21" s="59">
        <f>G20+500000</f>
        <v>2000000</v>
      </c>
    </row>
    <row r="22" spans="2:7" ht="14.25" customHeight="1">
      <c r="B22" s="50" t="s">
        <v>2391</v>
      </c>
      <c r="C22" s="49">
        <f>C21+500000</f>
        <v>2500000</v>
      </c>
      <c r="D22" s="58">
        <f t="shared" si="0"/>
        <v>2500000</v>
      </c>
      <c r="E22" s="53">
        <f t="shared" si="1"/>
        <v>2500000</v>
      </c>
      <c r="F22" s="53">
        <f t="shared" si="2"/>
        <v>2500000</v>
      </c>
      <c r="G22" s="59">
        <f>G21+500000</f>
        <v>2500000</v>
      </c>
    </row>
    <row r="23" spans="2:7" ht="14.25" customHeight="1">
      <c r="B23" s="50" t="s">
        <v>2391</v>
      </c>
      <c r="C23" s="49">
        <f>C22+500000</f>
        <v>3000000</v>
      </c>
      <c r="D23" s="58">
        <f t="shared" si="0"/>
        <v>3000000</v>
      </c>
      <c r="E23" s="53">
        <f t="shared" si="1"/>
        <v>3000000</v>
      </c>
      <c r="F23" s="53">
        <f t="shared" si="2"/>
        <v>3000000</v>
      </c>
      <c r="G23" s="59">
        <f>G22+500000</f>
        <v>3000000</v>
      </c>
    </row>
    <row r="24" spans="2:7" ht="14.25" customHeight="1">
      <c r="B24" s="50" t="s">
        <v>2392</v>
      </c>
      <c r="C24" s="49">
        <v>4000000</v>
      </c>
      <c r="D24" s="58">
        <f t="shared" si="0"/>
        <v>4000000</v>
      </c>
      <c r="E24" s="53">
        <f t="shared" si="1"/>
        <v>4000000</v>
      </c>
      <c r="F24" s="53">
        <f t="shared" si="2"/>
        <v>4000000</v>
      </c>
      <c r="G24" s="59">
        <v>4000000</v>
      </c>
    </row>
    <row r="25" spans="2:7" ht="14.25" customHeight="1">
      <c r="B25" s="50" t="s">
        <v>2391</v>
      </c>
      <c r="C25" s="49">
        <v>5000000</v>
      </c>
      <c r="D25" s="58">
        <f t="shared" si="0"/>
        <v>5000000</v>
      </c>
      <c r="E25" s="53">
        <f t="shared" si="1"/>
        <v>5000000</v>
      </c>
      <c r="F25" s="53">
        <f t="shared" si="2"/>
        <v>5000000</v>
      </c>
      <c r="G25" s="59">
        <v>5000000</v>
      </c>
    </row>
    <row r="26" spans="2:7" ht="14.25" customHeight="1">
      <c r="B26" s="50" t="s">
        <v>2391</v>
      </c>
      <c r="C26" s="49">
        <v>7500000</v>
      </c>
      <c r="D26" s="58">
        <f t="shared" si="0"/>
        <v>7500000</v>
      </c>
      <c r="E26" s="53">
        <f t="shared" si="1"/>
        <v>7500000</v>
      </c>
      <c r="F26" s="53">
        <f t="shared" si="2"/>
        <v>7500000</v>
      </c>
      <c r="G26" s="59">
        <v>7500000</v>
      </c>
    </row>
    <row r="27" spans="2:7" ht="14.25" customHeight="1">
      <c r="B27" s="50" t="s">
        <v>2391</v>
      </c>
      <c r="C27" s="49">
        <v>10000000</v>
      </c>
      <c r="D27" s="58">
        <f t="shared" si="0"/>
        <v>10000000</v>
      </c>
      <c r="E27" s="53">
        <f t="shared" si="1"/>
        <v>10000000</v>
      </c>
      <c r="F27" s="53">
        <f t="shared" si="2"/>
        <v>10000000</v>
      </c>
      <c r="G27" s="59">
        <v>10000000</v>
      </c>
    </row>
    <row r="28" spans="2:7" ht="14.25" customHeight="1">
      <c r="B28" s="50" t="s">
        <v>2393</v>
      </c>
      <c r="C28" s="49">
        <v>12500000</v>
      </c>
      <c r="D28" s="58">
        <f t="shared" si="0"/>
        <v>12500000</v>
      </c>
      <c r="E28" s="53">
        <f t="shared" si="1"/>
        <v>12500000</v>
      </c>
      <c r="F28" s="53">
        <f t="shared" si="2"/>
        <v>12500000</v>
      </c>
      <c r="G28" s="59">
        <v>12500000</v>
      </c>
    </row>
    <row r="29" spans="2:7" ht="14.25" customHeight="1">
      <c r="B29" s="50" t="s">
        <v>2393</v>
      </c>
      <c r="C29" s="53">
        <v>15000000</v>
      </c>
      <c r="D29" s="58">
        <f t="shared" si="0"/>
        <v>15000000</v>
      </c>
      <c r="E29" s="53">
        <f t="shared" si="1"/>
        <v>15000000</v>
      </c>
      <c r="F29" s="53">
        <f t="shared" si="2"/>
        <v>15000000</v>
      </c>
      <c r="G29" s="60">
        <v>15000000</v>
      </c>
    </row>
    <row r="30" spans="2:7" ht="14.25" customHeight="1">
      <c r="B30" s="50" t="s">
        <v>2393</v>
      </c>
      <c r="C30" s="53">
        <v>20000000</v>
      </c>
      <c r="D30" s="58">
        <f t="shared" si="0"/>
        <v>20000000</v>
      </c>
      <c r="E30" s="53">
        <f t="shared" si="1"/>
        <v>20000000</v>
      </c>
      <c r="F30" s="53">
        <f t="shared" si="2"/>
        <v>20000000</v>
      </c>
      <c r="G30" s="60">
        <v>20000000</v>
      </c>
    </row>
    <row r="31" spans="2:7" ht="14.25" customHeight="1">
      <c r="B31" s="50" t="s">
        <v>2393</v>
      </c>
      <c r="C31" s="53">
        <v>25000000</v>
      </c>
      <c r="D31" s="61">
        <f t="shared" si="0"/>
        <v>25000000</v>
      </c>
      <c r="E31" s="62">
        <f t="shared" si="1"/>
        <v>25000000</v>
      </c>
      <c r="F31" s="62">
        <f t="shared" si="2"/>
        <v>25000000</v>
      </c>
      <c r="G31" s="63">
        <v>25000000</v>
      </c>
    </row>
    <row r="32" spans="2:7" ht="14.25" customHeight="1">
      <c r="B32" s="50"/>
      <c r="C32" s="53"/>
      <c r="D32" s="53">
        <f>MIN(D17:D31)</f>
        <v>250000</v>
      </c>
      <c r="E32" s="53">
        <f>MIN(E17:E31)</f>
        <v>250000</v>
      </c>
      <c r="F32" s="53">
        <f>MIN(F17:F31)</f>
        <v>250000</v>
      </c>
      <c r="G32" s="53"/>
    </row>
    <row r="33" spans="2:7" ht="14.25" customHeight="1">
      <c r="B33" s="50"/>
      <c r="C33" s="53"/>
      <c r="D33" s="53"/>
      <c r="E33" s="53"/>
      <c r="F33" s="53"/>
      <c r="G33" s="53"/>
    </row>
    <row r="34" spans="2:7" ht="14.25" customHeight="1">
      <c r="B34" s="48" t="s">
        <v>2394</v>
      </c>
      <c r="C34" s="49"/>
      <c r="D34" s="50"/>
      <c r="E34" s="50"/>
      <c r="F34" s="50"/>
      <c r="G34" s="50"/>
    </row>
    <row r="35" spans="2:7" ht="14.25" customHeight="1">
      <c r="B35" s="51" t="s">
        <v>2383</v>
      </c>
      <c r="C35" s="53">
        <f>VLOOKUP(D32,D17:G31,4,0)</f>
        <v>250000</v>
      </c>
      <c r="D35" s="50"/>
      <c r="E35" s="50"/>
      <c r="F35" s="50"/>
      <c r="G35" s="50"/>
    </row>
    <row r="36" spans="2:7" ht="14.25" customHeight="1">
      <c r="B36" s="51" t="s">
        <v>2384</v>
      </c>
      <c r="C36" s="53">
        <f>VLOOKUP(E32,E17:G31,3,0)</f>
        <v>250000</v>
      </c>
      <c r="D36" s="50"/>
      <c r="E36" s="50"/>
      <c r="F36" s="50"/>
      <c r="G36" s="50"/>
    </row>
    <row r="37" spans="2:7" ht="14.25" customHeight="1">
      <c r="B37" s="51" t="s">
        <v>2385</v>
      </c>
      <c r="C37" s="53">
        <f>VLOOKUP(F32,F17:G31,2,0)</f>
        <v>250000</v>
      </c>
      <c r="D37" s="50"/>
      <c r="E37" s="50"/>
      <c r="F37" s="50"/>
      <c r="G37" s="50"/>
    </row>
    <row r="38" spans="2:7" ht="14.25" customHeight="1"/>
    <row r="39" spans="2:7" ht="14.25" customHeight="1"/>
    <row r="40" spans="2:7" ht="14.25" customHeight="1"/>
    <row r="41" spans="2:7" ht="14.25" customHeight="1"/>
    <row r="42" spans="2:7" ht="14.25" customHeight="1"/>
    <row r="43" spans="2:7" ht="14.25" customHeight="1"/>
    <row r="44" spans="2:7" ht="14.25" customHeight="1"/>
    <row r="45" spans="2:7" ht="14.25" customHeight="1"/>
    <row r="46" spans="2:7" ht="14.25" customHeight="1"/>
    <row r="47" spans="2:7" ht="14.25" customHeight="1"/>
    <row r="48" spans="2:7"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8740157499999996" bottom="0.78740157499999996" header="0" footer="0"/>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EG324"/>
  <sheetViews>
    <sheetView zoomScale="55" zoomScaleNormal="55" workbookViewId="0">
      <pane xSplit="4" ySplit="14" topLeftCell="CB15" activePane="bottomRight" state="frozen"/>
      <selection activeCell="F121" sqref="F121"/>
      <selection pane="topRight" activeCell="F121" sqref="F121"/>
      <selection pane="bottomLeft" activeCell="F121" sqref="F121"/>
      <selection pane="bottomRight"/>
    </sheetView>
  </sheetViews>
  <sheetFormatPr baseColWidth="10" defaultColWidth="14.33203125" defaultRowHeight="15" customHeight="1" outlineLevelCol="1"/>
  <cols>
    <col min="1" max="1" width="14.6640625" customWidth="1"/>
    <col min="2" max="2" width="10.33203125" customWidth="1"/>
    <col min="3" max="3" width="41.33203125" customWidth="1"/>
    <col min="4" max="4" width="20.33203125" customWidth="1"/>
    <col min="5" max="5" width="42.33203125" customWidth="1" outlineLevel="1"/>
    <col min="6" max="6" width="12" customWidth="1" outlineLevel="1"/>
    <col min="7" max="12" width="11.33203125" customWidth="1" outlineLevel="1"/>
    <col min="13" max="14" width="12.6640625" customWidth="1" outlineLevel="1"/>
    <col min="15" max="15" width="11.33203125" customWidth="1" outlineLevel="1"/>
    <col min="16" max="16" width="14.5546875" customWidth="1" outlineLevel="1"/>
    <col min="17" max="19" width="15.5546875" customWidth="1" outlineLevel="1"/>
    <col min="20" max="20" width="15.5546875" customWidth="1"/>
    <col min="21" max="21" width="42.33203125" customWidth="1" outlineLevel="1"/>
    <col min="22" max="22" width="13.33203125" customWidth="1" outlineLevel="1"/>
    <col min="23" max="31" width="11.33203125" customWidth="1" outlineLevel="1"/>
    <col min="32" max="32" width="15" customWidth="1" outlineLevel="1"/>
    <col min="33" max="35" width="15.33203125" customWidth="1" outlineLevel="1"/>
    <col min="36" max="36" width="15.33203125" customWidth="1"/>
    <col min="37" max="37" width="42.33203125" customWidth="1" outlineLevel="1"/>
    <col min="38" max="46" width="14.5546875" customWidth="1" outlineLevel="1"/>
    <col min="47" max="47" width="11.33203125" customWidth="1" outlineLevel="1"/>
    <col min="48" max="48" width="15" customWidth="1" outlineLevel="1"/>
    <col min="49" max="51" width="15.5546875" customWidth="1" outlineLevel="1"/>
    <col min="52" max="52" width="15.5546875" customWidth="1"/>
    <col min="53" max="53" width="42.33203125" customWidth="1" outlineLevel="1"/>
    <col min="54" max="62" width="14.33203125" customWidth="1" outlineLevel="1"/>
    <col min="63" max="63" width="11.33203125" customWidth="1" outlineLevel="1"/>
    <col min="64" max="64" width="15" customWidth="1" outlineLevel="1"/>
    <col min="65" max="67" width="14.33203125" customWidth="1" outlineLevel="1"/>
    <col min="68" max="68" width="14.33203125" customWidth="1"/>
    <col min="69" max="69" width="42.33203125" customWidth="1" outlineLevel="1"/>
    <col min="70" max="78" width="14.33203125" customWidth="1" outlineLevel="1"/>
    <col min="79" max="79" width="11.33203125" customWidth="1" outlineLevel="1"/>
    <col min="80" max="80" width="15" customWidth="1" outlineLevel="1"/>
    <col min="81" max="83" width="14.33203125" customWidth="1" outlineLevel="1"/>
    <col min="84" max="84" width="14.33203125" customWidth="1"/>
    <col min="85" max="85" width="42.33203125" customWidth="1" outlineLevel="1"/>
    <col min="86" max="94" width="14.5546875" customWidth="1" outlineLevel="1"/>
    <col min="95" max="96" width="11.33203125" customWidth="1" outlineLevel="1"/>
    <col min="97" max="99" width="13.5546875" customWidth="1" outlineLevel="1"/>
    <col min="100" max="100" width="13.5546875" customWidth="1"/>
    <col min="101" max="101" width="42.33203125" customWidth="1" outlineLevel="1"/>
    <col min="102" max="110" width="13.6640625" customWidth="1" outlineLevel="1"/>
    <col min="111" max="112" width="11.33203125" customWidth="1" outlineLevel="1"/>
    <col min="113" max="115" width="14.33203125" customWidth="1" outlineLevel="1"/>
    <col min="116" max="116" width="14.33203125" customWidth="1"/>
    <col min="117" max="117" width="42.33203125" customWidth="1" outlineLevel="1"/>
    <col min="118" max="126" width="15.33203125" customWidth="1" outlineLevel="1"/>
    <col min="127" max="127" width="11.33203125" customWidth="1" outlineLevel="1"/>
    <col min="128" max="128" width="15" customWidth="1" outlineLevel="1"/>
    <col min="129" max="129" width="13.6640625" customWidth="1" outlineLevel="1"/>
    <col min="130" max="131" width="14.33203125" customWidth="1" outlineLevel="1"/>
    <col min="132" max="132" width="14.33203125" customWidth="1"/>
    <col min="133" max="136" width="11.33203125" hidden="1" customWidth="1" outlineLevel="1"/>
    <col min="137" max="137" width="14.33203125" collapsed="1"/>
  </cols>
  <sheetData>
    <row r="1" spans="1:136" ht="14.25" customHeight="1">
      <c r="A1" t="s">
        <v>3191</v>
      </c>
      <c r="B1" t="e">
        <f>VLOOKUP(Fragenkatalog!K8,'Rechtsformen und -gruppen'!A9:B47,2,FALSE)</f>
        <v>#N/A</v>
      </c>
      <c r="C1" s="289"/>
      <c r="D1" s="289"/>
      <c r="F1" s="157">
        <f>SUM(F29:F127)</f>
        <v>45.2</v>
      </c>
      <c r="G1" s="157"/>
      <c r="H1" s="157">
        <f>SUM(H29:H127)</f>
        <v>45.100000000000009</v>
      </c>
      <c r="I1" s="157"/>
      <c r="J1" s="157">
        <f>SUM(J29:J127)</f>
        <v>44.4</v>
      </c>
      <c r="K1" s="157"/>
      <c r="L1" s="157">
        <f>SUM(L29:L127)</f>
        <v>45.100000000000009</v>
      </c>
      <c r="M1" s="157"/>
      <c r="N1" s="157">
        <f>SUM(N29:N127)</f>
        <v>43.5</v>
      </c>
      <c r="O1" s="157"/>
      <c r="P1" s="157"/>
      <c r="Q1" s="157"/>
      <c r="R1" s="157" t="e">
        <f>SUM(R29:R127)</f>
        <v>#N/A</v>
      </c>
      <c r="S1" s="157" t="e">
        <f>SUM(S29:S127)</f>
        <v>#N/A</v>
      </c>
      <c r="T1" s="157"/>
      <c r="U1" s="157"/>
      <c r="V1" s="157">
        <f>SUM(V29:V127)</f>
        <v>47.599999999999994</v>
      </c>
      <c r="W1" s="157"/>
      <c r="X1" s="157">
        <f>SUM(X29:X127)</f>
        <v>47.849999999999994</v>
      </c>
      <c r="Y1" s="157"/>
      <c r="Z1" s="157">
        <f>SUM(Z29:Z127)</f>
        <v>47.599999999999994</v>
      </c>
      <c r="AA1" s="157"/>
      <c r="AB1" s="157">
        <f>SUM(AB29:AB127)</f>
        <v>48.3</v>
      </c>
      <c r="AC1" s="157"/>
      <c r="AD1" s="157">
        <f>SUM(AD29:AD127)</f>
        <v>46.64</v>
      </c>
      <c r="AE1" s="157"/>
      <c r="AF1" s="157"/>
      <c r="AG1" s="157"/>
      <c r="AH1" s="157" t="e">
        <f>SUM(AH29:AH127)</f>
        <v>#N/A</v>
      </c>
      <c r="AI1" s="157" t="e">
        <f>SUM(AI29:AI127)</f>
        <v>#N/A</v>
      </c>
      <c r="AJ1" s="157"/>
      <c r="AK1" s="157"/>
      <c r="AL1" s="157">
        <f>SUM(AL29:AL127)</f>
        <v>52.5</v>
      </c>
      <c r="AM1" s="157"/>
      <c r="AN1" s="157">
        <f>SUM(AN29:AN127)</f>
        <v>52.7</v>
      </c>
      <c r="AO1" s="157"/>
      <c r="AP1" s="157">
        <f>SUM(AP29:AP127)</f>
        <v>52.1</v>
      </c>
      <c r="AQ1" s="157"/>
      <c r="AR1" s="157">
        <f>SUM(AR29:AR127)</f>
        <v>52.900000000000006</v>
      </c>
      <c r="AS1" s="157"/>
      <c r="AT1" s="157">
        <f>SUM(AT29:AT127)</f>
        <v>51.7</v>
      </c>
      <c r="AU1" s="157"/>
      <c r="AV1" s="157"/>
      <c r="AW1" s="157"/>
      <c r="AX1" s="157" t="e">
        <f>SUM(AX29:AX127)</f>
        <v>#N/A</v>
      </c>
      <c r="AY1" s="157" t="e">
        <f>SUM(AY29:AY127)</f>
        <v>#N/A</v>
      </c>
      <c r="AZ1" s="157"/>
      <c r="BA1" s="157"/>
      <c r="BB1" s="157">
        <f>SUM(BB29:BB127)</f>
        <v>52.4</v>
      </c>
      <c r="BC1" s="157"/>
      <c r="BD1" s="157">
        <f>SUM(BD29:BD127)</f>
        <v>53.000000000000007</v>
      </c>
      <c r="BE1" s="157"/>
      <c r="BF1" s="157">
        <f>SUM(BF29:BF127)</f>
        <v>52</v>
      </c>
      <c r="BG1" s="157"/>
      <c r="BH1" s="157">
        <f>SUM(BH29:BH127)</f>
        <v>52.7</v>
      </c>
      <c r="BI1" s="157"/>
      <c r="BJ1" s="157">
        <f>SUM(BJ29:BJ127)</f>
        <v>51.400000000000006</v>
      </c>
      <c r="BK1" s="157"/>
      <c r="BL1" s="157"/>
      <c r="BM1" s="157"/>
      <c r="BN1" s="157" t="e">
        <f>SUM(BN29:BN127)</f>
        <v>#N/A</v>
      </c>
      <c r="BO1" s="157" t="e">
        <f>SUM(BO29:BO127)</f>
        <v>#N/A</v>
      </c>
      <c r="BP1" s="157"/>
      <c r="BQ1" s="157"/>
      <c r="BR1" s="157">
        <f>SUM(BR29:BR127)</f>
        <v>53.3</v>
      </c>
      <c r="BS1" s="157"/>
      <c r="BT1" s="157">
        <f>SUM(BT29:BT127)</f>
        <v>53.900000000000006</v>
      </c>
      <c r="BU1" s="157"/>
      <c r="BV1" s="157">
        <f>SUM(BV29:BV127)</f>
        <v>52.9</v>
      </c>
      <c r="BW1" s="157"/>
      <c r="BX1" s="157">
        <f>SUM(BX29:BX127)</f>
        <v>53.600000000000009</v>
      </c>
      <c r="BY1" s="157"/>
      <c r="BZ1" s="157">
        <f>SUM(BZ29:BZ127)</f>
        <v>52.300000000000004</v>
      </c>
      <c r="CA1" s="157"/>
      <c r="CB1" s="157"/>
      <c r="CC1" s="157"/>
      <c r="CD1" s="157" t="e">
        <f>SUM(CD29:CD127)</f>
        <v>#N/A</v>
      </c>
      <c r="CE1" s="157" t="e">
        <f>SUM(CE29:CE127)</f>
        <v>#N/A</v>
      </c>
      <c r="CF1" s="157"/>
      <c r="CG1" s="157"/>
      <c r="CH1" s="157">
        <f>SUM(CH29:CH127)</f>
        <v>44.299999999999983</v>
      </c>
      <c r="CI1" s="157"/>
      <c r="CJ1" s="157">
        <f>SUM(CJ29:CJ127)</f>
        <v>45.29999999999999</v>
      </c>
      <c r="CK1" s="157"/>
      <c r="CL1" s="157">
        <f>SUM(CL29:CL127)</f>
        <v>45.29999999999999</v>
      </c>
      <c r="CM1" s="157"/>
      <c r="CN1" s="157">
        <f>SUM(CN29:CN127)</f>
        <v>45.599999999999987</v>
      </c>
      <c r="CO1" s="157"/>
      <c r="CP1" s="157">
        <f>SUM(CP29:CP127)</f>
        <v>44.299999999999983</v>
      </c>
      <c r="CQ1" s="157"/>
      <c r="CR1" s="157"/>
      <c r="CS1" s="157"/>
      <c r="CT1" s="157" t="e">
        <f>SUM(CT29:CT127)</f>
        <v>#N/A</v>
      </c>
      <c r="CU1" s="157" t="e">
        <f>SUM(CU29:CU127)</f>
        <v>#N/A</v>
      </c>
      <c r="CV1" s="157"/>
      <c r="CW1" s="157"/>
      <c r="CX1" s="157">
        <f>SUM(CX29:CX127)</f>
        <v>51.3</v>
      </c>
      <c r="CY1" s="157"/>
      <c r="CZ1" s="157">
        <f>SUM(CZ29:CZ127)</f>
        <v>51.900000000000006</v>
      </c>
      <c r="DA1" s="157"/>
      <c r="DB1" s="157">
        <f>SUM(DB29:DB127)</f>
        <v>51.100000000000009</v>
      </c>
      <c r="DC1" s="157"/>
      <c r="DD1" s="157">
        <f>SUM(DD29:DD127)</f>
        <v>51.900000000000006</v>
      </c>
      <c r="DE1" s="157"/>
      <c r="DF1" s="157">
        <f>SUM(DF29:DF127)</f>
        <v>50.340000000000011</v>
      </c>
      <c r="DG1" s="157"/>
      <c r="DH1" s="157"/>
      <c r="DI1" s="157"/>
      <c r="DJ1" s="157" t="e">
        <f>SUM(DJ29:DJ127)</f>
        <v>#N/A</v>
      </c>
      <c r="DK1" s="157" t="e">
        <f>SUM(DK29:DK127)</f>
        <v>#N/A</v>
      </c>
      <c r="DL1" s="157"/>
      <c r="DM1" s="157"/>
      <c r="DN1" s="157">
        <f>SUM(DN29:DN127)</f>
        <v>54.7</v>
      </c>
      <c r="DO1" s="157"/>
      <c r="DP1" s="157">
        <f>SUM(DP29:DP127)</f>
        <v>54.900000000000006</v>
      </c>
      <c r="DQ1" s="157"/>
      <c r="DR1" s="157">
        <f>SUM(DR29:DR127)</f>
        <v>54.300000000000004</v>
      </c>
      <c r="DS1" s="157"/>
      <c r="DT1" s="157">
        <f>SUM(DT29:DT127)</f>
        <v>55.900000000000006</v>
      </c>
      <c r="DU1" s="157"/>
      <c r="DV1" s="157">
        <f>SUM(DV29:DV127)</f>
        <v>53.540000000000006</v>
      </c>
      <c r="DW1" s="157"/>
      <c r="DX1" s="157"/>
      <c r="DY1" s="157"/>
      <c r="DZ1" s="157"/>
      <c r="EA1" s="157"/>
      <c r="EB1" s="157"/>
    </row>
    <row r="2" spans="1:136" ht="14.25" customHeight="1">
      <c r="A2" t="s">
        <v>3192</v>
      </c>
      <c r="B2" t="e">
        <f>VLOOKUP(Fragenkatalog!K8,'Rechtsformen und -gruppen'!A9:B47,2,FALSE)</f>
        <v>#N/A</v>
      </c>
      <c r="C2" s="289"/>
      <c r="D2" s="289"/>
      <c r="Q2" s="108"/>
      <c r="R2" s="108"/>
      <c r="S2" s="108"/>
      <c r="T2" s="108"/>
      <c r="AG2" s="108"/>
      <c r="AH2" s="108"/>
      <c r="AI2" s="108"/>
      <c r="AJ2" s="108"/>
      <c r="AW2" s="108"/>
      <c r="AX2" s="108"/>
      <c r="AY2" s="108"/>
      <c r="AZ2" s="108"/>
      <c r="BM2" s="108"/>
      <c r="BN2" s="108"/>
      <c r="BO2" s="108"/>
      <c r="BP2" s="108"/>
      <c r="CC2" s="108"/>
      <c r="CD2" s="108"/>
      <c r="CE2" s="108"/>
      <c r="CF2" s="108"/>
      <c r="CS2" s="108"/>
      <c r="CT2" s="108"/>
      <c r="CU2" s="108"/>
      <c r="CV2" s="108"/>
      <c r="DI2" s="108"/>
      <c r="DJ2" s="108"/>
      <c r="DK2" s="108"/>
      <c r="DL2" s="108"/>
      <c r="DY2" s="108"/>
      <c r="DZ2" s="108"/>
      <c r="EA2" s="108"/>
      <c r="EB2" s="108"/>
    </row>
    <row r="3" spans="1:136" ht="14.25" customHeight="1">
      <c r="C3" s="289"/>
      <c r="D3" s="289"/>
      <c r="Q3" s="108"/>
      <c r="R3" s="108"/>
      <c r="S3" s="108"/>
      <c r="T3" s="108"/>
      <c r="AG3" s="108"/>
      <c r="AH3" s="108"/>
      <c r="AI3" s="108"/>
      <c r="AJ3" s="108"/>
      <c r="AW3" s="108"/>
      <c r="AX3" s="108"/>
      <c r="AY3" s="108"/>
      <c r="AZ3" s="108"/>
      <c r="BM3" s="108"/>
      <c r="BN3" s="108"/>
      <c r="BO3" s="108"/>
      <c r="BP3" s="108"/>
      <c r="CC3" s="108"/>
      <c r="CD3" s="108"/>
      <c r="CE3" s="108"/>
      <c r="CF3" s="108"/>
      <c r="CS3" s="108"/>
      <c r="CT3" s="108"/>
      <c r="CU3" s="108"/>
      <c r="CV3" s="108"/>
      <c r="DI3" s="108"/>
      <c r="DJ3" s="108"/>
      <c r="DK3" s="108"/>
      <c r="DL3" s="108"/>
      <c r="DY3" s="108"/>
      <c r="DZ3" s="108"/>
      <c r="EA3" s="108"/>
      <c r="EB3" s="108"/>
    </row>
    <row r="4" spans="1:136" ht="14.25" customHeight="1">
      <c r="C4" s="289"/>
      <c r="D4" s="289"/>
      <c r="Q4" s="108"/>
      <c r="R4" s="108"/>
      <c r="S4" s="108"/>
      <c r="T4" s="108"/>
      <c r="AG4" s="108"/>
      <c r="AH4" s="108"/>
      <c r="AI4" s="108"/>
      <c r="AJ4" s="108"/>
      <c r="AW4" s="108"/>
      <c r="AX4" s="108"/>
      <c r="AY4" s="108"/>
      <c r="AZ4" s="108"/>
      <c r="BM4" s="108"/>
      <c r="BN4" s="108"/>
      <c r="BO4" s="108"/>
      <c r="BP4" s="108"/>
      <c r="CC4" s="108"/>
      <c r="CD4" s="108"/>
      <c r="CE4" s="108"/>
      <c r="CF4" s="108"/>
      <c r="CS4" s="108"/>
      <c r="CT4" s="108"/>
      <c r="CU4" s="108"/>
      <c r="CV4" s="108"/>
      <c r="DI4" s="108"/>
      <c r="DJ4" s="108"/>
      <c r="DK4" s="108"/>
      <c r="DL4" s="108"/>
      <c r="DY4" s="108"/>
      <c r="DZ4" s="108"/>
      <c r="EA4" s="108"/>
      <c r="EB4" s="108"/>
    </row>
    <row r="5" spans="1:136" ht="14.25" customHeight="1">
      <c r="A5" s="152"/>
      <c r="C5" s="289"/>
      <c r="D5" s="289"/>
      <c r="E5" s="189"/>
      <c r="Q5" s="108"/>
      <c r="R5" s="108"/>
      <c r="S5" s="108"/>
      <c r="T5" s="108"/>
      <c r="AG5" s="108"/>
      <c r="AH5" s="108"/>
      <c r="AI5" s="108"/>
      <c r="AJ5" s="108"/>
      <c r="AW5" s="108"/>
      <c r="AX5" s="108"/>
      <c r="AY5" s="108"/>
      <c r="AZ5" s="108"/>
      <c r="BM5" s="108"/>
      <c r="BN5" s="108"/>
      <c r="BO5" s="108"/>
      <c r="BP5" s="108"/>
      <c r="CC5" s="108"/>
      <c r="CD5" s="108"/>
      <c r="CE5" s="108"/>
      <c r="CF5" s="108"/>
      <c r="CS5" s="108"/>
      <c r="CT5" s="108"/>
      <c r="CU5" s="108"/>
      <c r="CV5" s="108"/>
      <c r="DI5" s="108"/>
      <c r="DJ5" s="108"/>
      <c r="DK5" s="108"/>
      <c r="DL5" s="108"/>
      <c r="DY5" s="290"/>
      <c r="DZ5" s="108"/>
      <c r="EA5" s="108"/>
      <c r="EB5" s="108"/>
    </row>
    <row r="6" spans="1:136" ht="14.25" customHeight="1">
      <c r="A6" s="152"/>
      <c r="C6" s="289"/>
      <c r="D6" s="289"/>
      <c r="E6" s="189"/>
      <c r="Q6" s="108"/>
      <c r="R6" s="108"/>
      <c r="S6" s="108"/>
      <c r="T6" s="108"/>
      <c r="AG6" s="108"/>
      <c r="AH6" s="108"/>
      <c r="AI6" s="108"/>
      <c r="AJ6" s="108"/>
      <c r="AW6" s="108"/>
      <c r="AX6" s="108"/>
      <c r="AY6" s="108"/>
      <c r="AZ6" s="108"/>
      <c r="BM6" s="108"/>
      <c r="BN6" s="108"/>
      <c r="BO6" s="108"/>
      <c r="BP6" s="108"/>
      <c r="CC6" s="108"/>
      <c r="CD6" s="108"/>
      <c r="CE6" s="108"/>
      <c r="CF6" s="108"/>
      <c r="CS6" s="108"/>
      <c r="CT6" s="108"/>
      <c r="CU6" s="108"/>
      <c r="CV6" s="108"/>
      <c r="DI6" s="108"/>
      <c r="DJ6" s="108"/>
      <c r="DK6" s="108"/>
      <c r="DL6" s="108"/>
      <c r="DY6" s="290"/>
      <c r="DZ6" s="108"/>
      <c r="EA6" s="108"/>
      <c r="EB6" s="108"/>
    </row>
    <row r="7" spans="1:136" ht="14.25" customHeight="1">
      <c r="A7" s="291"/>
      <c r="B7" s="292"/>
      <c r="C7" s="293"/>
      <c r="D7" s="293"/>
      <c r="E7" s="1133"/>
      <c r="F7" s="1125"/>
      <c r="G7" s="1125"/>
      <c r="H7" s="1125"/>
      <c r="I7" s="1125"/>
      <c r="J7" s="1125"/>
      <c r="K7" s="1125"/>
      <c r="L7" s="1125"/>
      <c r="M7" s="1125"/>
      <c r="N7" s="1125"/>
      <c r="O7" s="1125"/>
      <c r="P7" s="1125"/>
      <c r="Q7" s="1125"/>
      <c r="R7" s="1125"/>
      <c r="S7" s="1125"/>
      <c r="T7" s="1125"/>
      <c r="U7" s="1125"/>
      <c r="V7" s="1125"/>
      <c r="W7" s="1125"/>
      <c r="X7" s="1125"/>
      <c r="Y7" s="1125"/>
      <c r="Z7" s="1125"/>
      <c r="AA7" s="1125"/>
      <c r="AB7" s="1125"/>
      <c r="AC7" s="1125"/>
      <c r="AD7" s="1125"/>
      <c r="AE7" s="1125"/>
      <c r="AF7" s="1125"/>
      <c r="AG7" s="1125"/>
      <c r="AH7" s="1125"/>
      <c r="AI7" s="1125"/>
      <c r="AJ7" s="1125"/>
      <c r="AK7" s="1125"/>
      <c r="AL7" s="1125"/>
      <c r="AM7" s="1125"/>
      <c r="AN7" s="1125"/>
      <c r="AO7" s="1125"/>
      <c r="AP7" s="1125"/>
      <c r="AQ7" s="1125"/>
      <c r="AR7" s="1125"/>
      <c r="AS7" s="1125"/>
      <c r="AT7" s="1125"/>
      <c r="AU7" s="1125"/>
      <c r="AV7" s="1125"/>
      <c r="AW7" s="1125"/>
      <c r="AX7" s="1125"/>
      <c r="AY7" s="1125"/>
      <c r="AZ7" s="1125"/>
      <c r="BA7" s="1125"/>
      <c r="BB7" s="1125"/>
      <c r="BC7" s="1125"/>
      <c r="BD7" s="1125"/>
      <c r="BE7" s="1125"/>
      <c r="BF7" s="1125"/>
      <c r="BG7" s="1125"/>
      <c r="BH7" s="1125"/>
      <c r="BI7" s="1125"/>
      <c r="BJ7" s="1125"/>
      <c r="BK7" s="1125"/>
      <c r="BL7" s="1125"/>
      <c r="BM7" s="1125"/>
      <c r="BN7" s="1125"/>
      <c r="BO7" s="1125"/>
      <c r="BP7" s="1125"/>
      <c r="BQ7" s="1125"/>
      <c r="BR7" s="1125"/>
      <c r="BS7" s="1125"/>
      <c r="BT7" s="1125"/>
      <c r="BU7" s="1125"/>
      <c r="BV7" s="1125"/>
      <c r="BW7" s="1125"/>
      <c r="BX7" s="1125"/>
      <c r="BY7" s="1125"/>
      <c r="BZ7" s="1125"/>
      <c r="CA7" s="1125"/>
      <c r="CB7" s="1125"/>
      <c r="CC7" s="1125"/>
      <c r="CD7" s="1125"/>
      <c r="CE7" s="1125"/>
      <c r="CF7" s="1125"/>
      <c r="CG7" s="1125"/>
      <c r="CH7" s="1125"/>
      <c r="CI7" s="1125"/>
      <c r="CJ7" s="1125"/>
      <c r="CK7" s="1125"/>
      <c r="CL7" s="1125"/>
      <c r="CM7" s="1125"/>
      <c r="CN7" s="1125"/>
      <c r="CO7" s="1125"/>
      <c r="CP7" s="1125"/>
      <c r="CQ7" s="1125"/>
      <c r="CR7" s="1125"/>
      <c r="CS7" s="1125"/>
      <c r="CT7" s="1125"/>
      <c r="CU7" s="1125"/>
      <c r="CV7" s="1125"/>
      <c r="CW7" s="1125"/>
      <c r="CX7" s="1125"/>
      <c r="CY7" s="1125"/>
      <c r="CZ7" s="1125"/>
      <c r="DA7" s="1125"/>
      <c r="DB7" s="1125"/>
      <c r="DC7" s="1125"/>
      <c r="DD7" s="1125"/>
      <c r="DE7" s="1125"/>
      <c r="DF7" s="1125"/>
      <c r="DG7" s="1125"/>
      <c r="DH7" s="1125"/>
      <c r="DI7" s="1125"/>
      <c r="DJ7" s="1125"/>
      <c r="DK7" s="1125"/>
      <c r="DL7" s="1125"/>
      <c r="DM7" s="1125"/>
      <c r="DN7" s="1125"/>
      <c r="DO7" s="1125"/>
      <c r="DP7" s="1125"/>
      <c r="DQ7" s="1125"/>
      <c r="DR7" s="1125"/>
      <c r="DS7" s="1125"/>
      <c r="DT7" s="1125"/>
      <c r="DU7" s="1125"/>
      <c r="DV7" s="1125"/>
      <c r="DW7" s="1125"/>
      <c r="DX7" s="1125"/>
      <c r="DY7" s="1126"/>
    </row>
    <row r="8" spans="1:136" ht="14.25" customHeight="1">
      <c r="A8" s="294"/>
      <c r="B8" s="295"/>
      <c r="C8" s="296" t="s">
        <v>3116</v>
      </c>
      <c r="D8" s="296"/>
      <c r="E8" s="1132" t="s">
        <v>3193</v>
      </c>
      <c r="F8" s="1085"/>
      <c r="G8" s="1085"/>
      <c r="H8" s="1085"/>
      <c r="I8" s="1085"/>
      <c r="J8" s="1085"/>
      <c r="K8" s="1085"/>
      <c r="L8" s="1085"/>
      <c r="M8" s="1085"/>
      <c r="N8" s="1085"/>
      <c r="O8" s="1085"/>
      <c r="P8" s="1085"/>
      <c r="Q8" s="1085"/>
      <c r="R8" s="1085"/>
      <c r="S8" s="1085"/>
      <c r="T8" s="1084"/>
      <c r="U8" s="1132" t="s">
        <v>2795</v>
      </c>
      <c r="V8" s="1085"/>
      <c r="W8" s="1085"/>
      <c r="X8" s="1085"/>
      <c r="Y8" s="1085"/>
      <c r="Z8" s="1085"/>
      <c r="AA8" s="1085"/>
      <c r="AB8" s="1085"/>
      <c r="AC8" s="1085"/>
      <c r="AD8" s="1085"/>
      <c r="AE8" s="1085"/>
      <c r="AF8" s="1085"/>
      <c r="AG8" s="1085"/>
      <c r="AH8" s="1085"/>
      <c r="AI8" s="1085"/>
      <c r="AJ8" s="1084"/>
      <c r="AK8" s="1132" t="s">
        <v>3194</v>
      </c>
      <c r="AL8" s="1085"/>
      <c r="AM8" s="1085"/>
      <c r="AN8" s="1085"/>
      <c r="AO8" s="1085"/>
      <c r="AP8" s="1085"/>
      <c r="AQ8" s="1085"/>
      <c r="AR8" s="1085"/>
      <c r="AS8" s="1085"/>
      <c r="AT8" s="1085"/>
      <c r="AU8" s="1085"/>
      <c r="AV8" s="1085"/>
      <c r="AW8" s="1085"/>
      <c r="AX8" s="1085"/>
      <c r="AY8" s="1085"/>
      <c r="AZ8" s="1084"/>
      <c r="BA8" s="1132" t="s">
        <v>2393</v>
      </c>
      <c r="BB8" s="1085"/>
      <c r="BC8" s="1085"/>
      <c r="BD8" s="1085"/>
      <c r="BE8" s="1085"/>
      <c r="BF8" s="1085"/>
      <c r="BG8" s="1085"/>
      <c r="BH8" s="1085"/>
      <c r="BI8" s="1085"/>
      <c r="BJ8" s="1085"/>
      <c r="BK8" s="1085"/>
      <c r="BL8" s="1085"/>
      <c r="BM8" s="1085"/>
      <c r="BN8" s="1085"/>
      <c r="BO8" s="1085"/>
      <c r="BP8" s="1084"/>
      <c r="BQ8" s="1132" t="s">
        <v>3195</v>
      </c>
      <c r="BR8" s="1085"/>
      <c r="BS8" s="1085"/>
      <c r="BT8" s="1085"/>
      <c r="BU8" s="1085"/>
      <c r="BV8" s="1085"/>
      <c r="BW8" s="1085"/>
      <c r="BX8" s="1085"/>
      <c r="BY8" s="1085"/>
      <c r="BZ8" s="1085"/>
      <c r="CA8" s="1085"/>
      <c r="CB8" s="1085"/>
      <c r="CC8" s="1085"/>
      <c r="CD8" s="1085"/>
      <c r="CE8" s="1085"/>
      <c r="CF8" s="1084"/>
      <c r="CG8" s="1132" t="s">
        <v>2400</v>
      </c>
      <c r="CH8" s="1085"/>
      <c r="CI8" s="1085"/>
      <c r="CJ8" s="1085"/>
      <c r="CK8" s="1085"/>
      <c r="CL8" s="1085"/>
      <c r="CM8" s="1085"/>
      <c r="CN8" s="1085"/>
      <c r="CO8" s="1085"/>
      <c r="CP8" s="1085"/>
      <c r="CQ8" s="1085"/>
      <c r="CR8" s="1085"/>
      <c r="CS8" s="1085"/>
      <c r="CT8" s="1085"/>
      <c r="CU8" s="1085"/>
      <c r="CV8" s="1084"/>
      <c r="CW8" s="1132" t="s">
        <v>2401</v>
      </c>
      <c r="CX8" s="1085"/>
      <c r="CY8" s="1085"/>
      <c r="CZ8" s="1085"/>
      <c r="DA8" s="1085"/>
      <c r="DB8" s="1085"/>
      <c r="DC8" s="1085"/>
      <c r="DD8" s="1085"/>
      <c r="DE8" s="1085"/>
      <c r="DF8" s="1085"/>
      <c r="DG8" s="1085"/>
      <c r="DH8" s="1085"/>
      <c r="DI8" s="1085"/>
      <c r="DJ8" s="1085"/>
      <c r="DK8" s="1085"/>
      <c r="DL8" s="1084"/>
      <c r="DM8" s="1132" t="s">
        <v>2402</v>
      </c>
      <c r="DN8" s="1085"/>
      <c r="DO8" s="1085"/>
      <c r="DP8" s="1085"/>
      <c r="DQ8" s="1085"/>
      <c r="DR8" s="1085"/>
      <c r="DS8" s="1085"/>
      <c r="DT8" s="1085"/>
      <c r="DU8" s="1085"/>
      <c r="DV8" s="1085"/>
      <c r="DW8" s="1085"/>
      <c r="DX8" s="1085"/>
      <c r="DY8" s="1085"/>
      <c r="DZ8" s="1085"/>
      <c r="EA8" s="1085"/>
      <c r="EB8" s="1084"/>
    </row>
    <row r="9" spans="1:136" ht="14.25" customHeight="1">
      <c r="A9" s="297"/>
      <c r="B9" s="295"/>
      <c r="C9" s="296" t="s">
        <v>3196</v>
      </c>
      <c r="D9" s="296"/>
      <c r="E9" s="298" t="s">
        <v>3197</v>
      </c>
      <c r="F9" s="1129" t="s">
        <v>3198</v>
      </c>
      <c r="G9" s="1032"/>
      <c r="H9" s="1032"/>
      <c r="I9" s="1032"/>
      <c r="J9" s="1032"/>
      <c r="K9" s="1032"/>
      <c r="L9" s="1032"/>
      <c r="M9" s="1032"/>
      <c r="N9" s="1032"/>
      <c r="O9" s="1032"/>
      <c r="P9" s="1032"/>
      <c r="Q9" s="1130"/>
      <c r="R9" s="299"/>
      <c r="S9" s="299"/>
      <c r="T9" s="299"/>
      <c r="U9" s="298" t="s">
        <v>3197</v>
      </c>
      <c r="V9" s="1129" t="s">
        <v>3198</v>
      </c>
      <c r="W9" s="1032"/>
      <c r="X9" s="1032"/>
      <c r="Y9" s="1032"/>
      <c r="Z9" s="1032"/>
      <c r="AA9" s="1032"/>
      <c r="AB9" s="1032"/>
      <c r="AC9" s="1032"/>
      <c r="AD9" s="1032"/>
      <c r="AE9" s="1032"/>
      <c r="AF9" s="1032"/>
      <c r="AG9" s="1130"/>
      <c r="AH9" s="299"/>
      <c r="AI9" s="299"/>
      <c r="AJ9" s="299"/>
      <c r="AK9" s="298" t="s">
        <v>3197</v>
      </c>
      <c r="AL9" s="1129" t="s">
        <v>3198</v>
      </c>
      <c r="AM9" s="1032"/>
      <c r="AN9" s="1032"/>
      <c r="AO9" s="1032"/>
      <c r="AP9" s="1032"/>
      <c r="AQ9" s="1032"/>
      <c r="AR9" s="1032"/>
      <c r="AS9" s="1032"/>
      <c r="AT9" s="1032"/>
      <c r="AU9" s="1032"/>
      <c r="AV9" s="1032"/>
      <c r="AW9" s="1130"/>
      <c r="AX9" s="299"/>
      <c r="AY9" s="299"/>
      <c r="AZ9" s="299"/>
      <c r="BA9" s="298" t="s">
        <v>3197</v>
      </c>
      <c r="BB9" s="1129" t="s">
        <v>3198</v>
      </c>
      <c r="BC9" s="1032"/>
      <c r="BD9" s="1032"/>
      <c r="BE9" s="1032"/>
      <c r="BF9" s="1032"/>
      <c r="BG9" s="1032"/>
      <c r="BH9" s="1032"/>
      <c r="BI9" s="1032"/>
      <c r="BJ9" s="1032"/>
      <c r="BK9" s="1032"/>
      <c r="BL9" s="1032"/>
      <c r="BM9" s="1130"/>
      <c r="BN9" s="299"/>
      <c r="BO9" s="299"/>
      <c r="BP9" s="299"/>
      <c r="BQ9" s="298" t="s">
        <v>3197</v>
      </c>
      <c r="BR9" s="1129" t="s">
        <v>3198</v>
      </c>
      <c r="BS9" s="1032"/>
      <c r="BT9" s="1032"/>
      <c r="BU9" s="1032"/>
      <c r="BV9" s="1032"/>
      <c r="BW9" s="1032"/>
      <c r="BX9" s="1032"/>
      <c r="BY9" s="1032"/>
      <c r="BZ9" s="1032"/>
      <c r="CA9" s="1032"/>
      <c r="CB9" s="1032"/>
      <c r="CC9" s="1130"/>
      <c r="CD9" s="299"/>
      <c r="CE9" s="299"/>
      <c r="CF9" s="299"/>
      <c r="CG9" s="298" t="s">
        <v>3197</v>
      </c>
      <c r="CH9" s="1129" t="s">
        <v>3198</v>
      </c>
      <c r="CI9" s="1032"/>
      <c r="CJ9" s="1032"/>
      <c r="CK9" s="1032"/>
      <c r="CL9" s="1032"/>
      <c r="CM9" s="1032"/>
      <c r="CN9" s="1032"/>
      <c r="CO9" s="1032"/>
      <c r="CP9" s="1032"/>
      <c r="CQ9" s="1032"/>
      <c r="CR9" s="1032"/>
      <c r="CS9" s="1130"/>
      <c r="CT9" s="299"/>
      <c r="CU9" s="299"/>
      <c r="CV9" s="299"/>
      <c r="CW9" s="298" t="s">
        <v>3197</v>
      </c>
      <c r="CX9" s="1129" t="s">
        <v>3198</v>
      </c>
      <c r="CY9" s="1032"/>
      <c r="CZ9" s="1032"/>
      <c r="DA9" s="1032"/>
      <c r="DB9" s="1032"/>
      <c r="DC9" s="1032"/>
      <c r="DD9" s="1032"/>
      <c r="DE9" s="1032"/>
      <c r="DF9" s="1032"/>
      <c r="DG9" s="1032"/>
      <c r="DH9" s="1032"/>
      <c r="DI9" s="1130"/>
      <c r="DJ9" s="299"/>
      <c r="DK9" s="299"/>
      <c r="DL9" s="299"/>
      <c r="DM9" s="298" t="s">
        <v>3197</v>
      </c>
      <c r="DN9" s="1129" t="s">
        <v>3198</v>
      </c>
      <c r="DO9" s="1032"/>
      <c r="DP9" s="1032"/>
      <c r="DQ9" s="1032"/>
      <c r="DR9" s="1032"/>
      <c r="DS9" s="1032"/>
      <c r="DT9" s="1032"/>
      <c r="DU9" s="1032"/>
      <c r="DV9" s="1032"/>
      <c r="DW9" s="1032"/>
      <c r="DX9" s="1032"/>
      <c r="DY9" s="1130"/>
      <c r="DZ9" s="299"/>
      <c r="EA9" s="299"/>
      <c r="EB9" s="299"/>
    </row>
    <row r="10" spans="1:136" ht="14.25" customHeight="1">
      <c r="A10" s="294"/>
      <c r="B10" s="295"/>
      <c r="C10" s="296" t="s">
        <v>3199</v>
      </c>
      <c r="D10" s="296"/>
      <c r="E10" s="298" t="s">
        <v>3200</v>
      </c>
      <c r="F10" s="1131"/>
      <c r="G10" s="1032"/>
      <c r="H10" s="1032"/>
      <c r="I10" s="1032"/>
      <c r="J10" s="1032"/>
      <c r="K10" s="1032"/>
      <c r="L10" s="1032"/>
      <c r="M10" s="1032"/>
      <c r="N10" s="1032"/>
      <c r="O10" s="1032"/>
      <c r="P10" s="1032"/>
      <c r="Q10" s="1130"/>
      <c r="R10" s="300"/>
      <c r="S10" s="300"/>
      <c r="T10" s="300"/>
      <c r="U10" s="298" t="s">
        <v>3201</v>
      </c>
      <c r="V10" s="1131"/>
      <c r="W10" s="1032"/>
      <c r="X10" s="1032"/>
      <c r="Y10" s="1032"/>
      <c r="Z10" s="1032"/>
      <c r="AA10" s="1032"/>
      <c r="AB10" s="1032"/>
      <c r="AC10" s="1032"/>
      <c r="AD10" s="1032"/>
      <c r="AE10" s="1032"/>
      <c r="AF10" s="1032"/>
      <c r="AG10" s="1130"/>
      <c r="AH10" s="300"/>
      <c r="AI10" s="300"/>
      <c r="AJ10" s="300"/>
      <c r="AK10" s="298" t="s">
        <v>3202</v>
      </c>
      <c r="AL10" s="1131"/>
      <c r="AM10" s="1032"/>
      <c r="AN10" s="1032"/>
      <c r="AO10" s="1032"/>
      <c r="AP10" s="1032"/>
      <c r="AQ10" s="1032"/>
      <c r="AR10" s="1032"/>
      <c r="AS10" s="1032"/>
      <c r="AT10" s="1032"/>
      <c r="AU10" s="1032"/>
      <c r="AV10" s="1032"/>
      <c r="AW10" s="1130"/>
      <c r="AX10" s="300"/>
      <c r="AY10" s="300"/>
      <c r="AZ10" s="300"/>
      <c r="BA10" s="298" t="s">
        <v>3203</v>
      </c>
      <c r="BB10" s="1131"/>
      <c r="BC10" s="1032"/>
      <c r="BD10" s="1032"/>
      <c r="BE10" s="1032"/>
      <c r="BF10" s="1032"/>
      <c r="BG10" s="1032"/>
      <c r="BH10" s="1032"/>
      <c r="BI10" s="1032"/>
      <c r="BJ10" s="1032"/>
      <c r="BK10" s="1032"/>
      <c r="BL10" s="1032"/>
      <c r="BM10" s="1130"/>
      <c r="BN10" s="300"/>
      <c r="BO10" s="300"/>
      <c r="BP10" s="300"/>
      <c r="BQ10" s="298" t="s">
        <v>3203</v>
      </c>
      <c r="BR10" s="1131"/>
      <c r="BS10" s="1032"/>
      <c r="BT10" s="1032"/>
      <c r="BU10" s="1032"/>
      <c r="BV10" s="1032"/>
      <c r="BW10" s="1032"/>
      <c r="BX10" s="1032"/>
      <c r="BY10" s="1032"/>
      <c r="BZ10" s="1032"/>
      <c r="CA10" s="1032"/>
      <c r="CB10" s="1032"/>
      <c r="CC10" s="1130"/>
      <c r="CD10" s="300"/>
      <c r="CE10" s="300"/>
      <c r="CF10" s="300"/>
      <c r="CG10" s="298" t="s">
        <v>3204</v>
      </c>
      <c r="CH10" s="1131"/>
      <c r="CI10" s="1032"/>
      <c r="CJ10" s="1032"/>
      <c r="CK10" s="1032"/>
      <c r="CL10" s="1032"/>
      <c r="CM10" s="1032"/>
      <c r="CN10" s="1032"/>
      <c r="CO10" s="1032"/>
      <c r="CP10" s="1032"/>
      <c r="CQ10" s="1032"/>
      <c r="CR10" s="1032"/>
      <c r="CS10" s="1130"/>
      <c r="CT10" s="300"/>
      <c r="CU10" s="300"/>
      <c r="CV10" s="300"/>
      <c r="CW10" s="298" t="s">
        <v>3203</v>
      </c>
      <c r="CX10" s="1131"/>
      <c r="CY10" s="1032"/>
      <c r="CZ10" s="1032"/>
      <c r="DA10" s="1032"/>
      <c r="DB10" s="1032"/>
      <c r="DC10" s="1032"/>
      <c r="DD10" s="1032"/>
      <c r="DE10" s="1032"/>
      <c r="DF10" s="1032"/>
      <c r="DG10" s="1032"/>
      <c r="DH10" s="1032"/>
      <c r="DI10" s="1130"/>
      <c r="DJ10" s="300"/>
      <c r="DK10" s="300"/>
      <c r="DL10" s="300"/>
      <c r="DM10" s="298" t="s">
        <v>3205</v>
      </c>
      <c r="DN10" s="1131"/>
      <c r="DO10" s="1032"/>
      <c r="DP10" s="1032"/>
      <c r="DQ10" s="1032"/>
      <c r="DR10" s="1032"/>
      <c r="DS10" s="1032"/>
      <c r="DT10" s="1032"/>
      <c r="DU10" s="1032"/>
      <c r="DV10" s="1032"/>
      <c r="DW10" s="1032"/>
      <c r="DX10" s="1032"/>
      <c r="DY10" s="1130"/>
      <c r="DZ10" s="300"/>
      <c r="EA10" s="300"/>
      <c r="EB10" s="300"/>
    </row>
    <row r="11" spans="1:136" ht="14.25" customHeight="1">
      <c r="A11" s="294"/>
      <c r="B11" s="295"/>
      <c r="C11" s="296"/>
      <c r="D11" s="296"/>
      <c r="E11" s="298"/>
      <c r="F11" s="292"/>
      <c r="G11" s="292"/>
      <c r="H11" s="292"/>
      <c r="I11" s="292"/>
      <c r="J11" s="292"/>
      <c r="K11" s="292"/>
      <c r="L11" s="292"/>
      <c r="M11" s="292"/>
      <c r="N11" s="292"/>
      <c r="O11" s="292"/>
      <c r="P11" s="292"/>
      <c r="Q11" s="301"/>
      <c r="R11" s="302"/>
      <c r="S11" s="302"/>
      <c r="T11" s="302"/>
      <c r="U11" s="298"/>
      <c r="V11" s="292"/>
      <c r="W11" s="292"/>
      <c r="X11" s="292"/>
      <c r="Y11" s="292"/>
      <c r="Z11" s="292"/>
      <c r="AA11" s="292"/>
      <c r="AB11" s="292"/>
      <c r="AC11" s="292"/>
      <c r="AD11" s="292"/>
      <c r="AE11" s="292"/>
      <c r="AF11" s="292"/>
      <c r="AG11" s="301"/>
      <c r="AH11" s="302"/>
      <c r="AI11" s="302"/>
      <c r="AJ11" s="302"/>
      <c r="AK11" s="298"/>
      <c r="AL11" s="292"/>
      <c r="AM11" s="292"/>
      <c r="AN11" s="292"/>
      <c r="AO11" s="292"/>
      <c r="AP11" s="292"/>
      <c r="AQ11" s="292"/>
      <c r="AR11" s="292"/>
      <c r="AS11" s="292"/>
      <c r="AT11" s="292"/>
      <c r="AU11" s="292"/>
      <c r="AV11" s="292"/>
      <c r="AW11" s="301"/>
      <c r="AX11" s="302"/>
      <c r="AY11" s="302"/>
      <c r="AZ11" s="302"/>
      <c r="BA11" s="298"/>
      <c r="BB11" s="292"/>
      <c r="BC11" s="292"/>
      <c r="BD11" s="292"/>
      <c r="BE11" s="292"/>
      <c r="BF11" s="292"/>
      <c r="BG11" s="292"/>
      <c r="BH11" s="292"/>
      <c r="BI11" s="292"/>
      <c r="BJ11" s="292"/>
      <c r="BK11" s="292"/>
      <c r="BL11" s="292"/>
      <c r="BM11" s="301"/>
      <c r="BN11" s="302"/>
      <c r="BO11" s="302"/>
      <c r="BP11" s="302"/>
      <c r="BQ11" s="298"/>
      <c r="BR11" s="292"/>
      <c r="BS11" s="292"/>
      <c r="BT11" s="292"/>
      <c r="BU11" s="292"/>
      <c r="BV11" s="292"/>
      <c r="BW11" s="292"/>
      <c r="BX11" s="292"/>
      <c r="BY11" s="292"/>
      <c r="BZ11" s="292"/>
      <c r="CA11" s="292"/>
      <c r="CB11" s="292"/>
      <c r="CC11" s="301"/>
      <c r="CD11" s="302"/>
      <c r="CE11" s="302"/>
      <c r="CF11" s="302"/>
      <c r="CG11" s="298"/>
      <c r="CH11" s="292"/>
      <c r="CI11" s="292"/>
      <c r="CJ11" s="292"/>
      <c r="CK11" s="292"/>
      <c r="CL11" s="292"/>
      <c r="CM11" s="292"/>
      <c r="CN11" s="292"/>
      <c r="CO11" s="292"/>
      <c r="CP11" s="292"/>
      <c r="CQ11" s="292"/>
      <c r="CR11" s="292"/>
      <c r="CS11" s="301"/>
      <c r="CT11" s="302"/>
      <c r="CU11" s="302"/>
      <c r="CV11" s="302"/>
      <c r="CW11" s="298"/>
      <c r="CX11" s="292"/>
      <c r="CY11" s="292"/>
      <c r="CZ11" s="292"/>
      <c r="DA11" s="292"/>
      <c r="DB11" s="292"/>
      <c r="DC11" s="292"/>
      <c r="DD11" s="292"/>
      <c r="DE11" s="292"/>
      <c r="DF11" s="292"/>
      <c r="DG11" s="292"/>
      <c r="DH11" s="292"/>
      <c r="DI11" s="301"/>
      <c r="DJ11" s="302"/>
      <c r="DK11" s="302"/>
      <c r="DL11" s="302"/>
      <c r="DM11" s="298"/>
      <c r="DN11" s="292"/>
      <c r="DO11" s="292"/>
      <c r="DP11" s="292"/>
      <c r="DQ11" s="292"/>
      <c r="DR11" s="292"/>
      <c r="DS11" s="292"/>
      <c r="DT11" s="292"/>
      <c r="DU11" s="292"/>
      <c r="DV11" s="292"/>
      <c r="DW11" s="292"/>
      <c r="DX11" s="292"/>
      <c r="DY11" s="301"/>
      <c r="DZ11" s="302"/>
      <c r="EA11" s="302"/>
      <c r="EB11" s="302"/>
    </row>
    <row r="12" spans="1:136" ht="14.25" customHeight="1">
      <c r="A12" s="294"/>
      <c r="B12" s="295"/>
      <c r="C12" s="296" t="s">
        <v>3206</v>
      </c>
      <c r="D12" s="296"/>
      <c r="E12" s="303"/>
      <c r="F12" s="1124"/>
      <c r="G12" s="1125"/>
      <c r="H12" s="1125"/>
      <c r="I12" s="1125"/>
      <c r="J12" s="1125"/>
      <c r="K12" s="1125"/>
      <c r="L12" s="1125"/>
      <c r="M12" s="1125"/>
      <c r="N12" s="1125"/>
      <c r="O12" s="1125"/>
      <c r="P12" s="1125"/>
      <c r="Q12" s="1126"/>
      <c r="R12" s="304"/>
      <c r="S12" s="304"/>
      <c r="T12" s="304"/>
      <c r="U12" s="305"/>
      <c r="V12" s="1124"/>
      <c r="W12" s="1125"/>
      <c r="X12" s="1125"/>
      <c r="Y12" s="1125"/>
      <c r="Z12" s="1125"/>
      <c r="AA12" s="1125"/>
      <c r="AB12" s="1125"/>
      <c r="AC12" s="1125"/>
      <c r="AD12" s="1125"/>
      <c r="AE12" s="1125"/>
      <c r="AF12" s="1125"/>
      <c r="AG12" s="1126"/>
      <c r="AH12" s="304"/>
      <c r="AI12" s="304"/>
      <c r="AJ12" s="304"/>
      <c r="AK12" s="305"/>
      <c r="AL12" s="1124"/>
      <c r="AM12" s="1125"/>
      <c r="AN12" s="1125"/>
      <c r="AO12" s="1125"/>
      <c r="AP12" s="1125"/>
      <c r="AQ12" s="1125"/>
      <c r="AR12" s="1125"/>
      <c r="AS12" s="1125"/>
      <c r="AT12" s="1125"/>
      <c r="AU12" s="1125"/>
      <c r="AV12" s="1125"/>
      <c r="AW12" s="1126"/>
      <c r="AX12" s="304"/>
      <c r="AY12" s="304"/>
      <c r="AZ12" s="304"/>
      <c r="BA12" s="305"/>
      <c r="BB12" s="1124"/>
      <c r="BC12" s="1125"/>
      <c r="BD12" s="1125"/>
      <c r="BE12" s="1125"/>
      <c r="BF12" s="1125"/>
      <c r="BG12" s="1125"/>
      <c r="BH12" s="1125"/>
      <c r="BI12" s="1125"/>
      <c r="BJ12" s="1125"/>
      <c r="BK12" s="1125"/>
      <c r="BL12" s="1125"/>
      <c r="BM12" s="1126"/>
      <c r="BN12" s="304"/>
      <c r="BO12" s="304"/>
      <c r="BP12" s="304"/>
      <c r="BQ12" s="305"/>
      <c r="BR12" s="1124"/>
      <c r="BS12" s="1125"/>
      <c r="BT12" s="1125"/>
      <c r="BU12" s="1125"/>
      <c r="BV12" s="1125"/>
      <c r="BW12" s="1125"/>
      <c r="BX12" s="1125"/>
      <c r="BY12" s="1125"/>
      <c r="BZ12" s="1125"/>
      <c r="CA12" s="1125"/>
      <c r="CB12" s="1125"/>
      <c r="CC12" s="1126"/>
      <c r="CD12" s="304"/>
      <c r="CE12" s="304"/>
      <c r="CF12" s="304"/>
      <c r="CG12" s="305"/>
      <c r="CH12" s="1124"/>
      <c r="CI12" s="1125"/>
      <c r="CJ12" s="1125"/>
      <c r="CK12" s="1125"/>
      <c r="CL12" s="1125"/>
      <c r="CM12" s="1125"/>
      <c r="CN12" s="1125"/>
      <c r="CO12" s="1125"/>
      <c r="CP12" s="1125"/>
      <c r="CQ12" s="1125"/>
      <c r="CR12" s="1125"/>
      <c r="CS12" s="1126"/>
      <c r="CT12" s="304"/>
      <c r="CU12" s="304"/>
      <c r="CV12" s="304"/>
      <c r="CW12" s="305"/>
      <c r="CX12" s="1124"/>
      <c r="CY12" s="1125"/>
      <c r="CZ12" s="1125"/>
      <c r="DA12" s="1125"/>
      <c r="DB12" s="1125"/>
      <c r="DC12" s="1125"/>
      <c r="DD12" s="1125"/>
      <c r="DE12" s="1125"/>
      <c r="DF12" s="1125"/>
      <c r="DG12" s="1125"/>
      <c r="DH12" s="1125"/>
      <c r="DI12" s="1126"/>
      <c r="DJ12" s="304"/>
      <c r="DK12" s="304"/>
      <c r="DL12" s="304"/>
      <c r="DM12" s="305"/>
      <c r="DN12" s="1124"/>
      <c r="DO12" s="1125"/>
      <c r="DP12" s="1125"/>
      <c r="DQ12" s="1125"/>
      <c r="DR12" s="1125"/>
      <c r="DS12" s="1125"/>
      <c r="DT12" s="1125"/>
      <c r="DU12" s="1125"/>
      <c r="DV12" s="1125"/>
      <c r="DW12" s="1125"/>
      <c r="DX12" s="1125"/>
      <c r="DY12" s="1126"/>
      <c r="DZ12" s="304"/>
      <c r="EA12" s="304"/>
      <c r="EB12" s="304"/>
    </row>
    <row r="13" spans="1:136" ht="14.25" customHeight="1">
      <c r="A13" s="294"/>
      <c r="B13" s="306"/>
      <c r="C13" s="307"/>
      <c r="D13" s="308" t="s">
        <v>3207</v>
      </c>
      <c r="E13" s="309" t="s">
        <v>3208</v>
      </c>
      <c r="F13" s="1127" t="s">
        <v>3209</v>
      </c>
      <c r="G13" s="1128"/>
      <c r="H13" s="1127" t="s">
        <v>171</v>
      </c>
      <c r="I13" s="1128"/>
      <c r="J13" s="1127" t="s">
        <v>3210</v>
      </c>
      <c r="K13" s="1128"/>
      <c r="L13" s="1127" t="s">
        <v>3211</v>
      </c>
      <c r="M13" s="1128"/>
      <c r="N13" s="1127" t="s">
        <v>3212</v>
      </c>
      <c r="O13" s="1128"/>
      <c r="P13" s="310" t="s">
        <v>3213</v>
      </c>
      <c r="Q13" s="311" t="s">
        <v>3214</v>
      </c>
      <c r="R13" s="312" t="s">
        <v>3215</v>
      </c>
      <c r="S13" s="312" t="s">
        <v>3216</v>
      </c>
      <c r="T13" s="312"/>
      <c r="U13" s="309" t="s">
        <v>3208</v>
      </c>
      <c r="V13" s="1127" t="str">
        <f>'Rechtsformen und -gruppen'!$B$1</f>
        <v>Aktiengesellschaft</v>
      </c>
      <c r="W13" s="1128"/>
      <c r="X13" s="1127" t="str">
        <f>'Rechtsformen und -gruppen'!$B$2</f>
        <v>GmbH</v>
      </c>
      <c r="Y13" s="1128"/>
      <c r="Z13" s="1127" t="str">
        <f>'Rechtsformen und -gruppen'!$B$3</f>
        <v>Personengesellschaft</v>
      </c>
      <c r="AA13" s="1128"/>
      <c r="AB13" s="1127" t="str">
        <f>'Rechtsformen und -gruppen'!$B$4</f>
        <v>Gesellschaft döR</v>
      </c>
      <c r="AC13" s="1128"/>
      <c r="AD13" s="1127" t="str">
        <f>'Rechtsformen und -gruppen'!$B$5</f>
        <v>Berufsträger</v>
      </c>
      <c r="AE13" s="1128"/>
      <c r="AF13" s="310" t="s">
        <v>3213</v>
      </c>
      <c r="AG13" s="311" t="s">
        <v>3214</v>
      </c>
      <c r="AH13" s="312" t="s">
        <v>3215</v>
      </c>
      <c r="AI13" s="312" t="s">
        <v>3216</v>
      </c>
      <c r="AJ13" s="312"/>
      <c r="AK13" s="309" t="s">
        <v>3208</v>
      </c>
      <c r="AL13" s="1127" t="str">
        <f>'Rechtsformen und -gruppen'!$B$1</f>
        <v>Aktiengesellschaft</v>
      </c>
      <c r="AM13" s="1128"/>
      <c r="AN13" s="1127" t="str">
        <f>'Rechtsformen und -gruppen'!$B$2</f>
        <v>GmbH</v>
      </c>
      <c r="AO13" s="1128"/>
      <c r="AP13" s="1127" t="str">
        <f>'Rechtsformen und -gruppen'!$B$3</f>
        <v>Personengesellschaft</v>
      </c>
      <c r="AQ13" s="1128"/>
      <c r="AR13" s="1127" t="str">
        <f>'Rechtsformen und -gruppen'!$B$4</f>
        <v>Gesellschaft döR</v>
      </c>
      <c r="AS13" s="1128"/>
      <c r="AT13" s="1127" t="str">
        <f>'Rechtsformen und -gruppen'!$B$5</f>
        <v>Berufsträger</v>
      </c>
      <c r="AU13" s="1128"/>
      <c r="AV13" s="310" t="s">
        <v>3213</v>
      </c>
      <c r="AW13" s="311" t="s">
        <v>3214</v>
      </c>
      <c r="AX13" s="312" t="s">
        <v>3215</v>
      </c>
      <c r="AY13" s="312" t="s">
        <v>3216</v>
      </c>
      <c r="AZ13" s="312"/>
      <c r="BA13" s="309" t="s">
        <v>3208</v>
      </c>
      <c r="BB13" s="1127" t="str">
        <f>'Rechtsformen und -gruppen'!$B$1</f>
        <v>Aktiengesellschaft</v>
      </c>
      <c r="BC13" s="1128"/>
      <c r="BD13" s="1127" t="str">
        <f>'Rechtsformen und -gruppen'!$B$2</f>
        <v>GmbH</v>
      </c>
      <c r="BE13" s="1128"/>
      <c r="BF13" s="1127" t="str">
        <f>'Rechtsformen und -gruppen'!$B$3</f>
        <v>Personengesellschaft</v>
      </c>
      <c r="BG13" s="1128"/>
      <c r="BH13" s="1127" t="str">
        <f>'Rechtsformen und -gruppen'!$B$4</f>
        <v>Gesellschaft döR</v>
      </c>
      <c r="BI13" s="1128"/>
      <c r="BJ13" s="1127" t="str">
        <f>'Rechtsformen und -gruppen'!$B$5</f>
        <v>Berufsträger</v>
      </c>
      <c r="BK13" s="1128"/>
      <c r="BL13" s="310" t="s">
        <v>3213</v>
      </c>
      <c r="BM13" s="311" t="s">
        <v>3214</v>
      </c>
      <c r="BN13" s="312" t="s">
        <v>3215</v>
      </c>
      <c r="BO13" s="312" t="s">
        <v>3216</v>
      </c>
      <c r="BP13" s="312"/>
      <c r="BQ13" s="309" t="s">
        <v>3208</v>
      </c>
      <c r="BR13" s="1127" t="str">
        <f>'Rechtsformen und -gruppen'!$B$1</f>
        <v>Aktiengesellschaft</v>
      </c>
      <c r="BS13" s="1128"/>
      <c r="BT13" s="1127" t="str">
        <f>'Rechtsformen und -gruppen'!$B$2</f>
        <v>GmbH</v>
      </c>
      <c r="BU13" s="1128"/>
      <c r="BV13" s="1127" t="str">
        <f>'Rechtsformen und -gruppen'!$B$3</f>
        <v>Personengesellschaft</v>
      </c>
      <c r="BW13" s="1128"/>
      <c r="BX13" s="1127" t="str">
        <f>'Rechtsformen und -gruppen'!$B$4</f>
        <v>Gesellschaft döR</v>
      </c>
      <c r="BY13" s="1128"/>
      <c r="BZ13" s="1127" t="str">
        <f>'Rechtsformen und -gruppen'!$B$5</f>
        <v>Berufsträger</v>
      </c>
      <c r="CA13" s="1128"/>
      <c r="CB13" s="310" t="s">
        <v>3213</v>
      </c>
      <c r="CC13" s="311" t="s">
        <v>3214</v>
      </c>
      <c r="CD13" s="312" t="s">
        <v>3217</v>
      </c>
      <c r="CE13" s="312" t="s">
        <v>3216</v>
      </c>
      <c r="CF13" s="312"/>
      <c r="CG13" s="309" t="s">
        <v>3208</v>
      </c>
      <c r="CH13" s="1127" t="str">
        <f>'Rechtsformen und -gruppen'!$B$1</f>
        <v>Aktiengesellschaft</v>
      </c>
      <c r="CI13" s="1128"/>
      <c r="CJ13" s="1127" t="str">
        <f>'Rechtsformen und -gruppen'!$B$2</f>
        <v>GmbH</v>
      </c>
      <c r="CK13" s="1128"/>
      <c r="CL13" s="1127" t="str">
        <f>'Rechtsformen und -gruppen'!$B$3</f>
        <v>Personengesellschaft</v>
      </c>
      <c r="CM13" s="1128"/>
      <c r="CN13" s="1127" t="str">
        <f>'Rechtsformen und -gruppen'!$B$4</f>
        <v>Gesellschaft döR</v>
      </c>
      <c r="CO13" s="1128"/>
      <c r="CP13" s="1127" t="str">
        <f>'Rechtsformen und -gruppen'!$B$5</f>
        <v>Berufsträger</v>
      </c>
      <c r="CQ13" s="1128"/>
      <c r="CR13" s="310" t="s">
        <v>3213</v>
      </c>
      <c r="CS13" s="311" t="s">
        <v>3214</v>
      </c>
      <c r="CT13" s="312" t="s">
        <v>3215</v>
      </c>
      <c r="CU13" s="312" t="s">
        <v>3216</v>
      </c>
      <c r="CV13" s="312"/>
      <c r="CW13" s="309" t="s">
        <v>3208</v>
      </c>
      <c r="CX13" s="1127" t="str">
        <f>'Rechtsformen und -gruppen'!$B$1</f>
        <v>Aktiengesellschaft</v>
      </c>
      <c r="CY13" s="1128"/>
      <c r="CZ13" s="1127" t="str">
        <f>'Rechtsformen und -gruppen'!$B$2</f>
        <v>GmbH</v>
      </c>
      <c r="DA13" s="1128"/>
      <c r="DB13" s="1127" t="str">
        <f>'Rechtsformen und -gruppen'!$B$3</f>
        <v>Personengesellschaft</v>
      </c>
      <c r="DC13" s="1128"/>
      <c r="DD13" s="1127" t="str">
        <f>'Rechtsformen und -gruppen'!$B$4</f>
        <v>Gesellschaft döR</v>
      </c>
      <c r="DE13" s="1128"/>
      <c r="DF13" s="1127" t="str">
        <f>'Rechtsformen und -gruppen'!$B$5</f>
        <v>Berufsträger</v>
      </c>
      <c r="DG13" s="1128"/>
      <c r="DH13" s="310" t="s">
        <v>3213</v>
      </c>
      <c r="DI13" s="311" t="s">
        <v>3214</v>
      </c>
      <c r="DJ13" s="312" t="s">
        <v>3215</v>
      </c>
      <c r="DK13" s="312" t="s">
        <v>3216</v>
      </c>
      <c r="DL13" s="312"/>
      <c r="DM13" s="309" t="s">
        <v>3208</v>
      </c>
      <c r="DN13" s="1127" t="str">
        <f>'Rechtsformen und -gruppen'!$B$1</f>
        <v>Aktiengesellschaft</v>
      </c>
      <c r="DO13" s="1128"/>
      <c r="DP13" s="1127" t="str">
        <f>'Rechtsformen und -gruppen'!$B$2</f>
        <v>GmbH</v>
      </c>
      <c r="DQ13" s="1128"/>
      <c r="DR13" s="1127" t="str">
        <f>'Rechtsformen und -gruppen'!$B$3</f>
        <v>Personengesellschaft</v>
      </c>
      <c r="DS13" s="1128"/>
      <c r="DT13" s="1127" t="str">
        <f>'Rechtsformen und -gruppen'!$B$4</f>
        <v>Gesellschaft döR</v>
      </c>
      <c r="DU13" s="1128"/>
      <c r="DV13" s="1127" t="str">
        <f>'Rechtsformen und -gruppen'!$B$5</f>
        <v>Berufsträger</v>
      </c>
      <c r="DW13" s="1128"/>
      <c r="DX13" s="310" t="s">
        <v>3213</v>
      </c>
      <c r="DY13" s="311" t="s">
        <v>3214</v>
      </c>
      <c r="DZ13" s="312" t="s">
        <v>3215</v>
      </c>
      <c r="EA13" s="312" t="s">
        <v>3216</v>
      </c>
      <c r="EB13" s="312"/>
      <c r="EC13" s="313" t="s">
        <v>3218</v>
      </c>
      <c r="ED13" s="313" t="s">
        <v>3219</v>
      </c>
      <c r="EE13" s="313" t="s">
        <v>3220</v>
      </c>
      <c r="EF13" s="313" t="s">
        <v>3221</v>
      </c>
    </row>
    <row r="14" spans="1:136" ht="14.25" customHeight="1">
      <c r="A14" s="291"/>
      <c r="B14" s="295" t="s">
        <v>3222</v>
      </c>
      <c r="C14" s="314" t="s">
        <v>3223</v>
      </c>
      <c r="D14" s="314"/>
      <c r="E14" s="315"/>
      <c r="F14" s="316" t="s">
        <v>3224</v>
      </c>
      <c r="G14" s="317" t="s">
        <v>3225</v>
      </c>
      <c r="H14" s="316" t="s">
        <v>3224</v>
      </c>
      <c r="I14" s="317" t="s">
        <v>3225</v>
      </c>
      <c r="J14" s="316" t="s">
        <v>3224</v>
      </c>
      <c r="K14" s="317" t="s">
        <v>3225</v>
      </c>
      <c r="L14" s="316" t="s">
        <v>3224</v>
      </c>
      <c r="M14" s="317" t="s">
        <v>3225</v>
      </c>
      <c r="N14" s="316" t="s">
        <v>3224</v>
      </c>
      <c r="O14" s="317" t="s">
        <v>3225</v>
      </c>
      <c r="P14" s="318"/>
      <c r="Q14" s="319"/>
      <c r="R14" s="293" t="e">
        <f>SUM(R29:R124)</f>
        <v>#N/A</v>
      </c>
      <c r="S14" s="293" t="e">
        <f>SUM(S29:S124)</f>
        <v>#N/A</v>
      </c>
      <c r="T14" s="293"/>
      <c r="U14" s="320"/>
      <c r="V14" s="321" t="s">
        <v>3224</v>
      </c>
      <c r="W14" s="322" t="s">
        <v>3225</v>
      </c>
      <c r="X14" s="321" t="s">
        <v>3224</v>
      </c>
      <c r="Y14" s="322" t="s">
        <v>3225</v>
      </c>
      <c r="Z14" s="321" t="s">
        <v>3224</v>
      </c>
      <c r="AA14" s="322" t="s">
        <v>3225</v>
      </c>
      <c r="AB14" s="321" t="s">
        <v>3224</v>
      </c>
      <c r="AC14" s="322" t="s">
        <v>3225</v>
      </c>
      <c r="AD14" s="321" t="s">
        <v>3224</v>
      </c>
      <c r="AE14" s="322" t="s">
        <v>3225</v>
      </c>
      <c r="AF14" s="323"/>
      <c r="AG14" s="324"/>
      <c r="AH14" s="292" t="e">
        <f>SUM(AH29:AH124)</f>
        <v>#N/A</v>
      </c>
      <c r="AI14" s="292" t="e">
        <f>SUM(AI29:AI124)</f>
        <v>#N/A</v>
      </c>
      <c r="AJ14" s="292"/>
      <c r="AK14" s="320"/>
      <c r="AL14" s="321" t="s">
        <v>3224</v>
      </c>
      <c r="AM14" s="322" t="s">
        <v>3225</v>
      </c>
      <c r="AN14" s="321" t="s">
        <v>3224</v>
      </c>
      <c r="AO14" s="322" t="s">
        <v>3225</v>
      </c>
      <c r="AP14" s="321" t="s">
        <v>3224</v>
      </c>
      <c r="AQ14" s="322" t="s">
        <v>3225</v>
      </c>
      <c r="AR14" s="321" t="s">
        <v>3224</v>
      </c>
      <c r="AS14" s="322" t="s">
        <v>3225</v>
      </c>
      <c r="AT14" s="321" t="s">
        <v>3224</v>
      </c>
      <c r="AU14" s="322" t="s">
        <v>3225</v>
      </c>
      <c r="AV14" s="323"/>
      <c r="AW14" s="324"/>
      <c r="AX14" s="292" t="e">
        <f>SUM(AX29:AX124)</f>
        <v>#N/A</v>
      </c>
      <c r="AY14" s="292" t="e">
        <f>SUM(AY29:AY124)</f>
        <v>#N/A</v>
      </c>
      <c r="AZ14" s="292"/>
      <c r="BA14" s="320"/>
      <c r="BB14" s="321" t="s">
        <v>3224</v>
      </c>
      <c r="BC14" s="322" t="s">
        <v>3225</v>
      </c>
      <c r="BD14" s="321" t="s">
        <v>3224</v>
      </c>
      <c r="BE14" s="322" t="s">
        <v>3225</v>
      </c>
      <c r="BF14" s="321" t="s">
        <v>3224</v>
      </c>
      <c r="BG14" s="322" t="s">
        <v>3225</v>
      </c>
      <c r="BH14" s="321" t="s">
        <v>3224</v>
      </c>
      <c r="BI14" s="322" t="s">
        <v>3225</v>
      </c>
      <c r="BJ14" s="321" t="s">
        <v>3224</v>
      </c>
      <c r="BK14" s="322" t="s">
        <v>3225</v>
      </c>
      <c r="BL14" s="323"/>
      <c r="BM14" s="324"/>
      <c r="BN14" s="292" t="e">
        <f>SUM(BN29:BN124)</f>
        <v>#N/A</v>
      </c>
      <c r="BO14" s="292" t="e">
        <f>SUM(BO29:BO124)</f>
        <v>#N/A</v>
      </c>
      <c r="BP14" s="292"/>
      <c r="BQ14" s="320"/>
      <c r="BR14" s="321" t="s">
        <v>3224</v>
      </c>
      <c r="BS14" s="322" t="s">
        <v>3225</v>
      </c>
      <c r="BT14" s="321" t="s">
        <v>3224</v>
      </c>
      <c r="BU14" s="322" t="s">
        <v>3225</v>
      </c>
      <c r="BV14" s="321" t="s">
        <v>3224</v>
      </c>
      <c r="BW14" s="322" t="s">
        <v>3225</v>
      </c>
      <c r="BX14" s="321" t="s">
        <v>3224</v>
      </c>
      <c r="BY14" s="322" t="s">
        <v>3225</v>
      </c>
      <c r="BZ14" s="321" t="s">
        <v>3224</v>
      </c>
      <c r="CA14" s="322" t="s">
        <v>3225</v>
      </c>
      <c r="CB14" s="323"/>
      <c r="CC14" s="324"/>
      <c r="CD14" s="292" t="e">
        <f>SUM(CD29:CD124)</f>
        <v>#N/A</v>
      </c>
      <c r="CE14" s="292" t="e">
        <f>SUM(CE29:CE124)</f>
        <v>#N/A</v>
      </c>
      <c r="CF14" s="292"/>
      <c r="CG14" s="320"/>
      <c r="CH14" s="321" t="s">
        <v>3224</v>
      </c>
      <c r="CI14" s="322" t="s">
        <v>3225</v>
      </c>
      <c r="CJ14" s="321" t="s">
        <v>3224</v>
      </c>
      <c r="CK14" s="322" t="s">
        <v>3225</v>
      </c>
      <c r="CL14" s="321" t="s">
        <v>3224</v>
      </c>
      <c r="CM14" s="322" t="s">
        <v>3225</v>
      </c>
      <c r="CN14" s="321" t="s">
        <v>3224</v>
      </c>
      <c r="CO14" s="322" t="s">
        <v>3225</v>
      </c>
      <c r="CP14" s="321" t="s">
        <v>3224</v>
      </c>
      <c r="CQ14" s="322" t="s">
        <v>3225</v>
      </c>
      <c r="CR14" s="323"/>
      <c r="CS14" s="324"/>
      <c r="CT14" s="292" t="e">
        <f>SUM(CT29:CT124)</f>
        <v>#N/A</v>
      </c>
      <c r="CU14" s="292" t="e">
        <f>SUM(CU29:CU124)</f>
        <v>#N/A</v>
      </c>
      <c r="CV14" s="292"/>
      <c r="CW14" s="320"/>
      <c r="CX14" s="321" t="s">
        <v>3224</v>
      </c>
      <c r="CY14" s="322" t="s">
        <v>3225</v>
      </c>
      <c r="CZ14" s="321" t="s">
        <v>3224</v>
      </c>
      <c r="DA14" s="322" t="s">
        <v>3225</v>
      </c>
      <c r="DB14" s="321" t="s">
        <v>3224</v>
      </c>
      <c r="DC14" s="322" t="s">
        <v>3225</v>
      </c>
      <c r="DD14" s="321" t="s">
        <v>3224</v>
      </c>
      <c r="DE14" s="322" t="s">
        <v>3225</v>
      </c>
      <c r="DF14" s="321" t="s">
        <v>3224</v>
      </c>
      <c r="DG14" s="322" t="s">
        <v>3225</v>
      </c>
      <c r="DH14" s="323"/>
      <c r="DI14" s="324"/>
      <c r="DJ14" s="292" t="e">
        <f>SUM(DJ29:DJ124)</f>
        <v>#N/A</v>
      </c>
      <c r="DK14" s="292" t="e">
        <f>SUM(DK29:DK124)</f>
        <v>#N/A</v>
      </c>
      <c r="DL14" s="292"/>
      <c r="DM14" s="320"/>
      <c r="DN14" s="321" t="s">
        <v>3224</v>
      </c>
      <c r="DO14" s="322" t="s">
        <v>3225</v>
      </c>
      <c r="DP14" s="321" t="s">
        <v>3224</v>
      </c>
      <c r="DQ14" s="322" t="s">
        <v>3225</v>
      </c>
      <c r="DR14" s="321" t="s">
        <v>3224</v>
      </c>
      <c r="DS14" s="322" t="s">
        <v>3225</v>
      </c>
      <c r="DT14" s="321" t="s">
        <v>3224</v>
      </c>
      <c r="DU14" s="322" t="s">
        <v>3225</v>
      </c>
      <c r="DV14" s="321" t="s">
        <v>3224</v>
      </c>
      <c r="DW14" s="322" t="s">
        <v>3225</v>
      </c>
      <c r="DX14" s="323"/>
      <c r="DY14" s="324"/>
      <c r="DZ14" s="292" t="e">
        <f>SUM(DZ29:DZ124)</f>
        <v>#N/A</v>
      </c>
      <c r="EA14" s="292" t="e">
        <f>SUM(EA29:EA124)</f>
        <v>#N/A</v>
      </c>
      <c r="EB14" s="292"/>
    </row>
    <row r="15" spans="1:136" ht="14.25" customHeight="1">
      <c r="A15" s="291"/>
      <c r="B15" s="292"/>
      <c r="C15" s="325" t="s">
        <v>3226</v>
      </c>
      <c r="D15" s="325"/>
      <c r="E15" s="320"/>
      <c r="F15" s="326"/>
      <c r="G15" s="327"/>
      <c r="H15" s="326"/>
      <c r="I15" s="327"/>
      <c r="J15" s="326"/>
      <c r="K15" s="327"/>
      <c r="L15" s="326"/>
      <c r="M15" s="327"/>
      <c r="N15" s="326"/>
      <c r="O15" s="327"/>
      <c r="P15" s="328">
        <v>150000000</v>
      </c>
      <c r="Q15" s="329"/>
      <c r="R15" s="292"/>
      <c r="S15" s="292"/>
      <c r="T15" s="292"/>
      <c r="U15" s="320"/>
      <c r="V15" s="326"/>
      <c r="W15" s="327"/>
      <c r="X15" s="326"/>
      <c r="Y15" s="327"/>
      <c r="Z15" s="326"/>
      <c r="AA15" s="327"/>
      <c r="AB15" s="326"/>
      <c r="AC15" s="327"/>
      <c r="AD15" s="326"/>
      <c r="AE15" s="327"/>
      <c r="AF15" s="330">
        <v>0</v>
      </c>
      <c r="AG15" s="324"/>
      <c r="AH15" s="292"/>
      <c r="AI15" s="292"/>
      <c r="AJ15" s="292"/>
      <c r="AK15" s="320"/>
      <c r="AL15" s="326"/>
      <c r="AM15" s="327"/>
      <c r="AN15" s="326"/>
      <c r="AO15" s="327"/>
      <c r="AP15" s="326"/>
      <c r="AQ15" s="327"/>
      <c r="AR15" s="326"/>
      <c r="AS15" s="327"/>
      <c r="AT15" s="326"/>
      <c r="AU15" s="327"/>
      <c r="AV15" s="330">
        <v>0</v>
      </c>
      <c r="AW15" s="324"/>
      <c r="AX15" s="292"/>
      <c r="AY15" s="292"/>
      <c r="AZ15" s="292"/>
      <c r="BA15" s="320"/>
      <c r="BB15" s="326"/>
      <c r="BC15" s="327"/>
      <c r="BD15" s="326"/>
      <c r="BE15" s="327"/>
      <c r="BF15" s="326"/>
      <c r="BG15" s="327"/>
      <c r="BH15" s="326"/>
      <c r="BI15" s="327"/>
      <c r="BJ15" s="326"/>
      <c r="BK15" s="327"/>
      <c r="BL15" s="330">
        <v>150000000</v>
      </c>
      <c r="BM15" s="324"/>
      <c r="BN15" s="292"/>
      <c r="BO15" s="292"/>
      <c r="BP15" s="292"/>
      <c r="BQ15" s="320"/>
      <c r="BR15" s="326"/>
      <c r="BS15" s="327"/>
      <c r="BT15" s="326"/>
      <c r="BU15" s="327"/>
      <c r="BV15" s="326"/>
      <c r="BW15" s="327"/>
      <c r="BX15" s="326"/>
      <c r="BY15" s="327"/>
      <c r="BZ15" s="326"/>
      <c r="CA15" s="327"/>
      <c r="CB15" s="330">
        <v>150000000</v>
      </c>
      <c r="CC15" s="324"/>
      <c r="CD15" s="292"/>
      <c r="CE15" s="292"/>
      <c r="CF15" s="292"/>
      <c r="CG15" s="320"/>
      <c r="CH15" s="326"/>
      <c r="CI15" s="327"/>
      <c r="CJ15" s="326"/>
      <c r="CK15" s="327"/>
      <c r="CL15" s="326"/>
      <c r="CM15" s="327"/>
      <c r="CN15" s="326"/>
      <c r="CO15" s="327"/>
      <c r="CP15" s="326"/>
      <c r="CQ15" s="327"/>
      <c r="CR15" s="330">
        <v>0</v>
      </c>
      <c r="CS15" s="324"/>
      <c r="CT15" s="292"/>
      <c r="CU15" s="292"/>
      <c r="CV15" s="292"/>
      <c r="CW15" s="320"/>
      <c r="CX15" s="326"/>
      <c r="CY15" s="327"/>
      <c r="CZ15" s="326"/>
      <c r="DA15" s="327"/>
      <c r="DB15" s="326"/>
      <c r="DC15" s="327"/>
      <c r="DD15" s="326"/>
      <c r="DE15" s="327"/>
      <c r="DF15" s="326"/>
      <c r="DG15" s="327"/>
      <c r="DH15" s="330">
        <v>0</v>
      </c>
      <c r="DI15" s="324"/>
      <c r="DJ15" s="292"/>
      <c r="DK15" s="292"/>
      <c r="DL15" s="292"/>
      <c r="DM15" s="320"/>
      <c r="DN15" s="326"/>
      <c r="DO15" s="327"/>
      <c r="DP15" s="326"/>
      <c r="DQ15" s="327"/>
      <c r="DR15" s="326"/>
      <c r="DS15" s="327"/>
      <c r="DT15" s="326"/>
      <c r="DU15" s="327"/>
      <c r="DV15" s="326"/>
      <c r="DW15" s="327"/>
      <c r="DX15" s="330">
        <v>0</v>
      </c>
      <c r="DY15" s="331"/>
      <c r="DZ15" s="292"/>
      <c r="EA15" s="292"/>
      <c r="EB15" s="292"/>
    </row>
    <row r="16" spans="1:136" ht="14.25" customHeight="1">
      <c r="A16" s="291"/>
      <c r="B16" s="292"/>
      <c r="C16" s="325" t="s">
        <v>3227</v>
      </c>
      <c r="D16" s="325"/>
      <c r="E16" s="320"/>
      <c r="F16" s="332"/>
      <c r="G16" s="333"/>
      <c r="H16" s="332"/>
      <c r="I16" s="333"/>
      <c r="J16" s="332"/>
      <c r="K16" s="333"/>
      <c r="L16" s="332"/>
      <c r="M16" s="333"/>
      <c r="N16" s="332"/>
      <c r="O16" s="333"/>
      <c r="P16" s="328">
        <v>500000000</v>
      </c>
      <c r="Q16" s="329"/>
      <c r="R16" s="292"/>
      <c r="S16" s="292"/>
      <c r="T16" s="292"/>
      <c r="U16" s="320"/>
      <c r="V16" s="332"/>
      <c r="W16" s="333"/>
      <c r="X16" s="332"/>
      <c r="Y16" s="333"/>
      <c r="Z16" s="332"/>
      <c r="AA16" s="333"/>
      <c r="AB16" s="332"/>
      <c r="AC16" s="333"/>
      <c r="AD16" s="332"/>
      <c r="AE16" s="333"/>
      <c r="AF16" s="334" t="s">
        <v>3228</v>
      </c>
      <c r="AG16" s="324"/>
      <c r="AH16" s="292"/>
      <c r="AI16" s="292"/>
      <c r="AJ16" s="292"/>
      <c r="AK16" s="320"/>
      <c r="AL16" s="332"/>
      <c r="AM16" s="333"/>
      <c r="AN16" s="332"/>
      <c r="AO16" s="333"/>
      <c r="AP16" s="332"/>
      <c r="AQ16" s="333"/>
      <c r="AR16" s="332"/>
      <c r="AS16" s="333"/>
      <c r="AT16" s="332"/>
      <c r="AU16" s="333"/>
      <c r="AV16" s="334">
        <v>150000000</v>
      </c>
      <c r="AW16" s="324"/>
      <c r="AX16" s="292"/>
      <c r="AY16" s="292"/>
      <c r="AZ16" s="292"/>
      <c r="BA16" s="320"/>
      <c r="BB16" s="332"/>
      <c r="BC16" s="333"/>
      <c r="BD16" s="332"/>
      <c r="BE16" s="333"/>
      <c r="BF16" s="332"/>
      <c r="BG16" s="333"/>
      <c r="BH16" s="332"/>
      <c r="BI16" s="333"/>
      <c r="BJ16" s="332"/>
      <c r="BK16" s="333"/>
      <c r="BL16" s="334">
        <v>300000000</v>
      </c>
      <c r="BM16" s="324"/>
      <c r="BN16" s="292"/>
      <c r="BO16" s="292"/>
      <c r="BP16" s="292"/>
      <c r="BQ16" s="320"/>
      <c r="BR16" s="332"/>
      <c r="BS16" s="333"/>
      <c r="BT16" s="332"/>
      <c r="BU16" s="333"/>
      <c r="BV16" s="332"/>
      <c r="BW16" s="333"/>
      <c r="BX16" s="332"/>
      <c r="BY16" s="333"/>
      <c r="BZ16" s="332"/>
      <c r="CA16" s="333"/>
      <c r="CB16" s="334">
        <v>300000000</v>
      </c>
      <c r="CC16" s="324"/>
      <c r="CD16" s="292"/>
      <c r="CE16" s="292"/>
      <c r="CF16" s="292"/>
      <c r="CG16" s="320"/>
      <c r="CH16" s="332"/>
      <c r="CI16" s="333"/>
      <c r="CJ16" s="332"/>
      <c r="CK16" s="333"/>
      <c r="CL16" s="332"/>
      <c r="CM16" s="333"/>
      <c r="CN16" s="332"/>
      <c r="CO16" s="333"/>
      <c r="CP16" s="332"/>
      <c r="CQ16" s="333"/>
      <c r="CR16" s="334" t="s">
        <v>3228</v>
      </c>
      <c r="CS16" s="324"/>
      <c r="CT16" s="292"/>
      <c r="CU16" s="292"/>
      <c r="CV16" s="292"/>
      <c r="CW16" s="320"/>
      <c r="CX16" s="332"/>
      <c r="CY16" s="333"/>
      <c r="CZ16" s="332"/>
      <c r="DA16" s="333"/>
      <c r="DB16" s="332"/>
      <c r="DC16" s="333"/>
      <c r="DD16" s="332"/>
      <c r="DE16" s="333"/>
      <c r="DF16" s="332"/>
      <c r="DG16" s="333"/>
      <c r="DH16" s="334" t="s">
        <v>3228</v>
      </c>
      <c r="DI16" s="324"/>
      <c r="DJ16" s="292"/>
      <c r="DK16" s="292"/>
      <c r="DL16" s="292"/>
      <c r="DM16" s="320"/>
      <c r="DN16" s="332"/>
      <c r="DO16" s="333"/>
      <c r="DP16" s="332"/>
      <c r="DQ16" s="333"/>
      <c r="DR16" s="332"/>
      <c r="DS16" s="333"/>
      <c r="DT16" s="332"/>
      <c r="DU16" s="333"/>
      <c r="DV16" s="332"/>
      <c r="DW16" s="333"/>
      <c r="DX16" s="334">
        <v>150000000</v>
      </c>
      <c r="DY16" s="331"/>
      <c r="DZ16" s="292"/>
      <c r="EA16" s="292"/>
      <c r="EB16" s="292"/>
    </row>
    <row r="17" spans="1:136" ht="14.25" customHeight="1">
      <c r="A17" s="291"/>
      <c r="B17" s="292"/>
      <c r="C17" s="325"/>
      <c r="D17" s="325"/>
      <c r="E17" s="320"/>
      <c r="F17" s="332"/>
      <c r="G17" s="333"/>
      <c r="H17" s="332"/>
      <c r="I17" s="333"/>
      <c r="J17" s="332"/>
      <c r="K17" s="333"/>
      <c r="L17" s="332"/>
      <c r="M17" s="333"/>
      <c r="N17" s="332"/>
      <c r="O17" s="333"/>
      <c r="P17" s="323"/>
      <c r="Q17" s="329"/>
      <c r="R17" s="292"/>
      <c r="S17" s="292"/>
      <c r="T17" s="292"/>
      <c r="U17" s="320"/>
      <c r="V17" s="332"/>
      <c r="W17" s="333"/>
      <c r="X17" s="332"/>
      <c r="Y17" s="333"/>
      <c r="Z17" s="332"/>
      <c r="AA17" s="333"/>
      <c r="AB17" s="332"/>
      <c r="AC17" s="333"/>
      <c r="AD17" s="332"/>
      <c r="AE17" s="333"/>
      <c r="AF17" s="323"/>
      <c r="AG17" s="324"/>
      <c r="AH17" s="292"/>
      <c r="AI17" s="292"/>
      <c r="AJ17" s="292"/>
      <c r="AK17" s="320"/>
      <c r="AL17" s="332"/>
      <c r="AM17" s="333"/>
      <c r="AN17" s="332"/>
      <c r="AO17" s="333"/>
      <c r="AP17" s="332"/>
      <c r="AQ17" s="333"/>
      <c r="AR17" s="332"/>
      <c r="AS17" s="333"/>
      <c r="AT17" s="332"/>
      <c r="AU17" s="333"/>
      <c r="AV17" s="324"/>
      <c r="AW17" s="324"/>
      <c r="AX17" s="292"/>
      <c r="AY17" s="292"/>
      <c r="AZ17" s="292"/>
      <c r="BA17" s="320"/>
      <c r="BB17" s="332"/>
      <c r="BC17" s="333"/>
      <c r="BD17" s="332"/>
      <c r="BE17" s="333"/>
      <c r="BF17" s="332"/>
      <c r="BG17" s="333"/>
      <c r="BH17" s="332"/>
      <c r="BI17" s="333"/>
      <c r="BJ17" s="332"/>
      <c r="BK17" s="333"/>
      <c r="BL17" s="324"/>
      <c r="BM17" s="324"/>
      <c r="BN17" s="292"/>
      <c r="BO17" s="292"/>
      <c r="BP17" s="292"/>
      <c r="BQ17" s="320"/>
      <c r="BR17" s="332"/>
      <c r="BS17" s="333"/>
      <c r="BT17" s="332"/>
      <c r="BU17" s="333"/>
      <c r="BV17" s="332"/>
      <c r="BW17" s="333"/>
      <c r="BX17" s="332"/>
      <c r="BY17" s="333"/>
      <c r="BZ17" s="332"/>
      <c r="CA17" s="333"/>
      <c r="CB17" s="324"/>
      <c r="CC17" s="324"/>
      <c r="CD17" s="292"/>
      <c r="CE17" s="292"/>
      <c r="CF17" s="292"/>
      <c r="CG17" s="320"/>
      <c r="CH17" s="332"/>
      <c r="CI17" s="333"/>
      <c r="CJ17" s="332"/>
      <c r="CK17" s="333"/>
      <c r="CL17" s="332"/>
      <c r="CM17" s="333"/>
      <c r="CN17" s="332"/>
      <c r="CO17" s="333"/>
      <c r="CP17" s="332"/>
      <c r="CQ17" s="333"/>
      <c r="CR17" s="324"/>
      <c r="CS17" s="324"/>
      <c r="CT17" s="292"/>
      <c r="CU17" s="292"/>
      <c r="CV17" s="292"/>
      <c r="CW17" s="320"/>
      <c r="CX17" s="332"/>
      <c r="CY17" s="333"/>
      <c r="CZ17" s="332"/>
      <c r="DA17" s="333"/>
      <c r="DB17" s="332"/>
      <c r="DC17" s="333"/>
      <c r="DD17" s="332"/>
      <c r="DE17" s="333"/>
      <c r="DF17" s="332"/>
      <c r="DG17" s="333"/>
      <c r="DH17" s="324"/>
      <c r="DI17" s="324"/>
      <c r="DJ17" s="292"/>
      <c r="DK17" s="292"/>
      <c r="DL17" s="292"/>
      <c r="DM17" s="320"/>
      <c r="DN17" s="332"/>
      <c r="DO17" s="333"/>
      <c r="DP17" s="332"/>
      <c r="DQ17" s="333"/>
      <c r="DR17" s="332"/>
      <c r="DS17" s="333"/>
      <c r="DT17" s="332"/>
      <c r="DU17" s="333"/>
      <c r="DV17" s="332"/>
      <c r="DW17" s="333"/>
      <c r="DX17" s="324"/>
      <c r="DY17" s="331"/>
      <c r="DZ17" s="292"/>
      <c r="EA17" s="292"/>
      <c r="EB17" s="292"/>
    </row>
    <row r="18" spans="1:136" ht="14.25" customHeight="1">
      <c r="A18" s="291"/>
      <c r="B18" s="292"/>
      <c r="C18" s="325"/>
      <c r="D18" s="325"/>
      <c r="E18" s="320"/>
      <c r="F18" s="332"/>
      <c r="G18" s="333"/>
      <c r="H18" s="332"/>
      <c r="I18" s="333"/>
      <c r="J18" s="332"/>
      <c r="K18" s="333"/>
      <c r="L18" s="332"/>
      <c r="M18" s="333"/>
      <c r="N18" s="332"/>
      <c r="O18" s="333"/>
      <c r="P18" s="323"/>
      <c r="Q18" s="329"/>
      <c r="R18" s="292"/>
      <c r="S18" s="292"/>
      <c r="T18" s="292"/>
      <c r="U18" s="320"/>
      <c r="V18" s="332"/>
      <c r="W18" s="333"/>
      <c r="X18" s="332"/>
      <c r="Y18" s="333"/>
      <c r="Z18" s="332"/>
      <c r="AA18" s="333"/>
      <c r="AB18" s="332"/>
      <c r="AC18" s="333"/>
      <c r="AD18" s="332"/>
      <c r="AE18" s="333"/>
      <c r="AF18" s="323"/>
      <c r="AG18" s="324"/>
      <c r="AH18" s="292"/>
      <c r="AI18" s="292"/>
      <c r="AJ18" s="292"/>
      <c r="AK18" s="320"/>
      <c r="AL18" s="332"/>
      <c r="AM18" s="333"/>
      <c r="AN18" s="332"/>
      <c r="AO18" s="333"/>
      <c r="AP18" s="332"/>
      <c r="AQ18" s="333"/>
      <c r="AR18" s="332"/>
      <c r="AS18" s="333"/>
      <c r="AT18" s="332"/>
      <c r="AU18" s="333"/>
      <c r="AV18" s="324"/>
      <c r="AW18" s="324"/>
      <c r="AX18" s="292"/>
      <c r="AY18" s="292"/>
      <c r="AZ18" s="292"/>
      <c r="BA18" s="320"/>
      <c r="BB18" s="332"/>
      <c r="BC18" s="333"/>
      <c r="BD18" s="332"/>
      <c r="BE18" s="333"/>
      <c r="BF18" s="332"/>
      <c r="BG18" s="333"/>
      <c r="BH18" s="332"/>
      <c r="BI18" s="333"/>
      <c r="BJ18" s="332"/>
      <c r="BK18" s="333"/>
      <c r="BL18" s="324"/>
      <c r="BM18" s="324"/>
      <c r="BN18" s="292"/>
      <c r="BO18" s="292"/>
      <c r="BP18" s="292"/>
      <c r="BQ18" s="320"/>
      <c r="BR18" s="332"/>
      <c r="BS18" s="333"/>
      <c r="BT18" s="332"/>
      <c r="BU18" s="333"/>
      <c r="BV18" s="332"/>
      <c r="BW18" s="333"/>
      <c r="BX18" s="332"/>
      <c r="BY18" s="333"/>
      <c r="BZ18" s="332"/>
      <c r="CA18" s="333"/>
      <c r="CB18" s="324"/>
      <c r="CC18" s="324"/>
      <c r="CD18" s="292"/>
      <c r="CE18" s="292"/>
      <c r="CF18" s="292"/>
      <c r="CG18" s="320"/>
      <c r="CH18" s="332"/>
      <c r="CI18" s="333"/>
      <c r="CJ18" s="332"/>
      <c r="CK18" s="333"/>
      <c r="CL18" s="332"/>
      <c r="CM18" s="333"/>
      <c r="CN18" s="332"/>
      <c r="CO18" s="333"/>
      <c r="CP18" s="332"/>
      <c r="CQ18" s="333"/>
      <c r="CR18" s="324"/>
      <c r="CS18" s="324"/>
      <c r="CT18" s="292"/>
      <c r="CU18" s="292"/>
      <c r="CV18" s="292"/>
      <c r="CW18" s="320"/>
      <c r="CX18" s="332"/>
      <c r="CY18" s="333"/>
      <c r="CZ18" s="332"/>
      <c r="DA18" s="333"/>
      <c r="DB18" s="332"/>
      <c r="DC18" s="333"/>
      <c r="DD18" s="332"/>
      <c r="DE18" s="333"/>
      <c r="DF18" s="332"/>
      <c r="DG18" s="333"/>
      <c r="DH18" s="324"/>
      <c r="DI18" s="324"/>
      <c r="DJ18" s="292"/>
      <c r="DK18" s="292"/>
      <c r="DL18" s="292"/>
      <c r="DM18" s="320"/>
      <c r="DN18" s="332"/>
      <c r="DO18" s="333"/>
      <c r="DP18" s="332"/>
      <c r="DQ18" s="333"/>
      <c r="DR18" s="332"/>
      <c r="DS18" s="333"/>
      <c r="DT18" s="332"/>
      <c r="DU18" s="333"/>
      <c r="DV18" s="332"/>
      <c r="DW18" s="333"/>
      <c r="DX18" s="324"/>
      <c r="DY18" s="331"/>
      <c r="DZ18" s="292"/>
      <c r="EA18" s="292"/>
      <c r="EB18" s="292"/>
    </row>
    <row r="19" spans="1:136" ht="14.25" customHeight="1">
      <c r="A19" s="291"/>
      <c r="B19" s="292"/>
      <c r="C19" s="325"/>
      <c r="D19" s="325"/>
      <c r="E19" s="320"/>
      <c r="F19" s="332"/>
      <c r="G19" s="333"/>
      <c r="H19" s="332"/>
      <c r="I19" s="333"/>
      <c r="J19" s="332"/>
      <c r="K19" s="333"/>
      <c r="L19" s="332"/>
      <c r="M19" s="333"/>
      <c r="N19" s="332"/>
      <c r="O19" s="333"/>
      <c r="P19" s="323"/>
      <c r="Q19" s="329"/>
      <c r="R19" s="292"/>
      <c r="S19" s="292"/>
      <c r="T19" s="292"/>
      <c r="U19" s="320"/>
      <c r="V19" s="332"/>
      <c r="W19" s="333"/>
      <c r="X19" s="332"/>
      <c r="Y19" s="333"/>
      <c r="Z19" s="332"/>
      <c r="AA19" s="333"/>
      <c r="AB19" s="332"/>
      <c r="AC19" s="333"/>
      <c r="AD19" s="332"/>
      <c r="AE19" s="333"/>
      <c r="AF19" s="323"/>
      <c r="AG19" s="324"/>
      <c r="AH19" s="292"/>
      <c r="AI19" s="292"/>
      <c r="AJ19" s="292"/>
      <c r="AK19" s="320"/>
      <c r="AL19" s="332"/>
      <c r="AM19" s="333"/>
      <c r="AN19" s="332"/>
      <c r="AO19" s="333"/>
      <c r="AP19" s="332"/>
      <c r="AQ19" s="333"/>
      <c r="AR19" s="332"/>
      <c r="AS19" s="333"/>
      <c r="AT19" s="332"/>
      <c r="AU19" s="333"/>
      <c r="AV19" s="324"/>
      <c r="AW19" s="324"/>
      <c r="AX19" s="292"/>
      <c r="AY19" s="292"/>
      <c r="AZ19" s="292"/>
      <c r="BA19" s="320"/>
      <c r="BB19" s="332"/>
      <c r="BC19" s="333"/>
      <c r="BD19" s="332"/>
      <c r="BE19" s="333"/>
      <c r="BF19" s="332"/>
      <c r="BG19" s="333"/>
      <c r="BH19" s="332"/>
      <c r="BI19" s="333"/>
      <c r="BJ19" s="332"/>
      <c r="BK19" s="333"/>
      <c r="BL19" s="324"/>
      <c r="BM19" s="324"/>
      <c r="BN19" s="292"/>
      <c r="BO19" s="292"/>
      <c r="BP19" s="292"/>
      <c r="BQ19" s="320"/>
      <c r="BR19" s="332"/>
      <c r="BS19" s="333"/>
      <c r="BT19" s="332"/>
      <c r="BU19" s="333"/>
      <c r="BV19" s="332"/>
      <c r="BW19" s="333"/>
      <c r="BX19" s="332"/>
      <c r="BY19" s="333"/>
      <c r="BZ19" s="332"/>
      <c r="CA19" s="333"/>
      <c r="CB19" s="324"/>
      <c r="CC19" s="324"/>
      <c r="CD19" s="292"/>
      <c r="CE19" s="292"/>
      <c r="CF19" s="292"/>
      <c r="CG19" s="320"/>
      <c r="CH19" s="332"/>
      <c r="CI19" s="333"/>
      <c r="CJ19" s="332"/>
      <c r="CK19" s="333"/>
      <c r="CL19" s="332"/>
      <c r="CM19" s="333"/>
      <c r="CN19" s="332"/>
      <c r="CO19" s="333"/>
      <c r="CP19" s="332"/>
      <c r="CQ19" s="333"/>
      <c r="CR19" s="324"/>
      <c r="CS19" s="324"/>
      <c r="CT19" s="292"/>
      <c r="CU19" s="292"/>
      <c r="CV19" s="292"/>
      <c r="CW19" s="320"/>
      <c r="CX19" s="332"/>
      <c r="CY19" s="333"/>
      <c r="CZ19" s="332"/>
      <c r="DA19" s="333"/>
      <c r="DB19" s="332"/>
      <c r="DC19" s="333"/>
      <c r="DD19" s="332"/>
      <c r="DE19" s="333"/>
      <c r="DF19" s="332"/>
      <c r="DG19" s="333"/>
      <c r="DH19" s="324"/>
      <c r="DI19" s="324"/>
      <c r="DJ19" s="292"/>
      <c r="DK19" s="292"/>
      <c r="DL19" s="292"/>
      <c r="DM19" s="320"/>
      <c r="DN19" s="332"/>
      <c r="DO19" s="333"/>
      <c r="DP19" s="332"/>
      <c r="DQ19" s="333"/>
      <c r="DR19" s="332"/>
      <c r="DS19" s="333"/>
      <c r="DT19" s="332"/>
      <c r="DU19" s="333"/>
      <c r="DV19" s="332"/>
      <c r="DW19" s="333"/>
      <c r="DX19" s="324"/>
      <c r="DY19" s="331"/>
      <c r="DZ19" s="292"/>
      <c r="EA19" s="292"/>
      <c r="EB19" s="292"/>
    </row>
    <row r="20" spans="1:136" ht="14.25" customHeight="1">
      <c r="A20" s="291"/>
      <c r="B20" s="292"/>
      <c r="C20" s="325"/>
      <c r="D20" s="325"/>
      <c r="E20" s="320"/>
      <c r="F20" s="332"/>
      <c r="G20" s="333"/>
      <c r="H20" s="332"/>
      <c r="I20" s="333"/>
      <c r="J20" s="332"/>
      <c r="K20" s="333"/>
      <c r="L20" s="332"/>
      <c r="M20" s="333"/>
      <c r="N20" s="332"/>
      <c r="O20" s="333"/>
      <c r="P20" s="324"/>
      <c r="Q20" s="329"/>
      <c r="R20" s="292"/>
      <c r="S20" s="292"/>
      <c r="T20" s="292"/>
      <c r="U20" s="320"/>
      <c r="V20" s="332"/>
      <c r="W20" s="333"/>
      <c r="X20" s="332"/>
      <c r="Y20" s="333"/>
      <c r="Z20" s="332"/>
      <c r="AA20" s="333"/>
      <c r="AB20" s="332"/>
      <c r="AC20" s="333"/>
      <c r="AD20" s="332"/>
      <c r="AE20" s="333"/>
      <c r="AF20" s="324"/>
      <c r="AG20" s="324"/>
      <c r="AH20" s="292"/>
      <c r="AI20" s="292"/>
      <c r="AJ20" s="292"/>
      <c r="AK20" s="320"/>
      <c r="AL20" s="332"/>
      <c r="AM20" s="333"/>
      <c r="AN20" s="332"/>
      <c r="AO20" s="333"/>
      <c r="AP20" s="332"/>
      <c r="AQ20" s="333"/>
      <c r="AR20" s="332"/>
      <c r="AS20" s="333"/>
      <c r="AT20" s="332"/>
      <c r="AU20" s="333"/>
      <c r="AV20" s="324"/>
      <c r="AW20" s="324"/>
      <c r="AX20" s="292"/>
      <c r="AY20" s="292"/>
      <c r="AZ20" s="292"/>
      <c r="BA20" s="320"/>
      <c r="BB20" s="332"/>
      <c r="BC20" s="333"/>
      <c r="BD20" s="332"/>
      <c r="BE20" s="333"/>
      <c r="BF20" s="332"/>
      <c r="BG20" s="333"/>
      <c r="BH20" s="332"/>
      <c r="BI20" s="333"/>
      <c r="BJ20" s="332"/>
      <c r="BK20" s="333"/>
      <c r="BL20" s="324"/>
      <c r="BM20" s="324"/>
      <c r="BN20" s="292"/>
      <c r="BO20" s="292"/>
      <c r="BP20" s="292"/>
      <c r="BQ20" s="320"/>
      <c r="BR20" s="332"/>
      <c r="BS20" s="333"/>
      <c r="BT20" s="332"/>
      <c r="BU20" s="333"/>
      <c r="BV20" s="332"/>
      <c r="BW20" s="333"/>
      <c r="BX20" s="332"/>
      <c r="BY20" s="333"/>
      <c r="BZ20" s="332"/>
      <c r="CA20" s="333"/>
      <c r="CB20" s="324"/>
      <c r="CC20" s="324"/>
      <c r="CD20" s="292"/>
      <c r="CE20" s="292"/>
      <c r="CF20" s="292"/>
      <c r="CG20" s="320"/>
      <c r="CH20" s="332"/>
      <c r="CI20" s="333"/>
      <c r="CJ20" s="332"/>
      <c r="CK20" s="333"/>
      <c r="CL20" s="332"/>
      <c r="CM20" s="333"/>
      <c r="CN20" s="332"/>
      <c r="CO20" s="333"/>
      <c r="CP20" s="332"/>
      <c r="CQ20" s="333"/>
      <c r="CR20" s="324"/>
      <c r="CS20" s="324"/>
      <c r="CT20" s="292"/>
      <c r="CU20" s="292"/>
      <c r="CV20" s="292"/>
      <c r="CW20" s="320"/>
      <c r="CX20" s="332"/>
      <c r="CY20" s="333"/>
      <c r="CZ20" s="332"/>
      <c r="DA20" s="333"/>
      <c r="DB20" s="332"/>
      <c r="DC20" s="333"/>
      <c r="DD20" s="332"/>
      <c r="DE20" s="333"/>
      <c r="DF20" s="332"/>
      <c r="DG20" s="333"/>
      <c r="DH20" s="324"/>
      <c r="DI20" s="324"/>
      <c r="DJ20" s="292"/>
      <c r="DK20" s="292"/>
      <c r="DL20" s="292"/>
      <c r="DM20" s="320"/>
      <c r="DN20" s="332"/>
      <c r="DO20" s="333"/>
      <c r="DP20" s="332"/>
      <c r="DQ20" s="333"/>
      <c r="DR20" s="332"/>
      <c r="DS20" s="333"/>
      <c r="DT20" s="332"/>
      <c r="DU20" s="333"/>
      <c r="DV20" s="332"/>
      <c r="DW20" s="333"/>
      <c r="DX20" s="324"/>
      <c r="DY20" s="331"/>
      <c r="DZ20" s="292"/>
      <c r="EA20" s="292"/>
      <c r="EB20" s="292"/>
    </row>
    <row r="21" spans="1:136" ht="14.25" customHeight="1">
      <c r="A21" s="291"/>
      <c r="B21" s="292"/>
      <c r="C21" s="325"/>
      <c r="D21" s="325"/>
      <c r="E21" s="320"/>
      <c r="F21" s="332"/>
      <c r="G21" s="333"/>
      <c r="H21" s="332"/>
      <c r="I21" s="333"/>
      <c r="J21" s="332"/>
      <c r="K21" s="333"/>
      <c r="L21" s="332"/>
      <c r="M21" s="333"/>
      <c r="N21" s="332"/>
      <c r="O21" s="333"/>
      <c r="P21" s="324"/>
      <c r="Q21" s="329"/>
      <c r="R21" s="292"/>
      <c r="S21" s="292"/>
      <c r="T21" s="292"/>
      <c r="U21" s="320"/>
      <c r="V21" s="332"/>
      <c r="W21" s="333"/>
      <c r="X21" s="332"/>
      <c r="Y21" s="333"/>
      <c r="Z21" s="332"/>
      <c r="AA21" s="333"/>
      <c r="AB21" s="332"/>
      <c r="AC21" s="333"/>
      <c r="AD21" s="332"/>
      <c r="AE21" s="333"/>
      <c r="AF21" s="324"/>
      <c r="AG21" s="324"/>
      <c r="AH21" s="292"/>
      <c r="AI21" s="292"/>
      <c r="AJ21" s="292"/>
      <c r="AK21" s="320"/>
      <c r="AL21" s="332"/>
      <c r="AM21" s="333"/>
      <c r="AN21" s="332"/>
      <c r="AO21" s="333"/>
      <c r="AP21" s="332"/>
      <c r="AQ21" s="333"/>
      <c r="AR21" s="332"/>
      <c r="AS21" s="333"/>
      <c r="AT21" s="332"/>
      <c r="AU21" s="333"/>
      <c r="AV21" s="324"/>
      <c r="AW21" s="324"/>
      <c r="AX21" s="292"/>
      <c r="AY21" s="292"/>
      <c r="AZ21" s="292"/>
      <c r="BA21" s="320"/>
      <c r="BB21" s="332"/>
      <c r="BC21" s="333"/>
      <c r="BD21" s="332"/>
      <c r="BE21" s="333"/>
      <c r="BF21" s="332"/>
      <c r="BG21" s="333"/>
      <c r="BH21" s="332"/>
      <c r="BI21" s="333"/>
      <c r="BJ21" s="332"/>
      <c r="BK21" s="333"/>
      <c r="BL21" s="324"/>
      <c r="BM21" s="324"/>
      <c r="BN21" s="292"/>
      <c r="BO21" s="292"/>
      <c r="BP21" s="292"/>
      <c r="BQ21" s="320"/>
      <c r="BR21" s="332"/>
      <c r="BS21" s="333"/>
      <c r="BT21" s="332"/>
      <c r="BU21" s="333"/>
      <c r="BV21" s="332"/>
      <c r="BW21" s="333"/>
      <c r="BX21" s="332"/>
      <c r="BY21" s="333"/>
      <c r="BZ21" s="332"/>
      <c r="CA21" s="333"/>
      <c r="CB21" s="324"/>
      <c r="CC21" s="324"/>
      <c r="CD21" s="292"/>
      <c r="CE21" s="292"/>
      <c r="CF21" s="292"/>
      <c r="CG21" s="320"/>
      <c r="CH21" s="332"/>
      <c r="CI21" s="333"/>
      <c r="CJ21" s="332"/>
      <c r="CK21" s="333"/>
      <c r="CL21" s="332"/>
      <c r="CM21" s="333"/>
      <c r="CN21" s="332"/>
      <c r="CO21" s="333"/>
      <c r="CP21" s="332"/>
      <c r="CQ21" s="333"/>
      <c r="CR21" s="324"/>
      <c r="CS21" s="324"/>
      <c r="CT21" s="292"/>
      <c r="CU21" s="292"/>
      <c r="CV21" s="292"/>
      <c r="CW21" s="320"/>
      <c r="CX21" s="332"/>
      <c r="CY21" s="333"/>
      <c r="CZ21" s="332"/>
      <c r="DA21" s="333"/>
      <c r="DB21" s="332"/>
      <c r="DC21" s="333"/>
      <c r="DD21" s="332"/>
      <c r="DE21" s="333"/>
      <c r="DF21" s="332"/>
      <c r="DG21" s="333"/>
      <c r="DH21" s="324"/>
      <c r="DI21" s="324"/>
      <c r="DJ21" s="292"/>
      <c r="DK21" s="292"/>
      <c r="DL21" s="292"/>
      <c r="DM21" s="320"/>
      <c r="DN21" s="332"/>
      <c r="DO21" s="333"/>
      <c r="DP21" s="332"/>
      <c r="DQ21" s="333"/>
      <c r="DR21" s="332"/>
      <c r="DS21" s="333"/>
      <c r="DT21" s="332"/>
      <c r="DU21" s="333"/>
      <c r="DV21" s="332"/>
      <c r="DW21" s="333"/>
      <c r="DX21" s="324"/>
      <c r="DY21" s="331"/>
      <c r="DZ21" s="292"/>
      <c r="EA21" s="292"/>
      <c r="EB21" s="292"/>
    </row>
    <row r="22" spans="1:136" ht="14.25" customHeight="1">
      <c r="A22" s="291"/>
      <c r="B22" s="292"/>
      <c r="C22" s="325"/>
      <c r="D22" s="325"/>
      <c r="E22" s="320"/>
      <c r="F22" s="332"/>
      <c r="G22" s="333"/>
      <c r="H22" s="332"/>
      <c r="I22" s="333"/>
      <c r="J22" s="332"/>
      <c r="K22" s="333"/>
      <c r="L22" s="332"/>
      <c r="M22" s="333"/>
      <c r="N22" s="332"/>
      <c r="O22" s="333"/>
      <c r="P22" s="324"/>
      <c r="Q22" s="329"/>
      <c r="R22" s="292"/>
      <c r="S22" s="292"/>
      <c r="T22" s="292"/>
      <c r="U22" s="320"/>
      <c r="V22" s="332"/>
      <c r="W22" s="333"/>
      <c r="X22" s="332"/>
      <c r="Y22" s="333"/>
      <c r="Z22" s="332"/>
      <c r="AA22" s="333"/>
      <c r="AB22" s="332"/>
      <c r="AC22" s="333"/>
      <c r="AD22" s="332"/>
      <c r="AE22" s="333"/>
      <c r="AF22" s="324"/>
      <c r="AG22" s="324"/>
      <c r="AH22" s="292"/>
      <c r="AI22" s="292"/>
      <c r="AJ22" s="292"/>
      <c r="AK22" s="320"/>
      <c r="AL22" s="332"/>
      <c r="AM22" s="333"/>
      <c r="AN22" s="332"/>
      <c r="AO22" s="333"/>
      <c r="AP22" s="332"/>
      <c r="AQ22" s="333"/>
      <c r="AR22" s="332"/>
      <c r="AS22" s="333"/>
      <c r="AT22" s="332"/>
      <c r="AU22" s="333"/>
      <c r="AV22" s="324"/>
      <c r="AW22" s="324"/>
      <c r="AX22" s="292"/>
      <c r="AY22" s="292"/>
      <c r="AZ22" s="292"/>
      <c r="BA22" s="320"/>
      <c r="BB22" s="332"/>
      <c r="BC22" s="333"/>
      <c r="BD22" s="332"/>
      <c r="BE22" s="333"/>
      <c r="BF22" s="332"/>
      <c r="BG22" s="333"/>
      <c r="BH22" s="332"/>
      <c r="BI22" s="333"/>
      <c r="BJ22" s="332"/>
      <c r="BK22" s="333"/>
      <c r="BL22" s="324"/>
      <c r="BM22" s="324"/>
      <c r="BN22" s="292"/>
      <c r="BO22" s="292"/>
      <c r="BP22" s="292"/>
      <c r="BQ22" s="320"/>
      <c r="BR22" s="332"/>
      <c r="BS22" s="333"/>
      <c r="BT22" s="332"/>
      <c r="BU22" s="333"/>
      <c r="BV22" s="332"/>
      <c r="BW22" s="333"/>
      <c r="BX22" s="332"/>
      <c r="BY22" s="333"/>
      <c r="BZ22" s="332"/>
      <c r="CA22" s="333"/>
      <c r="CB22" s="324"/>
      <c r="CC22" s="324"/>
      <c r="CD22" s="292"/>
      <c r="CE22" s="292"/>
      <c r="CF22" s="292"/>
      <c r="CG22" s="320"/>
      <c r="CH22" s="332"/>
      <c r="CI22" s="333"/>
      <c r="CJ22" s="332"/>
      <c r="CK22" s="333"/>
      <c r="CL22" s="332"/>
      <c r="CM22" s="333"/>
      <c r="CN22" s="332"/>
      <c r="CO22" s="333"/>
      <c r="CP22" s="332"/>
      <c r="CQ22" s="333"/>
      <c r="CR22" s="324"/>
      <c r="CS22" s="324"/>
      <c r="CT22" s="292"/>
      <c r="CU22" s="292"/>
      <c r="CV22" s="292"/>
      <c r="CW22" s="320"/>
      <c r="CX22" s="332"/>
      <c r="CY22" s="333"/>
      <c r="CZ22" s="332"/>
      <c r="DA22" s="333"/>
      <c r="DB22" s="332"/>
      <c r="DC22" s="333"/>
      <c r="DD22" s="332"/>
      <c r="DE22" s="333"/>
      <c r="DF22" s="332"/>
      <c r="DG22" s="333"/>
      <c r="DH22" s="324"/>
      <c r="DI22" s="324"/>
      <c r="DJ22" s="292"/>
      <c r="DK22" s="292"/>
      <c r="DL22" s="292"/>
      <c r="DM22" s="320"/>
      <c r="DN22" s="332"/>
      <c r="DO22" s="333"/>
      <c r="DP22" s="332"/>
      <c r="DQ22" s="333"/>
      <c r="DR22" s="332"/>
      <c r="DS22" s="333"/>
      <c r="DT22" s="332"/>
      <c r="DU22" s="333"/>
      <c r="DV22" s="332"/>
      <c r="DW22" s="333"/>
      <c r="DX22" s="324"/>
      <c r="DY22" s="331"/>
      <c r="DZ22" s="292"/>
      <c r="EA22" s="292"/>
      <c r="EB22" s="292"/>
    </row>
    <row r="23" spans="1:136" ht="14.25" customHeight="1">
      <c r="A23" s="291"/>
      <c r="B23" s="292"/>
      <c r="C23" s="325"/>
      <c r="D23" s="325"/>
      <c r="E23" s="320"/>
      <c r="F23" s="332"/>
      <c r="G23" s="333"/>
      <c r="H23" s="332"/>
      <c r="I23" s="333"/>
      <c r="J23" s="332"/>
      <c r="K23" s="333"/>
      <c r="L23" s="332"/>
      <c r="M23" s="333"/>
      <c r="N23" s="332"/>
      <c r="O23" s="333"/>
      <c r="P23" s="324"/>
      <c r="Q23" s="329"/>
      <c r="R23" s="292"/>
      <c r="S23" s="292"/>
      <c r="T23" s="292"/>
      <c r="U23" s="320"/>
      <c r="V23" s="332"/>
      <c r="W23" s="333"/>
      <c r="X23" s="332"/>
      <c r="Y23" s="333"/>
      <c r="Z23" s="332"/>
      <c r="AA23" s="333"/>
      <c r="AB23" s="332"/>
      <c r="AC23" s="333"/>
      <c r="AD23" s="332"/>
      <c r="AE23" s="333"/>
      <c r="AF23" s="324"/>
      <c r="AG23" s="324"/>
      <c r="AH23" s="292"/>
      <c r="AI23" s="292"/>
      <c r="AJ23" s="292"/>
      <c r="AK23" s="320"/>
      <c r="AL23" s="332"/>
      <c r="AM23" s="333"/>
      <c r="AN23" s="332"/>
      <c r="AO23" s="333"/>
      <c r="AP23" s="332"/>
      <c r="AQ23" s="333"/>
      <c r="AR23" s="332"/>
      <c r="AS23" s="333"/>
      <c r="AT23" s="332"/>
      <c r="AU23" s="333"/>
      <c r="AV23" s="324"/>
      <c r="AW23" s="324"/>
      <c r="AX23" s="292"/>
      <c r="AY23" s="292"/>
      <c r="AZ23" s="292"/>
      <c r="BA23" s="320"/>
      <c r="BB23" s="332"/>
      <c r="BC23" s="333"/>
      <c r="BD23" s="332"/>
      <c r="BE23" s="333"/>
      <c r="BF23" s="332"/>
      <c r="BG23" s="333"/>
      <c r="BH23" s="332"/>
      <c r="BI23" s="333"/>
      <c r="BJ23" s="332"/>
      <c r="BK23" s="333"/>
      <c r="BL23" s="324"/>
      <c r="BM23" s="324"/>
      <c r="BN23" s="292"/>
      <c r="BO23" s="292"/>
      <c r="BP23" s="292"/>
      <c r="BQ23" s="320"/>
      <c r="BR23" s="332"/>
      <c r="BS23" s="333"/>
      <c r="BT23" s="332"/>
      <c r="BU23" s="333"/>
      <c r="BV23" s="332"/>
      <c r="BW23" s="333"/>
      <c r="BX23" s="332"/>
      <c r="BY23" s="333"/>
      <c r="BZ23" s="332"/>
      <c r="CA23" s="333"/>
      <c r="CB23" s="324"/>
      <c r="CC23" s="324"/>
      <c r="CD23" s="292"/>
      <c r="CE23" s="292"/>
      <c r="CF23" s="292"/>
      <c r="CG23" s="320"/>
      <c r="CH23" s="332"/>
      <c r="CI23" s="333"/>
      <c r="CJ23" s="332"/>
      <c r="CK23" s="333"/>
      <c r="CL23" s="332"/>
      <c r="CM23" s="333"/>
      <c r="CN23" s="332"/>
      <c r="CO23" s="333"/>
      <c r="CP23" s="332"/>
      <c r="CQ23" s="333"/>
      <c r="CR23" s="324"/>
      <c r="CS23" s="324"/>
      <c r="CT23" s="292"/>
      <c r="CU23" s="292"/>
      <c r="CV23" s="292"/>
      <c r="CW23" s="320"/>
      <c r="CX23" s="332"/>
      <c r="CY23" s="333"/>
      <c r="CZ23" s="332"/>
      <c r="DA23" s="333"/>
      <c r="DB23" s="332"/>
      <c r="DC23" s="333"/>
      <c r="DD23" s="332"/>
      <c r="DE23" s="333"/>
      <c r="DF23" s="332"/>
      <c r="DG23" s="333"/>
      <c r="DH23" s="324"/>
      <c r="DI23" s="324"/>
      <c r="DJ23" s="292"/>
      <c r="DK23" s="292"/>
      <c r="DL23" s="292"/>
      <c r="DM23" s="320"/>
      <c r="DN23" s="332"/>
      <c r="DO23" s="333"/>
      <c r="DP23" s="332"/>
      <c r="DQ23" s="333"/>
      <c r="DR23" s="332"/>
      <c r="DS23" s="333"/>
      <c r="DT23" s="332"/>
      <c r="DU23" s="333"/>
      <c r="DV23" s="332"/>
      <c r="DW23" s="333"/>
      <c r="DX23" s="324"/>
      <c r="DY23" s="331"/>
      <c r="DZ23" s="292"/>
      <c r="EA23" s="292"/>
      <c r="EB23" s="292"/>
    </row>
    <row r="24" spans="1:136" ht="14.25" customHeight="1">
      <c r="A24" s="291"/>
      <c r="B24" s="292"/>
      <c r="C24" s="325"/>
      <c r="D24" s="325"/>
      <c r="E24" s="320"/>
      <c r="F24" s="332"/>
      <c r="G24" s="333"/>
      <c r="H24" s="332"/>
      <c r="I24" s="333"/>
      <c r="J24" s="332"/>
      <c r="K24" s="333"/>
      <c r="L24" s="332"/>
      <c r="M24" s="333"/>
      <c r="N24" s="332"/>
      <c r="O24" s="333"/>
      <c r="P24" s="324"/>
      <c r="Q24" s="329"/>
      <c r="R24" s="292"/>
      <c r="S24" s="292"/>
      <c r="T24" s="292"/>
      <c r="U24" s="320"/>
      <c r="V24" s="332"/>
      <c r="W24" s="333"/>
      <c r="X24" s="332"/>
      <c r="Y24" s="333"/>
      <c r="Z24" s="332"/>
      <c r="AA24" s="333"/>
      <c r="AB24" s="332"/>
      <c r="AC24" s="333"/>
      <c r="AD24" s="332"/>
      <c r="AE24" s="333"/>
      <c r="AF24" s="324"/>
      <c r="AG24" s="324"/>
      <c r="AH24" s="292"/>
      <c r="AI24" s="292"/>
      <c r="AJ24" s="292"/>
      <c r="AK24" s="320"/>
      <c r="AL24" s="332"/>
      <c r="AM24" s="333"/>
      <c r="AN24" s="332"/>
      <c r="AO24" s="333"/>
      <c r="AP24" s="332"/>
      <c r="AQ24" s="333"/>
      <c r="AR24" s="332"/>
      <c r="AS24" s="333"/>
      <c r="AT24" s="332"/>
      <c r="AU24" s="333"/>
      <c r="AV24" s="324"/>
      <c r="AW24" s="324"/>
      <c r="AX24" s="292"/>
      <c r="AY24" s="292"/>
      <c r="AZ24" s="292"/>
      <c r="BA24" s="320"/>
      <c r="BB24" s="332"/>
      <c r="BC24" s="333"/>
      <c r="BD24" s="332"/>
      <c r="BE24" s="333"/>
      <c r="BF24" s="332"/>
      <c r="BG24" s="333"/>
      <c r="BH24" s="332"/>
      <c r="BI24" s="333"/>
      <c r="BJ24" s="332"/>
      <c r="BK24" s="333"/>
      <c r="BL24" s="324"/>
      <c r="BM24" s="324"/>
      <c r="BN24" s="292"/>
      <c r="BO24" s="292"/>
      <c r="BP24" s="292"/>
      <c r="BQ24" s="320"/>
      <c r="BR24" s="332"/>
      <c r="BS24" s="333"/>
      <c r="BT24" s="332"/>
      <c r="BU24" s="333"/>
      <c r="BV24" s="332"/>
      <c r="BW24" s="333"/>
      <c r="BX24" s="332"/>
      <c r="BY24" s="333"/>
      <c r="BZ24" s="332"/>
      <c r="CA24" s="333"/>
      <c r="CB24" s="324"/>
      <c r="CC24" s="324"/>
      <c r="CD24" s="292"/>
      <c r="CE24" s="292"/>
      <c r="CF24" s="292"/>
      <c r="CG24" s="320"/>
      <c r="CH24" s="332"/>
      <c r="CI24" s="333"/>
      <c r="CJ24" s="332"/>
      <c r="CK24" s="333"/>
      <c r="CL24" s="332"/>
      <c r="CM24" s="333"/>
      <c r="CN24" s="332"/>
      <c r="CO24" s="333"/>
      <c r="CP24" s="332"/>
      <c r="CQ24" s="333"/>
      <c r="CR24" s="324"/>
      <c r="CS24" s="324"/>
      <c r="CT24" s="292"/>
      <c r="CU24" s="292"/>
      <c r="CV24" s="292"/>
      <c r="CW24" s="320"/>
      <c r="CX24" s="332"/>
      <c r="CY24" s="333"/>
      <c r="CZ24" s="332"/>
      <c r="DA24" s="333"/>
      <c r="DB24" s="332"/>
      <c r="DC24" s="333"/>
      <c r="DD24" s="332"/>
      <c r="DE24" s="333"/>
      <c r="DF24" s="332"/>
      <c r="DG24" s="333"/>
      <c r="DH24" s="324"/>
      <c r="DI24" s="324"/>
      <c r="DJ24" s="292"/>
      <c r="DK24" s="292"/>
      <c r="DL24" s="292"/>
      <c r="DM24" s="320"/>
      <c r="DN24" s="332"/>
      <c r="DO24" s="333"/>
      <c r="DP24" s="332"/>
      <c r="DQ24" s="333"/>
      <c r="DR24" s="332"/>
      <c r="DS24" s="333"/>
      <c r="DT24" s="332"/>
      <c r="DU24" s="333"/>
      <c r="DV24" s="332"/>
      <c r="DW24" s="333"/>
      <c r="DX24" s="335"/>
      <c r="DY24" s="331"/>
      <c r="DZ24" s="292"/>
      <c r="EA24" s="292"/>
      <c r="EB24" s="292"/>
    </row>
    <row r="25" spans="1:136" ht="14.25" customHeight="1">
      <c r="A25" s="291"/>
      <c r="B25" s="292"/>
      <c r="C25" s="325"/>
      <c r="D25" s="325"/>
      <c r="E25" s="320"/>
      <c r="F25" s="332"/>
      <c r="G25" s="333"/>
      <c r="H25" s="332"/>
      <c r="I25" s="333"/>
      <c r="J25" s="332"/>
      <c r="K25" s="333"/>
      <c r="L25" s="332"/>
      <c r="M25" s="333"/>
      <c r="N25" s="332"/>
      <c r="O25" s="333"/>
      <c r="P25" s="335"/>
      <c r="Q25" s="329"/>
      <c r="R25" s="292"/>
      <c r="S25" s="292"/>
      <c r="T25" s="292"/>
      <c r="U25" s="320"/>
      <c r="V25" s="332"/>
      <c r="W25" s="333"/>
      <c r="X25" s="332"/>
      <c r="Y25" s="333"/>
      <c r="Z25" s="332"/>
      <c r="AA25" s="333"/>
      <c r="AB25" s="332"/>
      <c r="AC25" s="333"/>
      <c r="AD25" s="332"/>
      <c r="AE25" s="333"/>
      <c r="AF25" s="335"/>
      <c r="AG25" s="324"/>
      <c r="AH25" s="292"/>
      <c r="AI25" s="292"/>
      <c r="AJ25" s="292"/>
      <c r="AK25" s="320"/>
      <c r="AL25" s="332"/>
      <c r="AM25" s="333"/>
      <c r="AN25" s="332"/>
      <c r="AO25" s="333"/>
      <c r="AP25" s="332"/>
      <c r="AQ25" s="333"/>
      <c r="AR25" s="332"/>
      <c r="AS25" s="333"/>
      <c r="AT25" s="332"/>
      <c r="AU25" s="333"/>
      <c r="AV25" s="335"/>
      <c r="AW25" s="324"/>
      <c r="AX25" s="292"/>
      <c r="AY25" s="292"/>
      <c r="AZ25" s="292"/>
      <c r="BA25" s="320"/>
      <c r="BB25" s="332"/>
      <c r="BC25" s="333"/>
      <c r="BD25" s="332"/>
      <c r="BE25" s="333"/>
      <c r="BF25" s="332"/>
      <c r="BG25" s="333"/>
      <c r="BH25" s="332"/>
      <c r="BI25" s="333"/>
      <c r="BJ25" s="332"/>
      <c r="BK25" s="333"/>
      <c r="BL25" s="335"/>
      <c r="BM25" s="324"/>
      <c r="BN25" s="292"/>
      <c r="BO25" s="292"/>
      <c r="BP25" s="292"/>
      <c r="BQ25" s="320"/>
      <c r="BR25" s="332"/>
      <c r="BS25" s="333"/>
      <c r="BT25" s="332"/>
      <c r="BU25" s="333"/>
      <c r="BV25" s="332"/>
      <c r="BW25" s="333"/>
      <c r="BX25" s="332"/>
      <c r="BY25" s="333"/>
      <c r="BZ25" s="332"/>
      <c r="CA25" s="333"/>
      <c r="CB25" s="335"/>
      <c r="CC25" s="324"/>
      <c r="CD25" s="292"/>
      <c r="CE25" s="292"/>
      <c r="CF25" s="292"/>
      <c r="CG25" s="320"/>
      <c r="CH25" s="332"/>
      <c r="CI25" s="333"/>
      <c r="CJ25" s="332"/>
      <c r="CK25" s="333"/>
      <c r="CL25" s="332"/>
      <c r="CM25" s="333"/>
      <c r="CN25" s="332"/>
      <c r="CO25" s="333"/>
      <c r="CP25" s="332"/>
      <c r="CQ25" s="333"/>
      <c r="CR25" s="335"/>
      <c r="CS25" s="324"/>
      <c r="CT25" s="292"/>
      <c r="CU25" s="292"/>
      <c r="CV25" s="292"/>
      <c r="CW25" s="320"/>
      <c r="CX25" s="332"/>
      <c r="CY25" s="333"/>
      <c r="CZ25" s="332"/>
      <c r="DA25" s="333"/>
      <c r="DB25" s="332"/>
      <c r="DC25" s="333"/>
      <c r="DD25" s="332"/>
      <c r="DE25" s="333"/>
      <c r="DF25" s="332"/>
      <c r="DG25" s="333"/>
      <c r="DH25" s="335"/>
      <c r="DI25" s="324"/>
      <c r="DJ25" s="292"/>
      <c r="DK25" s="292"/>
      <c r="DL25" s="292"/>
      <c r="DM25" s="320"/>
      <c r="DN25" s="332"/>
      <c r="DO25" s="333"/>
      <c r="DP25" s="332"/>
      <c r="DQ25" s="333"/>
      <c r="DR25" s="332"/>
      <c r="DS25" s="333"/>
      <c r="DT25" s="332"/>
      <c r="DU25" s="333"/>
      <c r="DV25" s="332"/>
      <c r="DW25" s="333"/>
      <c r="DX25" s="335"/>
      <c r="DY25" s="331"/>
      <c r="DZ25" s="292"/>
      <c r="EA25" s="292"/>
      <c r="EB25" s="292"/>
    </row>
    <row r="26" spans="1:136" ht="14.25" customHeight="1">
      <c r="A26" s="291"/>
      <c r="B26" s="292"/>
      <c r="C26" s="325"/>
      <c r="D26" s="325"/>
      <c r="E26" s="320"/>
      <c r="F26" s="332"/>
      <c r="G26" s="333"/>
      <c r="H26" s="332"/>
      <c r="I26" s="333"/>
      <c r="J26" s="332"/>
      <c r="K26" s="333"/>
      <c r="L26" s="332"/>
      <c r="M26" s="333"/>
      <c r="N26" s="332"/>
      <c r="O26" s="333"/>
      <c r="P26" s="335"/>
      <c r="Q26" s="329"/>
      <c r="R26" s="292"/>
      <c r="S26" s="292"/>
      <c r="T26" s="292"/>
      <c r="U26" s="320"/>
      <c r="V26" s="332"/>
      <c r="W26" s="333"/>
      <c r="X26" s="332"/>
      <c r="Y26" s="333"/>
      <c r="Z26" s="332"/>
      <c r="AA26" s="333"/>
      <c r="AB26" s="332"/>
      <c r="AC26" s="333"/>
      <c r="AD26" s="332"/>
      <c r="AE26" s="333"/>
      <c r="AF26" s="335"/>
      <c r="AG26" s="324"/>
      <c r="AH26" s="292"/>
      <c r="AI26" s="292"/>
      <c r="AJ26" s="292"/>
      <c r="AK26" s="320"/>
      <c r="AL26" s="332"/>
      <c r="AM26" s="333"/>
      <c r="AN26" s="332"/>
      <c r="AO26" s="333"/>
      <c r="AP26" s="332"/>
      <c r="AQ26" s="333"/>
      <c r="AR26" s="332"/>
      <c r="AS26" s="333"/>
      <c r="AT26" s="332"/>
      <c r="AU26" s="333"/>
      <c r="AV26" s="335"/>
      <c r="AW26" s="324"/>
      <c r="AX26" s="292"/>
      <c r="AY26" s="292"/>
      <c r="AZ26" s="292"/>
      <c r="BA26" s="320"/>
      <c r="BB26" s="332"/>
      <c r="BC26" s="333"/>
      <c r="BD26" s="332"/>
      <c r="BE26" s="333"/>
      <c r="BF26" s="332"/>
      <c r="BG26" s="333"/>
      <c r="BH26" s="332"/>
      <c r="BI26" s="333"/>
      <c r="BJ26" s="332"/>
      <c r="BK26" s="333"/>
      <c r="BL26" s="335"/>
      <c r="BM26" s="324"/>
      <c r="BN26" s="292"/>
      <c r="BO26" s="292"/>
      <c r="BP26" s="292"/>
      <c r="BQ26" s="320"/>
      <c r="BR26" s="332"/>
      <c r="BS26" s="333"/>
      <c r="BT26" s="332"/>
      <c r="BU26" s="333"/>
      <c r="BV26" s="332"/>
      <c r="BW26" s="333"/>
      <c r="BX26" s="332"/>
      <c r="BY26" s="333"/>
      <c r="BZ26" s="332"/>
      <c r="CA26" s="333"/>
      <c r="CB26" s="335"/>
      <c r="CC26" s="324"/>
      <c r="CD26" s="292"/>
      <c r="CE26" s="292"/>
      <c r="CF26" s="292"/>
      <c r="CG26" s="320"/>
      <c r="CH26" s="332"/>
      <c r="CI26" s="333"/>
      <c r="CJ26" s="332"/>
      <c r="CK26" s="333"/>
      <c r="CL26" s="332"/>
      <c r="CM26" s="333"/>
      <c r="CN26" s="332"/>
      <c r="CO26" s="333"/>
      <c r="CP26" s="332"/>
      <c r="CQ26" s="333"/>
      <c r="CR26" s="335"/>
      <c r="CS26" s="324"/>
      <c r="CT26" s="292"/>
      <c r="CU26" s="292"/>
      <c r="CV26" s="292"/>
      <c r="CW26" s="320"/>
      <c r="CX26" s="332"/>
      <c r="CY26" s="333"/>
      <c r="CZ26" s="332"/>
      <c r="DA26" s="333"/>
      <c r="DB26" s="332"/>
      <c r="DC26" s="333"/>
      <c r="DD26" s="332"/>
      <c r="DE26" s="333"/>
      <c r="DF26" s="332"/>
      <c r="DG26" s="333"/>
      <c r="DH26" s="335"/>
      <c r="DI26" s="324"/>
      <c r="DJ26" s="292"/>
      <c r="DK26" s="292"/>
      <c r="DL26" s="292"/>
      <c r="DM26" s="320"/>
      <c r="DN26" s="332"/>
      <c r="DO26" s="333"/>
      <c r="DP26" s="332"/>
      <c r="DQ26" s="333"/>
      <c r="DR26" s="332"/>
      <c r="DS26" s="333"/>
      <c r="DT26" s="332"/>
      <c r="DU26" s="333"/>
      <c r="DV26" s="332"/>
      <c r="DW26" s="333"/>
      <c r="DX26" s="335"/>
      <c r="DY26" s="331"/>
      <c r="DZ26" s="292"/>
      <c r="EA26" s="292"/>
      <c r="EB26" s="292"/>
    </row>
    <row r="27" spans="1:136" ht="14.25" customHeight="1">
      <c r="A27" s="291"/>
      <c r="B27" s="292"/>
      <c r="C27" s="325"/>
      <c r="D27" s="325"/>
      <c r="E27" s="320"/>
      <c r="F27" s="332"/>
      <c r="G27" s="333"/>
      <c r="H27" s="332"/>
      <c r="I27" s="333"/>
      <c r="J27" s="332"/>
      <c r="K27" s="333"/>
      <c r="L27" s="332"/>
      <c r="M27" s="333"/>
      <c r="N27" s="332"/>
      <c r="O27" s="333"/>
      <c r="P27" s="335"/>
      <c r="Q27" s="329"/>
      <c r="R27" s="292"/>
      <c r="S27" s="292"/>
      <c r="T27" s="292"/>
      <c r="U27" s="320"/>
      <c r="V27" s="332"/>
      <c r="W27" s="333"/>
      <c r="X27" s="332"/>
      <c r="Y27" s="333"/>
      <c r="Z27" s="332"/>
      <c r="AA27" s="333"/>
      <c r="AB27" s="332"/>
      <c r="AC27" s="333"/>
      <c r="AD27" s="332"/>
      <c r="AE27" s="333"/>
      <c r="AF27" s="335"/>
      <c r="AG27" s="324"/>
      <c r="AH27" s="292"/>
      <c r="AI27" s="292"/>
      <c r="AJ27" s="292"/>
      <c r="AK27" s="320"/>
      <c r="AL27" s="332"/>
      <c r="AM27" s="333"/>
      <c r="AN27" s="332"/>
      <c r="AO27" s="333"/>
      <c r="AP27" s="332"/>
      <c r="AQ27" s="333"/>
      <c r="AR27" s="332"/>
      <c r="AS27" s="333"/>
      <c r="AT27" s="332"/>
      <c r="AU27" s="333"/>
      <c r="AV27" s="335"/>
      <c r="AW27" s="324"/>
      <c r="AX27" s="292"/>
      <c r="AY27" s="292"/>
      <c r="AZ27" s="292"/>
      <c r="BA27" s="320"/>
      <c r="BB27" s="332"/>
      <c r="BC27" s="333"/>
      <c r="BD27" s="332"/>
      <c r="BE27" s="333"/>
      <c r="BF27" s="332"/>
      <c r="BG27" s="333"/>
      <c r="BH27" s="332"/>
      <c r="BI27" s="333"/>
      <c r="BJ27" s="332"/>
      <c r="BK27" s="333"/>
      <c r="BL27" s="335"/>
      <c r="BM27" s="324"/>
      <c r="BN27" s="292"/>
      <c r="BO27" s="292"/>
      <c r="BP27" s="292"/>
      <c r="BQ27" s="320"/>
      <c r="BR27" s="332"/>
      <c r="BS27" s="333"/>
      <c r="BT27" s="332"/>
      <c r="BU27" s="333"/>
      <c r="BV27" s="332"/>
      <c r="BW27" s="333"/>
      <c r="BX27" s="332"/>
      <c r="BY27" s="333"/>
      <c r="BZ27" s="332"/>
      <c r="CA27" s="333"/>
      <c r="CB27" s="335"/>
      <c r="CC27" s="324"/>
      <c r="CD27" s="292"/>
      <c r="CE27" s="292"/>
      <c r="CF27" s="292"/>
      <c r="CG27" s="320"/>
      <c r="CH27" s="332"/>
      <c r="CI27" s="333"/>
      <c r="CJ27" s="332"/>
      <c r="CK27" s="333"/>
      <c r="CL27" s="332"/>
      <c r="CM27" s="333"/>
      <c r="CN27" s="332"/>
      <c r="CO27" s="333"/>
      <c r="CP27" s="332"/>
      <c r="CQ27" s="333"/>
      <c r="CR27" s="335"/>
      <c r="CS27" s="324"/>
      <c r="CT27" s="292"/>
      <c r="CU27" s="292"/>
      <c r="CV27" s="292"/>
      <c r="CW27" s="320"/>
      <c r="CX27" s="332"/>
      <c r="CY27" s="333"/>
      <c r="CZ27" s="332"/>
      <c r="DA27" s="333"/>
      <c r="DB27" s="332"/>
      <c r="DC27" s="333"/>
      <c r="DD27" s="332"/>
      <c r="DE27" s="333"/>
      <c r="DF27" s="332"/>
      <c r="DG27" s="333"/>
      <c r="DH27" s="335"/>
      <c r="DI27" s="324"/>
      <c r="DJ27" s="292"/>
      <c r="DK27" s="292"/>
      <c r="DL27" s="292"/>
      <c r="DM27" s="320"/>
      <c r="DN27" s="332"/>
      <c r="DO27" s="333"/>
      <c r="DP27" s="332"/>
      <c r="DQ27" s="333"/>
      <c r="DR27" s="332"/>
      <c r="DS27" s="333"/>
      <c r="DT27" s="332"/>
      <c r="DU27" s="333"/>
      <c r="DV27" s="332"/>
      <c r="DW27" s="333"/>
      <c r="DX27" s="335"/>
      <c r="DY27" s="331"/>
      <c r="DZ27" s="292"/>
      <c r="EA27" s="292"/>
      <c r="EB27" s="292"/>
    </row>
    <row r="28" spans="1:136" ht="14.25" customHeight="1">
      <c r="A28" s="336" t="s">
        <v>3229</v>
      </c>
      <c r="B28" s="337" t="s">
        <v>3230</v>
      </c>
      <c r="C28" s="337"/>
      <c r="D28" s="337"/>
      <c r="E28" s="338"/>
      <c r="F28" s="339"/>
      <c r="G28" s="340"/>
      <c r="H28" s="339"/>
      <c r="I28" s="340"/>
      <c r="J28" s="339"/>
      <c r="K28" s="340"/>
      <c r="L28" s="339"/>
      <c r="M28" s="340"/>
      <c r="N28" s="339"/>
      <c r="O28" s="340"/>
      <c r="P28" s="341"/>
      <c r="Q28" s="342"/>
      <c r="R28" s="343"/>
      <c r="S28" s="343"/>
      <c r="T28" s="343"/>
      <c r="U28" s="338"/>
      <c r="V28" s="339"/>
      <c r="W28" s="340"/>
      <c r="X28" s="339"/>
      <c r="Y28" s="340"/>
      <c r="Z28" s="339"/>
      <c r="AA28" s="340"/>
      <c r="AB28" s="339"/>
      <c r="AC28" s="340"/>
      <c r="AD28" s="339"/>
      <c r="AE28" s="340"/>
      <c r="AF28" s="341"/>
      <c r="AG28" s="342"/>
      <c r="AH28" s="343"/>
      <c r="AI28" s="343"/>
      <c r="AJ28" s="343"/>
      <c r="AK28" s="338"/>
      <c r="AL28" s="339"/>
      <c r="AM28" s="340"/>
      <c r="AN28" s="339"/>
      <c r="AO28" s="340"/>
      <c r="AP28" s="339"/>
      <c r="AQ28" s="340"/>
      <c r="AR28" s="339"/>
      <c r="AS28" s="340"/>
      <c r="AT28" s="339"/>
      <c r="AU28" s="340"/>
      <c r="AV28" s="341"/>
      <c r="AW28" s="342"/>
      <c r="AX28" s="343"/>
      <c r="AY28" s="343"/>
      <c r="AZ28" s="343"/>
      <c r="BA28" s="338"/>
      <c r="BB28" s="339"/>
      <c r="BC28" s="340"/>
      <c r="BD28" s="339"/>
      <c r="BE28" s="340"/>
      <c r="BF28" s="339"/>
      <c r="BG28" s="340"/>
      <c r="BH28" s="339"/>
      <c r="BI28" s="340"/>
      <c r="BJ28" s="339"/>
      <c r="BK28" s="340"/>
      <c r="BL28" s="341"/>
      <c r="BM28" s="342"/>
      <c r="BN28" s="343"/>
      <c r="BO28" s="343"/>
      <c r="BP28" s="343"/>
      <c r="BQ28" s="338"/>
      <c r="BR28" s="339"/>
      <c r="BS28" s="340"/>
      <c r="BT28" s="339"/>
      <c r="BU28" s="340"/>
      <c r="BV28" s="339"/>
      <c r="BW28" s="340"/>
      <c r="BX28" s="339"/>
      <c r="BY28" s="340"/>
      <c r="BZ28" s="339"/>
      <c r="CA28" s="340"/>
      <c r="CB28" s="341"/>
      <c r="CC28" s="342"/>
      <c r="CD28" s="343"/>
      <c r="CE28" s="343"/>
      <c r="CF28" s="343"/>
      <c r="CG28" s="338"/>
      <c r="CH28" s="339"/>
      <c r="CI28" s="340"/>
      <c r="CJ28" s="339"/>
      <c r="CK28" s="340"/>
      <c r="CL28" s="339"/>
      <c r="CM28" s="340"/>
      <c r="CN28" s="339"/>
      <c r="CO28" s="340"/>
      <c r="CP28" s="339"/>
      <c r="CQ28" s="340"/>
      <c r="CR28" s="341"/>
      <c r="CS28" s="342"/>
      <c r="CT28" s="343"/>
      <c r="CU28" s="343"/>
      <c r="CV28" s="343"/>
      <c r="CW28" s="338"/>
      <c r="CX28" s="339"/>
      <c r="CY28" s="340"/>
      <c r="CZ28" s="339"/>
      <c r="DA28" s="340"/>
      <c r="DB28" s="339"/>
      <c r="DC28" s="340"/>
      <c r="DD28" s="339"/>
      <c r="DE28" s="340"/>
      <c r="DF28" s="339"/>
      <c r="DG28" s="340"/>
      <c r="DH28" s="341"/>
      <c r="DI28" s="342"/>
      <c r="DJ28" s="343"/>
      <c r="DK28" s="343"/>
      <c r="DL28" s="343"/>
      <c r="DM28" s="338"/>
      <c r="DN28" s="339"/>
      <c r="DO28" s="340"/>
      <c r="DP28" s="339"/>
      <c r="DQ28" s="340"/>
      <c r="DR28" s="339"/>
      <c r="DS28" s="340"/>
      <c r="DT28" s="339"/>
      <c r="DU28" s="340"/>
      <c r="DV28" s="339"/>
      <c r="DW28" s="340"/>
      <c r="DX28" s="341"/>
      <c r="DY28" s="342"/>
      <c r="DZ28" s="343"/>
      <c r="EA28" s="343"/>
      <c r="EB28" s="343"/>
    </row>
    <row r="29" spans="1:136" ht="14.25" customHeight="1">
      <c r="A29" s="291" t="b">
        <f t="shared" ref="A29:A63" si="0">EXACT(MAX(F29,H29,J29,L29,N29,V29,X29,Z29,AB29,AD29,AL29,AN29,AP29,AR29,AT29,BB29,BD29,BF29,BH29,BJ29,BR29,BT29,BV29,BX29,BZ29,CH29,CJ29,CL29,CN29,CP29,CX29,CZ29,DB29,DD29,DF29),MIN(F29,H29,J29,L29,N29,V29,X29,Z29,AB29,AD29,AL29,AN29,AP29,AR29,AT29,BB29,BD29,BF29,BH29,BJ29,BR29,BT29,BV29,BX29,BZ29,CH29,CJ29,CL29,CN29,CP29,CX29,CZ29,DB29,DD29,DF29))</f>
        <v>0</v>
      </c>
      <c r="B29" s="292"/>
      <c r="C29" s="344" t="s">
        <v>3231</v>
      </c>
      <c r="D29" s="345"/>
      <c r="E29" s="346" t="s">
        <v>3232</v>
      </c>
      <c r="F29" s="347">
        <v>0</v>
      </c>
      <c r="G29" s="348"/>
      <c r="H29" s="347">
        <v>0</v>
      </c>
      <c r="I29" s="348"/>
      <c r="J29" s="347">
        <v>0</v>
      </c>
      <c r="K29" s="348"/>
      <c r="L29" s="347">
        <v>0</v>
      </c>
      <c r="M29" s="348"/>
      <c r="N29" s="347">
        <v>0</v>
      </c>
      <c r="O29" s="348"/>
      <c r="P29" s="349"/>
      <c r="Q29" s="350">
        <v>1</v>
      </c>
      <c r="R29" s="351" t="e">
        <f t="shared" ref="R29:R60" si="1">IF(RechtsformGI=H$13,H29*Q29,IF(RechtsformGI=J$13,J29*Q29,IF(RechtsformGI=L$13,L29*Q29,IF(RechtsformGI=N$13,N29*Q29,IF(RechtsformGI=F$13,F29*Q29,"")))))</f>
        <v>#N/A</v>
      </c>
      <c r="S29" s="351" t="e">
        <f t="shared" ref="S29:S60" si="2">IF(RechtsformAngebot=H$13,H29*Q29,IF(RechtsformAngebot=J$13,J29*Q29,IF(RechtsformAngebot=L$13,L29*Q29,IF(RechtsformAngebot=N$13,N29*Q29,IF(RechtsformAngebot=F$13,F29*Q29,"")))))</f>
        <v>#N/A</v>
      </c>
      <c r="T29" s="351"/>
      <c r="U29" s="346" t="s">
        <v>3233</v>
      </c>
      <c r="V29" s="347">
        <v>1</v>
      </c>
      <c r="W29" s="348"/>
      <c r="X29" s="347">
        <v>1</v>
      </c>
      <c r="Y29" s="348"/>
      <c r="Z29" s="347">
        <v>1</v>
      </c>
      <c r="AA29" s="348"/>
      <c r="AB29" s="347">
        <v>1</v>
      </c>
      <c r="AC29" s="348"/>
      <c r="AD29" s="347">
        <v>1</v>
      </c>
      <c r="AE29" s="348"/>
      <c r="AF29" s="349"/>
      <c r="AG29" s="350">
        <v>1</v>
      </c>
      <c r="AH29" s="351" t="e">
        <f t="shared" ref="AH29:AH60" si="3">IF(RechtsformGI=X$13,X29*AG29,IF(RechtsformGI=Z$13,Z29*AG29,IF(RechtsformGI=AB$13,AB29*AG29,IF(RechtsformGI=AD$13,AD29*AG29,IF(RechtsformGI=V$13,V29*AG29,"")))))</f>
        <v>#N/A</v>
      </c>
      <c r="AI29" s="351" t="e">
        <f t="shared" ref="AI29:AI60" si="4">IF(RechtsformAngebot=X$13,X29*AG29,IF(RechtsformAngebot=Z$13,Z29*AG29,IF(RechtsformAngebot=AB$13,AB29*AG29,IF(RechtsformAngebot=AD$13,AD29*AG29,IF(RechtsformAngebot=V$13,V29*AG29,"")))))</f>
        <v>#N/A</v>
      </c>
      <c r="AJ29" s="351"/>
      <c r="AK29" s="352" t="s">
        <v>3234</v>
      </c>
      <c r="AL29" s="353">
        <v>0</v>
      </c>
      <c r="AM29" s="354"/>
      <c r="AN29" s="353">
        <v>0</v>
      </c>
      <c r="AO29" s="354"/>
      <c r="AP29" s="353">
        <v>0</v>
      </c>
      <c r="AQ29" s="354"/>
      <c r="AR29" s="353">
        <v>0</v>
      </c>
      <c r="AS29" s="354"/>
      <c r="AT29" s="353">
        <v>0</v>
      </c>
      <c r="AU29" s="354"/>
      <c r="AV29" s="354"/>
      <c r="AW29" s="350">
        <v>1</v>
      </c>
      <c r="AX29" s="351" t="e">
        <f t="shared" ref="AX29:AX60" si="5">IF(RechtsformGI=AN$13,AN29*AW29,IF(RechtsformGI=AP$13,AP29*AW29,IF(RechtsformGI=AR$13,AR29*AW29,IF(RechtsformGI=AT$13,AT29*AW29,IF(RechtsformGI=AL$13,AL29*AW29,"")))))</f>
        <v>#N/A</v>
      </c>
      <c r="AY29" s="351" t="e">
        <f t="shared" ref="AY29:AY60" si="6">IF(RechtsformAngebot=AN$13,AN29*AW29,IF(RechtsformAngebot=AP$13,AP29*AW29,IF(RechtsformAngebot=AR$13,AR29*AW29,IF(RechtsformAngebot=AT$13,AT29*AW29,IF(RechtsformAngebot=AL$13,AL29*AW29,"")))))</f>
        <v>#N/A</v>
      </c>
      <c r="AZ29" s="351"/>
      <c r="BA29" s="346" t="s">
        <v>3233</v>
      </c>
      <c r="BB29" s="347">
        <v>1</v>
      </c>
      <c r="BC29" s="348"/>
      <c r="BD29" s="347">
        <v>1</v>
      </c>
      <c r="BE29" s="348"/>
      <c r="BF29" s="347">
        <v>1</v>
      </c>
      <c r="BG29" s="348"/>
      <c r="BH29" s="347">
        <v>1</v>
      </c>
      <c r="BI29" s="348"/>
      <c r="BJ29" s="347">
        <v>1</v>
      </c>
      <c r="BK29" s="348"/>
      <c r="BL29" s="349"/>
      <c r="BM29" s="350">
        <v>1</v>
      </c>
      <c r="BN29" s="351" t="e">
        <f t="shared" ref="BN29:BN60" si="7">IF(RechtsformGI=BD$13,BD29*BM29,IF(RechtsformGI=BF$13,BF29*BM29,IF(RechtsformGI=BH$13,BH29*BM29,IF(RechtsformGI=BJ$13,BJ29*BM29,IF(RechtsformGI=BB$13,BB29*BM29,"")))))</f>
        <v>#N/A</v>
      </c>
      <c r="BO29" s="351" t="e">
        <f t="shared" ref="BO29:BO60" si="8">IF(RechtsformAngebot=BD$13,BD29*BM29,IF(RechtsformAngebot=BF$13,BF29*BM29,IF(RechtsformAngebot=BH$13,BH29*BM29,IF(RechtsformAngebot=BJ$13,BJ29*BM29,IF(RechtsformAngebot=BB$13,BB29*BM29,"")))))</f>
        <v>#N/A</v>
      </c>
      <c r="BP29" s="351"/>
      <c r="BQ29" s="346" t="s">
        <v>3233</v>
      </c>
      <c r="BR29" s="347">
        <v>1</v>
      </c>
      <c r="BS29" s="348"/>
      <c r="BT29" s="347">
        <v>1</v>
      </c>
      <c r="BU29" s="348"/>
      <c r="BV29" s="347">
        <v>1</v>
      </c>
      <c r="BW29" s="348"/>
      <c r="BX29" s="347">
        <v>1</v>
      </c>
      <c r="BY29" s="348"/>
      <c r="BZ29" s="347">
        <v>1</v>
      </c>
      <c r="CA29" s="348"/>
      <c r="CB29" s="349"/>
      <c r="CC29" s="350">
        <v>1</v>
      </c>
      <c r="CD29" s="351" t="e">
        <f t="shared" ref="CD29:CD60" si="9">IF(RechtsformGI=BT$13,BT29*CC29,IF(RechtsformGI=BV$13,BV29*CC29,IF(RechtsformGI=BX$13,BX29*CC29,IF(RechtsformGI=BZ$13,BZ29*CC29,IF(RechtsformGI=BR$13,BR29*CC29,"")))))</f>
        <v>#N/A</v>
      </c>
      <c r="CE29" s="351" t="e">
        <f t="shared" ref="CE29:CE60" si="10">IF(RechtsformAngebot=BT$13,BT29*CC29,IF(RechtsformAngebot=BV$13,BV29*CC29,IF(RechtsformAngebot=BX$13,BX29*CC29,IF(RechtsformAngebot=BZ$13,BZ29*CC29,IF(RechtsformAngebot=BR$13,BR29*CC29,"")))))</f>
        <v>#N/A</v>
      </c>
      <c r="CF29" s="351"/>
      <c r="CG29" s="346" t="s">
        <v>3233</v>
      </c>
      <c r="CH29" s="347">
        <v>0.8</v>
      </c>
      <c r="CI29" s="348"/>
      <c r="CJ29" s="347">
        <v>0.8</v>
      </c>
      <c r="CK29" s="348"/>
      <c r="CL29" s="347">
        <v>0.8</v>
      </c>
      <c r="CM29" s="348"/>
      <c r="CN29" s="347">
        <v>0.8</v>
      </c>
      <c r="CO29" s="348"/>
      <c r="CP29" s="347">
        <v>0.8</v>
      </c>
      <c r="CQ29" s="348"/>
      <c r="CR29" s="349"/>
      <c r="CS29" s="350">
        <v>1</v>
      </c>
      <c r="CT29" s="351" t="e">
        <f t="shared" ref="CT29:CT60" si="11">IF(RechtsformGI=CJ$13,CJ29*CS29,IF(RechtsformGI=CL$13,CL29*CS29,IF(RechtsformGI=CN$13,CN29*CS29,IF(RechtsformGI=CP$13,CP29*CS29,IF(RechtsformGI=CH$13,CH29*CS29,"")))))</f>
        <v>#N/A</v>
      </c>
      <c r="CU29" s="351" t="e">
        <f t="shared" ref="CU29:CU60" si="12">IF(RechtsformAngebot=CJ$13,CJ29*CS29,IF(RechtsformAngebot=CL$13,CL29*CS29,IF(RechtsformAngebot=CN$13,CN29*CS29,IF(RechtsformAngebot=CP$13,CP29*CS29,IF(RechtsformAngebot=CH$13,CH29*CS29,"")))))</f>
        <v>#N/A</v>
      </c>
      <c r="CV29" s="351"/>
      <c r="CW29" s="346" t="s">
        <v>3233</v>
      </c>
      <c r="CX29" s="347">
        <v>0.8</v>
      </c>
      <c r="CY29" s="348"/>
      <c r="CZ29" s="347">
        <v>0.8</v>
      </c>
      <c r="DA29" s="348"/>
      <c r="DB29" s="347">
        <v>0.8</v>
      </c>
      <c r="DC29" s="348"/>
      <c r="DD29" s="347">
        <v>0.8</v>
      </c>
      <c r="DE29" s="348"/>
      <c r="DF29" s="347">
        <v>0.8</v>
      </c>
      <c r="DG29" s="348"/>
      <c r="DH29" s="349"/>
      <c r="DI29" s="350">
        <v>1</v>
      </c>
      <c r="DJ29" s="351" t="e">
        <f t="shared" ref="DJ29:DJ60" si="13">IF(RechtsformGI=CZ$13,CZ29*DI29,IF(RechtsformGI=DB$13,DB29*DI29,IF(RechtsformGI=DD$13,DD29*DI29,IF(RechtsformGI=DF$13,DF29*DI29,IF(RechtsformGI=CX$13,CX29*DI29,"")))))</f>
        <v>#N/A</v>
      </c>
      <c r="DK29" s="351" t="e">
        <f t="shared" ref="DK29:DK60" si="14">IF(RechtsformAngebot=CZ$13,CZ29*DI29,IF(RechtsformAngebot=DB$13,DB29*DI29,IF(RechtsformAngebot=DD$13,DD29*DI29,IF(RechtsformAngebot=DF$13,DF29*DI29,IF(RechtsformAngebot=CX$13,CX29*DI29,"")))))</f>
        <v>#N/A</v>
      </c>
      <c r="DL29" s="351"/>
      <c r="DM29" s="346" t="s">
        <v>3233</v>
      </c>
      <c r="DN29" s="347">
        <v>0.8</v>
      </c>
      <c r="DO29" s="348"/>
      <c r="DP29" s="347">
        <v>0.8</v>
      </c>
      <c r="DQ29" s="348"/>
      <c r="DR29" s="347">
        <v>0.8</v>
      </c>
      <c r="DS29" s="348"/>
      <c r="DT29" s="347">
        <v>0.8</v>
      </c>
      <c r="DU29" s="348"/>
      <c r="DV29" s="347">
        <v>0.8</v>
      </c>
      <c r="DW29" s="348"/>
      <c r="DX29" s="349"/>
      <c r="DY29" s="350">
        <v>1</v>
      </c>
      <c r="DZ29" s="351" t="e">
        <f t="shared" ref="DZ29:DZ60" si="15">IF(RechtsformGI=DP$13,DP29*DY29,IF(RechtsformGI=DR$13,DR29*DY29,IF(RechtsformGI=DT$13,DT29*DY29,IF(RechtsformGI=DV$13,DV29*DY29,IF(RechtsformGI=DN$13,DN29*DY29,"")))))</f>
        <v>#N/A</v>
      </c>
      <c r="EA29" s="351" t="e">
        <f t="shared" ref="EA29:EA60" si="16">IF(RechtsformAngebot=DP$13,DP29*DY29,IF(RechtsformAngebot=DR$13,DR29*DY29,IF(RechtsformAngebot=DT$13,DT29*DY29,IF(RechtsformAngebot=DV$13,DV29*DY29,IF(RechtsformAngebot=DN$13,DN29*DY29,"")))))</f>
        <v>#N/A</v>
      </c>
      <c r="EB29" s="351"/>
      <c r="EC29" s="157">
        <f t="shared" ref="EC29:EC124" si="17">MIN(F29:O29,V29:AE29,AL29:AU29,BB29:BK29,BR29:CA29,CH29:CQ29,CX29:DG29,DN29:DW29)</f>
        <v>0</v>
      </c>
      <c r="ED29" s="157">
        <f t="shared" ref="ED29:ED124" si="18">MAX(F29:O29,V29:AE29,AL29:AU29,BB29:BK29,BR29:CA29,CH29:CQ29,CX29:DG29,DN29:DW29)</f>
        <v>1</v>
      </c>
      <c r="EE29" s="157">
        <f t="shared" ref="EE29:EE124" si="19">AVERAGE(F29:O29,V29:AE29,AL29:AU29,BB29:BK29,BR29:CA29,CH29:CQ29,CX29:DG29,DN29:DW29)</f>
        <v>0.67500000000000027</v>
      </c>
      <c r="EF29" s="157">
        <f t="shared" ref="EF29:EF124" si="20">MEDIAN(F29:O29,V29:AE29,AL29:AU29,BB29:BK29,BR29:CA29,CH29:CQ29,CX29:DG29,DN29:DW29)</f>
        <v>0.8</v>
      </c>
    </row>
    <row r="30" spans="1:136" ht="14.25" customHeight="1">
      <c r="A30" s="291" t="b">
        <f t="shared" si="0"/>
        <v>0</v>
      </c>
      <c r="B30" s="292"/>
      <c r="C30" s="355" t="s">
        <v>3235</v>
      </c>
      <c r="D30" s="345"/>
      <c r="E30" s="356" t="s">
        <v>3234</v>
      </c>
      <c r="F30" s="357">
        <v>0</v>
      </c>
      <c r="G30" s="358"/>
      <c r="H30" s="357">
        <v>0</v>
      </c>
      <c r="I30" s="358"/>
      <c r="J30" s="357">
        <v>0</v>
      </c>
      <c r="K30" s="358"/>
      <c r="L30" s="357">
        <v>0</v>
      </c>
      <c r="M30" s="358"/>
      <c r="N30" s="357">
        <v>0</v>
      </c>
      <c r="O30" s="358"/>
      <c r="P30" s="359"/>
      <c r="Q30" s="360">
        <v>1</v>
      </c>
      <c r="R30" s="351" t="e">
        <f t="shared" si="1"/>
        <v>#N/A</v>
      </c>
      <c r="S30" s="351" t="e">
        <f t="shared" si="2"/>
        <v>#N/A</v>
      </c>
      <c r="T30" s="351"/>
      <c r="U30" s="361" t="s">
        <v>3233</v>
      </c>
      <c r="V30" s="362">
        <v>0.8</v>
      </c>
      <c r="W30" s="363"/>
      <c r="X30" s="364">
        <v>0.8</v>
      </c>
      <c r="Y30" s="363"/>
      <c r="Z30" s="364">
        <v>0.8</v>
      </c>
      <c r="AA30" s="363"/>
      <c r="AB30" s="364">
        <v>0.8</v>
      </c>
      <c r="AC30" s="363"/>
      <c r="AD30" s="364">
        <v>0.8</v>
      </c>
      <c r="AE30" s="363"/>
      <c r="AF30" s="363"/>
      <c r="AG30" s="360">
        <v>1</v>
      </c>
      <c r="AH30" s="351" t="e">
        <f t="shared" si="3"/>
        <v>#N/A</v>
      </c>
      <c r="AI30" s="351" t="e">
        <f t="shared" si="4"/>
        <v>#N/A</v>
      </c>
      <c r="AJ30" s="351"/>
      <c r="AK30" s="361" t="s">
        <v>3233</v>
      </c>
      <c r="AL30" s="362">
        <v>0.8</v>
      </c>
      <c r="AM30" s="365"/>
      <c r="AN30" s="362">
        <v>0.8</v>
      </c>
      <c r="AO30" s="365"/>
      <c r="AP30" s="362">
        <v>0.8</v>
      </c>
      <c r="AQ30" s="365"/>
      <c r="AR30" s="362">
        <v>0.8</v>
      </c>
      <c r="AS30" s="365"/>
      <c r="AT30" s="362">
        <v>0.8</v>
      </c>
      <c r="AU30" s="365"/>
      <c r="AV30" s="365"/>
      <c r="AW30" s="360">
        <v>1</v>
      </c>
      <c r="AX30" s="351" t="e">
        <f t="shared" si="5"/>
        <v>#N/A</v>
      </c>
      <c r="AY30" s="351" t="e">
        <f t="shared" si="6"/>
        <v>#N/A</v>
      </c>
      <c r="AZ30" s="351"/>
      <c r="BA30" s="361" t="s">
        <v>3233</v>
      </c>
      <c r="BB30" s="366">
        <v>0.8</v>
      </c>
      <c r="BC30" s="365"/>
      <c r="BD30" s="366">
        <v>0.8</v>
      </c>
      <c r="BE30" s="365"/>
      <c r="BF30" s="366">
        <v>0.8</v>
      </c>
      <c r="BG30" s="365"/>
      <c r="BH30" s="366">
        <v>0.8</v>
      </c>
      <c r="BI30" s="365"/>
      <c r="BJ30" s="366">
        <v>0.8</v>
      </c>
      <c r="BK30" s="365"/>
      <c r="BL30" s="365"/>
      <c r="BM30" s="360">
        <v>1</v>
      </c>
      <c r="BN30" s="351" t="e">
        <f t="shared" si="7"/>
        <v>#N/A</v>
      </c>
      <c r="BO30" s="351" t="e">
        <f t="shared" si="8"/>
        <v>#N/A</v>
      </c>
      <c r="BP30" s="351"/>
      <c r="BQ30" s="361" t="s">
        <v>3233</v>
      </c>
      <c r="BR30" s="367">
        <v>0.8</v>
      </c>
      <c r="BS30" s="368"/>
      <c r="BT30" s="367">
        <v>0.8</v>
      </c>
      <c r="BU30" s="368"/>
      <c r="BV30" s="367">
        <v>0.8</v>
      </c>
      <c r="BW30" s="368"/>
      <c r="BX30" s="367">
        <v>0.8</v>
      </c>
      <c r="BY30" s="368"/>
      <c r="BZ30" s="367">
        <v>0.8</v>
      </c>
      <c r="CA30" s="368"/>
      <c r="CB30" s="368"/>
      <c r="CC30" s="360">
        <v>1</v>
      </c>
      <c r="CD30" s="351" t="e">
        <f t="shared" si="9"/>
        <v>#N/A</v>
      </c>
      <c r="CE30" s="351" t="e">
        <f t="shared" si="10"/>
        <v>#N/A</v>
      </c>
      <c r="CF30" s="351"/>
      <c r="CG30" s="361" t="s">
        <v>3233</v>
      </c>
      <c r="CH30" s="367">
        <v>0.8</v>
      </c>
      <c r="CI30" s="368"/>
      <c r="CJ30" s="367">
        <v>0.8</v>
      </c>
      <c r="CK30" s="368"/>
      <c r="CL30" s="367">
        <v>0.8</v>
      </c>
      <c r="CM30" s="368"/>
      <c r="CN30" s="367">
        <v>0.8</v>
      </c>
      <c r="CO30" s="368"/>
      <c r="CP30" s="367">
        <v>0.8</v>
      </c>
      <c r="CQ30" s="368"/>
      <c r="CR30" s="368"/>
      <c r="CS30" s="360">
        <v>1</v>
      </c>
      <c r="CT30" s="351" t="e">
        <f t="shared" si="11"/>
        <v>#N/A</v>
      </c>
      <c r="CU30" s="351" t="e">
        <f t="shared" si="12"/>
        <v>#N/A</v>
      </c>
      <c r="CV30" s="351"/>
      <c r="CW30" s="361" t="s">
        <v>3233</v>
      </c>
      <c r="CX30" s="367">
        <v>0.8</v>
      </c>
      <c r="CY30" s="368"/>
      <c r="CZ30" s="347">
        <v>0.8</v>
      </c>
      <c r="DA30" s="369"/>
      <c r="DB30" s="367">
        <v>0.8</v>
      </c>
      <c r="DC30" s="368"/>
      <c r="DD30" s="367">
        <v>0.8</v>
      </c>
      <c r="DE30" s="368"/>
      <c r="DF30" s="367">
        <v>0.8</v>
      </c>
      <c r="DG30" s="368"/>
      <c r="DH30" s="368"/>
      <c r="DI30" s="360">
        <v>1</v>
      </c>
      <c r="DJ30" s="351" t="e">
        <f t="shared" si="13"/>
        <v>#N/A</v>
      </c>
      <c r="DK30" s="351" t="e">
        <f t="shared" si="14"/>
        <v>#N/A</v>
      </c>
      <c r="DL30" s="351"/>
      <c r="DM30" s="361" t="s">
        <v>3233</v>
      </c>
      <c r="DN30" s="367">
        <v>0.8</v>
      </c>
      <c r="DO30" s="368"/>
      <c r="DP30" s="367">
        <v>0.8</v>
      </c>
      <c r="DQ30" s="368"/>
      <c r="DR30" s="367">
        <v>0.8</v>
      </c>
      <c r="DS30" s="368"/>
      <c r="DT30" s="367">
        <v>0.8</v>
      </c>
      <c r="DU30" s="368"/>
      <c r="DV30" s="367">
        <v>0.8</v>
      </c>
      <c r="DW30" s="368"/>
      <c r="DX30" s="368"/>
      <c r="DY30" s="360">
        <v>1</v>
      </c>
      <c r="DZ30" s="351" t="e">
        <f t="shared" si="15"/>
        <v>#N/A</v>
      </c>
      <c r="EA30" s="351" t="e">
        <f t="shared" si="16"/>
        <v>#N/A</v>
      </c>
      <c r="EB30" s="351"/>
      <c r="EC30" s="157">
        <f t="shared" si="17"/>
        <v>0</v>
      </c>
      <c r="ED30" s="157">
        <f t="shared" si="18"/>
        <v>0.8</v>
      </c>
      <c r="EE30" s="157">
        <f t="shared" si="19"/>
        <v>0.7000000000000004</v>
      </c>
      <c r="EF30" s="157">
        <f t="shared" si="20"/>
        <v>0.8</v>
      </c>
    </row>
    <row r="31" spans="1:136" ht="14.25" customHeight="1">
      <c r="A31" s="291" t="b">
        <f t="shared" si="0"/>
        <v>0</v>
      </c>
      <c r="B31" s="292"/>
      <c r="C31" s="355" t="s">
        <v>3236</v>
      </c>
      <c r="D31" s="345"/>
      <c r="E31" s="361" t="s">
        <v>3237</v>
      </c>
      <c r="F31" s="362">
        <v>0.3</v>
      </c>
      <c r="G31" s="365"/>
      <c r="H31" s="362">
        <v>0.5</v>
      </c>
      <c r="I31" s="365"/>
      <c r="J31" s="362">
        <v>0.3</v>
      </c>
      <c r="K31" s="365"/>
      <c r="L31" s="362">
        <v>0.3</v>
      </c>
      <c r="M31" s="365"/>
      <c r="N31" s="362">
        <v>0.3</v>
      </c>
      <c r="O31" s="365"/>
      <c r="P31" s="370" t="s">
        <v>3238</v>
      </c>
      <c r="Q31" s="360">
        <v>1</v>
      </c>
      <c r="R31" s="351" t="e">
        <f t="shared" si="1"/>
        <v>#N/A</v>
      </c>
      <c r="S31" s="351" t="e">
        <f t="shared" si="2"/>
        <v>#N/A</v>
      </c>
      <c r="T31" s="351"/>
      <c r="U31" s="371" t="s">
        <v>3239</v>
      </c>
      <c r="V31" s="362">
        <v>0.3</v>
      </c>
      <c r="W31" s="365"/>
      <c r="X31" s="362">
        <v>0.5</v>
      </c>
      <c r="Y31" s="365"/>
      <c r="Z31" s="362">
        <v>0.3</v>
      </c>
      <c r="AA31" s="365"/>
      <c r="AB31" s="362">
        <v>0.3</v>
      </c>
      <c r="AC31" s="365"/>
      <c r="AD31" s="362">
        <v>0.3</v>
      </c>
      <c r="AE31" s="365"/>
      <c r="AF31" s="370" t="s">
        <v>3238</v>
      </c>
      <c r="AG31" s="360">
        <v>1</v>
      </c>
      <c r="AH31" s="351" t="e">
        <f t="shared" si="3"/>
        <v>#N/A</v>
      </c>
      <c r="AI31" s="351" t="e">
        <f t="shared" si="4"/>
        <v>#N/A</v>
      </c>
      <c r="AJ31" s="351"/>
      <c r="AK31" s="361" t="s">
        <v>3237</v>
      </c>
      <c r="AL31" s="362">
        <v>0.5</v>
      </c>
      <c r="AM31" s="365"/>
      <c r="AN31" s="362">
        <v>1</v>
      </c>
      <c r="AO31" s="365"/>
      <c r="AP31" s="362">
        <v>0.5</v>
      </c>
      <c r="AQ31" s="365"/>
      <c r="AR31" s="362">
        <v>0.5</v>
      </c>
      <c r="AS31" s="365"/>
      <c r="AT31" s="362">
        <v>0.5</v>
      </c>
      <c r="AU31" s="365"/>
      <c r="AV31" s="370" t="s">
        <v>3238</v>
      </c>
      <c r="AW31" s="360">
        <v>1</v>
      </c>
      <c r="AX31" s="351" t="e">
        <f t="shared" si="5"/>
        <v>#N/A</v>
      </c>
      <c r="AY31" s="351" t="e">
        <f t="shared" si="6"/>
        <v>#N/A</v>
      </c>
      <c r="AZ31" s="351"/>
      <c r="BA31" s="361" t="s">
        <v>3237</v>
      </c>
      <c r="BB31" s="362">
        <v>0.5</v>
      </c>
      <c r="BC31" s="365"/>
      <c r="BD31" s="362">
        <v>1</v>
      </c>
      <c r="BE31" s="365"/>
      <c r="BF31" s="362">
        <v>0.5</v>
      </c>
      <c r="BG31" s="365"/>
      <c r="BH31" s="362">
        <v>0.5</v>
      </c>
      <c r="BI31" s="365"/>
      <c r="BJ31" s="362">
        <v>0.5</v>
      </c>
      <c r="BK31" s="365"/>
      <c r="BL31" s="370" t="s">
        <v>3238</v>
      </c>
      <c r="BM31" s="360">
        <v>1</v>
      </c>
      <c r="BN31" s="351" t="e">
        <f t="shared" si="7"/>
        <v>#N/A</v>
      </c>
      <c r="BO31" s="351" t="e">
        <f t="shared" si="8"/>
        <v>#N/A</v>
      </c>
      <c r="BP31" s="351"/>
      <c r="BQ31" s="361" t="s">
        <v>3237</v>
      </c>
      <c r="BR31" s="362">
        <v>0.5</v>
      </c>
      <c r="BS31" s="365"/>
      <c r="BT31" s="362">
        <v>1</v>
      </c>
      <c r="BU31" s="365"/>
      <c r="BV31" s="362">
        <v>0.5</v>
      </c>
      <c r="BW31" s="365"/>
      <c r="BX31" s="362">
        <v>0.5</v>
      </c>
      <c r="BY31" s="365"/>
      <c r="BZ31" s="362">
        <v>0.5</v>
      </c>
      <c r="CA31" s="365"/>
      <c r="CB31" s="370" t="s">
        <v>3238</v>
      </c>
      <c r="CC31" s="360">
        <v>1</v>
      </c>
      <c r="CD31" s="351" t="e">
        <f t="shared" si="9"/>
        <v>#N/A</v>
      </c>
      <c r="CE31" s="351" t="e">
        <f t="shared" si="10"/>
        <v>#N/A</v>
      </c>
      <c r="CF31" s="351"/>
      <c r="CG31" s="361" t="s">
        <v>3237</v>
      </c>
      <c r="CH31" s="362">
        <v>0</v>
      </c>
      <c r="CI31" s="365"/>
      <c r="CJ31" s="362">
        <v>1</v>
      </c>
      <c r="CK31" s="365"/>
      <c r="CL31" s="362">
        <v>0</v>
      </c>
      <c r="CM31" s="365"/>
      <c r="CN31" s="362">
        <v>0</v>
      </c>
      <c r="CO31" s="365"/>
      <c r="CP31" s="362">
        <v>0</v>
      </c>
      <c r="CQ31" s="365"/>
      <c r="CR31" s="370" t="s">
        <v>3238</v>
      </c>
      <c r="CS31" s="360">
        <v>1</v>
      </c>
      <c r="CT31" s="351" t="e">
        <f t="shared" si="11"/>
        <v>#N/A</v>
      </c>
      <c r="CU31" s="351" t="e">
        <f t="shared" si="12"/>
        <v>#N/A</v>
      </c>
      <c r="CV31" s="351"/>
      <c r="CW31" s="371" t="s">
        <v>3240</v>
      </c>
      <c r="CX31" s="362">
        <v>0.5</v>
      </c>
      <c r="CY31" s="365"/>
      <c r="CZ31" s="362">
        <v>1</v>
      </c>
      <c r="DA31" s="365"/>
      <c r="DB31" s="362">
        <v>0.5</v>
      </c>
      <c r="DC31" s="365"/>
      <c r="DD31" s="362">
        <v>0.5</v>
      </c>
      <c r="DE31" s="365"/>
      <c r="DF31" s="362">
        <v>0.5</v>
      </c>
      <c r="DG31" s="365"/>
      <c r="DH31" s="370" t="s">
        <v>3238</v>
      </c>
      <c r="DI31" s="360">
        <v>1</v>
      </c>
      <c r="DJ31" s="351" t="e">
        <f t="shared" si="13"/>
        <v>#N/A</v>
      </c>
      <c r="DK31" s="351" t="e">
        <f t="shared" si="14"/>
        <v>#N/A</v>
      </c>
      <c r="DL31" s="351"/>
      <c r="DM31" s="361" t="s">
        <v>3237</v>
      </c>
      <c r="DN31" s="362">
        <v>0.5</v>
      </c>
      <c r="DO31" s="365"/>
      <c r="DP31" s="362">
        <v>1</v>
      </c>
      <c r="DQ31" s="365"/>
      <c r="DR31" s="362">
        <v>0.5</v>
      </c>
      <c r="DS31" s="365"/>
      <c r="DT31" s="362">
        <v>0.5</v>
      </c>
      <c r="DU31" s="365"/>
      <c r="DV31" s="362">
        <v>0.5</v>
      </c>
      <c r="DW31" s="365"/>
      <c r="DX31" s="370" t="s">
        <v>3238</v>
      </c>
      <c r="DY31" s="360">
        <v>1</v>
      </c>
      <c r="DZ31" s="351" t="e">
        <f t="shared" si="15"/>
        <v>#N/A</v>
      </c>
      <c r="EA31" s="351" t="e">
        <f t="shared" si="16"/>
        <v>#N/A</v>
      </c>
      <c r="EB31" s="351"/>
      <c r="EC31" s="157">
        <f t="shared" si="17"/>
        <v>0</v>
      </c>
      <c r="ED31" s="157">
        <f t="shared" si="18"/>
        <v>1</v>
      </c>
      <c r="EE31" s="157">
        <f t="shared" si="19"/>
        <v>0.48499999999999999</v>
      </c>
      <c r="EF31" s="157">
        <f t="shared" si="20"/>
        <v>0.5</v>
      </c>
    </row>
    <row r="32" spans="1:136" ht="14.25" customHeight="1">
      <c r="A32" s="291" t="b">
        <f t="shared" si="0"/>
        <v>1</v>
      </c>
      <c r="B32" s="292"/>
      <c r="C32" s="355" t="s">
        <v>3241</v>
      </c>
      <c r="D32" s="345"/>
      <c r="E32" s="361" t="s">
        <v>3242</v>
      </c>
      <c r="F32" s="362">
        <v>1</v>
      </c>
      <c r="G32" s="365"/>
      <c r="H32" s="362">
        <v>1</v>
      </c>
      <c r="I32" s="365"/>
      <c r="J32" s="362">
        <v>1</v>
      </c>
      <c r="K32" s="365"/>
      <c r="L32" s="362">
        <v>1</v>
      </c>
      <c r="M32" s="365"/>
      <c r="N32" s="362">
        <v>1</v>
      </c>
      <c r="O32" s="365"/>
      <c r="P32" s="370"/>
      <c r="Q32" s="360">
        <v>1</v>
      </c>
      <c r="R32" s="351" t="e">
        <f t="shared" si="1"/>
        <v>#N/A</v>
      </c>
      <c r="S32" s="351" t="e">
        <f t="shared" si="2"/>
        <v>#N/A</v>
      </c>
      <c r="T32" s="351"/>
      <c r="U32" s="361" t="s">
        <v>3243</v>
      </c>
      <c r="V32" s="362">
        <v>1</v>
      </c>
      <c r="W32" s="365"/>
      <c r="X32" s="362">
        <v>1</v>
      </c>
      <c r="Y32" s="365"/>
      <c r="Z32" s="362">
        <v>1</v>
      </c>
      <c r="AA32" s="365"/>
      <c r="AB32" s="362">
        <v>1</v>
      </c>
      <c r="AC32" s="365"/>
      <c r="AD32" s="362">
        <v>1</v>
      </c>
      <c r="AE32" s="365"/>
      <c r="AF32" s="370"/>
      <c r="AG32" s="360">
        <v>1</v>
      </c>
      <c r="AH32" s="351" t="e">
        <f t="shared" si="3"/>
        <v>#N/A</v>
      </c>
      <c r="AI32" s="351" t="e">
        <f t="shared" si="4"/>
        <v>#N/A</v>
      </c>
      <c r="AJ32" s="351"/>
      <c r="AK32" s="361" t="s">
        <v>3244</v>
      </c>
      <c r="AL32" s="362">
        <v>1</v>
      </c>
      <c r="AM32" s="365"/>
      <c r="AN32" s="362">
        <v>1</v>
      </c>
      <c r="AO32" s="365"/>
      <c r="AP32" s="362">
        <v>1</v>
      </c>
      <c r="AQ32" s="365"/>
      <c r="AR32" s="362">
        <v>1</v>
      </c>
      <c r="AS32" s="365"/>
      <c r="AT32" s="362">
        <v>1</v>
      </c>
      <c r="AU32" s="365"/>
      <c r="AV32" s="370"/>
      <c r="AW32" s="360">
        <v>1</v>
      </c>
      <c r="AX32" s="351" t="e">
        <f t="shared" si="5"/>
        <v>#N/A</v>
      </c>
      <c r="AY32" s="351" t="e">
        <f t="shared" si="6"/>
        <v>#N/A</v>
      </c>
      <c r="AZ32" s="351"/>
      <c r="BA32" s="361" t="s">
        <v>3245</v>
      </c>
      <c r="BB32" s="362">
        <v>1</v>
      </c>
      <c r="BC32" s="365"/>
      <c r="BD32" s="362">
        <v>1</v>
      </c>
      <c r="BE32" s="365"/>
      <c r="BF32" s="362">
        <v>1</v>
      </c>
      <c r="BG32" s="365"/>
      <c r="BH32" s="362">
        <v>1</v>
      </c>
      <c r="BI32" s="365"/>
      <c r="BJ32" s="362">
        <v>1</v>
      </c>
      <c r="BK32" s="365"/>
      <c r="BL32" s="370"/>
      <c r="BM32" s="360">
        <v>1</v>
      </c>
      <c r="BN32" s="351" t="e">
        <f t="shared" si="7"/>
        <v>#N/A</v>
      </c>
      <c r="BO32" s="351" t="e">
        <f t="shared" si="8"/>
        <v>#N/A</v>
      </c>
      <c r="BP32" s="351"/>
      <c r="BQ32" s="361" t="s">
        <v>3245</v>
      </c>
      <c r="BR32" s="362">
        <v>1</v>
      </c>
      <c r="BS32" s="365"/>
      <c r="BT32" s="362">
        <v>1</v>
      </c>
      <c r="BU32" s="365"/>
      <c r="BV32" s="362">
        <v>1</v>
      </c>
      <c r="BW32" s="365"/>
      <c r="BX32" s="362">
        <v>1</v>
      </c>
      <c r="BY32" s="365"/>
      <c r="BZ32" s="362">
        <v>1</v>
      </c>
      <c r="CA32" s="365"/>
      <c r="CB32" s="370"/>
      <c r="CC32" s="360">
        <v>1</v>
      </c>
      <c r="CD32" s="351" t="e">
        <f t="shared" si="9"/>
        <v>#N/A</v>
      </c>
      <c r="CE32" s="351" t="e">
        <f t="shared" si="10"/>
        <v>#N/A</v>
      </c>
      <c r="CF32" s="351"/>
      <c r="CG32" s="361" t="s">
        <v>3244</v>
      </c>
      <c r="CH32" s="362">
        <v>1</v>
      </c>
      <c r="CI32" s="365"/>
      <c r="CJ32" s="362">
        <v>1</v>
      </c>
      <c r="CK32" s="365"/>
      <c r="CL32" s="362">
        <v>1</v>
      </c>
      <c r="CM32" s="365"/>
      <c r="CN32" s="362">
        <v>1</v>
      </c>
      <c r="CO32" s="365"/>
      <c r="CP32" s="362">
        <v>1</v>
      </c>
      <c r="CQ32" s="365"/>
      <c r="CR32" s="370"/>
      <c r="CS32" s="360">
        <v>1</v>
      </c>
      <c r="CT32" s="351" t="e">
        <f t="shared" si="11"/>
        <v>#N/A</v>
      </c>
      <c r="CU32" s="351" t="e">
        <f t="shared" si="12"/>
        <v>#N/A</v>
      </c>
      <c r="CV32" s="351"/>
      <c r="CW32" s="361" t="s">
        <v>3245</v>
      </c>
      <c r="CX32" s="362">
        <v>1</v>
      </c>
      <c r="CY32" s="365"/>
      <c r="CZ32" s="362">
        <v>1</v>
      </c>
      <c r="DA32" s="365"/>
      <c r="DB32" s="362">
        <v>1</v>
      </c>
      <c r="DC32" s="365"/>
      <c r="DD32" s="362">
        <v>1</v>
      </c>
      <c r="DE32" s="365"/>
      <c r="DF32" s="362">
        <v>1</v>
      </c>
      <c r="DG32" s="365"/>
      <c r="DH32" s="370"/>
      <c r="DI32" s="360">
        <v>1</v>
      </c>
      <c r="DJ32" s="351" t="e">
        <f t="shared" si="13"/>
        <v>#N/A</v>
      </c>
      <c r="DK32" s="351" t="e">
        <f t="shared" si="14"/>
        <v>#N/A</v>
      </c>
      <c r="DL32" s="351"/>
      <c r="DM32" s="361" t="s">
        <v>3245</v>
      </c>
      <c r="DN32" s="362">
        <v>1</v>
      </c>
      <c r="DO32" s="365"/>
      <c r="DP32" s="362">
        <v>1</v>
      </c>
      <c r="DQ32" s="365"/>
      <c r="DR32" s="362">
        <v>1</v>
      </c>
      <c r="DS32" s="365"/>
      <c r="DT32" s="362">
        <v>1</v>
      </c>
      <c r="DU32" s="365"/>
      <c r="DV32" s="362">
        <v>1</v>
      </c>
      <c r="DW32" s="365"/>
      <c r="DX32" s="370"/>
      <c r="DY32" s="360">
        <v>1</v>
      </c>
      <c r="DZ32" s="351" t="e">
        <f t="shared" si="15"/>
        <v>#N/A</v>
      </c>
      <c r="EA32" s="351" t="e">
        <f t="shared" si="16"/>
        <v>#N/A</v>
      </c>
      <c r="EB32" s="351"/>
      <c r="EC32" s="157">
        <f t="shared" si="17"/>
        <v>1</v>
      </c>
      <c r="ED32" s="157">
        <f t="shared" si="18"/>
        <v>1</v>
      </c>
      <c r="EE32" s="157">
        <f t="shared" si="19"/>
        <v>1</v>
      </c>
      <c r="EF32" s="157">
        <f t="shared" si="20"/>
        <v>1</v>
      </c>
    </row>
    <row r="33" spans="1:136" ht="14.25" customHeight="1">
      <c r="A33" s="291" t="b">
        <f t="shared" si="0"/>
        <v>1</v>
      </c>
      <c r="B33" s="292"/>
      <c r="C33" s="355" t="s">
        <v>3246</v>
      </c>
      <c r="D33" s="345"/>
      <c r="E33" s="371" t="s">
        <v>3247</v>
      </c>
      <c r="F33" s="372">
        <v>0.8</v>
      </c>
      <c r="G33" s="358"/>
      <c r="H33" s="372">
        <v>0.8</v>
      </c>
      <c r="I33" s="358"/>
      <c r="J33" s="372">
        <v>0.8</v>
      </c>
      <c r="K33" s="358"/>
      <c r="L33" s="372">
        <v>0.8</v>
      </c>
      <c r="M33" s="358"/>
      <c r="N33" s="372">
        <v>0.8</v>
      </c>
      <c r="O33" s="358"/>
      <c r="P33" s="359"/>
      <c r="Q33" s="360">
        <v>1</v>
      </c>
      <c r="R33" s="351" t="e">
        <f t="shared" si="1"/>
        <v>#N/A</v>
      </c>
      <c r="S33" s="351" t="e">
        <f t="shared" si="2"/>
        <v>#N/A</v>
      </c>
      <c r="T33" s="351"/>
      <c r="U33" s="371" t="s">
        <v>3248</v>
      </c>
      <c r="V33" s="372">
        <v>0.8</v>
      </c>
      <c r="W33" s="358"/>
      <c r="X33" s="372">
        <v>0.8</v>
      </c>
      <c r="Y33" s="358"/>
      <c r="Z33" s="372">
        <v>0.8</v>
      </c>
      <c r="AA33" s="358"/>
      <c r="AB33" s="372">
        <v>0.8</v>
      </c>
      <c r="AC33" s="358"/>
      <c r="AD33" s="372">
        <v>0.8</v>
      </c>
      <c r="AE33" s="358"/>
      <c r="AF33" s="359"/>
      <c r="AG33" s="360">
        <v>1</v>
      </c>
      <c r="AH33" s="351" t="e">
        <f t="shared" si="3"/>
        <v>#N/A</v>
      </c>
      <c r="AI33" s="351" t="e">
        <f t="shared" si="4"/>
        <v>#N/A</v>
      </c>
      <c r="AJ33" s="351"/>
      <c r="AK33" s="371" t="s">
        <v>3249</v>
      </c>
      <c r="AL33" s="372">
        <v>0.8</v>
      </c>
      <c r="AM33" s="358"/>
      <c r="AN33" s="372">
        <v>0.8</v>
      </c>
      <c r="AO33" s="358"/>
      <c r="AP33" s="372">
        <v>0.8</v>
      </c>
      <c r="AQ33" s="358"/>
      <c r="AR33" s="372">
        <v>0.8</v>
      </c>
      <c r="AS33" s="358"/>
      <c r="AT33" s="372">
        <v>0.8</v>
      </c>
      <c r="AU33" s="358"/>
      <c r="AV33" s="359"/>
      <c r="AW33" s="360">
        <v>1</v>
      </c>
      <c r="AX33" s="351" t="e">
        <f t="shared" si="5"/>
        <v>#N/A</v>
      </c>
      <c r="AY33" s="351" t="e">
        <f t="shared" si="6"/>
        <v>#N/A</v>
      </c>
      <c r="AZ33" s="351"/>
      <c r="BA33" s="361" t="s">
        <v>3250</v>
      </c>
      <c r="BB33" s="372">
        <v>0.8</v>
      </c>
      <c r="BC33" s="358"/>
      <c r="BD33" s="372">
        <v>0.8</v>
      </c>
      <c r="BE33" s="358"/>
      <c r="BF33" s="372">
        <v>0.8</v>
      </c>
      <c r="BG33" s="358"/>
      <c r="BH33" s="372">
        <v>0.8</v>
      </c>
      <c r="BI33" s="358"/>
      <c r="BJ33" s="372">
        <v>0.8</v>
      </c>
      <c r="BK33" s="358"/>
      <c r="BL33" s="359"/>
      <c r="BM33" s="360">
        <v>1</v>
      </c>
      <c r="BN33" s="351" t="e">
        <f t="shared" si="7"/>
        <v>#N/A</v>
      </c>
      <c r="BO33" s="351" t="e">
        <f t="shared" si="8"/>
        <v>#N/A</v>
      </c>
      <c r="BP33" s="351"/>
      <c r="BQ33" s="361" t="s">
        <v>3251</v>
      </c>
      <c r="BR33" s="372">
        <v>0.8</v>
      </c>
      <c r="BS33" s="358"/>
      <c r="BT33" s="372">
        <v>0.8</v>
      </c>
      <c r="BU33" s="358"/>
      <c r="BV33" s="372">
        <v>0.8</v>
      </c>
      <c r="BW33" s="358"/>
      <c r="BX33" s="372">
        <v>0.8</v>
      </c>
      <c r="BY33" s="358"/>
      <c r="BZ33" s="372">
        <v>0.8</v>
      </c>
      <c r="CA33" s="358"/>
      <c r="CB33" s="359"/>
      <c r="CC33" s="360">
        <v>1</v>
      </c>
      <c r="CD33" s="351" t="e">
        <f t="shared" si="9"/>
        <v>#N/A</v>
      </c>
      <c r="CE33" s="351" t="e">
        <f t="shared" si="10"/>
        <v>#N/A</v>
      </c>
      <c r="CF33" s="351"/>
      <c r="CG33" s="361" t="s">
        <v>3252</v>
      </c>
      <c r="CH33" s="372">
        <v>0.8</v>
      </c>
      <c r="CI33" s="358"/>
      <c r="CJ33" s="372">
        <v>0.8</v>
      </c>
      <c r="CK33" s="358"/>
      <c r="CL33" s="372">
        <v>0.8</v>
      </c>
      <c r="CM33" s="358"/>
      <c r="CN33" s="372">
        <v>0.8</v>
      </c>
      <c r="CO33" s="358"/>
      <c r="CP33" s="372">
        <v>0.8</v>
      </c>
      <c r="CQ33" s="358"/>
      <c r="CR33" s="359"/>
      <c r="CS33" s="360">
        <v>1</v>
      </c>
      <c r="CT33" s="351" t="e">
        <f t="shared" si="11"/>
        <v>#N/A</v>
      </c>
      <c r="CU33" s="351" t="e">
        <f t="shared" si="12"/>
        <v>#N/A</v>
      </c>
      <c r="CV33" s="351"/>
      <c r="CW33" s="361" t="s">
        <v>3253</v>
      </c>
      <c r="CX33" s="372">
        <v>0.8</v>
      </c>
      <c r="CY33" s="358"/>
      <c r="CZ33" s="372">
        <v>0.8</v>
      </c>
      <c r="DA33" s="358"/>
      <c r="DB33" s="372">
        <v>0.8</v>
      </c>
      <c r="DC33" s="358"/>
      <c r="DD33" s="372">
        <v>0.8</v>
      </c>
      <c r="DE33" s="358"/>
      <c r="DF33" s="372">
        <v>0.8</v>
      </c>
      <c r="DG33" s="358"/>
      <c r="DH33" s="359"/>
      <c r="DI33" s="360">
        <v>1</v>
      </c>
      <c r="DJ33" s="351" t="e">
        <f t="shared" si="13"/>
        <v>#N/A</v>
      </c>
      <c r="DK33" s="351" t="e">
        <f t="shared" si="14"/>
        <v>#N/A</v>
      </c>
      <c r="DL33" s="351"/>
      <c r="DM33" s="361" t="s">
        <v>3254</v>
      </c>
      <c r="DN33" s="372">
        <v>0.8</v>
      </c>
      <c r="DO33" s="358"/>
      <c r="DP33" s="372">
        <v>0.8</v>
      </c>
      <c r="DQ33" s="358"/>
      <c r="DR33" s="372">
        <v>0.8</v>
      </c>
      <c r="DS33" s="358"/>
      <c r="DT33" s="372">
        <v>0.8</v>
      </c>
      <c r="DU33" s="358"/>
      <c r="DV33" s="372">
        <v>0.8</v>
      </c>
      <c r="DW33" s="358"/>
      <c r="DX33" s="359"/>
      <c r="DY33" s="360">
        <v>1</v>
      </c>
      <c r="DZ33" s="351" t="e">
        <f t="shared" si="15"/>
        <v>#N/A</v>
      </c>
      <c r="EA33" s="351" t="e">
        <f t="shared" si="16"/>
        <v>#N/A</v>
      </c>
      <c r="EB33" s="351"/>
      <c r="EC33" s="157">
        <f t="shared" si="17"/>
        <v>0.8</v>
      </c>
      <c r="ED33" s="157">
        <f t="shared" si="18"/>
        <v>0.8</v>
      </c>
      <c r="EE33" s="157">
        <f t="shared" si="19"/>
        <v>0.80000000000000038</v>
      </c>
      <c r="EF33" s="157">
        <f t="shared" si="20"/>
        <v>0.8</v>
      </c>
    </row>
    <row r="34" spans="1:136" ht="14.25" customHeight="1">
      <c r="A34" s="291" t="b">
        <f t="shared" si="0"/>
        <v>0</v>
      </c>
      <c r="B34" s="292"/>
      <c r="C34" s="355" t="s">
        <v>3255</v>
      </c>
      <c r="D34" s="345"/>
      <c r="E34" s="356" t="s">
        <v>3234</v>
      </c>
      <c r="F34" s="357">
        <v>0</v>
      </c>
      <c r="G34" s="358"/>
      <c r="H34" s="357">
        <v>0</v>
      </c>
      <c r="I34" s="358"/>
      <c r="J34" s="357">
        <v>0</v>
      </c>
      <c r="K34" s="358"/>
      <c r="L34" s="357">
        <v>0</v>
      </c>
      <c r="M34" s="358"/>
      <c r="N34" s="357">
        <v>0</v>
      </c>
      <c r="O34" s="358"/>
      <c r="P34" s="359"/>
      <c r="Q34" s="373">
        <v>1</v>
      </c>
      <c r="R34" s="351" t="e">
        <f t="shared" si="1"/>
        <v>#N/A</v>
      </c>
      <c r="S34" s="351" t="e">
        <f t="shared" si="2"/>
        <v>#N/A</v>
      </c>
      <c r="T34" s="351"/>
      <c r="U34" s="356" t="s">
        <v>3234</v>
      </c>
      <c r="V34" s="357">
        <v>0</v>
      </c>
      <c r="W34" s="374"/>
      <c r="X34" s="375">
        <v>0</v>
      </c>
      <c r="Y34" s="374"/>
      <c r="Z34" s="375">
        <v>0</v>
      </c>
      <c r="AA34" s="374"/>
      <c r="AB34" s="375">
        <v>0</v>
      </c>
      <c r="AC34" s="374"/>
      <c r="AD34" s="375">
        <v>0</v>
      </c>
      <c r="AE34" s="374"/>
      <c r="AF34" s="374"/>
      <c r="AG34" s="373">
        <v>1</v>
      </c>
      <c r="AH34" s="351" t="e">
        <f t="shared" si="3"/>
        <v>#N/A</v>
      </c>
      <c r="AI34" s="351" t="e">
        <f t="shared" si="4"/>
        <v>#N/A</v>
      </c>
      <c r="AJ34" s="351"/>
      <c r="AK34" s="356" t="s">
        <v>3234</v>
      </c>
      <c r="AL34" s="357">
        <v>0</v>
      </c>
      <c r="AM34" s="358"/>
      <c r="AN34" s="357">
        <v>0</v>
      </c>
      <c r="AO34" s="358"/>
      <c r="AP34" s="357">
        <v>0</v>
      </c>
      <c r="AQ34" s="358"/>
      <c r="AR34" s="357">
        <v>0</v>
      </c>
      <c r="AS34" s="358"/>
      <c r="AT34" s="357">
        <v>0</v>
      </c>
      <c r="AU34" s="358"/>
      <c r="AV34" s="358"/>
      <c r="AW34" s="373">
        <v>1</v>
      </c>
      <c r="AX34" s="351" t="e">
        <f t="shared" si="5"/>
        <v>#N/A</v>
      </c>
      <c r="AY34" s="351" t="e">
        <f t="shared" si="6"/>
        <v>#N/A</v>
      </c>
      <c r="AZ34" s="351"/>
      <c r="BA34" s="361" t="s">
        <v>3256</v>
      </c>
      <c r="BB34" s="366">
        <v>0.7</v>
      </c>
      <c r="BC34" s="365"/>
      <c r="BD34" s="366">
        <v>0.7</v>
      </c>
      <c r="BE34" s="365"/>
      <c r="BF34" s="366">
        <v>0.7</v>
      </c>
      <c r="BG34" s="365"/>
      <c r="BH34" s="366">
        <v>0.7</v>
      </c>
      <c r="BI34" s="365"/>
      <c r="BJ34" s="366">
        <v>0.7</v>
      </c>
      <c r="BK34" s="365"/>
      <c r="BL34" s="365"/>
      <c r="BM34" s="373">
        <v>1</v>
      </c>
      <c r="BN34" s="351" t="e">
        <f t="shared" si="7"/>
        <v>#N/A</v>
      </c>
      <c r="BO34" s="351" t="e">
        <f t="shared" si="8"/>
        <v>#N/A</v>
      </c>
      <c r="BP34" s="351"/>
      <c r="BQ34" s="361" t="s">
        <v>3257</v>
      </c>
      <c r="BR34" s="367">
        <v>0.7</v>
      </c>
      <c r="BS34" s="368"/>
      <c r="BT34" s="367">
        <v>0.7</v>
      </c>
      <c r="BU34" s="368"/>
      <c r="BV34" s="367">
        <v>0.7</v>
      </c>
      <c r="BW34" s="368"/>
      <c r="BX34" s="367">
        <v>0.7</v>
      </c>
      <c r="BY34" s="368"/>
      <c r="BZ34" s="367">
        <v>0.7</v>
      </c>
      <c r="CA34" s="368"/>
      <c r="CB34" s="368"/>
      <c r="CC34" s="373">
        <v>1</v>
      </c>
      <c r="CD34" s="351" t="e">
        <f t="shared" si="9"/>
        <v>#N/A</v>
      </c>
      <c r="CE34" s="351" t="e">
        <f t="shared" si="10"/>
        <v>#N/A</v>
      </c>
      <c r="CF34" s="351"/>
      <c r="CG34" s="356" t="s">
        <v>3234</v>
      </c>
      <c r="CH34" s="376">
        <v>0</v>
      </c>
      <c r="CI34" s="377"/>
      <c r="CJ34" s="376">
        <v>0</v>
      </c>
      <c r="CK34" s="377"/>
      <c r="CL34" s="376">
        <v>0</v>
      </c>
      <c r="CM34" s="377"/>
      <c r="CN34" s="376">
        <v>0</v>
      </c>
      <c r="CO34" s="377"/>
      <c r="CP34" s="376">
        <v>0</v>
      </c>
      <c r="CQ34" s="377"/>
      <c r="CR34" s="377"/>
      <c r="CS34" s="373">
        <v>1</v>
      </c>
      <c r="CT34" s="351" t="e">
        <f t="shared" si="11"/>
        <v>#N/A</v>
      </c>
      <c r="CU34" s="351" t="e">
        <f t="shared" si="12"/>
        <v>#N/A</v>
      </c>
      <c r="CV34" s="351"/>
      <c r="CW34" s="361" t="s">
        <v>3256</v>
      </c>
      <c r="CX34" s="367">
        <v>1</v>
      </c>
      <c r="CY34" s="368"/>
      <c r="CZ34" s="367">
        <v>1</v>
      </c>
      <c r="DA34" s="369"/>
      <c r="DB34" s="367">
        <v>1</v>
      </c>
      <c r="DC34" s="368"/>
      <c r="DD34" s="367">
        <v>1</v>
      </c>
      <c r="DE34" s="368"/>
      <c r="DF34" s="367">
        <v>1</v>
      </c>
      <c r="DG34" s="368"/>
      <c r="DH34" s="368"/>
      <c r="DI34" s="373">
        <v>1</v>
      </c>
      <c r="DJ34" s="351" t="e">
        <f t="shared" si="13"/>
        <v>#N/A</v>
      </c>
      <c r="DK34" s="351" t="e">
        <f t="shared" si="14"/>
        <v>#N/A</v>
      </c>
      <c r="DL34" s="351"/>
      <c r="DM34" s="356" t="s">
        <v>3234</v>
      </c>
      <c r="DN34" s="376">
        <v>0</v>
      </c>
      <c r="DO34" s="377"/>
      <c r="DP34" s="376">
        <v>0</v>
      </c>
      <c r="DQ34" s="377"/>
      <c r="DR34" s="376">
        <v>0</v>
      </c>
      <c r="DS34" s="377"/>
      <c r="DT34" s="376">
        <v>0</v>
      </c>
      <c r="DU34" s="377"/>
      <c r="DV34" s="376">
        <v>0</v>
      </c>
      <c r="DW34" s="377"/>
      <c r="DX34" s="377"/>
      <c r="DY34" s="373">
        <v>1</v>
      </c>
      <c r="DZ34" s="351" t="e">
        <f t="shared" si="15"/>
        <v>#N/A</v>
      </c>
      <c r="EA34" s="351" t="e">
        <f t="shared" si="16"/>
        <v>#N/A</v>
      </c>
      <c r="EB34" s="351"/>
      <c r="EC34" s="157">
        <f t="shared" si="17"/>
        <v>0</v>
      </c>
      <c r="ED34" s="157">
        <f t="shared" si="18"/>
        <v>1</v>
      </c>
      <c r="EE34" s="157">
        <f t="shared" si="19"/>
        <v>0.3</v>
      </c>
      <c r="EF34" s="157">
        <f t="shared" si="20"/>
        <v>0</v>
      </c>
    </row>
    <row r="35" spans="1:136" ht="14.25" customHeight="1">
      <c r="A35" s="291" t="b">
        <f t="shared" si="0"/>
        <v>0</v>
      </c>
      <c r="B35" s="292"/>
      <c r="C35" s="355" t="s">
        <v>3258</v>
      </c>
      <c r="D35" s="345" t="s">
        <v>3259</v>
      </c>
      <c r="E35" s="361" t="s">
        <v>3232</v>
      </c>
      <c r="F35" s="362">
        <v>0</v>
      </c>
      <c r="G35" s="365"/>
      <c r="H35" s="362">
        <v>0</v>
      </c>
      <c r="I35" s="365"/>
      <c r="J35" s="362">
        <v>0</v>
      </c>
      <c r="K35" s="365"/>
      <c r="L35" s="362">
        <v>0</v>
      </c>
      <c r="M35" s="365"/>
      <c r="N35" s="362">
        <v>0</v>
      </c>
      <c r="O35" s="365"/>
      <c r="P35" s="370" t="s">
        <v>3260</v>
      </c>
      <c r="Q35" s="360">
        <v>1</v>
      </c>
      <c r="R35" s="351" t="e">
        <f t="shared" si="1"/>
        <v>#N/A</v>
      </c>
      <c r="S35" s="351" t="e">
        <f t="shared" si="2"/>
        <v>#N/A</v>
      </c>
      <c r="T35" s="351"/>
      <c r="U35" s="361" t="s">
        <v>3261</v>
      </c>
      <c r="V35" s="362">
        <v>0</v>
      </c>
      <c r="W35" s="365" t="s">
        <v>3262</v>
      </c>
      <c r="X35" s="362">
        <v>0.05</v>
      </c>
      <c r="Y35" s="365"/>
      <c r="Z35" s="362">
        <v>0.5</v>
      </c>
      <c r="AA35" s="365"/>
      <c r="AB35" s="362">
        <v>0.5</v>
      </c>
      <c r="AC35" s="365"/>
      <c r="AD35" s="362">
        <v>0.5</v>
      </c>
      <c r="AE35" s="365"/>
      <c r="AF35" s="370" t="s">
        <v>3260</v>
      </c>
      <c r="AG35" s="360">
        <v>1</v>
      </c>
      <c r="AH35" s="351" t="e">
        <f t="shared" si="3"/>
        <v>#N/A</v>
      </c>
      <c r="AI35" s="351" t="e">
        <f t="shared" si="4"/>
        <v>#N/A</v>
      </c>
      <c r="AJ35" s="351"/>
      <c r="AK35" s="361" t="s">
        <v>3261</v>
      </c>
      <c r="AL35" s="362">
        <v>0.5</v>
      </c>
      <c r="AM35" s="365" t="s">
        <v>3262</v>
      </c>
      <c r="AN35" s="362">
        <v>0.5</v>
      </c>
      <c r="AO35" s="365"/>
      <c r="AP35" s="362">
        <v>0.5</v>
      </c>
      <c r="AQ35" s="365"/>
      <c r="AR35" s="362">
        <v>0.5</v>
      </c>
      <c r="AS35" s="365"/>
      <c r="AT35" s="362">
        <v>0.5</v>
      </c>
      <c r="AU35" s="365"/>
      <c r="AV35" s="370" t="s">
        <v>3260</v>
      </c>
      <c r="AW35" s="360">
        <v>1</v>
      </c>
      <c r="AX35" s="351" t="e">
        <f t="shared" si="5"/>
        <v>#N/A</v>
      </c>
      <c r="AY35" s="351" t="e">
        <f t="shared" si="6"/>
        <v>#N/A</v>
      </c>
      <c r="AZ35" s="351"/>
      <c r="BA35" s="361" t="s">
        <v>3263</v>
      </c>
      <c r="BB35" s="362">
        <v>0.5</v>
      </c>
      <c r="BC35" s="365" t="s">
        <v>3262</v>
      </c>
      <c r="BD35" s="362">
        <v>0.5</v>
      </c>
      <c r="BE35" s="365"/>
      <c r="BF35" s="362">
        <v>0.5</v>
      </c>
      <c r="BG35" s="365"/>
      <c r="BH35" s="362">
        <v>0.5</v>
      </c>
      <c r="BI35" s="365"/>
      <c r="BJ35" s="362">
        <v>0.5</v>
      </c>
      <c r="BK35" s="365"/>
      <c r="BL35" s="370" t="s">
        <v>3260</v>
      </c>
      <c r="BM35" s="360">
        <v>1</v>
      </c>
      <c r="BN35" s="351" t="e">
        <f t="shared" si="7"/>
        <v>#N/A</v>
      </c>
      <c r="BO35" s="351" t="e">
        <f t="shared" si="8"/>
        <v>#N/A</v>
      </c>
      <c r="BP35" s="351"/>
      <c r="BQ35" s="361" t="s">
        <v>3263</v>
      </c>
      <c r="BR35" s="362">
        <v>0.5</v>
      </c>
      <c r="BS35" s="365" t="s">
        <v>3262</v>
      </c>
      <c r="BT35" s="362">
        <v>0.5</v>
      </c>
      <c r="BU35" s="365"/>
      <c r="BV35" s="362">
        <v>0.5</v>
      </c>
      <c r="BW35" s="365"/>
      <c r="BX35" s="362">
        <v>0.5</v>
      </c>
      <c r="BY35" s="365"/>
      <c r="BZ35" s="362">
        <v>0.5</v>
      </c>
      <c r="CA35" s="365"/>
      <c r="CB35" s="370" t="s">
        <v>3260</v>
      </c>
      <c r="CC35" s="360">
        <v>1</v>
      </c>
      <c r="CD35" s="351" t="e">
        <f t="shared" si="9"/>
        <v>#N/A</v>
      </c>
      <c r="CE35" s="351" t="e">
        <f t="shared" si="10"/>
        <v>#N/A</v>
      </c>
      <c r="CF35" s="351"/>
      <c r="CG35" s="361" t="s">
        <v>3263</v>
      </c>
      <c r="CH35" s="362">
        <v>0</v>
      </c>
      <c r="CI35" s="365" t="s">
        <v>3262</v>
      </c>
      <c r="CJ35" s="362">
        <v>0</v>
      </c>
      <c r="CK35" s="365"/>
      <c r="CL35" s="362">
        <v>0</v>
      </c>
      <c r="CM35" s="365"/>
      <c r="CN35" s="362">
        <v>0</v>
      </c>
      <c r="CO35" s="365"/>
      <c r="CP35" s="362">
        <v>0</v>
      </c>
      <c r="CQ35" s="365"/>
      <c r="CR35" s="370" t="s">
        <v>3260</v>
      </c>
      <c r="CS35" s="360">
        <v>1</v>
      </c>
      <c r="CT35" s="351" t="e">
        <f t="shared" si="11"/>
        <v>#N/A</v>
      </c>
      <c r="CU35" s="351" t="e">
        <f t="shared" si="12"/>
        <v>#N/A</v>
      </c>
      <c r="CV35" s="351"/>
      <c r="CW35" s="356"/>
      <c r="CX35" s="376">
        <v>0</v>
      </c>
      <c r="CY35" s="377"/>
      <c r="CZ35" s="378">
        <v>0</v>
      </c>
      <c r="DA35" s="379"/>
      <c r="DB35" s="376">
        <v>0</v>
      </c>
      <c r="DC35" s="377"/>
      <c r="DD35" s="376">
        <v>0</v>
      </c>
      <c r="DE35" s="377"/>
      <c r="DF35" s="376">
        <v>0</v>
      </c>
      <c r="DG35" s="377"/>
      <c r="DH35" s="377"/>
      <c r="DI35" s="360">
        <v>1</v>
      </c>
      <c r="DJ35" s="351" t="e">
        <f t="shared" si="13"/>
        <v>#N/A</v>
      </c>
      <c r="DK35" s="351" t="e">
        <f t="shared" si="14"/>
        <v>#N/A</v>
      </c>
      <c r="DL35" s="351"/>
      <c r="DM35" s="361" t="s">
        <v>3264</v>
      </c>
      <c r="DN35" s="362">
        <v>0</v>
      </c>
      <c r="DO35" s="365" t="s">
        <v>3262</v>
      </c>
      <c r="DP35" s="362">
        <v>0</v>
      </c>
      <c r="DQ35" s="365"/>
      <c r="DR35" s="362">
        <v>0</v>
      </c>
      <c r="DS35" s="365"/>
      <c r="DT35" s="362">
        <v>0.8</v>
      </c>
      <c r="DU35" s="365"/>
      <c r="DV35" s="362">
        <v>0</v>
      </c>
      <c r="DW35" s="365"/>
      <c r="DX35" s="370" t="s">
        <v>3260</v>
      </c>
      <c r="DY35" s="360">
        <v>1</v>
      </c>
      <c r="DZ35" s="351" t="e">
        <f t="shared" si="15"/>
        <v>#N/A</v>
      </c>
      <c r="EA35" s="351" t="e">
        <f t="shared" si="16"/>
        <v>#N/A</v>
      </c>
      <c r="EB35" s="351"/>
      <c r="EC35" s="157">
        <f t="shared" si="17"/>
        <v>0</v>
      </c>
      <c r="ED35" s="157">
        <f t="shared" si="18"/>
        <v>0.8</v>
      </c>
      <c r="EE35" s="157">
        <f t="shared" si="19"/>
        <v>0.24625000000000002</v>
      </c>
      <c r="EF35" s="157">
        <f t="shared" si="20"/>
        <v>2.5000000000000001E-2</v>
      </c>
    </row>
    <row r="36" spans="1:136" ht="14.25" customHeight="1">
      <c r="A36" s="291" t="b">
        <f t="shared" si="0"/>
        <v>1</v>
      </c>
      <c r="B36" s="292"/>
      <c r="C36" s="355" t="s">
        <v>3265</v>
      </c>
      <c r="D36" s="345"/>
      <c r="E36" s="361" t="s">
        <v>3266</v>
      </c>
      <c r="F36" s="362">
        <v>0.5</v>
      </c>
      <c r="G36" s="365"/>
      <c r="H36" s="362">
        <v>0.5</v>
      </c>
      <c r="I36" s="365"/>
      <c r="J36" s="362">
        <v>0.5</v>
      </c>
      <c r="K36" s="365"/>
      <c r="L36" s="362">
        <v>0.5</v>
      </c>
      <c r="M36" s="365"/>
      <c r="N36" s="362">
        <v>0.5</v>
      </c>
      <c r="O36" s="365"/>
      <c r="P36" s="370"/>
      <c r="Q36" s="360">
        <v>1</v>
      </c>
      <c r="R36" s="351" t="e">
        <f t="shared" si="1"/>
        <v>#N/A</v>
      </c>
      <c r="S36" s="351" t="e">
        <f t="shared" si="2"/>
        <v>#N/A</v>
      </c>
      <c r="T36" s="351"/>
      <c r="U36" s="361" t="s">
        <v>3267</v>
      </c>
      <c r="V36" s="362">
        <v>0.5</v>
      </c>
      <c r="W36" s="365"/>
      <c r="X36" s="362">
        <v>0.5</v>
      </c>
      <c r="Y36" s="365"/>
      <c r="Z36" s="362">
        <v>0.5</v>
      </c>
      <c r="AA36" s="365"/>
      <c r="AB36" s="362">
        <v>0.5</v>
      </c>
      <c r="AC36" s="365"/>
      <c r="AD36" s="362">
        <v>0.5</v>
      </c>
      <c r="AE36" s="365"/>
      <c r="AF36" s="370"/>
      <c r="AG36" s="360">
        <v>1</v>
      </c>
      <c r="AH36" s="351" t="e">
        <f t="shared" si="3"/>
        <v>#N/A</v>
      </c>
      <c r="AI36" s="351" t="e">
        <f t="shared" si="4"/>
        <v>#N/A</v>
      </c>
      <c r="AJ36" s="351"/>
      <c r="AK36" s="361" t="s">
        <v>3267</v>
      </c>
      <c r="AL36" s="362">
        <v>0.5</v>
      </c>
      <c r="AM36" s="365"/>
      <c r="AN36" s="362">
        <v>0.5</v>
      </c>
      <c r="AO36" s="365"/>
      <c r="AP36" s="362">
        <v>0.5</v>
      </c>
      <c r="AQ36" s="365"/>
      <c r="AR36" s="362">
        <v>0.5</v>
      </c>
      <c r="AS36" s="365"/>
      <c r="AT36" s="362">
        <v>0.5</v>
      </c>
      <c r="AU36" s="365"/>
      <c r="AV36" s="370"/>
      <c r="AW36" s="360">
        <v>1</v>
      </c>
      <c r="AX36" s="351" t="e">
        <f t="shared" si="5"/>
        <v>#N/A</v>
      </c>
      <c r="AY36" s="351" t="e">
        <f t="shared" si="6"/>
        <v>#N/A</v>
      </c>
      <c r="AZ36" s="351"/>
      <c r="BA36" s="361" t="s">
        <v>3267</v>
      </c>
      <c r="BB36" s="362">
        <v>0.5</v>
      </c>
      <c r="BC36" s="365"/>
      <c r="BD36" s="362">
        <v>0.5</v>
      </c>
      <c r="BE36" s="365"/>
      <c r="BF36" s="362">
        <v>0.5</v>
      </c>
      <c r="BG36" s="365"/>
      <c r="BH36" s="362">
        <v>0.5</v>
      </c>
      <c r="BI36" s="365"/>
      <c r="BJ36" s="362">
        <v>0.5</v>
      </c>
      <c r="BK36" s="365"/>
      <c r="BL36" s="370"/>
      <c r="BM36" s="360">
        <v>1</v>
      </c>
      <c r="BN36" s="351" t="e">
        <f t="shared" si="7"/>
        <v>#N/A</v>
      </c>
      <c r="BO36" s="351" t="e">
        <f t="shared" si="8"/>
        <v>#N/A</v>
      </c>
      <c r="BP36" s="351"/>
      <c r="BQ36" s="361" t="s">
        <v>3267</v>
      </c>
      <c r="BR36" s="362">
        <v>0.5</v>
      </c>
      <c r="BS36" s="365"/>
      <c r="BT36" s="362">
        <v>0.5</v>
      </c>
      <c r="BU36" s="365"/>
      <c r="BV36" s="362">
        <v>0.5</v>
      </c>
      <c r="BW36" s="365"/>
      <c r="BX36" s="362">
        <v>0.5</v>
      </c>
      <c r="BY36" s="365"/>
      <c r="BZ36" s="362">
        <v>0.5</v>
      </c>
      <c r="CA36" s="365"/>
      <c r="CB36" s="370"/>
      <c r="CC36" s="360">
        <v>1</v>
      </c>
      <c r="CD36" s="351" t="e">
        <f t="shared" si="9"/>
        <v>#N/A</v>
      </c>
      <c r="CE36" s="351" t="e">
        <f t="shared" si="10"/>
        <v>#N/A</v>
      </c>
      <c r="CF36" s="351"/>
      <c r="CG36" s="361" t="s">
        <v>3267</v>
      </c>
      <c r="CH36" s="362">
        <v>0.5</v>
      </c>
      <c r="CI36" s="365"/>
      <c r="CJ36" s="362">
        <v>0.5</v>
      </c>
      <c r="CK36" s="365"/>
      <c r="CL36" s="362">
        <v>0.5</v>
      </c>
      <c r="CM36" s="365"/>
      <c r="CN36" s="362">
        <v>0.5</v>
      </c>
      <c r="CO36" s="365"/>
      <c r="CP36" s="362">
        <v>0.5</v>
      </c>
      <c r="CQ36" s="365"/>
      <c r="CR36" s="370"/>
      <c r="CS36" s="360">
        <v>1</v>
      </c>
      <c r="CT36" s="351" t="e">
        <f t="shared" si="11"/>
        <v>#N/A</v>
      </c>
      <c r="CU36" s="351" t="e">
        <f t="shared" si="12"/>
        <v>#N/A</v>
      </c>
      <c r="CV36" s="351"/>
      <c r="CW36" s="361" t="s">
        <v>3267</v>
      </c>
      <c r="CX36" s="362">
        <v>0.5</v>
      </c>
      <c r="CY36" s="365"/>
      <c r="CZ36" s="362">
        <v>0.5</v>
      </c>
      <c r="DA36" s="365"/>
      <c r="DB36" s="362">
        <v>0.5</v>
      </c>
      <c r="DC36" s="365"/>
      <c r="DD36" s="362">
        <v>0.5</v>
      </c>
      <c r="DE36" s="365"/>
      <c r="DF36" s="362">
        <v>0.5</v>
      </c>
      <c r="DG36" s="365"/>
      <c r="DH36" s="370"/>
      <c r="DI36" s="360">
        <v>1</v>
      </c>
      <c r="DJ36" s="351" t="e">
        <f t="shared" si="13"/>
        <v>#N/A</v>
      </c>
      <c r="DK36" s="351" t="e">
        <f t="shared" si="14"/>
        <v>#N/A</v>
      </c>
      <c r="DL36" s="351"/>
      <c r="DM36" s="361" t="s">
        <v>3267</v>
      </c>
      <c r="DN36" s="362">
        <v>0.5</v>
      </c>
      <c r="DO36" s="365"/>
      <c r="DP36" s="362">
        <v>0.5</v>
      </c>
      <c r="DQ36" s="365"/>
      <c r="DR36" s="362">
        <v>0.5</v>
      </c>
      <c r="DS36" s="365"/>
      <c r="DT36" s="362">
        <v>0.5</v>
      </c>
      <c r="DU36" s="365"/>
      <c r="DV36" s="362">
        <v>0.5</v>
      </c>
      <c r="DW36" s="365"/>
      <c r="DX36" s="370"/>
      <c r="DY36" s="360">
        <v>1</v>
      </c>
      <c r="DZ36" s="351" t="e">
        <f t="shared" si="15"/>
        <v>#N/A</v>
      </c>
      <c r="EA36" s="351" t="e">
        <f t="shared" si="16"/>
        <v>#N/A</v>
      </c>
      <c r="EB36" s="351"/>
      <c r="EC36" s="157">
        <f t="shared" si="17"/>
        <v>0.5</v>
      </c>
      <c r="ED36" s="157">
        <f t="shared" si="18"/>
        <v>0.5</v>
      </c>
      <c r="EE36" s="157">
        <f t="shared" si="19"/>
        <v>0.5</v>
      </c>
      <c r="EF36" s="157">
        <f t="shared" si="20"/>
        <v>0.5</v>
      </c>
    </row>
    <row r="37" spans="1:136" ht="14.25" customHeight="1">
      <c r="A37" s="291" t="b">
        <f t="shared" si="0"/>
        <v>1</v>
      </c>
      <c r="B37" s="292"/>
      <c r="C37" s="355" t="s">
        <v>3268</v>
      </c>
      <c r="D37" s="345" t="s">
        <v>3269</v>
      </c>
      <c r="E37" s="361" t="s">
        <v>3234</v>
      </c>
      <c r="F37" s="362">
        <v>0</v>
      </c>
      <c r="G37" s="365"/>
      <c r="H37" s="362">
        <v>0</v>
      </c>
      <c r="I37" s="365"/>
      <c r="J37" s="362">
        <v>0</v>
      </c>
      <c r="K37" s="365"/>
      <c r="L37" s="362">
        <v>0</v>
      </c>
      <c r="M37" s="365"/>
      <c r="N37" s="362">
        <v>0</v>
      </c>
      <c r="O37" s="365"/>
      <c r="P37" s="370"/>
      <c r="Q37" s="373">
        <v>1</v>
      </c>
      <c r="R37" s="351" t="e">
        <f t="shared" si="1"/>
        <v>#N/A</v>
      </c>
      <c r="S37" s="351" t="e">
        <f t="shared" si="2"/>
        <v>#N/A</v>
      </c>
      <c r="T37" s="351"/>
      <c r="U37" s="356" t="s">
        <v>3234</v>
      </c>
      <c r="V37" s="357">
        <v>0</v>
      </c>
      <c r="W37" s="374"/>
      <c r="X37" s="375">
        <v>0</v>
      </c>
      <c r="Y37" s="374"/>
      <c r="Z37" s="375">
        <v>0</v>
      </c>
      <c r="AA37" s="374"/>
      <c r="AB37" s="375">
        <v>0</v>
      </c>
      <c r="AC37" s="374"/>
      <c r="AD37" s="375">
        <v>0</v>
      </c>
      <c r="AE37" s="374" t="s">
        <v>3270</v>
      </c>
      <c r="AF37" s="374"/>
      <c r="AG37" s="373">
        <v>1</v>
      </c>
      <c r="AH37" s="351" t="e">
        <f t="shared" si="3"/>
        <v>#N/A</v>
      </c>
      <c r="AI37" s="351" t="e">
        <f t="shared" si="4"/>
        <v>#N/A</v>
      </c>
      <c r="AJ37" s="351"/>
      <c r="AK37" s="356" t="s">
        <v>3234</v>
      </c>
      <c r="AL37" s="357">
        <v>0</v>
      </c>
      <c r="AM37" s="358" t="s">
        <v>3271</v>
      </c>
      <c r="AN37" s="357">
        <v>0</v>
      </c>
      <c r="AO37" s="358"/>
      <c r="AP37" s="357">
        <v>0</v>
      </c>
      <c r="AQ37" s="358"/>
      <c r="AR37" s="357">
        <v>0</v>
      </c>
      <c r="AS37" s="358"/>
      <c r="AT37" s="357">
        <v>0</v>
      </c>
      <c r="AU37" s="358"/>
      <c r="AV37" s="358"/>
      <c r="AW37" s="373">
        <v>1</v>
      </c>
      <c r="AX37" s="351" t="e">
        <f t="shared" si="5"/>
        <v>#N/A</v>
      </c>
      <c r="AY37" s="351" t="e">
        <f t="shared" si="6"/>
        <v>#N/A</v>
      </c>
      <c r="AZ37" s="351"/>
      <c r="BA37" s="361" t="s">
        <v>3272</v>
      </c>
      <c r="BB37" s="362">
        <v>0</v>
      </c>
      <c r="BC37" s="365" t="s">
        <v>3273</v>
      </c>
      <c r="BD37" s="362">
        <v>0</v>
      </c>
      <c r="BE37" s="365" t="s">
        <v>3273</v>
      </c>
      <c r="BF37" s="362">
        <v>0</v>
      </c>
      <c r="BG37" s="365"/>
      <c r="BH37" s="362">
        <v>0</v>
      </c>
      <c r="BI37" s="365"/>
      <c r="BJ37" s="362">
        <v>0</v>
      </c>
      <c r="BK37" s="365"/>
      <c r="BL37" s="370" t="s">
        <v>3273</v>
      </c>
      <c r="BM37" s="373">
        <v>1</v>
      </c>
      <c r="BN37" s="351" t="e">
        <f t="shared" si="7"/>
        <v>#N/A</v>
      </c>
      <c r="BO37" s="351" t="e">
        <f t="shared" si="8"/>
        <v>#N/A</v>
      </c>
      <c r="BP37" s="351"/>
      <c r="BQ37" s="361" t="s">
        <v>3272</v>
      </c>
      <c r="BR37" s="362">
        <v>0</v>
      </c>
      <c r="BS37" s="365" t="s">
        <v>3273</v>
      </c>
      <c r="BT37" s="362">
        <v>0</v>
      </c>
      <c r="BU37" s="365" t="s">
        <v>3273</v>
      </c>
      <c r="BV37" s="362">
        <v>0</v>
      </c>
      <c r="BW37" s="365"/>
      <c r="BX37" s="362">
        <v>0</v>
      </c>
      <c r="BY37" s="365"/>
      <c r="BZ37" s="362">
        <v>0</v>
      </c>
      <c r="CA37" s="365"/>
      <c r="CB37" s="370" t="s">
        <v>3273</v>
      </c>
      <c r="CC37" s="373">
        <v>1</v>
      </c>
      <c r="CD37" s="351" t="e">
        <f t="shared" si="9"/>
        <v>#N/A</v>
      </c>
      <c r="CE37" s="351" t="e">
        <f t="shared" si="10"/>
        <v>#N/A</v>
      </c>
      <c r="CF37" s="351"/>
      <c r="CG37" s="361" t="s">
        <v>3274</v>
      </c>
      <c r="CH37" s="362">
        <v>0</v>
      </c>
      <c r="CI37" s="365" t="s">
        <v>3273</v>
      </c>
      <c r="CJ37" s="362">
        <v>0</v>
      </c>
      <c r="CK37" s="365" t="s">
        <v>3273</v>
      </c>
      <c r="CL37" s="362">
        <v>0</v>
      </c>
      <c r="CM37" s="365"/>
      <c r="CN37" s="362">
        <v>0</v>
      </c>
      <c r="CO37" s="365"/>
      <c r="CP37" s="362">
        <v>0</v>
      </c>
      <c r="CQ37" s="365"/>
      <c r="CR37" s="370" t="s">
        <v>3273</v>
      </c>
      <c r="CS37" s="373">
        <v>1</v>
      </c>
      <c r="CT37" s="351" t="e">
        <f t="shared" si="11"/>
        <v>#N/A</v>
      </c>
      <c r="CU37" s="351" t="e">
        <f t="shared" si="12"/>
        <v>#N/A</v>
      </c>
      <c r="CV37" s="351"/>
      <c r="CW37" s="361" t="s">
        <v>3275</v>
      </c>
      <c r="CX37" s="362">
        <v>0</v>
      </c>
      <c r="CY37" s="365" t="s">
        <v>3273</v>
      </c>
      <c r="CZ37" s="362">
        <v>0</v>
      </c>
      <c r="DA37" s="365" t="s">
        <v>3273</v>
      </c>
      <c r="DB37" s="362">
        <v>0</v>
      </c>
      <c r="DC37" s="365"/>
      <c r="DD37" s="362">
        <v>0</v>
      </c>
      <c r="DE37" s="365"/>
      <c r="DF37" s="362">
        <v>0</v>
      </c>
      <c r="DG37" s="365"/>
      <c r="DH37" s="370" t="s">
        <v>3273</v>
      </c>
      <c r="DI37" s="373">
        <v>1</v>
      </c>
      <c r="DJ37" s="351" t="e">
        <f t="shared" si="13"/>
        <v>#N/A</v>
      </c>
      <c r="DK37" s="351" t="e">
        <f t="shared" si="14"/>
        <v>#N/A</v>
      </c>
      <c r="DL37" s="351"/>
      <c r="DM37" s="356" t="s">
        <v>3234</v>
      </c>
      <c r="DN37" s="376">
        <v>0</v>
      </c>
      <c r="DO37" s="345" t="s">
        <v>3271</v>
      </c>
      <c r="DP37" s="376">
        <v>0</v>
      </c>
      <c r="DQ37" s="377"/>
      <c r="DR37" s="376">
        <v>0</v>
      </c>
      <c r="DS37" s="377"/>
      <c r="DT37" s="376">
        <v>0</v>
      </c>
      <c r="DU37" s="377"/>
      <c r="DV37" s="376">
        <v>0</v>
      </c>
      <c r="DW37" s="377"/>
      <c r="DX37" s="377"/>
      <c r="DY37" s="373">
        <v>1</v>
      </c>
      <c r="DZ37" s="351" t="e">
        <f t="shared" si="15"/>
        <v>#N/A</v>
      </c>
      <c r="EA37" s="351" t="e">
        <f t="shared" si="16"/>
        <v>#N/A</v>
      </c>
      <c r="EB37" s="351"/>
      <c r="EC37" s="157">
        <f t="shared" si="17"/>
        <v>0</v>
      </c>
      <c r="ED37" s="157">
        <f t="shared" si="18"/>
        <v>0</v>
      </c>
      <c r="EE37" s="157">
        <f t="shared" si="19"/>
        <v>0</v>
      </c>
      <c r="EF37" s="157">
        <f t="shared" si="20"/>
        <v>0</v>
      </c>
    </row>
    <row r="38" spans="1:136" ht="14.25" customHeight="1">
      <c r="A38" s="291" t="b">
        <f t="shared" si="0"/>
        <v>1</v>
      </c>
      <c r="B38" s="292"/>
      <c r="C38" s="355" t="s">
        <v>3276</v>
      </c>
      <c r="D38" s="345" t="s">
        <v>3277</v>
      </c>
      <c r="E38" s="361" t="s">
        <v>3278</v>
      </c>
      <c r="F38" s="362">
        <v>0</v>
      </c>
      <c r="G38" s="365" t="s">
        <v>3279</v>
      </c>
      <c r="H38" s="362">
        <v>0</v>
      </c>
      <c r="I38" s="365"/>
      <c r="J38" s="362">
        <v>0</v>
      </c>
      <c r="K38" s="365"/>
      <c r="L38" s="362">
        <v>0</v>
      </c>
      <c r="M38" s="365"/>
      <c r="N38" s="362">
        <v>0</v>
      </c>
      <c r="O38" s="365"/>
      <c r="P38" s="370" t="s">
        <v>3280</v>
      </c>
      <c r="Q38" s="360">
        <v>1</v>
      </c>
      <c r="R38" s="351" t="e">
        <f t="shared" si="1"/>
        <v>#N/A</v>
      </c>
      <c r="S38" s="351" t="e">
        <f t="shared" si="2"/>
        <v>#N/A</v>
      </c>
      <c r="T38" s="351"/>
      <c r="U38" s="361" t="s">
        <v>3281</v>
      </c>
      <c r="V38" s="362">
        <v>0</v>
      </c>
      <c r="W38" s="365" t="s">
        <v>3279</v>
      </c>
      <c r="X38" s="362">
        <v>0</v>
      </c>
      <c r="Y38" s="365"/>
      <c r="Z38" s="362">
        <v>0</v>
      </c>
      <c r="AA38" s="365"/>
      <c r="AB38" s="362">
        <v>0</v>
      </c>
      <c r="AC38" s="365"/>
      <c r="AD38" s="362">
        <v>0</v>
      </c>
      <c r="AE38" s="365"/>
      <c r="AF38" s="370" t="s">
        <v>3280</v>
      </c>
      <c r="AG38" s="360">
        <v>1</v>
      </c>
      <c r="AH38" s="351" t="e">
        <f t="shared" si="3"/>
        <v>#N/A</v>
      </c>
      <c r="AI38" s="351" t="e">
        <f t="shared" si="4"/>
        <v>#N/A</v>
      </c>
      <c r="AJ38" s="351"/>
      <c r="AK38" s="361" t="s">
        <v>3282</v>
      </c>
      <c r="AL38" s="362">
        <v>0</v>
      </c>
      <c r="AM38" s="365" t="s">
        <v>3279</v>
      </c>
      <c r="AN38" s="362">
        <v>0</v>
      </c>
      <c r="AO38" s="365"/>
      <c r="AP38" s="362">
        <v>0</v>
      </c>
      <c r="AQ38" s="365"/>
      <c r="AR38" s="362">
        <v>0</v>
      </c>
      <c r="AS38" s="365"/>
      <c r="AT38" s="362">
        <v>0</v>
      </c>
      <c r="AU38" s="365"/>
      <c r="AV38" s="370" t="s">
        <v>3280</v>
      </c>
      <c r="AW38" s="360">
        <v>1</v>
      </c>
      <c r="AX38" s="351" t="e">
        <f t="shared" si="5"/>
        <v>#N/A</v>
      </c>
      <c r="AY38" s="351" t="e">
        <f t="shared" si="6"/>
        <v>#N/A</v>
      </c>
      <c r="AZ38" s="351"/>
      <c r="BA38" s="361" t="s">
        <v>3283</v>
      </c>
      <c r="BB38" s="362">
        <v>0</v>
      </c>
      <c r="BC38" s="365" t="s">
        <v>3279</v>
      </c>
      <c r="BD38" s="362">
        <v>0</v>
      </c>
      <c r="BE38" s="365"/>
      <c r="BF38" s="362">
        <v>0</v>
      </c>
      <c r="BG38" s="365"/>
      <c r="BH38" s="362">
        <v>0</v>
      </c>
      <c r="BI38" s="365"/>
      <c r="BJ38" s="362">
        <v>0</v>
      </c>
      <c r="BK38" s="365"/>
      <c r="BL38" s="370" t="s">
        <v>3280</v>
      </c>
      <c r="BM38" s="360">
        <v>1</v>
      </c>
      <c r="BN38" s="351" t="e">
        <f t="shared" si="7"/>
        <v>#N/A</v>
      </c>
      <c r="BO38" s="351" t="e">
        <f t="shared" si="8"/>
        <v>#N/A</v>
      </c>
      <c r="BP38" s="351"/>
      <c r="BQ38" s="361" t="s">
        <v>3283</v>
      </c>
      <c r="BR38" s="362">
        <v>0</v>
      </c>
      <c r="BS38" s="365" t="s">
        <v>3279</v>
      </c>
      <c r="BT38" s="362">
        <v>0</v>
      </c>
      <c r="BU38" s="365"/>
      <c r="BV38" s="362">
        <v>0</v>
      </c>
      <c r="BW38" s="365"/>
      <c r="BX38" s="362">
        <v>0</v>
      </c>
      <c r="BY38" s="365"/>
      <c r="BZ38" s="362">
        <v>0</v>
      </c>
      <c r="CA38" s="365"/>
      <c r="CB38" s="370" t="s">
        <v>3280</v>
      </c>
      <c r="CC38" s="360">
        <v>1</v>
      </c>
      <c r="CD38" s="351" t="e">
        <f t="shared" si="9"/>
        <v>#N/A</v>
      </c>
      <c r="CE38" s="351" t="e">
        <f t="shared" si="10"/>
        <v>#N/A</v>
      </c>
      <c r="CF38" s="351"/>
      <c r="CG38" s="361" t="s">
        <v>3281</v>
      </c>
      <c r="CH38" s="362">
        <v>0</v>
      </c>
      <c r="CI38" s="365" t="s">
        <v>3279</v>
      </c>
      <c r="CJ38" s="362">
        <v>0</v>
      </c>
      <c r="CK38" s="365"/>
      <c r="CL38" s="362">
        <v>0</v>
      </c>
      <c r="CM38" s="365"/>
      <c r="CN38" s="362">
        <v>0</v>
      </c>
      <c r="CO38" s="365"/>
      <c r="CP38" s="362">
        <v>0</v>
      </c>
      <c r="CQ38" s="365"/>
      <c r="CR38" s="370" t="s">
        <v>3280</v>
      </c>
      <c r="CS38" s="360">
        <v>1</v>
      </c>
      <c r="CT38" s="351" t="e">
        <f t="shared" si="11"/>
        <v>#N/A</v>
      </c>
      <c r="CU38" s="351" t="e">
        <f t="shared" si="12"/>
        <v>#N/A</v>
      </c>
      <c r="CV38" s="351"/>
      <c r="CW38" s="361" t="s">
        <v>3284</v>
      </c>
      <c r="CX38" s="362">
        <v>0</v>
      </c>
      <c r="CY38" s="365" t="s">
        <v>3279</v>
      </c>
      <c r="CZ38" s="362">
        <v>0</v>
      </c>
      <c r="DA38" s="365"/>
      <c r="DB38" s="362">
        <v>0</v>
      </c>
      <c r="DC38" s="365"/>
      <c r="DD38" s="362">
        <v>0</v>
      </c>
      <c r="DE38" s="365"/>
      <c r="DF38" s="362">
        <v>0</v>
      </c>
      <c r="DG38" s="365"/>
      <c r="DH38" s="370" t="s">
        <v>3280</v>
      </c>
      <c r="DI38" s="360">
        <v>1</v>
      </c>
      <c r="DJ38" s="351" t="e">
        <f t="shared" si="13"/>
        <v>#N/A</v>
      </c>
      <c r="DK38" s="351" t="e">
        <f t="shared" si="14"/>
        <v>#N/A</v>
      </c>
      <c r="DL38" s="351"/>
      <c r="DM38" s="361" t="s">
        <v>3282</v>
      </c>
      <c r="DN38" s="362">
        <v>0</v>
      </c>
      <c r="DO38" s="365" t="s">
        <v>3279</v>
      </c>
      <c r="DP38" s="362">
        <v>0</v>
      </c>
      <c r="DQ38" s="365"/>
      <c r="DR38" s="362">
        <v>0</v>
      </c>
      <c r="DS38" s="365"/>
      <c r="DT38" s="362">
        <v>0</v>
      </c>
      <c r="DU38" s="365"/>
      <c r="DV38" s="362">
        <v>0</v>
      </c>
      <c r="DW38" s="365"/>
      <c r="DX38" s="370" t="s">
        <v>3280</v>
      </c>
      <c r="DY38" s="360">
        <v>1</v>
      </c>
      <c r="DZ38" s="351" t="e">
        <f t="shared" si="15"/>
        <v>#N/A</v>
      </c>
      <c r="EA38" s="351" t="e">
        <f t="shared" si="16"/>
        <v>#N/A</v>
      </c>
      <c r="EB38" s="351"/>
      <c r="EC38" s="157">
        <f t="shared" si="17"/>
        <v>0</v>
      </c>
      <c r="ED38" s="157">
        <f t="shared" si="18"/>
        <v>0</v>
      </c>
      <c r="EE38" s="157">
        <f t="shared" si="19"/>
        <v>0</v>
      </c>
      <c r="EF38" s="157">
        <f t="shared" si="20"/>
        <v>0</v>
      </c>
    </row>
    <row r="39" spans="1:136" ht="14.25" customHeight="1">
      <c r="A39" s="291" t="b">
        <f t="shared" si="0"/>
        <v>1</v>
      </c>
      <c r="B39" s="292"/>
      <c r="C39" s="355" t="s">
        <v>3285</v>
      </c>
      <c r="D39" s="345" t="s">
        <v>3286</v>
      </c>
      <c r="E39" s="361" t="s">
        <v>3232</v>
      </c>
      <c r="F39" s="362">
        <v>0</v>
      </c>
      <c r="G39" s="365"/>
      <c r="H39" s="362">
        <v>0</v>
      </c>
      <c r="I39" s="365"/>
      <c r="J39" s="362">
        <v>0</v>
      </c>
      <c r="K39" s="365"/>
      <c r="L39" s="362">
        <v>0</v>
      </c>
      <c r="M39" s="365"/>
      <c r="N39" s="362">
        <v>0</v>
      </c>
      <c r="O39" s="365"/>
      <c r="P39" s="368"/>
      <c r="Q39" s="360">
        <v>1</v>
      </c>
      <c r="R39" s="351" t="e">
        <f t="shared" si="1"/>
        <v>#N/A</v>
      </c>
      <c r="S39" s="351" t="e">
        <f t="shared" si="2"/>
        <v>#N/A</v>
      </c>
      <c r="T39" s="351"/>
      <c r="U39" s="361" t="s">
        <v>3287</v>
      </c>
      <c r="V39" s="362">
        <v>0</v>
      </c>
      <c r="W39" s="365"/>
      <c r="X39" s="362">
        <v>0</v>
      </c>
      <c r="Y39" s="365"/>
      <c r="Z39" s="362">
        <v>0</v>
      </c>
      <c r="AA39" s="365"/>
      <c r="AB39" s="362">
        <v>0</v>
      </c>
      <c r="AC39" s="365"/>
      <c r="AD39" s="362">
        <v>0</v>
      </c>
      <c r="AE39" s="365"/>
      <c r="AF39" s="368" t="s">
        <v>3288</v>
      </c>
      <c r="AG39" s="360">
        <v>1</v>
      </c>
      <c r="AH39" s="351" t="e">
        <f t="shared" si="3"/>
        <v>#N/A</v>
      </c>
      <c r="AI39" s="351" t="e">
        <f t="shared" si="4"/>
        <v>#N/A</v>
      </c>
      <c r="AJ39" s="351"/>
      <c r="AK39" s="361" t="s">
        <v>3289</v>
      </c>
      <c r="AL39" s="362">
        <v>0</v>
      </c>
      <c r="AM39" s="365"/>
      <c r="AN39" s="362">
        <v>0</v>
      </c>
      <c r="AO39" s="365"/>
      <c r="AP39" s="362">
        <v>0</v>
      </c>
      <c r="AQ39" s="365"/>
      <c r="AR39" s="362">
        <v>0</v>
      </c>
      <c r="AS39" s="365"/>
      <c r="AT39" s="362">
        <v>0</v>
      </c>
      <c r="AU39" s="365"/>
      <c r="AV39" s="368" t="s">
        <v>3288</v>
      </c>
      <c r="AW39" s="360">
        <v>1</v>
      </c>
      <c r="AX39" s="351" t="e">
        <f t="shared" si="5"/>
        <v>#N/A</v>
      </c>
      <c r="AY39" s="351" t="e">
        <f t="shared" si="6"/>
        <v>#N/A</v>
      </c>
      <c r="AZ39" s="351"/>
      <c r="BA39" s="361" t="s">
        <v>3289</v>
      </c>
      <c r="BB39" s="362">
        <v>0</v>
      </c>
      <c r="BC39" s="365"/>
      <c r="BD39" s="362">
        <v>0</v>
      </c>
      <c r="BE39" s="365"/>
      <c r="BF39" s="362">
        <v>0</v>
      </c>
      <c r="BG39" s="365"/>
      <c r="BH39" s="362">
        <v>0</v>
      </c>
      <c r="BI39" s="365"/>
      <c r="BJ39" s="362">
        <v>0</v>
      </c>
      <c r="BK39" s="365"/>
      <c r="BL39" s="368" t="s">
        <v>3288</v>
      </c>
      <c r="BM39" s="360">
        <v>1</v>
      </c>
      <c r="BN39" s="351" t="e">
        <f t="shared" si="7"/>
        <v>#N/A</v>
      </c>
      <c r="BO39" s="351" t="e">
        <f t="shared" si="8"/>
        <v>#N/A</v>
      </c>
      <c r="BP39" s="351"/>
      <c r="BQ39" s="361" t="s">
        <v>3289</v>
      </c>
      <c r="BR39" s="362">
        <v>0</v>
      </c>
      <c r="BS39" s="365"/>
      <c r="BT39" s="362">
        <v>0</v>
      </c>
      <c r="BU39" s="365"/>
      <c r="BV39" s="362">
        <v>0</v>
      </c>
      <c r="BW39" s="365"/>
      <c r="BX39" s="362">
        <v>0</v>
      </c>
      <c r="BY39" s="365"/>
      <c r="BZ39" s="362">
        <v>0</v>
      </c>
      <c r="CA39" s="365"/>
      <c r="CB39" s="368" t="s">
        <v>3288</v>
      </c>
      <c r="CC39" s="360">
        <v>1</v>
      </c>
      <c r="CD39" s="351" t="e">
        <f t="shared" si="9"/>
        <v>#N/A</v>
      </c>
      <c r="CE39" s="351" t="e">
        <f t="shared" si="10"/>
        <v>#N/A</v>
      </c>
      <c r="CF39" s="351"/>
      <c r="CG39" s="356" t="s">
        <v>3234</v>
      </c>
      <c r="CH39" s="376">
        <v>0</v>
      </c>
      <c r="CI39" s="377"/>
      <c r="CJ39" s="376">
        <v>0</v>
      </c>
      <c r="CK39" s="377"/>
      <c r="CL39" s="376">
        <v>0</v>
      </c>
      <c r="CM39" s="377"/>
      <c r="CN39" s="376">
        <v>0</v>
      </c>
      <c r="CO39" s="377"/>
      <c r="CP39" s="376">
        <v>0</v>
      </c>
      <c r="CQ39" s="377"/>
      <c r="CR39" s="377" t="s">
        <v>3290</v>
      </c>
      <c r="CS39" s="360">
        <v>1</v>
      </c>
      <c r="CT39" s="351" t="e">
        <f t="shared" si="11"/>
        <v>#N/A</v>
      </c>
      <c r="CU39" s="351" t="e">
        <f t="shared" si="12"/>
        <v>#N/A</v>
      </c>
      <c r="CV39" s="351"/>
      <c r="CW39" s="356" t="s">
        <v>3234</v>
      </c>
      <c r="CX39" s="376">
        <v>0</v>
      </c>
      <c r="CY39" s="377"/>
      <c r="CZ39" s="378">
        <v>0</v>
      </c>
      <c r="DA39" s="379"/>
      <c r="DB39" s="376">
        <v>0</v>
      </c>
      <c r="DC39" s="377"/>
      <c r="DD39" s="376">
        <v>0</v>
      </c>
      <c r="DE39" s="377"/>
      <c r="DF39" s="376">
        <v>0</v>
      </c>
      <c r="DG39" s="377"/>
      <c r="DH39" s="377" t="s">
        <v>3290</v>
      </c>
      <c r="DI39" s="360">
        <v>1</v>
      </c>
      <c r="DJ39" s="351" t="e">
        <f t="shared" si="13"/>
        <v>#N/A</v>
      </c>
      <c r="DK39" s="351" t="e">
        <f t="shared" si="14"/>
        <v>#N/A</v>
      </c>
      <c r="DL39" s="351"/>
      <c r="DM39" s="361" t="s">
        <v>3289</v>
      </c>
      <c r="DN39" s="362">
        <v>0</v>
      </c>
      <c r="DO39" s="365"/>
      <c r="DP39" s="362">
        <v>0</v>
      </c>
      <c r="DQ39" s="365"/>
      <c r="DR39" s="362">
        <v>0</v>
      </c>
      <c r="DS39" s="365"/>
      <c r="DT39" s="362">
        <v>0</v>
      </c>
      <c r="DU39" s="365"/>
      <c r="DV39" s="362">
        <v>0</v>
      </c>
      <c r="DW39" s="365"/>
      <c r="DX39" s="368" t="s">
        <v>3288</v>
      </c>
      <c r="DY39" s="360">
        <v>1</v>
      </c>
      <c r="DZ39" s="351" t="e">
        <f t="shared" si="15"/>
        <v>#N/A</v>
      </c>
      <c r="EA39" s="351" t="e">
        <f t="shared" si="16"/>
        <v>#N/A</v>
      </c>
      <c r="EB39" s="351"/>
      <c r="EC39" s="157">
        <f t="shared" si="17"/>
        <v>0</v>
      </c>
      <c r="ED39" s="157">
        <f t="shared" si="18"/>
        <v>0</v>
      </c>
      <c r="EE39" s="157">
        <f t="shared" si="19"/>
        <v>0</v>
      </c>
      <c r="EF39" s="157">
        <f t="shared" si="20"/>
        <v>0</v>
      </c>
    </row>
    <row r="40" spans="1:136" ht="14.25" customHeight="1">
      <c r="A40" s="291" t="b">
        <f t="shared" si="0"/>
        <v>1</v>
      </c>
      <c r="B40" s="292"/>
      <c r="C40" s="355" t="s">
        <v>3291</v>
      </c>
      <c r="D40" s="345"/>
      <c r="E40" s="361" t="s">
        <v>3292</v>
      </c>
      <c r="F40" s="362">
        <v>0.3</v>
      </c>
      <c r="G40" s="365"/>
      <c r="H40" s="362">
        <v>0.3</v>
      </c>
      <c r="I40" s="365"/>
      <c r="J40" s="362">
        <v>0.3</v>
      </c>
      <c r="K40" s="365"/>
      <c r="L40" s="362">
        <v>0.3</v>
      </c>
      <c r="M40" s="365"/>
      <c r="N40" s="362">
        <v>0.3</v>
      </c>
      <c r="O40" s="365"/>
      <c r="P40" s="370"/>
      <c r="Q40" s="360">
        <v>1</v>
      </c>
      <c r="R40" s="351" t="e">
        <f t="shared" si="1"/>
        <v>#N/A</v>
      </c>
      <c r="S40" s="351" t="e">
        <f t="shared" si="2"/>
        <v>#N/A</v>
      </c>
      <c r="T40" s="351"/>
      <c r="U40" s="361" t="s">
        <v>3292</v>
      </c>
      <c r="V40" s="362">
        <v>0.3</v>
      </c>
      <c r="W40" s="365"/>
      <c r="X40" s="362">
        <v>0.3</v>
      </c>
      <c r="Y40" s="365"/>
      <c r="Z40" s="362">
        <v>0.3</v>
      </c>
      <c r="AA40" s="365"/>
      <c r="AB40" s="362">
        <v>0.3</v>
      </c>
      <c r="AC40" s="365"/>
      <c r="AD40" s="362">
        <v>0.3</v>
      </c>
      <c r="AE40" s="365"/>
      <c r="AF40" s="370"/>
      <c r="AG40" s="360">
        <v>1</v>
      </c>
      <c r="AH40" s="351" t="e">
        <f t="shared" si="3"/>
        <v>#N/A</v>
      </c>
      <c r="AI40" s="351" t="e">
        <f t="shared" si="4"/>
        <v>#N/A</v>
      </c>
      <c r="AJ40" s="351"/>
      <c r="AK40" s="361" t="s">
        <v>3292</v>
      </c>
      <c r="AL40" s="362">
        <v>0.3</v>
      </c>
      <c r="AM40" s="365"/>
      <c r="AN40" s="362">
        <v>0.3</v>
      </c>
      <c r="AO40" s="365"/>
      <c r="AP40" s="362">
        <v>0.3</v>
      </c>
      <c r="AQ40" s="365"/>
      <c r="AR40" s="362">
        <v>0.3</v>
      </c>
      <c r="AS40" s="365"/>
      <c r="AT40" s="362">
        <v>0.3</v>
      </c>
      <c r="AU40" s="365"/>
      <c r="AV40" s="370"/>
      <c r="AW40" s="360">
        <v>1</v>
      </c>
      <c r="AX40" s="351" t="e">
        <f t="shared" si="5"/>
        <v>#N/A</v>
      </c>
      <c r="AY40" s="351" t="e">
        <f t="shared" si="6"/>
        <v>#N/A</v>
      </c>
      <c r="AZ40" s="351"/>
      <c r="BA40" s="361" t="s">
        <v>3292</v>
      </c>
      <c r="BB40" s="362">
        <v>0.3</v>
      </c>
      <c r="BC40" s="365"/>
      <c r="BD40" s="362">
        <v>0.3</v>
      </c>
      <c r="BE40" s="365"/>
      <c r="BF40" s="362">
        <v>0.3</v>
      </c>
      <c r="BG40" s="365"/>
      <c r="BH40" s="362">
        <v>0.3</v>
      </c>
      <c r="BI40" s="365"/>
      <c r="BJ40" s="362">
        <v>0.3</v>
      </c>
      <c r="BK40" s="365"/>
      <c r="BL40" s="370"/>
      <c r="BM40" s="360">
        <v>1</v>
      </c>
      <c r="BN40" s="351" t="e">
        <f t="shared" si="7"/>
        <v>#N/A</v>
      </c>
      <c r="BO40" s="351" t="e">
        <f t="shared" si="8"/>
        <v>#N/A</v>
      </c>
      <c r="BP40" s="351"/>
      <c r="BQ40" s="361" t="s">
        <v>3292</v>
      </c>
      <c r="BR40" s="362">
        <v>0.3</v>
      </c>
      <c r="BS40" s="365"/>
      <c r="BT40" s="362">
        <v>0.3</v>
      </c>
      <c r="BU40" s="365"/>
      <c r="BV40" s="362">
        <v>0.3</v>
      </c>
      <c r="BW40" s="365"/>
      <c r="BX40" s="362">
        <v>0.3</v>
      </c>
      <c r="BY40" s="365"/>
      <c r="BZ40" s="362">
        <v>0.3</v>
      </c>
      <c r="CA40" s="365"/>
      <c r="CB40" s="370"/>
      <c r="CC40" s="360">
        <v>1</v>
      </c>
      <c r="CD40" s="351" t="e">
        <f t="shared" si="9"/>
        <v>#N/A</v>
      </c>
      <c r="CE40" s="351" t="e">
        <f t="shared" si="10"/>
        <v>#N/A</v>
      </c>
      <c r="CF40" s="351"/>
      <c r="CG40" s="361" t="s">
        <v>3292</v>
      </c>
      <c r="CH40" s="362">
        <v>0.3</v>
      </c>
      <c r="CI40" s="365"/>
      <c r="CJ40" s="362">
        <v>0.3</v>
      </c>
      <c r="CK40" s="365"/>
      <c r="CL40" s="362">
        <v>0.3</v>
      </c>
      <c r="CM40" s="365"/>
      <c r="CN40" s="362">
        <v>0.3</v>
      </c>
      <c r="CO40" s="365"/>
      <c r="CP40" s="362">
        <v>0.3</v>
      </c>
      <c r="CQ40" s="365"/>
      <c r="CR40" s="370"/>
      <c r="CS40" s="360">
        <v>1</v>
      </c>
      <c r="CT40" s="351" t="e">
        <f t="shared" si="11"/>
        <v>#N/A</v>
      </c>
      <c r="CU40" s="351" t="e">
        <f t="shared" si="12"/>
        <v>#N/A</v>
      </c>
      <c r="CV40" s="351"/>
      <c r="CW40" s="361" t="s">
        <v>3292</v>
      </c>
      <c r="CX40" s="362">
        <v>0.3</v>
      </c>
      <c r="CY40" s="365"/>
      <c r="CZ40" s="362">
        <v>0.3</v>
      </c>
      <c r="DA40" s="365"/>
      <c r="DB40" s="362">
        <v>0.3</v>
      </c>
      <c r="DC40" s="365"/>
      <c r="DD40" s="362">
        <v>0.3</v>
      </c>
      <c r="DE40" s="365"/>
      <c r="DF40" s="362">
        <v>0.3</v>
      </c>
      <c r="DG40" s="365"/>
      <c r="DH40" s="370"/>
      <c r="DI40" s="360">
        <v>1</v>
      </c>
      <c r="DJ40" s="351" t="e">
        <f t="shared" si="13"/>
        <v>#N/A</v>
      </c>
      <c r="DK40" s="351" t="e">
        <f t="shared" si="14"/>
        <v>#N/A</v>
      </c>
      <c r="DL40" s="351"/>
      <c r="DM40" s="361" t="s">
        <v>3292</v>
      </c>
      <c r="DN40" s="362">
        <v>0.3</v>
      </c>
      <c r="DO40" s="365"/>
      <c r="DP40" s="362">
        <v>0.3</v>
      </c>
      <c r="DQ40" s="365"/>
      <c r="DR40" s="362">
        <v>0.3</v>
      </c>
      <c r="DS40" s="365"/>
      <c r="DT40" s="362">
        <v>0.3</v>
      </c>
      <c r="DU40" s="365"/>
      <c r="DV40" s="362">
        <v>0.3</v>
      </c>
      <c r="DW40" s="365"/>
      <c r="DX40" s="370"/>
      <c r="DY40" s="360">
        <v>1</v>
      </c>
      <c r="DZ40" s="351" t="e">
        <f t="shared" si="15"/>
        <v>#N/A</v>
      </c>
      <c r="EA40" s="351" t="e">
        <f t="shared" si="16"/>
        <v>#N/A</v>
      </c>
      <c r="EB40" s="351"/>
      <c r="EC40" s="157">
        <f t="shared" si="17"/>
        <v>0.3</v>
      </c>
      <c r="ED40" s="157">
        <f t="shared" si="18"/>
        <v>0.3</v>
      </c>
      <c r="EE40" s="157">
        <f t="shared" si="19"/>
        <v>0.30000000000000016</v>
      </c>
      <c r="EF40" s="157">
        <f t="shared" si="20"/>
        <v>0.3</v>
      </c>
    </row>
    <row r="41" spans="1:136" ht="14.25" customHeight="1">
      <c r="A41" s="291" t="b">
        <f t="shared" si="0"/>
        <v>1</v>
      </c>
      <c r="B41" s="292"/>
      <c r="C41" s="355" t="s">
        <v>3293</v>
      </c>
      <c r="D41" s="345"/>
      <c r="E41" s="361" t="s">
        <v>3292</v>
      </c>
      <c r="F41" s="362">
        <v>0.5</v>
      </c>
      <c r="G41" s="365"/>
      <c r="H41" s="362">
        <v>0.5</v>
      </c>
      <c r="I41" s="365"/>
      <c r="J41" s="362">
        <v>0.5</v>
      </c>
      <c r="K41" s="365"/>
      <c r="L41" s="362">
        <v>0.5</v>
      </c>
      <c r="M41" s="365"/>
      <c r="N41" s="362">
        <v>0.5</v>
      </c>
      <c r="O41" s="365"/>
      <c r="P41" s="370"/>
      <c r="Q41" s="360">
        <v>1</v>
      </c>
      <c r="R41" s="351" t="e">
        <f t="shared" si="1"/>
        <v>#N/A</v>
      </c>
      <c r="S41" s="351" t="e">
        <f t="shared" si="2"/>
        <v>#N/A</v>
      </c>
      <c r="T41" s="351"/>
      <c r="U41" s="361" t="s">
        <v>3292</v>
      </c>
      <c r="V41" s="362">
        <v>0.5</v>
      </c>
      <c r="W41" s="365"/>
      <c r="X41" s="362">
        <v>0.5</v>
      </c>
      <c r="Y41" s="365"/>
      <c r="Z41" s="362">
        <v>0.5</v>
      </c>
      <c r="AA41" s="365"/>
      <c r="AB41" s="362">
        <v>0.5</v>
      </c>
      <c r="AC41" s="365"/>
      <c r="AD41" s="362">
        <v>0.5</v>
      </c>
      <c r="AE41" s="365"/>
      <c r="AF41" s="370"/>
      <c r="AG41" s="360">
        <v>1</v>
      </c>
      <c r="AH41" s="351" t="e">
        <f t="shared" si="3"/>
        <v>#N/A</v>
      </c>
      <c r="AI41" s="351" t="e">
        <f t="shared" si="4"/>
        <v>#N/A</v>
      </c>
      <c r="AJ41" s="351"/>
      <c r="AK41" s="361" t="s">
        <v>3292</v>
      </c>
      <c r="AL41" s="362">
        <v>0.5</v>
      </c>
      <c r="AM41" s="365"/>
      <c r="AN41" s="362">
        <v>0.5</v>
      </c>
      <c r="AO41" s="365"/>
      <c r="AP41" s="362">
        <v>0.5</v>
      </c>
      <c r="AQ41" s="365"/>
      <c r="AR41" s="362">
        <v>0.5</v>
      </c>
      <c r="AS41" s="365"/>
      <c r="AT41" s="362">
        <v>0.5</v>
      </c>
      <c r="AU41" s="365"/>
      <c r="AV41" s="370"/>
      <c r="AW41" s="360">
        <v>1</v>
      </c>
      <c r="AX41" s="351" t="e">
        <f t="shared" si="5"/>
        <v>#N/A</v>
      </c>
      <c r="AY41" s="351" t="e">
        <f t="shared" si="6"/>
        <v>#N/A</v>
      </c>
      <c r="AZ41" s="351"/>
      <c r="BA41" s="361" t="s">
        <v>3292</v>
      </c>
      <c r="BB41" s="362">
        <v>0.5</v>
      </c>
      <c r="BC41" s="365"/>
      <c r="BD41" s="362">
        <v>0.5</v>
      </c>
      <c r="BE41" s="365"/>
      <c r="BF41" s="362">
        <v>0.5</v>
      </c>
      <c r="BG41" s="365"/>
      <c r="BH41" s="362">
        <v>0.5</v>
      </c>
      <c r="BI41" s="365"/>
      <c r="BJ41" s="362">
        <v>0.5</v>
      </c>
      <c r="BK41" s="365"/>
      <c r="BL41" s="370"/>
      <c r="BM41" s="360">
        <v>1</v>
      </c>
      <c r="BN41" s="351" t="e">
        <f t="shared" si="7"/>
        <v>#N/A</v>
      </c>
      <c r="BO41" s="351" t="e">
        <f t="shared" si="8"/>
        <v>#N/A</v>
      </c>
      <c r="BP41" s="351"/>
      <c r="BQ41" s="361" t="s">
        <v>3292</v>
      </c>
      <c r="BR41" s="362">
        <v>0.5</v>
      </c>
      <c r="BS41" s="365"/>
      <c r="BT41" s="362">
        <v>0.5</v>
      </c>
      <c r="BU41" s="365"/>
      <c r="BV41" s="362">
        <v>0.5</v>
      </c>
      <c r="BW41" s="365"/>
      <c r="BX41" s="362">
        <v>0.5</v>
      </c>
      <c r="BY41" s="365"/>
      <c r="BZ41" s="362">
        <v>0.5</v>
      </c>
      <c r="CA41" s="365"/>
      <c r="CB41" s="370"/>
      <c r="CC41" s="360">
        <v>1</v>
      </c>
      <c r="CD41" s="351" t="e">
        <f t="shared" si="9"/>
        <v>#N/A</v>
      </c>
      <c r="CE41" s="351" t="e">
        <f t="shared" si="10"/>
        <v>#N/A</v>
      </c>
      <c r="CF41" s="351"/>
      <c r="CG41" s="361" t="s">
        <v>3292</v>
      </c>
      <c r="CH41" s="362">
        <v>0.5</v>
      </c>
      <c r="CI41" s="365"/>
      <c r="CJ41" s="362">
        <v>0.5</v>
      </c>
      <c r="CK41" s="365"/>
      <c r="CL41" s="362">
        <v>0.5</v>
      </c>
      <c r="CM41" s="365"/>
      <c r="CN41" s="362">
        <v>0.5</v>
      </c>
      <c r="CO41" s="365"/>
      <c r="CP41" s="362">
        <v>0.5</v>
      </c>
      <c r="CQ41" s="365"/>
      <c r="CR41" s="370"/>
      <c r="CS41" s="360">
        <v>1</v>
      </c>
      <c r="CT41" s="351" t="e">
        <f t="shared" si="11"/>
        <v>#N/A</v>
      </c>
      <c r="CU41" s="351" t="e">
        <f t="shared" si="12"/>
        <v>#N/A</v>
      </c>
      <c r="CV41" s="351"/>
      <c r="CW41" s="361" t="s">
        <v>3292</v>
      </c>
      <c r="CX41" s="362">
        <v>0.5</v>
      </c>
      <c r="CY41" s="365"/>
      <c r="CZ41" s="362">
        <v>0.5</v>
      </c>
      <c r="DA41" s="365"/>
      <c r="DB41" s="362">
        <v>0.5</v>
      </c>
      <c r="DC41" s="365"/>
      <c r="DD41" s="362">
        <v>0.5</v>
      </c>
      <c r="DE41" s="365"/>
      <c r="DF41" s="362">
        <v>0.5</v>
      </c>
      <c r="DG41" s="365"/>
      <c r="DH41" s="370"/>
      <c r="DI41" s="360">
        <v>1</v>
      </c>
      <c r="DJ41" s="351" t="e">
        <f t="shared" si="13"/>
        <v>#N/A</v>
      </c>
      <c r="DK41" s="351" t="e">
        <f t="shared" si="14"/>
        <v>#N/A</v>
      </c>
      <c r="DL41" s="351"/>
      <c r="DM41" s="361" t="s">
        <v>3292</v>
      </c>
      <c r="DN41" s="362">
        <v>0.5</v>
      </c>
      <c r="DO41" s="365"/>
      <c r="DP41" s="362">
        <v>0.5</v>
      </c>
      <c r="DQ41" s="365"/>
      <c r="DR41" s="362">
        <v>0.5</v>
      </c>
      <c r="DS41" s="365"/>
      <c r="DT41" s="362">
        <v>0.5</v>
      </c>
      <c r="DU41" s="365"/>
      <c r="DV41" s="362">
        <v>0.5</v>
      </c>
      <c r="DW41" s="365"/>
      <c r="DX41" s="370"/>
      <c r="DY41" s="360">
        <v>1</v>
      </c>
      <c r="DZ41" s="351" t="e">
        <f t="shared" si="15"/>
        <v>#N/A</v>
      </c>
      <c r="EA41" s="351" t="e">
        <f t="shared" si="16"/>
        <v>#N/A</v>
      </c>
      <c r="EB41" s="351"/>
      <c r="EC41" s="157">
        <f t="shared" si="17"/>
        <v>0.5</v>
      </c>
      <c r="ED41" s="157">
        <f t="shared" si="18"/>
        <v>0.5</v>
      </c>
      <c r="EE41" s="157">
        <f t="shared" si="19"/>
        <v>0.5</v>
      </c>
      <c r="EF41" s="157">
        <f t="shared" si="20"/>
        <v>0.5</v>
      </c>
    </row>
    <row r="42" spans="1:136" ht="14.25" customHeight="1">
      <c r="A42" s="291" t="b">
        <f t="shared" si="0"/>
        <v>0</v>
      </c>
      <c r="B42" s="292"/>
      <c r="C42" s="355" t="s">
        <v>3294</v>
      </c>
      <c r="D42" s="345" t="s">
        <v>3295</v>
      </c>
      <c r="E42" s="361" t="s">
        <v>3292</v>
      </c>
      <c r="F42" s="362">
        <v>0.1</v>
      </c>
      <c r="G42" s="365"/>
      <c r="H42" s="362">
        <v>0.1</v>
      </c>
      <c r="I42" s="365"/>
      <c r="J42" s="362">
        <v>0.1</v>
      </c>
      <c r="K42" s="365"/>
      <c r="L42" s="362">
        <v>0.1</v>
      </c>
      <c r="M42" s="365"/>
      <c r="N42" s="362">
        <v>0.1</v>
      </c>
      <c r="O42" s="365"/>
      <c r="P42" s="370"/>
      <c r="Q42" s="360">
        <v>1</v>
      </c>
      <c r="R42" s="351" t="e">
        <f t="shared" si="1"/>
        <v>#N/A</v>
      </c>
      <c r="S42" s="351" t="e">
        <f t="shared" si="2"/>
        <v>#N/A</v>
      </c>
      <c r="T42" s="351"/>
      <c r="U42" s="371" t="s">
        <v>3296</v>
      </c>
      <c r="V42" s="362">
        <v>0.1</v>
      </c>
      <c r="W42" s="365" t="s">
        <v>3295</v>
      </c>
      <c r="X42" s="362">
        <v>0.1</v>
      </c>
      <c r="Y42" s="365"/>
      <c r="Z42" s="362">
        <v>0.1</v>
      </c>
      <c r="AA42" s="365"/>
      <c r="AB42" s="362">
        <v>0.1</v>
      </c>
      <c r="AC42" s="365"/>
      <c r="AD42" s="362">
        <v>0.1</v>
      </c>
      <c r="AE42" s="365"/>
      <c r="AF42" s="370"/>
      <c r="AG42" s="360">
        <v>1</v>
      </c>
      <c r="AH42" s="351" t="e">
        <f t="shared" si="3"/>
        <v>#N/A</v>
      </c>
      <c r="AI42" s="351" t="e">
        <f t="shared" si="4"/>
        <v>#N/A</v>
      </c>
      <c r="AJ42" s="351"/>
      <c r="AK42" s="361" t="s">
        <v>3292</v>
      </c>
      <c r="AL42" s="362">
        <v>0.1</v>
      </c>
      <c r="AM42" s="365" t="s">
        <v>3295</v>
      </c>
      <c r="AN42" s="362">
        <v>0.1</v>
      </c>
      <c r="AO42" s="365"/>
      <c r="AP42" s="362">
        <v>0.1</v>
      </c>
      <c r="AQ42" s="365"/>
      <c r="AR42" s="362">
        <v>0.1</v>
      </c>
      <c r="AS42" s="365"/>
      <c r="AT42" s="362">
        <v>0.1</v>
      </c>
      <c r="AU42" s="365"/>
      <c r="AV42" s="370"/>
      <c r="AW42" s="360">
        <v>1</v>
      </c>
      <c r="AX42" s="351" t="e">
        <f t="shared" si="5"/>
        <v>#N/A</v>
      </c>
      <c r="AY42" s="351" t="e">
        <f t="shared" si="6"/>
        <v>#N/A</v>
      </c>
      <c r="AZ42" s="351"/>
      <c r="BA42" s="361" t="s">
        <v>3292</v>
      </c>
      <c r="BB42" s="362">
        <v>0.1</v>
      </c>
      <c r="BC42" s="365" t="s">
        <v>3295</v>
      </c>
      <c r="BD42" s="362">
        <v>0.1</v>
      </c>
      <c r="BE42" s="365"/>
      <c r="BF42" s="362">
        <v>0.1</v>
      </c>
      <c r="BG42" s="365"/>
      <c r="BH42" s="362">
        <v>0.1</v>
      </c>
      <c r="BI42" s="365"/>
      <c r="BJ42" s="362">
        <v>0.1</v>
      </c>
      <c r="BK42" s="365"/>
      <c r="BL42" s="370"/>
      <c r="BM42" s="360">
        <v>1</v>
      </c>
      <c r="BN42" s="351" t="e">
        <f t="shared" si="7"/>
        <v>#N/A</v>
      </c>
      <c r="BO42" s="351" t="e">
        <f t="shared" si="8"/>
        <v>#N/A</v>
      </c>
      <c r="BP42" s="351"/>
      <c r="BQ42" s="361" t="s">
        <v>3292</v>
      </c>
      <c r="BR42" s="362">
        <v>0.1</v>
      </c>
      <c r="BS42" s="365" t="s">
        <v>3295</v>
      </c>
      <c r="BT42" s="362">
        <v>0.1</v>
      </c>
      <c r="BU42" s="365"/>
      <c r="BV42" s="362">
        <v>0.1</v>
      </c>
      <c r="BW42" s="365"/>
      <c r="BX42" s="362">
        <v>0.1</v>
      </c>
      <c r="BY42" s="365"/>
      <c r="BZ42" s="362">
        <v>0.1</v>
      </c>
      <c r="CA42" s="365"/>
      <c r="CB42" s="370"/>
      <c r="CC42" s="360">
        <v>1</v>
      </c>
      <c r="CD42" s="351" t="e">
        <f t="shared" si="9"/>
        <v>#N/A</v>
      </c>
      <c r="CE42" s="351" t="e">
        <f t="shared" si="10"/>
        <v>#N/A</v>
      </c>
      <c r="CF42" s="351"/>
      <c r="CG42" s="361" t="s">
        <v>3292</v>
      </c>
      <c r="CH42" s="362">
        <v>0.2</v>
      </c>
      <c r="CI42" s="365" t="s">
        <v>3295</v>
      </c>
      <c r="CJ42" s="362">
        <v>0.2</v>
      </c>
      <c r="CK42" s="365"/>
      <c r="CL42" s="362">
        <v>0.2</v>
      </c>
      <c r="CM42" s="365"/>
      <c r="CN42" s="362">
        <v>0.2</v>
      </c>
      <c r="CO42" s="365"/>
      <c r="CP42" s="362">
        <v>0.2</v>
      </c>
      <c r="CQ42" s="365"/>
      <c r="CR42" s="370"/>
      <c r="CS42" s="360">
        <v>1</v>
      </c>
      <c r="CT42" s="351" t="e">
        <f t="shared" si="11"/>
        <v>#N/A</v>
      </c>
      <c r="CU42" s="351" t="e">
        <f t="shared" si="12"/>
        <v>#N/A</v>
      </c>
      <c r="CV42" s="351"/>
      <c r="CW42" s="361" t="s">
        <v>3292</v>
      </c>
      <c r="CX42" s="362">
        <v>0.1</v>
      </c>
      <c r="CY42" s="365" t="s">
        <v>3295</v>
      </c>
      <c r="CZ42" s="362">
        <v>0.1</v>
      </c>
      <c r="DA42" s="365"/>
      <c r="DB42" s="362">
        <v>0.1</v>
      </c>
      <c r="DC42" s="365"/>
      <c r="DD42" s="362">
        <v>0.1</v>
      </c>
      <c r="DE42" s="365"/>
      <c r="DF42" s="362">
        <v>0.1</v>
      </c>
      <c r="DG42" s="365"/>
      <c r="DH42" s="370"/>
      <c r="DI42" s="360">
        <v>1</v>
      </c>
      <c r="DJ42" s="351" t="e">
        <f t="shared" si="13"/>
        <v>#N/A</v>
      </c>
      <c r="DK42" s="351" t="e">
        <f t="shared" si="14"/>
        <v>#N/A</v>
      </c>
      <c r="DL42" s="351"/>
      <c r="DM42" s="361" t="s">
        <v>3292</v>
      </c>
      <c r="DN42" s="362">
        <v>0.1</v>
      </c>
      <c r="DO42" s="365" t="s">
        <v>3295</v>
      </c>
      <c r="DP42" s="362">
        <v>0.1</v>
      </c>
      <c r="DQ42" s="365"/>
      <c r="DR42" s="362">
        <v>0.1</v>
      </c>
      <c r="DS42" s="365"/>
      <c r="DT42" s="362">
        <v>0.1</v>
      </c>
      <c r="DU42" s="365"/>
      <c r="DV42" s="362">
        <v>0.1</v>
      </c>
      <c r="DW42" s="365"/>
      <c r="DX42" s="370"/>
      <c r="DY42" s="360">
        <v>1</v>
      </c>
      <c r="DZ42" s="351" t="e">
        <f t="shared" si="15"/>
        <v>#N/A</v>
      </c>
      <c r="EA42" s="351" t="e">
        <f t="shared" si="16"/>
        <v>#N/A</v>
      </c>
      <c r="EB42" s="351"/>
      <c r="EC42" s="157">
        <f t="shared" si="17"/>
        <v>0.1</v>
      </c>
      <c r="ED42" s="157">
        <f t="shared" si="18"/>
        <v>0.2</v>
      </c>
      <c r="EE42" s="157">
        <f t="shared" si="19"/>
        <v>0.1125</v>
      </c>
      <c r="EF42" s="157">
        <f t="shared" si="20"/>
        <v>0.1</v>
      </c>
    </row>
    <row r="43" spans="1:136" ht="14.25" customHeight="1">
      <c r="A43" s="291" t="b">
        <f t="shared" si="0"/>
        <v>1</v>
      </c>
      <c r="B43" s="292"/>
      <c r="C43" s="355" t="s">
        <v>3297</v>
      </c>
      <c r="D43" s="345" t="s">
        <v>3298</v>
      </c>
      <c r="E43" s="361" t="s">
        <v>3299</v>
      </c>
      <c r="F43" s="362">
        <v>0</v>
      </c>
      <c r="G43" s="365"/>
      <c r="H43" s="362">
        <v>0</v>
      </c>
      <c r="I43" s="365"/>
      <c r="J43" s="362">
        <v>0</v>
      </c>
      <c r="K43" s="365"/>
      <c r="L43" s="362">
        <v>0</v>
      </c>
      <c r="M43" s="365"/>
      <c r="N43" s="362">
        <v>0</v>
      </c>
      <c r="O43" s="365"/>
      <c r="P43" s="368" t="s">
        <v>3300</v>
      </c>
      <c r="Q43" s="360">
        <v>1</v>
      </c>
      <c r="R43" s="351" t="e">
        <f t="shared" si="1"/>
        <v>#N/A</v>
      </c>
      <c r="S43" s="351" t="e">
        <f t="shared" si="2"/>
        <v>#N/A</v>
      </c>
      <c r="T43" s="351"/>
      <c r="U43" s="361" t="s">
        <v>3301</v>
      </c>
      <c r="V43" s="362">
        <v>0</v>
      </c>
      <c r="W43" s="365" t="s">
        <v>3302</v>
      </c>
      <c r="X43" s="362">
        <v>0</v>
      </c>
      <c r="Y43" s="365" t="s">
        <v>3302</v>
      </c>
      <c r="Z43" s="362">
        <v>0</v>
      </c>
      <c r="AA43" s="365" t="s">
        <v>3302</v>
      </c>
      <c r="AB43" s="362">
        <v>0</v>
      </c>
      <c r="AC43" s="365"/>
      <c r="AD43" s="362">
        <v>0</v>
      </c>
      <c r="AE43" s="365" t="s">
        <v>3302</v>
      </c>
      <c r="AF43" s="368" t="s">
        <v>3300</v>
      </c>
      <c r="AG43" s="360">
        <v>1</v>
      </c>
      <c r="AH43" s="351" t="e">
        <f t="shared" si="3"/>
        <v>#N/A</v>
      </c>
      <c r="AI43" s="351" t="e">
        <f t="shared" si="4"/>
        <v>#N/A</v>
      </c>
      <c r="AJ43" s="351"/>
      <c r="AK43" s="361" t="s">
        <v>3303</v>
      </c>
      <c r="AL43" s="362">
        <v>0</v>
      </c>
      <c r="AM43" s="365" t="s">
        <v>3302</v>
      </c>
      <c r="AN43" s="362">
        <v>0</v>
      </c>
      <c r="AO43" s="365" t="s">
        <v>3302</v>
      </c>
      <c r="AP43" s="362">
        <v>0</v>
      </c>
      <c r="AQ43" s="365" t="s">
        <v>3302</v>
      </c>
      <c r="AR43" s="362">
        <v>0</v>
      </c>
      <c r="AS43" s="365"/>
      <c r="AT43" s="362">
        <v>0</v>
      </c>
      <c r="AU43" s="365" t="s">
        <v>3302</v>
      </c>
      <c r="AV43" s="368" t="s">
        <v>3300</v>
      </c>
      <c r="AW43" s="360">
        <v>1</v>
      </c>
      <c r="AX43" s="351" t="e">
        <f t="shared" si="5"/>
        <v>#N/A</v>
      </c>
      <c r="AY43" s="351" t="e">
        <f t="shared" si="6"/>
        <v>#N/A</v>
      </c>
      <c r="AZ43" s="351"/>
      <c r="BA43" s="361" t="s">
        <v>3301</v>
      </c>
      <c r="BB43" s="362">
        <v>0</v>
      </c>
      <c r="BC43" s="365" t="s">
        <v>3302</v>
      </c>
      <c r="BD43" s="362">
        <v>0</v>
      </c>
      <c r="BE43" s="365" t="s">
        <v>3302</v>
      </c>
      <c r="BF43" s="362">
        <v>0</v>
      </c>
      <c r="BG43" s="365" t="s">
        <v>3302</v>
      </c>
      <c r="BH43" s="362">
        <v>0</v>
      </c>
      <c r="BI43" s="365"/>
      <c r="BJ43" s="362">
        <v>0</v>
      </c>
      <c r="BK43" s="365" t="s">
        <v>3302</v>
      </c>
      <c r="BL43" s="368" t="s">
        <v>3300</v>
      </c>
      <c r="BM43" s="360">
        <v>1</v>
      </c>
      <c r="BN43" s="351" t="e">
        <f t="shared" si="7"/>
        <v>#N/A</v>
      </c>
      <c r="BO43" s="351" t="e">
        <f t="shared" si="8"/>
        <v>#N/A</v>
      </c>
      <c r="BP43" s="351"/>
      <c r="BQ43" s="361" t="s">
        <v>3301</v>
      </c>
      <c r="BR43" s="362">
        <v>0</v>
      </c>
      <c r="BS43" s="365" t="s">
        <v>3302</v>
      </c>
      <c r="BT43" s="362">
        <v>0</v>
      </c>
      <c r="BU43" s="365" t="s">
        <v>3302</v>
      </c>
      <c r="BV43" s="362">
        <v>0</v>
      </c>
      <c r="BW43" s="365" t="s">
        <v>3302</v>
      </c>
      <c r="BX43" s="362">
        <v>0</v>
      </c>
      <c r="BY43" s="365"/>
      <c r="BZ43" s="362">
        <v>0</v>
      </c>
      <c r="CA43" s="365" t="s">
        <v>3302</v>
      </c>
      <c r="CB43" s="368" t="s">
        <v>3300</v>
      </c>
      <c r="CC43" s="360">
        <v>1</v>
      </c>
      <c r="CD43" s="351" t="e">
        <f t="shared" si="9"/>
        <v>#N/A</v>
      </c>
      <c r="CE43" s="351" t="e">
        <f t="shared" si="10"/>
        <v>#N/A</v>
      </c>
      <c r="CF43" s="351"/>
      <c r="CG43" s="361" t="s">
        <v>3303</v>
      </c>
      <c r="CH43" s="362">
        <v>0</v>
      </c>
      <c r="CI43" s="365" t="s">
        <v>3302</v>
      </c>
      <c r="CJ43" s="362">
        <v>0</v>
      </c>
      <c r="CK43" s="365" t="s">
        <v>3302</v>
      </c>
      <c r="CL43" s="362">
        <v>0</v>
      </c>
      <c r="CM43" s="365" t="s">
        <v>3302</v>
      </c>
      <c r="CN43" s="362">
        <v>0</v>
      </c>
      <c r="CO43" s="365"/>
      <c r="CP43" s="362">
        <v>0</v>
      </c>
      <c r="CQ43" s="365" t="s">
        <v>3302</v>
      </c>
      <c r="CR43" s="368" t="s">
        <v>3300</v>
      </c>
      <c r="CS43" s="360">
        <v>1</v>
      </c>
      <c r="CT43" s="351" t="e">
        <f t="shared" si="11"/>
        <v>#N/A</v>
      </c>
      <c r="CU43" s="351" t="e">
        <f t="shared" si="12"/>
        <v>#N/A</v>
      </c>
      <c r="CV43" s="351"/>
      <c r="CW43" s="361" t="s">
        <v>3304</v>
      </c>
      <c r="CX43" s="362">
        <v>0</v>
      </c>
      <c r="CY43" s="365" t="s">
        <v>3302</v>
      </c>
      <c r="CZ43" s="362">
        <v>0</v>
      </c>
      <c r="DA43" s="365" t="s">
        <v>3302</v>
      </c>
      <c r="DB43" s="362">
        <v>0</v>
      </c>
      <c r="DC43" s="365" t="s">
        <v>3302</v>
      </c>
      <c r="DD43" s="362">
        <v>0</v>
      </c>
      <c r="DE43" s="365"/>
      <c r="DF43" s="362">
        <v>0</v>
      </c>
      <c r="DG43" s="365" t="s">
        <v>3302</v>
      </c>
      <c r="DH43" s="368" t="s">
        <v>3300</v>
      </c>
      <c r="DI43" s="360">
        <v>1</v>
      </c>
      <c r="DJ43" s="351" t="e">
        <f t="shared" si="13"/>
        <v>#N/A</v>
      </c>
      <c r="DK43" s="351" t="e">
        <f t="shared" si="14"/>
        <v>#N/A</v>
      </c>
      <c r="DL43" s="351"/>
      <c r="DM43" s="361" t="s">
        <v>3305</v>
      </c>
      <c r="DN43" s="362">
        <v>0</v>
      </c>
      <c r="DO43" s="365" t="s">
        <v>3302</v>
      </c>
      <c r="DP43" s="362">
        <v>0</v>
      </c>
      <c r="DQ43" s="365" t="s">
        <v>3302</v>
      </c>
      <c r="DR43" s="362">
        <v>0</v>
      </c>
      <c r="DS43" s="365" t="s">
        <v>3302</v>
      </c>
      <c r="DT43" s="362">
        <v>0</v>
      </c>
      <c r="DU43" s="365"/>
      <c r="DV43" s="362">
        <v>0</v>
      </c>
      <c r="DW43" s="365" t="s">
        <v>3302</v>
      </c>
      <c r="DX43" s="368" t="s">
        <v>3300</v>
      </c>
      <c r="DY43" s="360">
        <v>1</v>
      </c>
      <c r="DZ43" s="351" t="e">
        <f t="shared" si="15"/>
        <v>#N/A</v>
      </c>
      <c r="EA43" s="351" t="e">
        <f t="shared" si="16"/>
        <v>#N/A</v>
      </c>
      <c r="EB43" s="351"/>
      <c r="EC43" s="157">
        <f t="shared" si="17"/>
        <v>0</v>
      </c>
      <c r="ED43" s="157">
        <f t="shared" si="18"/>
        <v>0</v>
      </c>
      <c r="EE43" s="157">
        <f t="shared" si="19"/>
        <v>0</v>
      </c>
      <c r="EF43" s="157">
        <f t="shared" si="20"/>
        <v>0</v>
      </c>
    </row>
    <row r="44" spans="1:136" ht="14.25" customHeight="1">
      <c r="A44" s="291" t="b">
        <f t="shared" si="0"/>
        <v>1</v>
      </c>
      <c r="B44" s="292"/>
      <c r="C44" s="355" t="s">
        <v>3306</v>
      </c>
      <c r="D44" s="345"/>
      <c r="E44" s="361" t="s">
        <v>3292</v>
      </c>
      <c r="F44" s="362">
        <v>0.5</v>
      </c>
      <c r="G44" s="365"/>
      <c r="H44" s="362">
        <v>0.5</v>
      </c>
      <c r="I44" s="365"/>
      <c r="J44" s="362">
        <v>0.5</v>
      </c>
      <c r="K44" s="365"/>
      <c r="L44" s="362">
        <v>0.5</v>
      </c>
      <c r="M44" s="365"/>
      <c r="N44" s="362">
        <v>0.5</v>
      </c>
      <c r="O44" s="365"/>
      <c r="P44" s="370"/>
      <c r="Q44" s="360">
        <v>1</v>
      </c>
      <c r="R44" s="351" t="e">
        <f t="shared" si="1"/>
        <v>#N/A</v>
      </c>
      <c r="S44" s="351" t="e">
        <f t="shared" si="2"/>
        <v>#N/A</v>
      </c>
      <c r="T44" s="351"/>
      <c r="U44" s="361" t="s">
        <v>3292</v>
      </c>
      <c r="V44" s="362">
        <v>0.5</v>
      </c>
      <c r="W44" s="365"/>
      <c r="X44" s="362">
        <v>0.5</v>
      </c>
      <c r="Y44" s="365"/>
      <c r="Z44" s="362">
        <v>0.5</v>
      </c>
      <c r="AA44" s="365"/>
      <c r="AB44" s="362">
        <v>0.5</v>
      </c>
      <c r="AC44" s="365"/>
      <c r="AD44" s="362">
        <v>0.5</v>
      </c>
      <c r="AE44" s="365"/>
      <c r="AF44" s="370"/>
      <c r="AG44" s="360">
        <v>1</v>
      </c>
      <c r="AH44" s="351" t="e">
        <f t="shared" si="3"/>
        <v>#N/A</v>
      </c>
      <c r="AI44" s="351" t="e">
        <f t="shared" si="4"/>
        <v>#N/A</v>
      </c>
      <c r="AJ44" s="351"/>
      <c r="AK44" s="361" t="s">
        <v>3292</v>
      </c>
      <c r="AL44" s="362">
        <v>0.5</v>
      </c>
      <c r="AM44" s="365"/>
      <c r="AN44" s="362">
        <v>0.5</v>
      </c>
      <c r="AO44" s="365"/>
      <c r="AP44" s="362">
        <v>0.5</v>
      </c>
      <c r="AQ44" s="365"/>
      <c r="AR44" s="362">
        <v>0.5</v>
      </c>
      <c r="AS44" s="365"/>
      <c r="AT44" s="362">
        <v>0.5</v>
      </c>
      <c r="AU44" s="365"/>
      <c r="AV44" s="370"/>
      <c r="AW44" s="360">
        <v>1</v>
      </c>
      <c r="AX44" s="351" t="e">
        <f t="shared" si="5"/>
        <v>#N/A</v>
      </c>
      <c r="AY44" s="351" t="e">
        <f t="shared" si="6"/>
        <v>#N/A</v>
      </c>
      <c r="AZ44" s="351"/>
      <c r="BA44" s="361" t="s">
        <v>3292</v>
      </c>
      <c r="BB44" s="362">
        <v>0.5</v>
      </c>
      <c r="BC44" s="365"/>
      <c r="BD44" s="362">
        <v>0.5</v>
      </c>
      <c r="BE44" s="365"/>
      <c r="BF44" s="362">
        <v>0.5</v>
      </c>
      <c r="BG44" s="365"/>
      <c r="BH44" s="362">
        <v>0.5</v>
      </c>
      <c r="BI44" s="365"/>
      <c r="BJ44" s="362">
        <v>0.5</v>
      </c>
      <c r="BK44" s="365"/>
      <c r="BL44" s="370"/>
      <c r="BM44" s="360">
        <v>1</v>
      </c>
      <c r="BN44" s="351" t="e">
        <f t="shared" si="7"/>
        <v>#N/A</v>
      </c>
      <c r="BO44" s="351" t="e">
        <f t="shared" si="8"/>
        <v>#N/A</v>
      </c>
      <c r="BP44" s="351"/>
      <c r="BQ44" s="361" t="s">
        <v>3292</v>
      </c>
      <c r="BR44" s="362">
        <v>0.5</v>
      </c>
      <c r="BS44" s="365"/>
      <c r="BT44" s="362">
        <v>0.5</v>
      </c>
      <c r="BU44" s="365"/>
      <c r="BV44" s="362">
        <v>0.5</v>
      </c>
      <c r="BW44" s="365"/>
      <c r="BX44" s="362">
        <v>0.5</v>
      </c>
      <c r="BY44" s="365"/>
      <c r="BZ44" s="362">
        <v>0.5</v>
      </c>
      <c r="CA44" s="365"/>
      <c r="CB44" s="370"/>
      <c r="CC44" s="360">
        <v>1</v>
      </c>
      <c r="CD44" s="351" t="e">
        <f t="shared" si="9"/>
        <v>#N/A</v>
      </c>
      <c r="CE44" s="351" t="e">
        <f t="shared" si="10"/>
        <v>#N/A</v>
      </c>
      <c r="CF44" s="351"/>
      <c r="CG44" s="361" t="s">
        <v>3292</v>
      </c>
      <c r="CH44" s="362">
        <v>0.5</v>
      </c>
      <c r="CI44" s="365"/>
      <c r="CJ44" s="362">
        <v>0.5</v>
      </c>
      <c r="CK44" s="365"/>
      <c r="CL44" s="362">
        <v>0.5</v>
      </c>
      <c r="CM44" s="365"/>
      <c r="CN44" s="362">
        <v>0.5</v>
      </c>
      <c r="CO44" s="365"/>
      <c r="CP44" s="362">
        <v>0.5</v>
      </c>
      <c r="CQ44" s="365"/>
      <c r="CR44" s="370"/>
      <c r="CS44" s="360">
        <v>1</v>
      </c>
      <c r="CT44" s="351" t="e">
        <f t="shared" si="11"/>
        <v>#N/A</v>
      </c>
      <c r="CU44" s="351" t="e">
        <f t="shared" si="12"/>
        <v>#N/A</v>
      </c>
      <c r="CV44" s="351"/>
      <c r="CW44" s="361" t="s">
        <v>3292</v>
      </c>
      <c r="CX44" s="362">
        <v>0.5</v>
      </c>
      <c r="CY44" s="365"/>
      <c r="CZ44" s="362">
        <v>0.5</v>
      </c>
      <c r="DA44" s="365"/>
      <c r="DB44" s="362">
        <v>0.5</v>
      </c>
      <c r="DC44" s="365"/>
      <c r="DD44" s="362">
        <v>0.5</v>
      </c>
      <c r="DE44" s="365"/>
      <c r="DF44" s="362">
        <v>0.5</v>
      </c>
      <c r="DG44" s="365"/>
      <c r="DH44" s="370"/>
      <c r="DI44" s="360">
        <v>1</v>
      </c>
      <c r="DJ44" s="351" t="e">
        <f t="shared" si="13"/>
        <v>#N/A</v>
      </c>
      <c r="DK44" s="351" t="e">
        <f t="shared" si="14"/>
        <v>#N/A</v>
      </c>
      <c r="DL44" s="351"/>
      <c r="DM44" s="361" t="s">
        <v>3292</v>
      </c>
      <c r="DN44" s="362">
        <v>0.5</v>
      </c>
      <c r="DO44" s="365"/>
      <c r="DP44" s="362">
        <v>0.5</v>
      </c>
      <c r="DQ44" s="365"/>
      <c r="DR44" s="362">
        <v>0.5</v>
      </c>
      <c r="DS44" s="365"/>
      <c r="DT44" s="362">
        <v>0.5</v>
      </c>
      <c r="DU44" s="365"/>
      <c r="DV44" s="362">
        <v>0.5</v>
      </c>
      <c r="DW44" s="365"/>
      <c r="DX44" s="370"/>
      <c r="DY44" s="360">
        <v>1</v>
      </c>
      <c r="DZ44" s="351" t="e">
        <f t="shared" si="15"/>
        <v>#N/A</v>
      </c>
      <c r="EA44" s="351" t="e">
        <f t="shared" si="16"/>
        <v>#N/A</v>
      </c>
      <c r="EB44" s="351"/>
      <c r="EC44" s="157">
        <f t="shared" si="17"/>
        <v>0.5</v>
      </c>
      <c r="ED44" s="157">
        <f t="shared" si="18"/>
        <v>0.5</v>
      </c>
      <c r="EE44" s="157">
        <f t="shared" si="19"/>
        <v>0.5</v>
      </c>
      <c r="EF44" s="157">
        <f t="shared" si="20"/>
        <v>0.5</v>
      </c>
    </row>
    <row r="45" spans="1:136" ht="14.25" customHeight="1">
      <c r="A45" s="291" t="b">
        <f t="shared" si="0"/>
        <v>1</v>
      </c>
      <c r="B45" s="292"/>
      <c r="C45" s="355" t="s">
        <v>3307</v>
      </c>
      <c r="D45" s="345"/>
      <c r="E45" s="361" t="s">
        <v>3292</v>
      </c>
      <c r="F45" s="362">
        <v>0.3</v>
      </c>
      <c r="G45" s="365"/>
      <c r="H45" s="362">
        <v>0.3</v>
      </c>
      <c r="I45" s="365"/>
      <c r="J45" s="362">
        <v>0.3</v>
      </c>
      <c r="K45" s="365"/>
      <c r="L45" s="362">
        <v>0.3</v>
      </c>
      <c r="M45" s="365"/>
      <c r="N45" s="362">
        <v>0.3</v>
      </c>
      <c r="O45" s="365"/>
      <c r="P45" s="370"/>
      <c r="Q45" s="360">
        <v>1</v>
      </c>
      <c r="R45" s="351" t="e">
        <f t="shared" si="1"/>
        <v>#N/A</v>
      </c>
      <c r="S45" s="351" t="e">
        <f t="shared" si="2"/>
        <v>#N/A</v>
      </c>
      <c r="T45" s="351"/>
      <c r="U45" s="361" t="s">
        <v>3292</v>
      </c>
      <c r="V45" s="362">
        <v>0.3</v>
      </c>
      <c r="W45" s="365"/>
      <c r="X45" s="362">
        <v>0.3</v>
      </c>
      <c r="Y45" s="365"/>
      <c r="Z45" s="362">
        <v>0.3</v>
      </c>
      <c r="AA45" s="365"/>
      <c r="AB45" s="362">
        <v>0.3</v>
      </c>
      <c r="AC45" s="365"/>
      <c r="AD45" s="362">
        <v>0.3</v>
      </c>
      <c r="AE45" s="365"/>
      <c r="AF45" s="370"/>
      <c r="AG45" s="360">
        <v>1</v>
      </c>
      <c r="AH45" s="351" t="e">
        <f t="shared" si="3"/>
        <v>#N/A</v>
      </c>
      <c r="AI45" s="351" t="e">
        <f t="shared" si="4"/>
        <v>#N/A</v>
      </c>
      <c r="AJ45" s="351"/>
      <c r="AK45" s="361" t="s">
        <v>3292</v>
      </c>
      <c r="AL45" s="362">
        <v>0.3</v>
      </c>
      <c r="AM45" s="365"/>
      <c r="AN45" s="362">
        <v>0.3</v>
      </c>
      <c r="AO45" s="365"/>
      <c r="AP45" s="362">
        <v>0.3</v>
      </c>
      <c r="AQ45" s="365"/>
      <c r="AR45" s="362">
        <v>0.3</v>
      </c>
      <c r="AS45" s="365"/>
      <c r="AT45" s="362">
        <v>0.3</v>
      </c>
      <c r="AU45" s="365"/>
      <c r="AV45" s="370"/>
      <c r="AW45" s="360">
        <v>1</v>
      </c>
      <c r="AX45" s="351" t="e">
        <f t="shared" si="5"/>
        <v>#N/A</v>
      </c>
      <c r="AY45" s="351" t="e">
        <f t="shared" si="6"/>
        <v>#N/A</v>
      </c>
      <c r="AZ45" s="351"/>
      <c r="BA45" s="361" t="s">
        <v>3292</v>
      </c>
      <c r="BB45" s="362">
        <v>0.3</v>
      </c>
      <c r="BC45" s="365"/>
      <c r="BD45" s="362">
        <v>0.3</v>
      </c>
      <c r="BE45" s="365"/>
      <c r="BF45" s="362">
        <v>0.3</v>
      </c>
      <c r="BG45" s="365"/>
      <c r="BH45" s="362">
        <v>0.3</v>
      </c>
      <c r="BI45" s="365"/>
      <c r="BJ45" s="362">
        <v>0.3</v>
      </c>
      <c r="BK45" s="365"/>
      <c r="BL45" s="370"/>
      <c r="BM45" s="360">
        <v>1</v>
      </c>
      <c r="BN45" s="351" t="e">
        <f t="shared" si="7"/>
        <v>#N/A</v>
      </c>
      <c r="BO45" s="351" t="e">
        <f t="shared" si="8"/>
        <v>#N/A</v>
      </c>
      <c r="BP45" s="351"/>
      <c r="BQ45" s="361" t="s">
        <v>3292</v>
      </c>
      <c r="BR45" s="362">
        <v>0.3</v>
      </c>
      <c r="BS45" s="365"/>
      <c r="BT45" s="362">
        <v>0.3</v>
      </c>
      <c r="BU45" s="365"/>
      <c r="BV45" s="362">
        <v>0.3</v>
      </c>
      <c r="BW45" s="365"/>
      <c r="BX45" s="362">
        <v>0.3</v>
      </c>
      <c r="BY45" s="365"/>
      <c r="BZ45" s="362">
        <v>0.3</v>
      </c>
      <c r="CA45" s="365"/>
      <c r="CB45" s="370"/>
      <c r="CC45" s="360">
        <v>1</v>
      </c>
      <c r="CD45" s="351" t="e">
        <f t="shared" si="9"/>
        <v>#N/A</v>
      </c>
      <c r="CE45" s="351" t="e">
        <f t="shared" si="10"/>
        <v>#N/A</v>
      </c>
      <c r="CF45" s="351"/>
      <c r="CG45" s="361" t="s">
        <v>3292</v>
      </c>
      <c r="CH45" s="362">
        <v>0.3</v>
      </c>
      <c r="CI45" s="365"/>
      <c r="CJ45" s="362">
        <v>0.3</v>
      </c>
      <c r="CK45" s="365"/>
      <c r="CL45" s="362">
        <v>0.3</v>
      </c>
      <c r="CM45" s="365"/>
      <c r="CN45" s="362">
        <v>0.3</v>
      </c>
      <c r="CO45" s="365"/>
      <c r="CP45" s="362">
        <v>0.3</v>
      </c>
      <c r="CQ45" s="365"/>
      <c r="CR45" s="370"/>
      <c r="CS45" s="360">
        <v>1</v>
      </c>
      <c r="CT45" s="351" t="e">
        <f t="shared" si="11"/>
        <v>#N/A</v>
      </c>
      <c r="CU45" s="351" t="e">
        <f t="shared" si="12"/>
        <v>#N/A</v>
      </c>
      <c r="CV45" s="351"/>
      <c r="CW45" s="361" t="s">
        <v>3292</v>
      </c>
      <c r="CX45" s="362">
        <v>0.3</v>
      </c>
      <c r="CY45" s="365"/>
      <c r="CZ45" s="362">
        <v>0.3</v>
      </c>
      <c r="DA45" s="365"/>
      <c r="DB45" s="362">
        <v>0.3</v>
      </c>
      <c r="DC45" s="365"/>
      <c r="DD45" s="362">
        <v>0.3</v>
      </c>
      <c r="DE45" s="365"/>
      <c r="DF45" s="362">
        <v>0.3</v>
      </c>
      <c r="DG45" s="365"/>
      <c r="DH45" s="370"/>
      <c r="DI45" s="360">
        <v>1</v>
      </c>
      <c r="DJ45" s="351" t="e">
        <f t="shared" si="13"/>
        <v>#N/A</v>
      </c>
      <c r="DK45" s="351" t="e">
        <f t="shared" si="14"/>
        <v>#N/A</v>
      </c>
      <c r="DL45" s="351"/>
      <c r="DM45" s="361" t="s">
        <v>3292</v>
      </c>
      <c r="DN45" s="362">
        <v>0.3</v>
      </c>
      <c r="DO45" s="365"/>
      <c r="DP45" s="362">
        <v>0.3</v>
      </c>
      <c r="DQ45" s="365"/>
      <c r="DR45" s="362">
        <v>0.3</v>
      </c>
      <c r="DS45" s="365"/>
      <c r="DT45" s="362">
        <v>0.3</v>
      </c>
      <c r="DU45" s="365"/>
      <c r="DV45" s="362">
        <v>0.3</v>
      </c>
      <c r="DW45" s="365"/>
      <c r="DX45" s="370"/>
      <c r="DY45" s="360">
        <v>1</v>
      </c>
      <c r="DZ45" s="351" t="e">
        <f t="shared" si="15"/>
        <v>#N/A</v>
      </c>
      <c r="EA45" s="351" t="e">
        <f t="shared" si="16"/>
        <v>#N/A</v>
      </c>
      <c r="EB45" s="351"/>
      <c r="EC45" s="157">
        <f t="shared" si="17"/>
        <v>0.3</v>
      </c>
      <c r="ED45" s="157">
        <f t="shared" si="18"/>
        <v>0.3</v>
      </c>
      <c r="EE45" s="157">
        <f t="shared" si="19"/>
        <v>0.30000000000000016</v>
      </c>
      <c r="EF45" s="157">
        <f t="shared" si="20"/>
        <v>0.3</v>
      </c>
    </row>
    <row r="46" spans="1:136" ht="14.25" customHeight="1">
      <c r="A46" s="291" t="b">
        <f t="shared" si="0"/>
        <v>1</v>
      </c>
      <c r="B46" s="292"/>
      <c r="C46" s="355" t="s">
        <v>3308</v>
      </c>
      <c r="D46" s="345"/>
      <c r="E46" s="361" t="s">
        <v>3309</v>
      </c>
      <c r="F46" s="362">
        <v>1</v>
      </c>
      <c r="G46" s="365"/>
      <c r="H46" s="362">
        <v>1</v>
      </c>
      <c r="I46" s="365"/>
      <c r="J46" s="362">
        <v>1</v>
      </c>
      <c r="K46" s="365"/>
      <c r="L46" s="362">
        <v>1</v>
      </c>
      <c r="M46" s="365"/>
      <c r="N46" s="362">
        <v>1</v>
      </c>
      <c r="O46" s="365"/>
      <c r="P46" s="370"/>
      <c r="Q46" s="360">
        <v>1</v>
      </c>
      <c r="R46" s="351" t="e">
        <f t="shared" si="1"/>
        <v>#N/A</v>
      </c>
      <c r="S46" s="351" t="e">
        <f t="shared" si="2"/>
        <v>#N/A</v>
      </c>
      <c r="T46" s="351"/>
      <c r="U46" s="361" t="s">
        <v>3309</v>
      </c>
      <c r="V46" s="362">
        <v>1</v>
      </c>
      <c r="W46" s="365"/>
      <c r="X46" s="362">
        <v>1</v>
      </c>
      <c r="Y46" s="365"/>
      <c r="Z46" s="362">
        <v>1</v>
      </c>
      <c r="AA46" s="365"/>
      <c r="AB46" s="362">
        <v>1</v>
      </c>
      <c r="AC46" s="365"/>
      <c r="AD46" s="362">
        <v>1</v>
      </c>
      <c r="AE46" s="365"/>
      <c r="AF46" s="370"/>
      <c r="AG46" s="360">
        <v>1</v>
      </c>
      <c r="AH46" s="351" t="e">
        <f t="shared" si="3"/>
        <v>#N/A</v>
      </c>
      <c r="AI46" s="351" t="e">
        <f t="shared" si="4"/>
        <v>#N/A</v>
      </c>
      <c r="AJ46" s="351"/>
      <c r="AK46" s="361" t="s">
        <v>3309</v>
      </c>
      <c r="AL46" s="362">
        <v>1</v>
      </c>
      <c r="AM46" s="365"/>
      <c r="AN46" s="362">
        <v>1</v>
      </c>
      <c r="AO46" s="365"/>
      <c r="AP46" s="362">
        <v>1</v>
      </c>
      <c r="AQ46" s="365"/>
      <c r="AR46" s="362">
        <v>1</v>
      </c>
      <c r="AS46" s="365"/>
      <c r="AT46" s="362">
        <v>1</v>
      </c>
      <c r="AU46" s="365"/>
      <c r="AV46" s="370"/>
      <c r="AW46" s="360">
        <v>1</v>
      </c>
      <c r="AX46" s="351" t="e">
        <f t="shared" si="5"/>
        <v>#N/A</v>
      </c>
      <c r="AY46" s="351" t="e">
        <f t="shared" si="6"/>
        <v>#N/A</v>
      </c>
      <c r="AZ46" s="351"/>
      <c r="BA46" s="361" t="s">
        <v>3309</v>
      </c>
      <c r="BB46" s="362">
        <v>1</v>
      </c>
      <c r="BC46" s="365"/>
      <c r="BD46" s="362">
        <v>1</v>
      </c>
      <c r="BE46" s="365"/>
      <c r="BF46" s="362">
        <v>1</v>
      </c>
      <c r="BG46" s="365"/>
      <c r="BH46" s="362">
        <v>1</v>
      </c>
      <c r="BI46" s="365"/>
      <c r="BJ46" s="362">
        <v>1</v>
      </c>
      <c r="BK46" s="365"/>
      <c r="BL46" s="370"/>
      <c r="BM46" s="360">
        <v>1</v>
      </c>
      <c r="BN46" s="351" t="e">
        <f t="shared" si="7"/>
        <v>#N/A</v>
      </c>
      <c r="BO46" s="351" t="e">
        <f t="shared" si="8"/>
        <v>#N/A</v>
      </c>
      <c r="BP46" s="351"/>
      <c r="BQ46" s="361" t="s">
        <v>3309</v>
      </c>
      <c r="BR46" s="362">
        <v>1</v>
      </c>
      <c r="BS46" s="365"/>
      <c r="BT46" s="362">
        <v>1</v>
      </c>
      <c r="BU46" s="365"/>
      <c r="BV46" s="362">
        <v>1</v>
      </c>
      <c r="BW46" s="365"/>
      <c r="BX46" s="362">
        <v>1</v>
      </c>
      <c r="BY46" s="365"/>
      <c r="BZ46" s="362">
        <v>1</v>
      </c>
      <c r="CA46" s="365"/>
      <c r="CB46" s="370"/>
      <c r="CC46" s="360">
        <v>1</v>
      </c>
      <c r="CD46" s="351" t="e">
        <f t="shared" si="9"/>
        <v>#N/A</v>
      </c>
      <c r="CE46" s="351" t="e">
        <f t="shared" si="10"/>
        <v>#N/A</v>
      </c>
      <c r="CF46" s="351"/>
      <c r="CG46" s="361" t="s">
        <v>3309</v>
      </c>
      <c r="CH46" s="362">
        <v>1</v>
      </c>
      <c r="CI46" s="365"/>
      <c r="CJ46" s="362">
        <v>1</v>
      </c>
      <c r="CK46" s="365"/>
      <c r="CL46" s="362">
        <v>1</v>
      </c>
      <c r="CM46" s="365"/>
      <c r="CN46" s="362">
        <v>1</v>
      </c>
      <c r="CO46" s="365"/>
      <c r="CP46" s="362">
        <v>1</v>
      </c>
      <c r="CQ46" s="365"/>
      <c r="CR46" s="370"/>
      <c r="CS46" s="360">
        <v>1</v>
      </c>
      <c r="CT46" s="351" t="e">
        <f t="shared" si="11"/>
        <v>#N/A</v>
      </c>
      <c r="CU46" s="351" t="e">
        <f t="shared" si="12"/>
        <v>#N/A</v>
      </c>
      <c r="CV46" s="351"/>
      <c r="CW46" s="361" t="s">
        <v>3309</v>
      </c>
      <c r="CX46" s="362">
        <v>1</v>
      </c>
      <c r="CY46" s="365"/>
      <c r="CZ46" s="362">
        <v>1</v>
      </c>
      <c r="DA46" s="365"/>
      <c r="DB46" s="362">
        <v>1</v>
      </c>
      <c r="DC46" s="365"/>
      <c r="DD46" s="362">
        <v>1</v>
      </c>
      <c r="DE46" s="365"/>
      <c r="DF46" s="362">
        <v>1</v>
      </c>
      <c r="DG46" s="365"/>
      <c r="DH46" s="370"/>
      <c r="DI46" s="360">
        <v>1</v>
      </c>
      <c r="DJ46" s="351" t="e">
        <f t="shared" si="13"/>
        <v>#N/A</v>
      </c>
      <c r="DK46" s="351" t="e">
        <f t="shared" si="14"/>
        <v>#N/A</v>
      </c>
      <c r="DL46" s="351"/>
      <c r="DM46" s="361" t="s">
        <v>3309</v>
      </c>
      <c r="DN46" s="362">
        <v>1</v>
      </c>
      <c r="DO46" s="365"/>
      <c r="DP46" s="362">
        <v>1</v>
      </c>
      <c r="DQ46" s="365"/>
      <c r="DR46" s="362">
        <v>1</v>
      </c>
      <c r="DS46" s="365"/>
      <c r="DT46" s="362">
        <v>1</v>
      </c>
      <c r="DU46" s="365"/>
      <c r="DV46" s="362">
        <v>1</v>
      </c>
      <c r="DW46" s="365"/>
      <c r="DX46" s="370"/>
      <c r="DY46" s="360">
        <v>1</v>
      </c>
      <c r="DZ46" s="351" t="e">
        <f t="shared" si="15"/>
        <v>#N/A</v>
      </c>
      <c r="EA46" s="351" t="e">
        <f t="shared" si="16"/>
        <v>#N/A</v>
      </c>
      <c r="EB46" s="351"/>
      <c r="EC46" s="157">
        <f t="shared" si="17"/>
        <v>1</v>
      </c>
      <c r="ED46" s="157">
        <f t="shared" si="18"/>
        <v>1</v>
      </c>
      <c r="EE46" s="157">
        <f t="shared" si="19"/>
        <v>1</v>
      </c>
      <c r="EF46" s="157">
        <f t="shared" si="20"/>
        <v>1</v>
      </c>
    </row>
    <row r="47" spans="1:136" ht="14.25" customHeight="1">
      <c r="A47" s="291" t="b">
        <f t="shared" si="0"/>
        <v>0</v>
      </c>
      <c r="B47" s="292"/>
      <c r="C47" s="355" t="s">
        <v>3310</v>
      </c>
      <c r="D47" s="345"/>
      <c r="E47" s="371" t="s">
        <v>3311</v>
      </c>
      <c r="F47" s="372">
        <v>1</v>
      </c>
      <c r="G47" s="358"/>
      <c r="H47" s="372">
        <v>1</v>
      </c>
      <c r="I47" s="358"/>
      <c r="J47" s="372">
        <v>1</v>
      </c>
      <c r="K47" s="358"/>
      <c r="L47" s="372">
        <v>1</v>
      </c>
      <c r="M47" s="358"/>
      <c r="N47" s="372">
        <v>1</v>
      </c>
      <c r="O47" s="358"/>
      <c r="P47" s="359"/>
      <c r="Q47" s="360">
        <v>1</v>
      </c>
      <c r="R47" s="351" t="e">
        <f t="shared" si="1"/>
        <v>#N/A</v>
      </c>
      <c r="S47" s="351" t="e">
        <f t="shared" si="2"/>
        <v>#N/A</v>
      </c>
      <c r="T47" s="351"/>
      <c r="U47" s="371" t="s">
        <v>3312</v>
      </c>
      <c r="V47" s="372">
        <v>0.8</v>
      </c>
      <c r="W47" s="374"/>
      <c r="X47" s="380">
        <v>0.8</v>
      </c>
      <c r="Y47" s="374"/>
      <c r="Z47" s="380">
        <v>0.8</v>
      </c>
      <c r="AA47" s="374"/>
      <c r="AB47" s="380">
        <v>0.8</v>
      </c>
      <c r="AC47" s="374"/>
      <c r="AD47" s="380">
        <v>0.8</v>
      </c>
      <c r="AE47" s="374"/>
      <c r="AF47" s="374"/>
      <c r="AG47" s="360">
        <v>1</v>
      </c>
      <c r="AH47" s="351" t="e">
        <f t="shared" si="3"/>
        <v>#N/A</v>
      </c>
      <c r="AI47" s="351" t="e">
        <f t="shared" si="4"/>
        <v>#N/A</v>
      </c>
      <c r="AJ47" s="351"/>
      <c r="AK47" s="361" t="s">
        <v>3313</v>
      </c>
      <c r="AL47" s="362">
        <v>1</v>
      </c>
      <c r="AM47" s="365"/>
      <c r="AN47" s="362">
        <v>1</v>
      </c>
      <c r="AO47" s="365"/>
      <c r="AP47" s="362">
        <v>1</v>
      </c>
      <c r="AQ47" s="365"/>
      <c r="AR47" s="362">
        <v>1</v>
      </c>
      <c r="AS47" s="365"/>
      <c r="AT47" s="362">
        <v>1</v>
      </c>
      <c r="AU47" s="365"/>
      <c r="AV47" s="365"/>
      <c r="AW47" s="360">
        <v>1</v>
      </c>
      <c r="AX47" s="351" t="e">
        <f t="shared" si="5"/>
        <v>#N/A</v>
      </c>
      <c r="AY47" s="351" t="e">
        <f t="shared" si="6"/>
        <v>#N/A</v>
      </c>
      <c r="AZ47" s="351"/>
      <c r="BA47" s="361" t="s">
        <v>3313</v>
      </c>
      <c r="BB47" s="366">
        <v>1</v>
      </c>
      <c r="BC47" s="365"/>
      <c r="BD47" s="366">
        <v>1</v>
      </c>
      <c r="BE47" s="365"/>
      <c r="BF47" s="366">
        <v>1</v>
      </c>
      <c r="BG47" s="365"/>
      <c r="BH47" s="366">
        <v>1</v>
      </c>
      <c r="BI47" s="365"/>
      <c r="BJ47" s="366">
        <v>1</v>
      </c>
      <c r="BK47" s="365"/>
      <c r="BL47" s="365"/>
      <c r="BM47" s="360">
        <v>1</v>
      </c>
      <c r="BN47" s="351" t="e">
        <f t="shared" si="7"/>
        <v>#N/A</v>
      </c>
      <c r="BO47" s="351" t="e">
        <f t="shared" si="8"/>
        <v>#N/A</v>
      </c>
      <c r="BP47" s="351"/>
      <c r="BQ47" s="361" t="s">
        <v>3314</v>
      </c>
      <c r="BR47" s="367">
        <v>1</v>
      </c>
      <c r="BS47" s="368"/>
      <c r="BT47" s="367">
        <v>1</v>
      </c>
      <c r="BU47" s="368"/>
      <c r="BV47" s="367">
        <v>1</v>
      </c>
      <c r="BW47" s="368"/>
      <c r="BX47" s="367">
        <v>1</v>
      </c>
      <c r="BY47" s="368"/>
      <c r="BZ47" s="367">
        <v>1</v>
      </c>
      <c r="CA47" s="368"/>
      <c r="CB47" s="368"/>
      <c r="CC47" s="360">
        <v>1</v>
      </c>
      <c r="CD47" s="351" t="e">
        <f t="shared" si="9"/>
        <v>#N/A</v>
      </c>
      <c r="CE47" s="351" t="e">
        <f t="shared" si="10"/>
        <v>#N/A</v>
      </c>
      <c r="CF47" s="351"/>
      <c r="CG47" s="361" t="s">
        <v>3313</v>
      </c>
      <c r="CH47" s="367">
        <v>0.9</v>
      </c>
      <c r="CI47" s="368"/>
      <c r="CJ47" s="367">
        <v>0.9</v>
      </c>
      <c r="CK47" s="368"/>
      <c r="CL47" s="367">
        <v>0.9</v>
      </c>
      <c r="CM47" s="368"/>
      <c r="CN47" s="367">
        <v>0.9</v>
      </c>
      <c r="CO47" s="368"/>
      <c r="CP47" s="367">
        <v>0.9</v>
      </c>
      <c r="CQ47" s="368"/>
      <c r="CR47" s="368"/>
      <c r="CS47" s="360">
        <v>1</v>
      </c>
      <c r="CT47" s="351" t="e">
        <f t="shared" si="11"/>
        <v>#N/A</v>
      </c>
      <c r="CU47" s="351" t="e">
        <f t="shared" si="12"/>
        <v>#N/A</v>
      </c>
      <c r="CV47" s="351"/>
      <c r="CW47" s="361" t="s">
        <v>3315</v>
      </c>
      <c r="CX47" s="367">
        <v>1</v>
      </c>
      <c r="CY47" s="368"/>
      <c r="CZ47" s="367">
        <v>1</v>
      </c>
      <c r="DA47" s="369"/>
      <c r="DB47" s="367">
        <v>1</v>
      </c>
      <c r="DC47" s="368"/>
      <c r="DD47" s="367">
        <v>1</v>
      </c>
      <c r="DE47" s="368"/>
      <c r="DF47" s="367">
        <v>1</v>
      </c>
      <c r="DG47" s="368"/>
      <c r="DH47" s="368"/>
      <c r="DI47" s="360">
        <v>1</v>
      </c>
      <c r="DJ47" s="351" t="e">
        <f t="shared" si="13"/>
        <v>#N/A</v>
      </c>
      <c r="DK47" s="351" t="e">
        <f t="shared" si="14"/>
        <v>#N/A</v>
      </c>
      <c r="DL47" s="351"/>
      <c r="DM47" s="361" t="s">
        <v>3314</v>
      </c>
      <c r="DN47" s="367">
        <v>1</v>
      </c>
      <c r="DO47" s="368"/>
      <c r="DP47" s="367">
        <v>1</v>
      </c>
      <c r="DQ47" s="368"/>
      <c r="DR47" s="367">
        <v>1</v>
      </c>
      <c r="DS47" s="368"/>
      <c r="DT47" s="367">
        <v>1</v>
      </c>
      <c r="DU47" s="368"/>
      <c r="DV47" s="367">
        <v>1</v>
      </c>
      <c r="DW47" s="368"/>
      <c r="DX47" s="368"/>
      <c r="DY47" s="360">
        <v>1</v>
      </c>
      <c r="DZ47" s="351" t="e">
        <f t="shared" si="15"/>
        <v>#N/A</v>
      </c>
      <c r="EA47" s="351" t="e">
        <f t="shared" si="16"/>
        <v>#N/A</v>
      </c>
      <c r="EB47" s="351"/>
      <c r="EC47" s="157">
        <f t="shared" si="17"/>
        <v>0.8</v>
      </c>
      <c r="ED47" s="157">
        <f t="shared" si="18"/>
        <v>1</v>
      </c>
      <c r="EE47" s="157">
        <f t="shared" si="19"/>
        <v>0.9624999999999998</v>
      </c>
      <c r="EF47" s="157">
        <f t="shared" si="20"/>
        <v>1</v>
      </c>
    </row>
    <row r="48" spans="1:136" ht="14.25" customHeight="1">
      <c r="A48" s="291" t="b">
        <f t="shared" si="0"/>
        <v>0</v>
      </c>
      <c r="B48" s="292"/>
      <c r="C48" s="355" t="s">
        <v>3316</v>
      </c>
      <c r="D48" s="345"/>
      <c r="E48" s="361" t="s">
        <v>3317</v>
      </c>
      <c r="F48" s="362">
        <v>0.4</v>
      </c>
      <c r="G48" s="365"/>
      <c r="H48" s="362">
        <v>0.4</v>
      </c>
      <c r="I48" s="365"/>
      <c r="J48" s="362">
        <v>0.4</v>
      </c>
      <c r="K48" s="365"/>
      <c r="L48" s="362">
        <v>0.4</v>
      </c>
      <c r="M48" s="365"/>
      <c r="N48" s="362">
        <v>0.4</v>
      </c>
      <c r="O48" s="365"/>
      <c r="P48" s="370"/>
      <c r="Q48" s="360">
        <v>1</v>
      </c>
      <c r="R48" s="351" t="e">
        <f t="shared" si="1"/>
        <v>#N/A</v>
      </c>
      <c r="S48" s="351" t="e">
        <f t="shared" si="2"/>
        <v>#N/A</v>
      </c>
      <c r="T48" s="351"/>
      <c r="U48" s="361" t="s">
        <v>3318</v>
      </c>
      <c r="V48" s="362">
        <v>0.4</v>
      </c>
      <c r="W48" s="365"/>
      <c r="X48" s="362">
        <v>0.4</v>
      </c>
      <c r="Y48" s="365"/>
      <c r="Z48" s="362">
        <v>0.4</v>
      </c>
      <c r="AA48" s="365"/>
      <c r="AB48" s="362">
        <v>0.4</v>
      </c>
      <c r="AC48" s="365"/>
      <c r="AD48" s="362">
        <v>0.4</v>
      </c>
      <c r="AE48" s="365"/>
      <c r="AF48" s="370"/>
      <c r="AG48" s="360">
        <v>1</v>
      </c>
      <c r="AH48" s="351" t="e">
        <f t="shared" si="3"/>
        <v>#N/A</v>
      </c>
      <c r="AI48" s="351" t="e">
        <f t="shared" si="4"/>
        <v>#N/A</v>
      </c>
      <c r="AJ48" s="351"/>
      <c r="AK48" s="361" t="s">
        <v>3319</v>
      </c>
      <c r="AL48" s="362">
        <v>0.4</v>
      </c>
      <c r="AM48" s="365"/>
      <c r="AN48" s="362">
        <v>0.4</v>
      </c>
      <c r="AO48" s="365"/>
      <c r="AP48" s="362">
        <v>0.4</v>
      </c>
      <c r="AQ48" s="365"/>
      <c r="AR48" s="362">
        <v>0.4</v>
      </c>
      <c r="AS48" s="365"/>
      <c r="AT48" s="362">
        <v>0.4</v>
      </c>
      <c r="AU48" s="365"/>
      <c r="AV48" s="370"/>
      <c r="AW48" s="360">
        <v>1</v>
      </c>
      <c r="AX48" s="351" t="e">
        <f t="shared" si="5"/>
        <v>#N/A</v>
      </c>
      <c r="AY48" s="351" t="e">
        <f t="shared" si="6"/>
        <v>#N/A</v>
      </c>
      <c r="AZ48" s="351"/>
      <c r="BA48" s="361" t="s">
        <v>3320</v>
      </c>
      <c r="BB48" s="362">
        <v>0.4</v>
      </c>
      <c r="BC48" s="365"/>
      <c r="BD48" s="362">
        <v>0.4</v>
      </c>
      <c r="BE48" s="365"/>
      <c r="BF48" s="362">
        <v>0.4</v>
      </c>
      <c r="BG48" s="365"/>
      <c r="BH48" s="362">
        <v>0.4</v>
      </c>
      <c r="BI48" s="365"/>
      <c r="BJ48" s="362">
        <v>0.4</v>
      </c>
      <c r="BK48" s="365"/>
      <c r="BL48" s="370"/>
      <c r="BM48" s="360">
        <v>1</v>
      </c>
      <c r="BN48" s="351" t="e">
        <f t="shared" si="7"/>
        <v>#N/A</v>
      </c>
      <c r="BO48" s="351" t="e">
        <f t="shared" si="8"/>
        <v>#N/A</v>
      </c>
      <c r="BP48" s="351"/>
      <c r="BQ48" s="361" t="s">
        <v>3319</v>
      </c>
      <c r="BR48" s="362">
        <v>0.4</v>
      </c>
      <c r="BS48" s="365"/>
      <c r="BT48" s="362">
        <v>0.4</v>
      </c>
      <c r="BU48" s="365"/>
      <c r="BV48" s="362">
        <v>0.4</v>
      </c>
      <c r="BW48" s="365"/>
      <c r="BX48" s="362">
        <v>0.4</v>
      </c>
      <c r="BY48" s="365"/>
      <c r="BZ48" s="362">
        <v>0.4</v>
      </c>
      <c r="CA48" s="365"/>
      <c r="CB48" s="370"/>
      <c r="CC48" s="360">
        <v>1</v>
      </c>
      <c r="CD48" s="351" t="e">
        <f t="shared" si="9"/>
        <v>#N/A</v>
      </c>
      <c r="CE48" s="351" t="e">
        <f t="shared" si="10"/>
        <v>#N/A</v>
      </c>
      <c r="CF48" s="351"/>
      <c r="CG48" s="361" t="s">
        <v>3320</v>
      </c>
      <c r="CH48" s="362">
        <v>0.4</v>
      </c>
      <c r="CI48" s="365"/>
      <c r="CJ48" s="362">
        <v>0.4</v>
      </c>
      <c r="CK48" s="365"/>
      <c r="CL48" s="362">
        <v>0.4</v>
      </c>
      <c r="CM48" s="365"/>
      <c r="CN48" s="362">
        <v>0.4</v>
      </c>
      <c r="CO48" s="365"/>
      <c r="CP48" s="362">
        <v>0.4</v>
      </c>
      <c r="CQ48" s="365"/>
      <c r="CR48" s="370"/>
      <c r="CS48" s="360">
        <v>1</v>
      </c>
      <c r="CT48" s="351" t="e">
        <f t="shared" si="11"/>
        <v>#N/A</v>
      </c>
      <c r="CU48" s="351" t="e">
        <f t="shared" si="12"/>
        <v>#N/A</v>
      </c>
      <c r="CV48" s="351"/>
      <c r="CW48" s="356" t="s">
        <v>3234</v>
      </c>
      <c r="CX48" s="376">
        <v>0</v>
      </c>
      <c r="CY48" s="377"/>
      <c r="CZ48" s="378">
        <v>0</v>
      </c>
      <c r="DA48" s="379"/>
      <c r="DB48" s="376">
        <v>0</v>
      </c>
      <c r="DC48" s="377"/>
      <c r="DD48" s="376">
        <v>0</v>
      </c>
      <c r="DE48" s="377"/>
      <c r="DF48" s="376">
        <v>0</v>
      </c>
      <c r="DG48" s="377"/>
      <c r="DH48" s="377"/>
      <c r="DI48" s="360">
        <v>1</v>
      </c>
      <c r="DJ48" s="351" t="e">
        <f t="shared" si="13"/>
        <v>#N/A</v>
      </c>
      <c r="DK48" s="351" t="e">
        <f t="shared" si="14"/>
        <v>#N/A</v>
      </c>
      <c r="DL48" s="351"/>
      <c r="DM48" s="361" t="s">
        <v>3320</v>
      </c>
      <c r="DN48" s="362">
        <v>0.4</v>
      </c>
      <c r="DO48" s="365"/>
      <c r="DP48" s="362">
        <v>0.4</v>
      </c>
      <c r="DQ48" s="365"/>
      <c r="DR48" s="362">
        <v>0.4</v>
      </c>
      <c r="DS48" s="365"/>
      <c r="DT48" s="362">
        <v>0.4</v>
      </c>
      <c r="DU48" s="365"/>
      <c r="DV48" s="362">
        <v>0.4</v>
      </c>
      <c r="DW48" s="365"/>
      <c r="DX48" s="370"/>
      <c r="DY48" s="360">
        <v>1</v>
      </c>
      <c r="DZ48" s="351" t="e">
        <f t="shared" si="15"/>
        <v>#N/A</v>
      </c>
      <c r="EA48" s="351" t="e">
        <f t="shared" si="16"/>
        <v>#N/A</v>
      </c>
      <c r="EB48" s="351"/>
      <c r="EC48" s="157">
        <f t="shared" si="17"/>
        <v>0</v>
      </c>
      <c r="ED48" s="157">
        <f t="shared" si="18"/>
        <v>0.4</v>
      </c>
      <c r="EE48" s="157">
        <f t="shared" si="19"/>
        <v>0.3500000000000002</v>
      </c>
      <c r="EF48" s="157">
        <f t="shared" si="20"/>
        <v>0.4</v>
      </c>
    </row>
    <row r="49" spans="1:136" ht="14.25" customHeight="1">
      <c r="A49" s="291" t="b">
        <f t="shared" si="0"/>
        <v>0</v>
      </c>
      <c r="B49" s="292"/>
      <c r="C49" s="355" t="s">
        <v>3321</v>
      </c>
      <c r="D49" s="345"/>
      <c r="E49" s="361" t="s">
        <v>3322</v>
      </c>
      <c r="F49" s="362">
        <v>1</v>
      </c>
      <c r="G49" s="365"/>
      <c r="H49" s="362">
        <v>1</v>
      </c>
      <c r="I49" s="365"/>
      <c r="J49" s="362">
        <v>1</v>
      </c>
      <c r="K49" s="365"/>
      <c r="L49" s="362">
        <v>1</v>
      </c>
      <c r="M49" s="365"/>
      <c r="N49" s="362">
        <v>1</v>
      </c>
      <c r="O49" s="365"/>
      <c r="P49" s="370"/>
      <c r="Q49" s="360">
        <v>1</v>
      </c>
      <c r="R49" s="351" t="e">
        <f t="shared" si="1"/>
        <v>#N/A</v>
      </c>
      <c r="S49" s="351" t="e">
        <f t="shared" si="2"/>
        <v>#N/A</v>
      </c>
      <c r="T49" s="351"/>
      <c r="U49" s="371" t="s">
        <v>3323</v>
      </c>
      <c r="V49" s="372">
        <v>0.8</v>
      </c>
      <c r="W49" s="374"/>
      <c r="X49" s="380">
        <v>0.8</v>
      </c>
      <c r="Y49" s="374"/>
      <c r="Z49" s="380">
        <v>0.8</v>
      </c>
      <c r="AA49" s="374"/>
      <c r="AB49" s="380">
        <v>0.8</v>
      </c>
      <c r="AC49" s="374"/>
      <c r="AD49" s="380">
        <v>0.8</v>
      </c>
      <c r="AE49" s="374"/>
      <c r="AF49" s="374"/>
      <c r="AG49" s="360">
        <v>1</v>
      </c>
      <c r="AH49" s="351" t="e">
        <f t="shared" si="3"/>
        <v>#N/A</v>
      </c>
      <c r="AI49" s="351" t="e">
        <f t="shared" si="4"/>
        <v>#N/A</v>
      </c>
      <c r="AJ49" s="351"/>
      <c r="AK49" s="361" t="s">
        <v>3322</v>
      </c>
      <c r="AL49" s="362">
        <v>1</v>
      </c>
      <c r="AM49" s="365"/>
      <c r="AN49" s="362">
        <v>1</v>
      </c>
      <c r="AO49" s="365"/>
      <c r="AP49" s="362">
        <v>1</v>
      </c>
      <c r="AQ49" s="365"/>
      <c r="AR49" s="362">
        <v>1</v>
      </c>
      <c r="AS49" s="365"/>
      <c r="AT49" s="362">
        <v>1</v>
      </c>
      <c r="AU49" s="365"/>
      <c r="AV49" s="365"/>
      <c r="AW49" s="360">
        <v>1</v>
      </c>
      <c r="AX49" s="351" t="e">
        <f t="shared" si="5"/>
        <v>#N/A</v>
      </c>
      <c r="AY49" s="351" t="e">
        <f t="shared" si="6"/>
        <v>#N/A</v>
      </c>
      <c r="AZ49" s="351"/>
      <c r="BA49" s="361" t="s">
        <v>3322</v>
      </c>
      <c r="BB49" s="366">
        <v>1</v>
      </c>
      <c r="BC49" s="365"/>
      <c r="BD49" s="366">
        <v>1</v>
      </c>
      <c r="BE49" s="365"/>
      <c r="BF49" s="366">
        <v>1</v>
      </c>
      <c r="BG49" s="365"/>
      <c r="BH49" s="366">
        <v>1</v>
      </c>
      <c r="BI49" s="365"/>
      <c r="BJ49" s="366">
        <v>1</v>
      </c>
      <c r="BK49" s="365"/>
      <c r="BL49" s="365"/>
      <c r="BM49" s="360">
        <v>1</v>
      </c>
      <c r="BN49" s="351" t="e">
        <f t="shared" si="7"/>
        <v>#N/A</v>
      </c>
      <c r="BO49" s="351" t="e">
        <f t="shared" si="8"/>
        <v>#N/A</v>
      </c>
      <c r="BP49" s="351"/>
      <c r="BQ49" s="361" t="s">
        <v>3322</v>
      </c>
      <c r="BR49" s="367">
        <v>1</v>
      </c>
      <c r="BS49" s="368"/>
      <c r="BT49" s="367">
        <v>1</v>
      </c>
      <c r="BU49" s="368"/>
      <c r="BV49" s="367">
        <v>1</v>
      </c>
      <c r="BW49" s="368"/>
      <c r="BX49" s="367">
        <v>1</v>
      </c>
      <c r="BY49" s="368"/>
      <c r="BZ49" s="367">
        <v>1</v>
      </c>
      <c r="CA49" s="368"/>
      <c r="CB49" s="368"/>
      <c r="CC49" s="360">
        <v>1</v>
      </c>
      <c r="CD49" s="351" t="e">
        <f t="shared" si="9"/>
        <v>#N/A</v>
      </c>
      <c r="CE49" s="351" t="e">
        <f t="shared" si="10"/>
        <v>#N/A</v>
      </c>
      <c r="CF49" s="351"/>
      <c r="CG49" s="361" t="s">
        <v>3322</v>
      </c>
      <c r="CH49" s="367">
        <v>1</v>
      </c>
      <c r="CI49" s="368"/>
      <c r="CJ49" s="367">
        <v>1</v>
      </c>
      <c r="CK49" s="368"/>
      <c r="CL49" s="367">
        <v>1</v>
      </c>
      <c r="CM49" s="368"/>
      <c r="CN49" s="367">
        <v>1</v>
      </c>
      <c r="CO49" s="368"/>
      <c r="CP49" s="367">
        <v>1</v>
      </c>
      <c r="CQ49" s="368"/>
      <c r="CR49" s="368"/>
      <c r="CS49" s="360">
        <v>1</v>
      </c>
      <c r="CT49" s="351" t="e">
        <f t="shared" si="11"/>
        <v>#N/A</v>
      </c>
      <c r="CU49" s="351" t="e">
        <f t="shared" si="12"/>
        <v>#N/A</v>
      </c>
      <c r="CV49" s="351"/>
      <c r="CW49" s="361" t="s">
        <v>3322</v>
      </c>
      <c r="CX49" s="367">
        <v>1</v>
      </c>
      <c r="CY49" s="368"/>
      <c r="CZ49" s="367">
        <v>1</v>
      </c>
      <c r="DA49" s="369"/>
      <c r="DB49" s="367">
        <v>1</v>
      </c>
      <c r="DC49" s="368"/>
      <c r="DD49" s="367">
        <v>1</v>
      </c>
      <c r="DE49" s="368"/>
      <c r="DF49" s="367">
        <v>1</v>
      </c>
      <c r="DG49" s="368"/>
      <c r="DH49" s="368"/>
      <c r="DI49" s="360">
        <v>1</v>
      </c>
      <c r="DJ49" s="351" t="e">
        <f t="shared" si="13"/>
        <v>#N/A</v>
      </c>
      <c r="DK49" s="351" t="e">
        <f t="shared" si="14"/>
        <v>#N/A</v>
      </c>
      <c r="DL49" s="351"/>
      <c r="DM49" s="361" t="s">
        <v>3322</v>
      </c>
      <c r="DN49" s="367">
        <v>1</v>
      </c>
      <c r="DO49" s="368"/>
      <c r="DP49" s="367">
        <v>1</v>
      </c>
      <c r="DQ49" s="368"/>
      <c r="DR49" s="367">
        <v>1</v>
      </c>
      <c r="DS49" s="368"/>
      <c r="DT49" s="367">
        <v>1</v>
      </c>
      <c r="DU49" s="368"/>
      <c r="DV49" s="367">
        <v>1</v>
      </c>
      <c r="DW49" s="368"/>
      <c r="DX49" s="368"/>
      <c r="DY49" s="360">
        <v>1</v>
      </c>
      <c r="DZ49" s="351" t="e">
        <f t="shared" si="15"/>
        <v>#N/A</v>
      </c>
      <c r="EA49" s="351" t="e">
        <f t="shared" si="16"/>
        <v>#N/A</v>
      </c>
      <c r="EB49" s="351"/>
      <c r="EC49" s="157">
        <f t="shared" si="17"/>
        <v>0.8</v>
      </c>
      <c r="ED49" s="157">
        <f t="shared" si="18"/>
        <v>1</v>
      </c>
      <c r="EE49" s="157">
        <f t="shared" si="19"/>
        <v>0.97499999999999998</v>
      </c>
      <c r="EF49" s="157">
        <f t="shared" si="20"/>
        <v>1</v>
      </c>
    </row>
    <row r="50" spans="1:136" ht="14.25" customHeight="1">
      <c r="A50" s="291" t="b">
        <f t="shared" si="0"/>
        <v>1</v>
      </c>
      <c r="B50" s="292"/>
      <c r="C50" s="355" t="s">
        <v>3324</v>
      </c>
      <c r="D50" s="345"/>
      <c r="E50" s="361" t="s">
        <v>3325</v>
      </c>
      <c r="F50" s="362">
        <v>0.4</v>
      </c>
      <c r="G50" s="365"/>
      <c r="H50" s="362">
        <v>0.4</v>
      </c>
      <c r="I50" s="365"/>
      <c r="J50" s="362">
        <v>0.4</v>
      </c>
      <c r="K50" s="365"/>
      <c r="L50" s="362">
        <v>0.4</v>
      </c>
      <c r="M50" s="365"/>
      <c r="N50" s="362">
        <v>0.4</v>
      </c>
      <c r="O50" s="365"/>
      <c r="P50" s="370"/>
      <c r="Q50" s="360">
        <v>1</v>
      </c>
      <c r="R50" s="351" t="e">
        <f t="shared" si="1"/>
        <v>#N/A</v>
      </c>
      <c r="S50" s="351" t="e">
        <f t="shared" si="2"/>
        <v>#N/A</v>
      </c>
      <c r="T50" s="351"/>
      <c r="U50" s="361" t="s">
        <v>3325</v>
      </c>
      <c r="V50" s="362">
        <v>0.4</v>
      </c>
      <c r="W50" s="365"/>
      <c r="X50" s="362">
        <v>0.4</v>
      </c>
      <c r="Y50" s="365"/>
      <c r="Z50" s="362">
        <v>0.4</v>
      </c>
      <c r="AA50" s="365"/>
      <c r="AB50" s="362">
        <v>0.4</v>
      </c>
      <c r="AC50" s="365"/>
      <c r="AD50" s="362">
        <v>0.4</v>
      </c>
      <c r="AE50" s="365"/>
      <c r="AF50" s="370"/>
      <c r="AG50" s="360">
        <v>1</v>
      </c>
      <c r="AH50" s="351" t="e">
        <f t="shared" si="3"/>
        <v>#N/A</v>
      </c>
      <c r="AI50" s="351" t="e">
        <f t="shared" si="4"/>
        <v>#N/A</v>
      </c>
      <c r="AJ50" s="351"/>
      <c r="AK50" s="361" t="s">
        <v>3325</v>
      </c>
      <c r="AL50" s="362">
        <v>0.4</v>
      </c>
      <c r="AM50" s="365"/>
      <c r="AN50" s="362">
        <v>0.4</v>
      </c>
      <c r="AO50" s="365"/>
      <c r="AP50" s="362">
        <v>0.4</v>
      </c>
      <c r="AQ50" s="365"/>
      <c r="AR50" s="362">
        <v>0.4</v>
      </c>
      <c r="AS50" s="365"/>
      <c r="AT50" s="362">
        <v>0.4</v>
      </c>
      <c r="AU50" s="365"/>
      <c r="AV50" s="370"/>
      <c r="AW50" s="360">
        <v>1</v>
      </c>
      <c r="AX50" s="351" t="e">
        <f t="shared" si="5"/>
        <v>#N/A</v>
      </c>
      <c r="AY50" s="351" t="e">
        <f t="shared" si="6"/>
        <v>#N/A</v>
      </c>
      <c r="AZ50" s="351"/>
      <c r="BA50" s="361" t="s">
        <v>3325</v>
      </c>
      <c r="BB50" s="362">
        <v>0.4</v>
      </c>
      <c r="BC50" s="365"/>
      <c r="BD50" s="362">
        <v>0.4</v>
      </c>
      <c r="BE50" s="365"/>
      <c r="BF50" s="362">
        <v>0.4</v>
      </c>
      <c r="BG50" s="365"/>
      <c r="BH50" s="362">
        <v>0.4</v>
      </c>
      <c r="BI50" s="365"/>
      <c r="BJ50" s="362">
        <v>0.4</v>
      </c>
      <c r="BK50" s="365"/>
      <c r="BL50" s="370"/>
      <c r="BM50" s="360">
        <v>1</v>
      </c>
      <c r="BN50" s="351" t="e">
        <f t="shared" si="7"/>
        <v>#N/A</v>
      </c>
      <c r="BO50" s="351" t="e">
        <f t="shared" si="8"/>
        <v>#N/A</v>
      </c>
      <c r="BP50" s="351"/>
      <c r="BQ50" s="361" t="s">
        <v>3325</v>
      </c>
      <c r="BR50" s="362">
        <v>0.4</v>
      </c>
      <c r="BS50" s="365"/>
      <c r="BT50" s="362">
        <v>0.4</v>
      </c>
      <c r="BU50" s="365"/>
      <c r="BV50" s="362">
        <v>0.4</v>
      </c>
      <c r="BW50" s="365"/>
      <c r="BX50" s="362">
        <v>0.4</v>
      </c>
      <c r="BY50" s="365"/>
      <c r="BZ50" s="362">
        <v>0.4</v>
      </c>
      <c r="CA50" s="365"/>
      <c r="CB50" s="370"/>
      <c r="CC50" s="360">
        <v>1</v>
      </c>
      <c r="CD50" s="351" t="e">
        <f t="shared" si="9"/>
        <v>#N/A</v>
      </c>
      <c r="CE50" s="351" t="e">
        <f t="shared" si="10"/>
        <v>#N/A</v>
      </c>
      <c r="CF50" s="351"/>
      <c r="CG50" s="361" t="s">
        <v>3325</v>
      </c>
      <c r="CH50" s="362">
        <v>0.4</v>
      </c>
      <c r="CI50" s="365"/>
      <c r="CJ50" s="362">
        <v>0.4</v>
      </c>
      <c r="CK50" s="365"/>
      <c r="CL50" s="362">
        <v>0.4</v>
      </c>
      <c r="CM50" s="365"/>
      <c r="CN50" s="362">
        <v>0.4</v>
      </c>
      <c r="CO50" s="365"/>
      <c r="CP50" s="362">
        <v>0.4</v>
      </c>
      <c r="CQ50" s="365"/>
      <c r="CR50" s="370"/>
      <c r="CS50" s="360">
        <v>1</v>
      </c>
      <c r="CT50" s="351" t="e">
        <f t="shared" si="11"/>
        <v>#N/A</v>
      </c>
      <c r="CU50" s="351" t="e">
        <f t="shared" si="12"/>
        <v>#N/A</v>
      </c>
      <c r="CV50" s="351"/>
      <c r="CW50" s="361" t="s">
        <v>3325</v>
      </c>
      <c r="CX50" s="362">
        <v>0.4</v>
      </c>
      <c r="CY50" s="365"/>
      <c r="CZ50" s="362">
        <v>0.4</v>
      </c>
      <c r="DA50" s="365"/>
      <c r="DB50" s="362">
        <v>0.4</v>
      </c>
      <c r="DC50" s="365"/>
      <c r="DD50" s="362">
        <v>0.4</v>
      </c>
      <c r="DE50" s="365"/>
      <c r="DF50" s="362">
        <v>0.4</v>
      </c>
      <c r="DG50" s="365"/>
      <c r="DH50" s="370"/>
      <c r="DI50" s="360">
        <v>1</v>
      </c>
      <c r="DJ50" s="351" t="e">
        <f t="shared" si="13"/>
        <v>#N/A</v>
      </c>
      <c r="DK50" s="351" t="e">
        <f t="shared" si="14"/>
        <v>#N/A</v>
      </c>
      <c r="DL50" s="351"/>
      <c r="DM50" s="361" t="s">
        <v>3325</v>
      </c>
      <c r="DN50" s="362">
        <v>0.4</v>
      </c>
      <c r="DO50" s="365"/>
      <c r="DP50" s="362">
        <v>0.4</v>
      </c>
      <c r="DQ50" s="365"/>
      <c r="DR50" s="362">
        <v>0.4</v>
      </c>
      <c r="DS50" s="365"/>
      <c r="DT50" s="362">
        <v>0.4</v>
      </c>
      <c r="DU50" s="365"/>
      <c r="DV50" s="362">
        <v>0.4</v>
      </c>
      <c r="DW50" s="365"/>
      <c r="DX50" s="370"/>
      <c r="DY50" s="360">
        <v>1</v>
      </c>
      <c r="DZ50" s="351" t="e">
        <f t="shared" si="15"/>
        <v>#N/A</v>
      </c>
      <c r="EA50" s="351" t="e">
        <f t="shared" si="16"/>
        <v>#N/A</v>
      </c>
      <c r="EB50" s="351"/>
      <c r="EC50" s="157">
        <f t="shared" si="17"/>
        <v>0.4</v>
      </c>
      <c r="ED50" s="157">
        <f t="shared" si="18"/>
        <v>0.4</v>
      </c>
      <c r="EE50" s="157">
        <f t="shared" si="19"/>
        <v>0.40000000000000019</v>
      </c>
      <c r="EF50" s="157">
        <f t="shared" si="20"/>
        <v>0.4</v>
      </c>
    </row>
    <row r="51" spans="1:136" ht="14.25" customHeight="1">
      <c r="A51" s="291" t="b">
        <f t="shared" si="0"/>
        <v>0</v>
      </c>
      <c r="B51" s="292"/>
      <c r="C51" s="355" t="s">
        <v>3326</v>
      </c>
      <c r="D51" s="345"/>
      <c r="E51" s="361" t="s">
        <v>3325</v>
      </c>
      <c r="F51" s="362">
        <v>0.4</v>
      </c>
      <c r="G51" s="365"/>
      <c r="H51" s="362">
        <v>0.4</v>
      </c>
      <c r="I51" s="365"/>
      <c r="J51" s="362">
        <v>0.4</v>
      </c>
      <c r="K51" s="365"/>
      <c r="L51" s="362">
        <v>0.4</v>
      </c>
      <c r="M51" s="365"/>
      <c r="N51" s="362">
        <v>0.4</v>
      </c>
      <c r="O51" s="365"/>
      <c r="P51" s="370"/>
      <c r="Q51" s="360">
        <v>1</v>
      </c>
      <c r="R51" s="351" t="e">
        <f t="shared" si="1"/>
        <v>#N/A</v>
      </c>
      <c r="S51" s="351" t="e">
        <f t="shared" si="2"/>
        <v>#N/A</v>
      </c>
      <c r="T51" s="351"/>
      <c r="U51" s="361" t="s">
        <v>3325</v>
      </c>
      <c r="V51" s="362">
        <v>0.4</v>
      </c>
      <c r="W51" s="365"/>
      <c r="X51" s="362">
        <v>0.4</v>
      </c>
      <c r="Y51" s="365"/>
      <c r="Z51" s="362">
        <v>0.4</v>
      </c>
      <c r="AA51" s="365"/>
      <c r="AB51" s="362">
        <v>0.4</v>
      </c>
      <c r="AC51" s="365"/>
      <c r="AD51" s="362">
        <v>0.04</v>
      </c>
      <c r="AE51" s="365"/>
      <c r="AF51" s="370"/>
      <c r="AG51" s="360">
        <v>1</v>
      </c>
      <c r="AH51" s="351" t="e">
        <f t="shared" si="3"/>
        <v>#N/A</v>
      </c>
      <c r="AI51" s="351" t="e">
        <f t="shared" si="4"/>
        <v>#N/A</v>
      </c>
      <c r="AJ51" s="351"/>
      <c r="AK51" s="361" t="s">
        <v>3325</v>
      </c>
      <c r="AL51" s="362">
        <v>0.4</v>
      </c>
      <c r="AM51" s="365"/>
      <c r="AN51" s="362">
        <v>0.4</v>
      </c>
      <c r="AO51" s="365"/>
      <c r="AP51" s="362">
        <v>0.4</v>
      </c>
      <c r="AQ51" s="365"/>
      <c r="AR51" s="362">
        <v>0.4</v>
      </c>
      <c r="AS51" s="365"/>
      <c r="AT51" s="362">
        <v>0.4</v>
      </c>
      <c r="AU51" s="365"/>
      <c r="AV51" s="370"/>
      <c r="AW51" s="360">
        <v>1</v>
      </c>
      <c r="AX51" s="351" t="e">
        <f t="shared" si="5"/>
        <v>#N/A</v>
      </c>
      <c r="AY51" s="351" t="e">
        <f t="shared" si="6"/>
        <v>#N/A</v>
      </c>
      <c r="AZ51" s="351"/>
      <c r="BA51" s="356" t="s">
        <v>3234</v>
      </c>
      <c r="BB51" s="381">
        <v>0</v>
      </c>
      <c r="BC51" s="358"/>
      <c r="BD51" s="381">
        <v>0</v>
      </c>
      <c r="BE51" s="358"/>
      <c r="BF51" s="381">
        <v>0</v>
      </c>
      <c r="BG51" s="358"/>
      <c r="BH51" s="381">
        <v>0</v>
      </c>
      <c r="BI51" s="358"/>
      <c r="BJ51" s="381">
        <v>0</v>
      </c>
      <c r="BK51" s="358"/>
      <c r="BL51" s="358"/>
      <c r="BM51" s="360">
        <v>1</v>
      </c>
      <c r="BN51" s="351" t="e">
        <f t="shared" si="7"/>
        <v>#N/A</v>
      </c>
      <c r="BO51" s="351" t="e">
        <f t="shared" si="8"/>
        <v>#N/A</v>
      </c>
      <c r="BP51" s="351"/>
      <c r="BQ51" s="356" t="s">
        <v>3234</v>
      </c>
      <c r="BR51" s="376">
        <v>0</v>
      </c>
      <c r="BS51" s="382"/>
      <c r="BT51" s="376">
        <v>0</v>
      </c>
      <c r="BU51" s="382"/>
      <c r="BV51" s="376">
        <v>0</v>
      </c>
      <c r="BW51" s="382"/>
      <c r="BX51" s="376">
        <v>0</v>
      </c>
      <c r="BY51" s="382"/>
      <c r="BZ51" s="376">
        <v>0</v>
      </c>
      <c r="CA51" s="382"/>
      <c r="CB51" s="382"/>
      <c r="CC51" s="360">
        <v>1</v>
      </c>
      <c r="CD51" s="351" t="e">
        <f t="shared" si="9"/>
        <v>#N/A</v>
      </c>
      <c r="CE51" s="351" t="e">
        <f t="shared" si="10"/>
        <v>#N/A</v>
      </c>
      <c r="CF51" s="351"/>
      <c r="CG51" s="361" t="s">
        <v>3325</v>
      </c>
      <c r="CH51" s="362">
        <v>0.4</v>
      </c>
      <c r="CI51" s="365"/>
      <c r="CJ51" s="362">
        <v>0.4</v>
      </c>
      <c r="CK51" s="365"/>
      <c r="CL51" s="362">
        <v>0.4</v>
      </c>
      <c r="CM51" s="365"/>
      <c r="CN51" s="362">
        <v>0.4</v>
      </c>
      <c r="CO51" s="365"/>
      <c r="CP51" s="362">
        <v>0.4</v>
      </c>
      <c r="CQ51" s="365"/>
      <c r="CR51" s="370"/>
      <c r="CS51" s="360">
        <v>1</v>
      </c>
      <c r="CT51" s="351" t="e">
        <f t="shared" si="11"/>
        <v>#N/A</v>
      </c>
      <c r="CU51" s="351" t="e">
        <f t="shared" si="12"/>
        <v>#N/A</v>
      </c>
      <c r="CV51" s="351"/>
      <c r="CW51" s="361" t="s">
        <v>3325</v>
      </c>
      <c r="CX51" s="362">
        <v>0.4</v>
      </c>
      <c r="CY51" s="365"/>
      <c r="CZ51" s="362">
        <v>0.4</v>
      </c>
      <c r="DA51" s="365"/>
      <c r="DB51" s="362">
        <v>0.4</v>
      </c>
      <c r="DC51" s="365"/>
      <c r="DD51" s="362">
        <v>0.4</v>
      </c>
      <c r="DE51" s="365"/>
      <c r="DF51" s="362">
        <v>0.04</v>
      </c>
      <c r="DG51" s="365"/>
      <c r="DH51" s="370"/>
      <c r="DI51" s="360">
        <v>1</v>
      </c>
      <c r="DJ51" s="351" t="e">
        <f t="shared" si="13"/>
        <v>#N/A</v>
      </c>
      <c r="DK51" s="351" t="e">
        <f t="shared" si="14"/>
        <v>#N/A</v>
      </c>
      <c r="DL51" s="351"/>
      <c r="DM51" s="361" t="s">
        <v>3325</v>
      </c>
      <c r="DN51" s="362">
        <v>0.4</v>
      </c>
      <c r="DO51" s="365"/>
      <c r="DP51" s="362">
        <v>0.4</v>
      </c>
      <c r="DQ51" s="365"/>
      <c r="DR51" s="362">
        <v>0.4</v>
      </c>
      <c r="DS51" s="365"/>
      <c r="DT51" s="362">
        <v>0.4</v>
      </c>
      <c r="DU51" s="365"/>
      <c r="DV51" s="362">
        <v>0.04</v>
      </c>
      <c r="DW51" s="365"/>
      <c r="DX51" s="370"/>
      <c r="DY51" s="360">
        <v>1</v>
      </c>
      <c r="DZ51" s="351" t="e">
        <f t="shared" si="15"/>
        <v>#N/A</v>
      </c>
      <c r="EA51" s="351" t="e">
        <f t="shared" si="16"/>
        <v>#N/A</v>
      </c>
      <c r="EB51" s="351"/>
      <c r="EC51" s="157">
        <f t="shared" si="17"/>
        <v>0</v>
      </c>
      <c r="ED51" s="157">
        <f t="shared" si="18"/>
        <v>0.4</v>
      </c>
      <c r="EE51" s="157">
        <f t="shared" si="19"/>
        <v>0.27300000000000008</v>
      </c>
      <c r="EF51" s="157">
        <f t="shared" si="20"/>
        <v>0.4</v>
      </c>
    </row>
    <row r="52" spans="1:136" ht="14.25" customHeight="1">
      <c r="A52" s="291" t="b">
        <f t="shared" si="0"/>
        <v>1</v>
      </c>
      <c r="B52" s="292"/>
      <c r="C52" s="355" t="s">
        <v>3327</v>
      </c>
      <c r="D52" s="345"/>
      <c r="E52" s="383" t="s">
        <v>3328</v>
      </c>
      <c r="F52" s="362">
        <v>0.4</v>
      </c>
      <c r="G52" s="365"/>
      <c r="H52" s="362">
        <v>0.4</v>
      </c>
      <c r="I52" s="365"/>
      <c r="J52" s="362">
        <v>0.4</v>
      </c>
      <c r="K52" s="365"/>
      <c r="L52" s="362">
        <v>0.4</v>
      </c>
      <c r="M52" s="365"/>
      <c r="N52" s="362">
        <v>0.4</v>
      </c>
      <c r="O52" s="365"/>
      <c r="P52" s="370"/>
      <c r="Q52" s="360">
        <v>1</v>
      </c>
      <c r="R52" s="351" t="e">
        <f t="shared" si="1"/>
        <v>#N/A</v>
      </c>
      <c r="S52" s="351" t="e">
        <f t="shared" si="2"/>
        <v>#N/A</v>
      </c>
      <c r="T52" s="351"/>
      <c r="U52" s="383" t="s">
        <v>3329</v>
      </c>
      <c r="V52" s="362">
        <v>0.4</v>
      </c>
      <c r="W52" s="363"/>
      <c r="X52" s="364">
        <v>0.4</v>
      </c>
      <c r="Y52" s="363"/>
      <c r="Z52" s="364">
        <v>0.4</v>
      </c>
      <c r="AA52" s="363"/>
      <c r="AB52" s="364">
        <v>0.4</v>
      </c>
      <c r="AC52" s="363"/>
      <c r="AD52" s="364">
        <v>0.4</v>
      </c>
      <c r="AE52" s="363"/>
      <c r="AF52" s="363"/>
      <c r="AG52" s="360">
        <v>1</v>
      </c>
      <c r="AH52" s="351" t="e">
        <f t="shared" si="3"/>
        <v>#N/A</v>
      </c>
      <c r="AI52" s="351" t="e">
        <f t="shared" si="4"/>
        <v>#N/A</v>
      </c>
      <c r="AJ52" s="351"/>
      <c r="AK52" s="383" t="s">
        <v>3329</v>
      </c>
      <c r="AL52" s="362">
        <v>0.4</v>
      </c>
      <c r="AM52" s="365"/>
      <c r="AN52" s="362">
        <v>0.4</v>
      </c>
      <c r="AO52" s="365"/>
      <c r="AP52" s="362">
        <v>0.4</v>
      </c>
      <c r="AQ52" s="365"/>
      <c r="AR52" s="362">
        <v>0.4</v>
      </c>
      <c r="AS52" s="365"/>
      <c r="AT52" s="362">
        <v>0.4</v>
      </c>
      <c r="AU52" s="365"/>
      <c r="AV52" s="365"/>
      <c r="AW52" s="360">
        <v>1</v>
      </c>
      <c r="AX52" s="351" t="e">
        <f t="shared" si="5"/>
        <v>#N/A</v>
      </c>
      <c r="AY52" s="351" t="e">
        <f t="shared" si="6"/>
        <v>#N/A</v>
      </c>
      <c r="AZ52" s="351"/>
      <c r="BA52" s="383" t="s">
        <v>3330</v>
      </c>
      <c r="BB52" s="366">
        <v>0.4</v>
      </c>
      <c r="BC52" s="365"/>
      <c r="BD52" s="366">
        <v>0.4</v>
      </c>
      <c r="BE52" s="365"/>
      <c r="BF52" s="366">
        <v>0.4</v>
      </c>
      <c r="BG52" s="365"/>
      <c r="BH52" s="366">
        <v>0.4</v>
      </c>
      <c r="BI52" s="365"/>
      <c r="BJ52" s="366">
        <v>0.4</v>
      </c>
      <c r="BK52" s="365"/>
      <c r="BL52" s="365"/>
      <c r="BM52" s="360">
        <v>1</v>
      </c>
      <c r="BN52" s="351" t="e">
        <f t="shared" si="7"/>
        <v>#N/A</v>
      </c>
      <c r="BO52" s="351" t="e">
        <f t="shared" si="8"/>
        <v>#N/A</v>
      </c>
      <c r="BP52" s="351"/>
      <c r="BQ52" s="383" t="s">
        <v>3329</v>
      </c>
      <c r="BR52" s="367">
        <v>0.4</v>
      </c>
      <c r="BS52" s="368"/>
      <c r="BT52" s="367">
        <v>0.4</v>
      </c>
      <c r="BU52" s="368"/>
      <c r="BV52" s="367">
        <v>0.4</v>
      </c>
      <c r="BW52" s="368"/>
      <c r="BX52" s="367">
        <v>0.4</v>
      </c>
      <c r="BY52" s="368"/>
      <c r="BZ52" s="367">
        <v>0.4</v>
      </c>
      <c r="CA52" s="368"/>
      <c r="CB52" s="368"/>
      <c r="CC52" s="360">
        <v>1</v>
      </c>
      <c r="CD52" s="351" t="e">
        <f t="shared" si="9"/>
        <v>#N/A</v>
      </c>
      <c r="CE52" s="351" t="e">
        <f t="shared" si="10"/>
        <v>#N/A</v>
      </c>
      <c r="CF52" s="351"/>
      <c r="CG52" s="383" t="s">
        <v>3330</v>
      </c>
      <c r="CH52" s="367">
        <v>0.4</v>
      </c>
      <c r="CI52" s="368"/>
      <c r="CJ52" s="367">
        <v>0.4</v>
      </c>
      <c r="CK52" s="368"/>
      <c r="CL52" s="367">
        <v>0.4</v>
      </c>
      <c r="CM52" s="368"/>
      <c r="CN52" s="367">
        <v>0.4</v>
      </c>
      <c r="CO52" s="368"/>
      <c r="CP52" s="367">
        <v>0.4</v>
      </c>
      <c r="CQ52" s="368"/>
      <c r="CR52" s="368"/>
      <c r="CS52" s="360">
        <v>1</v>
      </c>
      <c r="CT52" s="351" t="e">
        <f t="shared" si="11"/>
        <v>#N/A</v>
      </c>
      <c r="CU52" s="351" t="e">
        <f t="shared" si="12"/>
        <v>#N/A</v>
      </c>
      <c r="CV52" s="351"/>
      <c r="CW52" s="383" t="s">
        <v>3329</v>
      </c>
      <c r="CX52" s="367">
        <v>0.4</v>
      </c>
      <c r="CY52" s="368"/>
      <c r="CZ52" s="367">
        <v>0.4</v>
      </c>
      <c r="DA52" s="368"/>
      <c r="DB52" s="367">
        <v>0.4</v>
      </c>
      <c r="DC52" s="368"/>
      <c r="DD52" s="367">
        <v>0.4</v>
      </c>
      <c r="DE52" s="368"/>
      <c r="DF52" s="367">
        <v>0.4</v>
      </c>
      <c r="DG52" s="368"/>
      <c r="DH52" s="368"/>
      <c r="DI52" s="360">
        <v>1</v>
      </c>
      <c r="DJ52" s="351" t="e">
        <f t="shared" si="13"/>
        <v>#N/A</v>
      </c>
      <c r="DK52" s="351" t="e">
        <f t="shared" si="14"/>
        <v>#N/A</v>
      </c>
      <c r="DL52" s="351"/>
      <c r="DM52" s="383" t="s">
        <v>3329</v>
      </c>
      <c r="DN52" s="367">
        <v>0.4</v>
      </c>
      <c r="DO52" s="368"/>
      <c r="DP52" s="367">
        <v>0.4</v>
      </c>
      <c r="DQ52" s="368"/>
      <c r="DR52" s="367">
        <v>0.4</v>
      </c>
      <c r="DS52" s="368"/>
      <c r="DT52" s="367">
        <v>0.4</v>
      </c>
      <c r="DU52" s="368"/>
      <c r="DV52" s="367">
        <v>0.4</v>
      </c>
      <c r="DW52" s="368"/>
      <c r="DX52" s="368"/>
      <c r="DY52" s="360">
        <v>1</v>
      </c>
      <c r="DZ52" s="351" t="e">
        <f t="shared" si="15"/>
        <v>#N/A</v>
      </c>
      <c r="EA52" s="351" t="e">
        <f t="shared" si="16"/>
        <v>#N/A</v>
      </c>
      <c r="EB52" s="351"/>
      <c r="EC52" s="157">
        <f t="shared" si="17"/>
        <v>0.4</v>
      </c>
      <c r="ED52" s="157">
        <f t="shared" si="18"/>
        <v>0.4</v>
      </c>
      <c r="EE52" s="157">
        <f t="shared" si="19"/>
        <v>0.40000000000000019</v>
      </c>
      <c r="EF52" s="157">
        <f t="shared" si="20"/>
        <v>0.4</v>
      </c>
    </row>
    <row r="53" spans="1:136" ht="14.25" customHeight="1">
      <c r="A53" s="291" t="b">
        <f t="shared" si="0"/>
        <v>1</v>
      </c>
      <c r="B53" s="292"/>
      <c r="C53" s="355" t="s">
        <v>3331</v>
      </c>
      <c r="D53" s="345"/>
      <c r="E53" s="361" t="s">
        <v>3325</v>
      </c>
      <c r="F53" s="362">
        <v>1</v>
      </c>
      <c r="G53" s="365"/>
      <c r="H53" s="362">
        <v>1</v>
      </c>
      <c r="I53" s="365"/>
      <c r="J53" s="362">
        <v>1</v>
      </c>
      <c r="K53" s="365"/>
      <c r="L53" s="362">
        <v>1</v>
      </c>
      <c r="M53" s="365"/>
      <c r="N53" s="362">
        <v>1</v>
      </c>
      <c r="O53" s="365"/>
      <c r="P53" s="370"/>
      <c r="Q53" s="360">
        <v>1</v>
      </c>
      <c r="R53" s="351" t="e">
        <f t="shared" si="1"/>
        <v>#N/A</v>
      </c>
      <c r="S53" s="351" t="e">
        <f t="shared" si="2"/>
        <v>#N/A</v>
      </c>
      <c r="T53" s="351"/>
      <c r="U53" s="361" t="s">
        <v>3325</v>
      </c>
      <c r="V53" s="362">
        <v>1</v>
      </c>
      <c r="W53" s="365"/>
      <c r="X53" s="362">
        <v>1</v>
      </c>
      <c r="Y53" s="365"/>
      <c r="Z53" s="362">
        <v>1</v>
      </c>
      <c r="AA53" s="365"/>
      <c r="AB53" s="362">
        <v>1</v>
      </c>
      <c r="AC53" s="365"/>
      <c r="AD53" s="362">
        <v>1</v>
      </c>
      <c r="AE53" s="365"/>
      <c r="AF53" s="370"/>
      <c r="AG53" s="360">
        <v>1</v>
      </c>
      <c r="AH53" s="351" t="e">
        <f t="shared" si="3"/>
        <v>#N/A</v>
      </c>
      <c r="AI53" s="351" t="e">
        <f t="shared" si="4"/>
        <v>#N/A</v>
      </c>
      <c r="AJ53" s="351"/>
      <c r="AK53" s="361" t="s">
        <v>3325</v>
      </c>
      <c r="AL53" s="362">
        <v>1</v>
      </c>
      <c r="AM53" s="365"/>
      <c r="AN53" s="362">
        <v>1</v>
      </c>
      <c r="AO53" s="365"/>
      <c r="AP53" s="362">
        <v>1</v>
      </c>
      <c r="AQ53" s="365"/>
      <c r="AR53" s="362">
        <v>1</v>
      </c>
      <c r="AS53" s="365"/>
      <c r="AT53" s="362">
        <v>1</v>
      </c>
      <c r="AU53" s="365"/>
      <c r="AV53" s="370"/>
      <c r="AW53" s="360">
        <v>1</v>
      </c>
      <c r="AX53" s="351" t="e">
        <f t="shared" si="5"/>
        <v>#N/A</v>
      </c>
      <c r="AY53" s="351" t="e">
        <f t="shared" si="6"/>
        <v>#N/A</v>
      </c>
      <c r="AZ53" s="351"/>
      <c r="BA53" s="361" t="s">
        <v>3325</v>
      </c>
      <c r="BB53" s="362">
        <v>1</v>
      </c>
      <c r="BC53" s="365"/>
      <c r="BD53" s="362">
        <v>1</v>
      </c>
      <c r="BE53" s="365"/>
      <c r="BF53" s="362">
        <v>1</v>
      </c>
      <c r="BG53" s="365"/>
      <c r="BH53" s="362">
        <v>1</v>
      </c>
      <c r="BI53" s="365"/>
      <c r="BJ53" s="362">
        <v>1</v>
      </c>
      <c r="BK53" s="365"/>
      <c r="BL53" s="370"/>
      <c r="BM53" s="360">
        <v>1</v>
      </c>
      <c r="BN53" s="351" t="e">
        <f t="shared" si="7"/>
        <v>#N/A</v>
      </c>
      <c r="BO53" s="351" t="e">
        <f t="shared" si="8"/>
        <v>#N/A</v>
      </c>
      <c r="BP53" s="351"/>
      <c r="BQ53" s="361" t="s">
        <v>3325</v>
      </c>
      <c r="BR53" s="362">
        <v>1</v>
      </c>
      <c r="BS53" s="365"/>
      <c r="BT53" s="362">
        <v>1</v>
      </c>
      <c r="BU53" s="365"/>
      <c r="BV53" s="362">
        <v>1</v>
      </c>
      <c r="BW53" s="365"/>
      <c r="BX53" s="362">
        <v>1</v>
      </c>
      <c r="BY53" s="365"/>
      <c r="BZ53" s="362">
        <v>1</v>
      </c>
      <c r="CA53" s="365"/>
      <c r="CB53" s="370"/>
      <c r="CC53" s="360">
        <v>1</v>
      </c>
      <c r="CD53" s="351" t="e">
        <f t="shared" si="9"/>
        <v>#N/A</v>
      </c>
      <c r="CE53" s="351" t="e">
        <f t="shared" si="10"/>
        <v>#N/A</v>
      </c>
      <c r="CF53" s="351"/>
      <c r="CG53" s="361" t="s">
        <v>3325</v>
      </c>
      <c r="CH53" s="362">
        <v>1</v>
      </c>
      <c r="CI53" s="365"/>
      <c r="CJ53" s="362">
        <v>1</v>
      </c>
      <c r="CK53" s="365"/>
      <c r="CL53" s="362">
        <v>1</v>
      </c>
      <c r="CM53" s="365"/>
      <c r="CN53" s="362">
        <v>1</v>
      </c>
      <c r="CO53" s="365"/>
      <c r="CP53" s="362">
        <v>1</v>
      </c>
      <c r="CQ53" s="365"/>
      <c r="CR53" s="370"/>
      <c r="CS53" s="360">
        <v>1</v>
      </c>
      <c r="CT53" s="351" t="e">
        <f t="shared" si="11"/>
        <v>#N/A</v>
      </c>
      <c r="CU53" s="351" t="e">
        <f t="shared" si="12"/>
        <v>#N/A</v>
      </c>
      <c r="CV53" s="351"/>
      <c r="CW53" s="361" t="s">
        <v>3325</v>
      </c>
      <c r="CX53" s="362">
        <v>1</v>
      </c>
      <c r="CY53" s="365"/>
      <c r="CZ53" s="362">
        <v>1</v>
      </c>
      <c r="DA53" s="365"/>
      <c r="DB53" s="362">
        <v>1</v>
      </c>
      <c r="DC53" s="365"/>
      <c r="DD53" s="362">
        <v>1</v>
      </c>
      <c r="DE53" s="365"/>
      <c r="DF53" s="362">
        <v>1</v>
      </c>
      <c r="DG53" s="365"/>
      <c r="DH53" s="370"/>
      <c r="DI53" s="360">
        <v>1</v>
      </c>
      <c r="DJ53" s="351" t="e">
        <f t="shared" si="13"/>
        <v>#N/A</v>
      </c>
      <c r="DK53" s="351" t="e">
        <f t="shared" si="14"/>
        <v>#N/A</v>
      </c>
      <c r="DL53" s="351"/>
      <c r="DM53" s="361" t="s">
        <v>3325</v>
      </c>
      <c r="DN53" s="362">
        <v>1</v>
      </c>
      <c r="DO53" s="365"/>
      <c r="DP53" s="362">
        <v>1</v>
      </c>
      <c r="DQ53" s="365"/>
      <c r="DR53" s="362">
        <v>1</v>
      </c>
      <c r="DS53" s="365"/>
      <c r="DT53" s="362">
        <v>1</v>
      </c>
      <c r="DU53" s="365"/>
      <c r="DV53" s="362">
        <v>1</v>
      </c>
      <c r="DW53" s="365"/>
      <c r="DX53" s="370"/>
      <c r="DY53" s="360">
        <v>1</v>
      </c>
      <c r="DZ53" s="351" t="e">
        <f t="shared" si="15"/>
        <v>#N/A</v>
      </c>
      <c r="EA53" s="351" t="e">
        <f t="shared" si="16"/>
        <v>#N/A</v>
      </c>
      <c r="EB53" s="351"/>
      <c r="EC53" s="157">
        <f t="shared" si="17"/>
        <v>1</v>
      </c>
      <c r="ED53" s="157">
        <f t="shared" si="18"/>
        <v>1</v>
      </c>
      <c r="EE53" s="157">
        <f t="shared" si="19"/>
        <v>1</v>
      </c>
      <c r="EF53" s="157">
        <f t="shared" si="20"/>
        <v>1</v>
      </c>
    </row>
    <row r="54" spans="1:136" ht="14.25" customHeight="1">
      <c r="A54" s="291" t="b">
        <f t="shared" si="0"/>
        <v>0</v>
      </c>
      <c r="B54" s="292"/>
      <c r="C54" s="355" t="s">
        <v>3332</v>
      </c>
      <c r="D54" s="345"/>
      <c r="E54" s="371" t="s">
        <v>3333</v>
      </c>
      <c r="F54" s="372">
        <v>0.5</v>
      </c>
      <c r="G54" s="358"/>
      <c r="H54" s="372">
        <v>0.5</v>
      </c>
      <c r="I54" s="358"/>
      <c r="J54" s="372">
        <v>0.5</v>
      </c>
      <c r="K54" s="358"/>
      <c r="L54" s="372">
        <v>0.5</v>
      </c>
      <c r="M54" s="358"/>
      <c r="N54" s="372">
        <v>0.3</v>
      </c>
      <c r="O54" s="358"/>
      <c r="P54" s="359"/>
      <c r="Q54" s="360">
        <v>1</v>
      </c>
      <c r="R54" s="351" t="e">
        <f t="shared" si="1"/>
        <v>#N/A</v>
      </c>
      <c r="S54" s="351" t="e">
        <f t="shared" si="2"/>
        <v>#N/A</v>
      </c>
      <c r="T54" s="351"/>
      <c r="U54" s="361" t="s">
        <v>3334</v>
      </c>
      <c r="V54" s="372">
        <v>0.6</v>
      </c>
      <c r="W54" s="358"/>
      <c r="X54" s="372">
        <v>0.6</v>
      </c>
      <c r="Y54" s="358"/>
      <c r="Z54" s="372">
        <v>0.6</v>
      </c>
      <c r="AA54" s="358"/>
      <c r="AB54" s="372">
        <v>0.6</v>
      </c>
      <c r="AC54" s="358"/>
      <c r="AD54" s="372">
        <v>0.4</v>
      </c>
      <c r="AE54" s="358"/>
      <c r="AF54" s="359"/>
      <c r="AG54" s="360">
        <v>1</v>
      </c>
      <c r="AH54" s="351" t="e">
        <f t="shared" si="3"/>
        <v>#N/A</v>
      </c>
      <c r="AI54" s="351" t="e">
        <f t="shared" si="4"/>
        <v>#N/A</v>
      </c>
      <c r="AJ54" s="351"/>
      <c r="AK54" s="361" t="s">
        <v>3334</v>
      </c>
      <c r="AL54" s="372">
        <v>0.6</v>
      </c>
      <c r="AM54" s="358"/>
      <c r="AN54" s="372">
        <v>0.6</v>
      </c>
      <c r="AO54" s="358"/>
      <c r="AP54" s="372">
        <v>0.6</v>
      </c>
      <c r="AQ54" s="358"/>
      <c r="AR54" s="372">
        <v>0.6</v>
      </c>
      <c r="AS54" s="358"/>
      <c r="AT54" s="372">
        <v>0.4</v>
      </c>
      <c r="AU54" s="358"/>
      <c r="AV54" s="359"/>
      <c r="AW54" s="360">
        <v>1</v>
      </c>
      <c r="AX54" s="351" t="e">
        <f t="shared" si="5"/>
        <v>#N/A</v>
      </c>
      <c r="AY54" s="351" t="e">
        <f t="shared" si="6"/>
        <v>#N/A</v>
      </c>
      <c r="AZ54" s="351"/>
      <c r="BA54" s="371" t="s">
        <v>3335</v>
      </c>
      <c r="BB54" s="372">
        <v>0.6</v>
      </c>
      <c r="BC54" s="358"/>
      <c r="BD54" s="372">
        <v>0.6</v>
      </c>
      <c r="BE54" s="358"/>
      <c r="BF54" s="372">
        <v>0.6</v>
      </c>
      <c r="BG54" s="358"/>
      <c r="BH54" s="372">
        <v>0.6</v>
      </c>
      <c r="BI54" s="358"/>
      <c r="BJ54" s="372">
        <v>0.4</v>
      </c>
      <c r="BK54" s="358"/>
      <c r="BL54" s="359"/>
      <c r="BM54" s="360">
        <v>1</v>
      </c>
      <c r="BN54" s="351" t="e">
        <f t="shared" si="7"/>
        <v>#N/A</v>
      </c>
      <c r="BO54" s="351" t="e">
        <f t="shared" si="8"/>
        <v>#N/A</v>
      </c>
      <c r="BP54" s="351"/>
      <c r="BQ54" s="361" t="s">
        <v>3334</v>
      </c>
      <c r="BR54" s="372">
        <v>0.6</v>
      </c>
      <c r="BS54" s="358"/>
      <c r="BT54" s="372">
        <v>0.6</v>
      </c>
      <c r="BU54" s="358"/>
      <c r="BV54" s="372">
        <v>0.6</v>
      </c>
      <c r="BW54" s="358"/>
      <c r="BX54" s="372">
        <v>0.6</v>
      </c>
      <c r="BY54" s="358"/>
      <c r="BZ54" s="372">
        <v>0.4</v>
      </c>
      <c r="CA54" s="358"/>
      <c r="CB54" s="359"/>
      <c r="CC54" s="360">
        <v>1</v>
      </c>
      <c r="CD54" s="351" t="e">
        <f t="shared" si="9"/>
        <v>#N/A</v>
      </c>
      <c r="CE54" s="351" t="e">
        <f t="shared" si="10"/>
        <v>#N/A</v>
      </c>
      <c r="CF54" s="351"/>
      <c r="CG54" s="371" t="s">
        <v>3336</v>
      </c>
      <c r="CH54" s="372">
        <v>0.6</v>
      </c>
      <c r="CI54" s="358"/>
      <c r="CJ54" s="372">
        <v>0.6</v>
      </c>
      <c r="CK54" s="358"/>
      <c r="CL54" s="372">
        <v>0.6</v>
      </c>
      <c r="CM54" s="358"/>
      <c r="CN54" s="372">
        <v>0.6</v>
      </c>
      <c r="CO54" s="358"/>
      <c r="CP54" s="372">
        <v>0.4</v>
      </c>
      <c r="CQ54" s="358"/>
      <c r="CR54" s="359"/>
      <c r="CS54" s="360">
        <v>1</v>
      </c>
      <c r="CT54" s="351" t="e">
        <f t="shared" si="11"/>
        <v>#N/A</v>
      </c>
      <c r="CU54" s="351" t="e">
        <f t="shared" si="12"/>
        <v>#N/A</v>
      </c>
      <c r="CV54" s="351"/>
      <c r="CW54" s="371" t="s">
        <v>3337</v>
      </c>
      <c r="CX54" s="372">
        <v>0.6</v>
      </c>
      <c r="CY54" s="358"/>
      <c r="CZ54" s="372">
        <v>0.6</v>
      </c>
      <c r="DA54" s="358"/>
      <c r="DB54" s="372">
        <v>0.6</v>
      </c>
      <c r="DC54" s="358"/>
      <c r="DD54" s="372">
        <v>0.6</v>
      </c>
      <c r="DE54" s="358"/>
      <c r="DF54" s="372">
        <v>0.4</v>
      </c>
      <c r="DG54" s="358"/>
      <c r="DH54" s="359"/>
      <c r="DI54" s="360">
        <v>1</v>
      </c>
      <c r="DJ54" s="351" t="e">
        <f t="shared" si="13"/>
        <v>#N/A</v>
      </c>
      <c r="DK54" s="351" t="e">
        <f t="shared" si="14"/>
        <v>#N/A</v>
      </c>
      <c r="DL54" s="351"/>
      <c r="DM54" s="361" t="s">
        <v>3334</v>
      </c>
      <c r="DN54" s="372">
        <v>0.6</v>
      </c>
      <c r="DO54" s="358"/>
      <c r="DP54" s="372">
        <v>0.6</v>
      </c>
      <c r="DQ54" s="358"/>
      <c r="DR54" s="372">
        <v>0.6</v>
      </c>
      <c r="DS54" s="358"/>
      <c r="DT54" s="372">
        <v>0.6</v>
      </c>
      <c r="DU54" s="358"/>
      <c r="DV54" s="372">
        <v>0.4</v>
      </c>
      <c r="DW54" s="358"/>
      <c r="DX54" s="359"/>
      <c r="DY54" s="360">
        <v>1</v>
      </c>
      <c r="DZ54" s="351" t="e">
        <f t="shared" si="15"/>
        <v>#N/A</v>
      </c>
      <c r="EA54" s="351" t="e">
        <f t="shared" si="16"/>
        <v>#N/A</v>
      </c>
      <c r="EB54" s="351"/>
      <c r="EC54" s="157">
        <f t="shared" si="17"/>
        <v>0.3</v>
      </c>
      <c r="ED54" s="157">
        <f t="shared" si="18"/>
        <v>0.6</v>
      </c>
      <c r="EE54" s="157">
        <f t="shared" si="19"/>
        <v>0.5475000000000001</v>
      </c>
      <c r="EF54" s="157">
        <f t="shared" si="20"/>
        <v>0.6</v>
      </c>
    </row>
    <row r="55" spans="1:136" ht="14.25" customHeight="1">
      <c r="A55" s="291" t="b">
        <f t="shared" si="0"/>
        <v>0</v>
      </c>
      <c r="B55" s="292"/>
      <c r="C55" s="355" t="s">
        <v>3338</v>
      </c>
      <c r="D55" s="345"/>
      <c r="E55" s="356" t="s">
        <v>3339</v>
      </c>
      <c r="F55" s="357">
        <v>0.3</v>
      </c>
      <c r="G55" s="358"/>
      <c r="H55" s="357">
        <v>0.3</v>
      </c>
      <c r="I55" s="358"/>
      <c r="J55" s="357">
        <v>0.3</v>
      </c>
      <c r="K55" s="358"/>
      <c r="L55" s="357">
        <v>0.3</v>
      </c>
      <c r="M55" s="358"/>
      <c r="N55" s="357">
        <v>0.3</v>
      </c>
      <c r="O55" s="358"/>
      <c r="P55" s="359"/>
      <c r="Q55" s="360">
        <v>1</v>
      </c>
      <c r="R55" s="351" t="e">
        <f t="shared" si="1"/>
        <v>#N/A</v>
      </c>
      <c r="S55" s="351" t="e">
        <f t="shared" si="2"/>
        <v>#N/A</v>
      </c>
      <c r="T55" s="351"/>
      <c r="U55" s="361" t="s">
        <v>3340</v>
      </c>
      <c r="V55" s="362">
        <v>0.4</v>
      </c>
      <c r="W55" s="363"/>
      <c r="X55" s="364">
        <v>0.4</v>
      </c>
      <c r="Y55" s="363"/>
      <c r="Z55" s="364">
        <v>0.4</v>
      </c>
      <c r="AA55" s="363"/>
      <c r="AB55" s="364">
        <v>0.4</v>
      </c>
      <c r="AC55" s="363"/>
      <c r="AD55" s="364">
        <v>0.4</v>
      </c>
      <c r="AE55" s="363"/>
      <c r="AF55" s="363"/>
      <c r="AG55" s="360">
        <v>1</v>
      </c>
      <c r="AH55" s="351" t="e">
        <f t="shared" si="3"/>
        <v>#N/A</v>
      </c>
      <c r="AI55" s="351" t="e">
        <f t="shared" si="4"/>
        <v>#N/A</v>
      </c>
      <c r="AJ55" s="351"/>
      <c r="AK55" s="361" t="s">
        <v>3340</v>
      </c>
      <c r="AL55" s="362">
        <v>0.4</v>
      </c>
      <c r="AM55" s="365"/>
      <c r="AN55" s="362">
        <v>0.4</v>
      </c>
      <c r="AO55" s="365"/>
      <c r="AP55" s="362">
        <v>0.4</v>
      </c>
      <c r="AQ55" s="365"/>
      <c r="AR55" s="362">
        <v>0.4</v>
      </c>
      <c r="AS55" s="365"/>
      <c r="AT55" s="362">
        <v>0.4</v>
      </c>
      <c r="AU55" s="365"/>
      <c r="AV55" s="365"/>
      <c r="AW55" s="360">
        <v>1</v>
      </c>
      <c r="AX55" s="351" t="e">
        <f t="shared" si="5"/>
        <v>#N/A</v>
      </c>
      <c r="AY55" s="351" t="e">
        <f t="shared" si="6"/>
        <v>#N/A</v>
      </c>
      <c r="AZ55" s="351"/>
      <c r="BA55" s="371" t="s">
        <v>3341</v>
      </c>
      <c r="BB55" s="384">
        <v>0.1</v>
      </c>
      <c r="BC55" s="358"/>
      <c r="BD55" s="384">
        <v>0.1</v>
      </c>
      <c r="BE55" s="358"/>
      <c r="BF55" s="384">
        <v>0.1</v>
      </c>
      <c r="BG55" s="358"/>
      <c r="BH55" s="384">
        <v>0.1</v>
      </c>
      <c r="BI55" s="358"/>
      <c r="BJ55" s="384">
        <v>0.1</v>
      </c>
      <c r="BK55" s="358"/>
      <c r="BL55" s="358"/>
      <c r="BM55" s="360">
        <v>1</v>
      </c>
      <c r="BN55" s="351" t="e">
        <f t="shared" si="7"/>
        <v>#N/A</v>
      </c>
      <c r="BO55" s="351" t="e">
        <f t="shared" si="8"/>
        <v>#N/A</v>
      </c>
      <c r="BP55" s="351"/>
      <c r="BQ55" s="371" t="s">
        <v>3341</v>
      </c>
      <c r="BR55" s="385">
        <v>0.1</v>
      </c>
      <c r="BS55" s="377"/>
      <c r="BT55" s="385">
        <v>0.1</v>
      </c>
      <c r="BU55" s="377"/>
      <c r="BV55" s="385">
        <v>0.1</v>
      </c>
      <c r="BW55" s="377"/>
      <c r="BX55" s="385">
        <v>0.1</v>
      </c>
      <c r="BY55" s="377"/>
      <c r="BZ55" s="385">
        <v>0.1</v>
      </c>
      <c r="CA55" s="377"/>
      <c r="CB55" s="377"/>
      <c r="CC55" s="360">
        <v>1</v>
      </c>
      <c r="CD55" s="351" t="e">
        <f t="shared" si="9"/>
        <v>#N/A</v>
      </c>
      <c r="CE55" s="351" t="e">
        <f t="shared" si="10"/>
        <v>#N/A</v>
      </c>
      <c r="CF55" s="351"/>
      <c r="CG55" s="371" t="s">
        <v>3339</v>
      </c>
      <c r="CH55" s="385">
        <v>0.1</v>
      </c>
      <c r="CI55" s="377"/>
      <c r="CJ55" s="385">
        <v>0.1</v>
      </c>
      <c r="CK55" s="377"/>
      <c r="CL55" s="385">
        <v>0.1</v>
      </c>
      <c r="CM55" s="377"/>
      <c r="CN55" s="385">
        <v>0.1</v>
      </c>
      <c r="CO55" s="377"/>
      <c r="CP55" s="385">
        <v>0.1</v>
      </c>
      <c r="CQ55" s="377"/>
      <c r="CR55" s="377"/>
      <c r="CS55" s="360">
        <v>1</v>
      </c>
      <c r="CT55" s="351" t="e">
        <f t="shared" si="11"/>
        <v>#N/A</v>
      </c>
      <c r="CU55" s="351" t="e">
        <f t="shared" si="12"/>
        <v>#N/A</v>
      </c>
      <c r="CV55" s="351"/>
      <c r="CW55" s="361" t="s">
        <v>3340</v>
      </c>
      <c r="CX55" s="367">
        <v>0.4</v>
      </c>
      <c r="CY55" s="368"/>
      <c r="CZ55" s="367">
        <v>0.4</v>
      </c>
      <c r="DA55" s="369"/>
      <c r="DB55" s="367">
        <v>0.4</v>
      </c>
      <c r="DC55" s="368"/>
      <c r="DD55" s="367">
        <v>0.4</v>
      </c>
      <c r="DE55" s="368"/>
      <c r="DF55" s="367">
        <v>0.4</v>
      </c>
      <c r="DG55" s="368"/>
      <c r="DH55" s="368"/>
      <c r="DI55" s="360">
        <v>1</v>
      </c>
      <c r="DJ55" s="351" t="e">
        <f t="shared" si="13"/>
        <v>#N/A</v>
      </c>
      <c r="DK55" s="351" t="e">
        <f t="shared" si="14"/>
        <v>#N/A</v>
      </c>
      <c r="DL55" s="351"/>
      <c r="DM55" s="361" t="s">
        <v>3340</v>
      </c>
      <c r="DN55" s="367">
        <v>0.4</v>
      </c>
      <c r="DO55" s="368"/>
      <c r="DP55" s="367">
        <v>0.4</v>
      </c>
      <c r="DQ55" s="368"/>
      <c r="DR55" s="367">
        <v>0.4</v>
      </c>
      <c r="DS55" s="368"/>
      <c r="DT55" s="367">
        <v>0.4</v>
      </c>
      <c r="DU55" s="368"/>
      <c r="DV55" s="367">
        <v>0.4</v>
      </c>
      <c r="DW55" s="368"/>
      <c r="DX55" s="368"/>
      <c r="DY55" s="360">
        <v>1</v>
      </c>
      <c r="DZ55" s="351" t="e">
        <f t="shared" si="15"/>
        <v>#N/A</v>
      </c>
      <c r="EA55" s="351" t="e">
        <f t="shared" si="16"/>
        <v>#N/A</v>
      </c>
      <c r="EB55" s="351"/>
      <c r="EC55" s="157">
        <f t="shared" si="17"/>
        <v>0.1</v>
      </c>
      <c r="ED55" s="157">
        <f t="shared" si="18"/>
        <v>0.4</v>
      </c>
      <c r="EE55" s="157">
        <f t="shared" si="19"/>
        <v>0.27499999999999997</v>
      </c>
      <c r="EF55" s="157">
        <f t="shared" si="20"/>
        <v>0.35</v>
      </c>
    </row>
    <row r="56" spans="1:136" ht="14.25" customHeight="1">
      <c r="A56" s="291" t="b">
        <f t="shared" si="0"/>
        <v>0</v>
      </c>
      <c r="B56" s="292"/>
      <c r="C56" s="355" t="s">
        <v>3342</v>
      </c>
      <c r="D56" s="345"/>
      <c r="E56" s="383" t="s">
        <v>3343</v>
      </c>
      <c r="F56" s="362">
        <v>0.8</v>
      </c>
      <c r="G56" s="365"/>
      <c r="H56" s="362">
        <v>0.8</v>
      </c>
      <c r="I56" s="365"/>
      <c r="J56" s="362">
        <v>0.8</v>
      </c>
      <c r="K56" s="365"/>
      <c r="L56" s="362">
        <v>0.8</v>
      </c>
      <c r="M56" s="365"/>
      <c r="N56" s="362">
        <v>0.8</v>
      </c>
      <c r="O56" s="365"/>
      <c r="P56" s="370"/>
      <c r="Q56" s="386" t="s">
        <v>98</v>
      </c>
      <c r="R56" s="351" t="e">
        <f t="shared" si="1"/>
        <v>#N/A</v>
      </c>
      <c r="S56" s="351" t="e">
        <f t="shared" si="2"/>
        <v>#N/A</v>
      </c>
      <c r="T56" s="351"/>
      <c r="U56" s="387" t="s">
        <v>3344</v>
      </c>
      <c r="V56" s="372">
        <v>0.8</v>
      </c>
      <c r="W56" s="374"/>
      <c r="X56" s="380">
        <v>0.8</v>
      </c>
      <c r="Y56" s="374"/>
      <c r="Z56" s="380">
        <v>0.8</v>
      </c>
      <c r="AA56" s="374"/>
      <c r="AB56" s="380">
        <v>0.8</v>
      </c>
      <c r="AC56" s="374"/>
      <c r="AD56" s="380">
        <v>0.8</v>
      </c>
      <c r="AE56" s="374"/>
      <c r="AF56" s="374"/>
      <c r="AG56" s="386" t="s">
        <v>98</v>
      </c>
      <c r="AH56" s="351" t="e">
        <f t="shared" si="3"/>
        <v>#N/A</v>
      </c>
      <c r="AI56" s="351" t="e">
        <f t="shared" si="4"/>
        <v>#N/A</v>
      </c>
      <c r="AJ56" s="351"/>
      <c r="AK56" s="387" t="s">
        <v>3345</v>
      </c>
      <c r="AL56" s="372">
        <v>0.8</v>
      </c>
      <c r="AM56" s="358"/>
      <c r="AN56" s="372">
        <v>0.8</v>
      </c>
      <c r="AO56" s="358"/>
      <c r="AP56" s="372">
        <v>0.8</v>
      </c>
      <c r="AQ56" s="358"/>
      <c r="AR56" s="372">
        <v>0.8</v>
      </c>
      <c r="AS56" s="358"/>
      <c r="AT56" s="372">
        <v>0.8</v>
      </c>
      <c r="AU56" s="358"/>
      <c r="AV56" s="358"/>
      <c r="AW56" s="386" t="s">
        <v>98</v>
      </c>
      <c r="AX56" s="351" t="e">
        <f t="shared" si="5"/>
        <v>#N/A</v>
      </c>
      <c r="AY56" s="351" t="e">
        <f t="shared" si="6"/>
        <v>#N/A</v>
      </c>
      <c r="AZ56" s="351"/>
      <c r="BA56" s="383" t="s">
        <v>3346</v>
      </c>
      <c r="BB56" s="366">
        <v>1</v>
      </c>
      <c r="BC56" s="365"/>
      <c r="BD56" s="366">
        <v>1</v>
      </c>
      <c r="BE56" s="365"/>
      <c r="BF56" s="366">
        <v>1</v>
      </c>
      <c r="BG56" s="365"/>
      <c r="BH56" s="366">
        <v>1</v>
      </c>
      <c r="BI56" s="365"/>
      <c r="BJ56" s="366">
        <v>1</v>
      </c>
      <c r="BK56" s="365"/>
      <c r="BL56" s="365"/>
      <c r="BM56" s="386" t="s">
        <v>98</v>
      </c>
      <c r="BN56" s="351" t="e">
        <f t="shared" si="7"/>
        <v>#N/A</v>
      </c>
      <c r="BO56" s="351" t="e">
        <f t="shared" si="8"/>
        <v>#N/A</v>
      </c>
      <c r="BP56" s="351"/>
      <c r="BQ56" s="383" t="s">
        <v>3347</v>
      </c>
      <c r="BR56" s="367">
        <v>1</v>
      </c>
      <c r="BS56" s="368"/>
      <c r="BT56" s="367">
        <v>1</v>
      </c>
      <c r="BU56" s="368"/>
      <c r="BV56" s="367">
        <v>1</v>
      </c>
      <c r="BW56" s="368"/>
      <c r="BX56" s="367">
        <v>1</v>
      </c>
      <c r="BY56" s="368"/>
      <c r="BZ56" s="367">
        <v>1</v>
      </c>
      <c r="CA56" s="368"/>
      <c r="CB56" s="368"/>
      <c r="CC56" s="386" t="s">
        <v>98</v>
      </c>
      <c r="CD56" s="351" t="e">
        <f t="shared" si="9"/>
        <v>#N/A</v>
      </c>
      <c r="CE56" s="351" t="e">
        <f t="shared" si="10"/>
        <v>#N/A</v>
      </c>
      <c r="CF56" s="351"/>
      <c r="CG56" s="387" t="s">
        <v>3348</v>
      </c>
      <c r="CH56" s="385">
        <v>0.8</v>
      </c>
      <c r="CI56" s="377"/>
      <c r="CJ56" s="385">
        <v>0.8</v>
      </c>
      <c r="CK56" s="377"/>
      <c r="CL56" s="385">
        <v>0.8</v>
      </c>
      <c r="CM56" s="377"/>
      <c r="CN56" s="385">
        <v>0.8</v>
      </c>
      <c r="CO56" s="377"/>
      <c r="CP56" s="385">
        <v>0.8</v>
      </c>
      <c r="CQ56" s="377"/>
      <c r="CR56" s="377"/>
      <c r="CS56" s="386" t="s">
        <v>98</v>
      </c>
      <c r="CT56" s="351" t="e">
        <f t="shared" si="11"/>
        <v>#N/A</v>
      </c>
      <c r="CU56" s="351" t="e">
        <f t="shared" si="12"/>
        <v>#N/A</v>
      </c>
      <c r="CV56" s="351"/>
      <c r="CW56" s="387" t="s">
        <v>3349</v>
      </c>
      <c r="CX56" s="385">
        <v>0.8</v>
      </c>
      <c r="CY56" s="377"/>
      <c r="CZ56" s="385">
        <v>0.8</v>
      </c>
      <c r="DA56" s="377"/>
      <c r="DB56" s="385">
        <v>0.8</v>
      </c>
      <c r="DC56" s="377"/>
      <c r="DD56" s="385">
        <v>0.8</v>
      </c>
      <c r="DE56" s="377"/>
      <c r="DF56" s="385">
        <v>0.8</v>
      </c>
      <c r="DG56" s="377"/>
      <c r="DH56" s="377"/>
      <c r="DI56" s="386" t="s">
        <v>98</v>
      </c>
      <c r="DJ56" s="351" t="e">
        <f t="shared" si="13"/>
        <v>#N/A</v>
      </c>
      <c r="DK56" s="351" t="e">
        <f t="shared" si="14"/>
        <v>#N/A</v>
      </c>
      <c r="DL56" s="351"/>
      <c r="DM56" s="383" t="s">
        <v>3350</v>
      </c>
      <c r="DN56" s="367">
        <v>1</v>
      </c>
      <c r="DO56" s="368"/>
      <c r="DP56" s="367">
        <v>1</v>
      </c>
      <c r="DQ56" s="368"/>
      <c r="DR56" s="367">
        <v>1</v>
      </c>
      <c r="DS56" s="368"/>
      <c r="DT56" s="367">
        <v>1</v>
      </c>
      <c r="DU56" s="368"/>
      <c r="DV56" s="367">
        <v>1</v>
      </c>
      <c r="DW56" s="368"/>
      <c r="DX56" s="368"/>
      <c r="DY56" s="386" t="s">
        <v>98</v>
      </c>
      <c r="DZ56" s="351" t="e">
        <f t="shared" si="15"/>
        <v>#N/A</v>
      </c>
      <c r="EA56" s="351" t="e">
        <f t="shared" si="16"/>
        <v>#N/A</v>
      </c>
      <c r="EB56" s="351"/>
      <c r="EC56" s="157">
        <f t="shared" si="17"/>
        <v>0.8</v>
      </c>
      <c r="ED56" s="157">
        <f t="shared" si="18"/>
        <v>1</v>
      </c>
      <c r="EE56" s="157">
        <f t="shared" si="19"/>
        <v>0.87500000000000022</v>
      </c>
      <c r="EF56" s="157">
        <f t="shared" si="20"/>
        <v>0.8</v>
      </c>
    </row>
    <row r="57" spans="1:136" ht="14.25" customHeight="1">
      <c r="A57" s="291" t="b">
        <f t="shared" si="0"/>
        <v>1</v>
      </c>
      <c r="B57" s="292"/>
      <c r="C57" s="355" t="s">
        <v>3351</v>
      </c>
      <c r="D57" s="345"/>
      <c r="E57" s="371" t="s">
        <v>3352</v>
      </c>
      <c r="F57" s="372">
        <v>0.4</v>
      </c>
      <c r="G57" s="358"/>
      <c r="H57" s="372">
        <v>0.4</v>
      </c>
      <c r="I57" s="358"/>
      <c r="J57" s="372">
        <v>0.4</v>
      </c>
      <c r="K57" s="358"/>
      <c r="L57" s="372">
        <v>0.4</v>
      </c>
      <c r="M57" s="358"/>
      <c r="N57" s="372">
        <v>0.4</v>
      </c>
      <c r="O57" s="358"/>
      <c r="P57" s="359"/>
      <c r="Q57" s="360">
        <v>1</v>
      </c>
      <c r="R57" s="351" t="e">
        <f t="shared" si="1"/>
        <v>#N/A</v>
      </c>
      <c r="S57" s="351" t="e">
        <f t="shared" si="2"/>
        <v>#N/A</v>
      </c>
      <c r="T57" s="351"/>
      <c r="U57" s="371" t="s">
        <v>3353</v>
      </c>
      <c r="V57" s="372">
        <v>0.4</v>
      </c>
      <c r="W57" s="358"/>
      <c r="X57" s="372">
        <v>0.4</v>
      </c>
      <c r="Y57" s="358"/>
      <c r="Z57" s="372">
        <v>0.4</v>
      </c>
      <c r="AA57" s="358"/>
      <c r="AB57" s="372">
        <v>0.4</v>
      </c>
      <c r="AC57" s="358"/>
      <c r="AD57" s="372">
        <v>0.4</v>
      </c>
      <c r="AE57" s="358"/>
      <c r="AF57" s="359"/>
      <c r="AG57" s="360">
        <v>1</v>
      </c>
      <c r="AH57" s="351" t="e">
        <f t="shared" si="3"/>
        <v>#N/A</v>
      </c>
      <c r="AI57" s="351" t="e">
        <f t="shared" si="4"/>
        <v>#N/A</v>
      </c>
      <c r="AJ57" s="351"/>
      <c r="AK57" s="361" t="s">
        <v>3354</v>
      </c>
      <c r="AL57" s="372">
        <v>0.4</v>
      </c>
      <c r="AM57" s="358"/>
      <c r="AN57" s="372">
        <v>0.4</v>
      </c>
      <c r="AO57" s="358"/>
      <c r="AP57" s="372">
        <v>0.4</v>
      </c>
      <c r="AQ57" s="358"/>
      <c r="AR57" s="372">
        <v>0.4</v>
      </c>
      <c r="AS57" s="358"/>
      <c r="AT57" s="372">
        <v>0.4</v>
      </c>
      <c r="AU57" s="358"/>
      <c r="AV57" s="359"/>
      <c r="AW57" s="360">
        <v>1</v>
      </c>
      <c r="AX57" s="351" t="e">
        <f t="shared" si="5"/>
        <v>#N/A</v>
      </c>
      <c r="AY57" s="351" t="e">
        <f t="shared" si="6"/>
        <v>#N/A</v>
      </c>
      <c r="AZ57" s="351"/>
      <c r="BA57" s="371" t="s">
        <v>3355</v>
      </c>
      <c r="BB57" s="372">
        <v>0.4</v>
      </c>
      <c r="BC57" s="358"/>
      <c r="BD57" s="372">
        <v>0.4</v>
      </c>
      <c r="BE57" s="358"/>
      <c r="BF57" s="372">
        <v>0.4</v>
      </c>
      <c r="BG57" s="358"/>
      <c r="BH57" s="372">
        <v>0.4</v>
      </c>
      <c r="BI57" s="358"/>
      <c r="BJ57" s="372">
        <v>0.4</v>
      </c>
      <c r="BK57" s="358"/>
      <c r="BL57" s="359"/>
      <c r="BM57" s="360">
        <v>1</v>
      </c>
      <c r="BN57" s="351" t="e">
        <f t="shared" si="7"/>
        <v>#N/A</v>
      </c>
      <c r="BO57" s="351" t="e">
        <f t="shared" si="8"/>
        <v>#N/A</v>
      </c>
      <c r="BP57" s="351"/>
      <c r="BQ57" s="371" t="s">
        <v>3356</v>
      </c>
      <c r="BR57" s="372">
        <v>0.4</v>
      </c>
      <c r="BS57" s="358"/>
      <c r="BT57" s="372">
        <v>0.4</v>
      </c>
      <c r="BU57" s="358"/>
      <c r="BV57" s="372">
        <v>0.4</v>
      </c>
      <c r="BW57" s="358"/>
      <c r="BX57" s="372">
        <v>0.4</v>
      </c>
      <c r="BY57" s="358"/>
      <c r="BZ57" s="372">
        <v>0.4</v>
      </c>
      <c r="CA57" s="358"/>
      <c r="CB57" s="359"/>
      <c r="CC57" s="360">
        <v>1</v>
      </c>
      <c r="CD57" s="351" t="e">
        <f t="shared" si="9"/>
        <v>#N/A</v>
      </c>
      <c r="CE57" s="351" t="e">
        <f t="shared" si="10"/>
        <v>#N/A</v>
      </c>
      <c r="CF57" s="351"/>
      <c r="CG57" s="371" t="s">
        <v>3356</v>
      </c>
      <c r="CH57" s="372">
        <v>0.4</v>
      </c>
      <c r="CI57" s="358"/>
      <c r="CJ57" s="372">
        <v>0.4</v>
      </c>
      <c r="CK57" s="358"/>
      <c r="CL57" s="372">
        <v>0.4</v>
      </c>
      <c r="CM57" s="358"/>
      <c r="CN57" s="372">
        <v>0.4</v>
      </c>
      <c r="CO57" s="358"/>
      <c r="CP57" s="372">
        <v>0.4</v>
      </c>
      <c r="CQ57" s="358"/>
      <c r="CR57" s="359"/>
      <c r="CS57" s="360">
        <v>1</v>
      </c>
      <c r="CT57" s="351" t="e">
        <f t="shared" si="11"/>
        <v>#N/A</v>
      </c>
      <c r="CU57" s="351" t="e">
        <f t="shared" si="12"/>
        <v>#N/A</v>
      </c>
      <c r="CV57" s="351"/>
      <c r="CW57" s="371" t="s">
        <v>3356</v>
      </c>
      <c r="CX57" s="372">
        <v>0.4</v>
      </c>
      <c r="CY57" s="358"/>
      <c r="CZ57" s="372">
        <v>0.4</v>
      </c>
      <c r="DA57" s="358"/>
      <c r="DB57" s="372">
        <v>0.4</v>
      </c>
      <c r="DC57" s="358"/>
      <c r="DD57" s="372">
        <v>0.4</v>
      </c>
      <c r="DE57" s="358"/>
      <c r="DF57" s="372">
        <v>0.4</v>
      </c>
      <c r="DG57" s="358"/>
      <c r="DH57" s="359"/>
      <c r="DI57" s="360">
        <v>1</v>
      </c>
      <c r="DJ57" s="351" t="e">
        <f t="shared" si="13"/>
        <v>#N/A</v>
      </c>
      <c r="DK57" s="351" t="e">
        <f t="shared" si="14"/>
        <v>#N/A</v>
      </c>
      <c r="DL57" s="351"/>
      <c r="DM57" s="361" t="s">
        <v>3357</v>
      </c>
      <c r="DN57" s="372">
        <v>0.4</v>
      </c>
      <c r="DO57" s="358"/>
      <c r="DP57" s="372">
        <v>0.4</v>
      </c>
      <c r="DQ57" s="358"/>
      <c r="DR57" s="372">
        <v>0.4</v>
      </c>
      <c r="DS57" s="358"/>
      <c r="DT57" s="372">
        <v>0.4</v>
      </c>
      <c r="DU57" s="358"/>
      <c r="DV57" s="372">
        <v>0.4</v>
      </c>
      <c r="DW57" s="358"/>
      <c r="DX57" s="359"/>
      <c r="DY57" s="360">
        <v>1</v>
      </c>
      <c r="DZ57" s="351" t="e">
        <f t="shared" si="15"/>
        <v>#N/A</v>
      </c>
      <c r="EA57" s="351" t="e">
        <f t="shared" si="16"/>
        <v>#N/A</v>
      </c>
      <c r="EB57" s="351"/>
      <c r="EC57" s="157">
        <f t="shared" si="17"/>
        <v>0.4</v>
      </c>
      <c r="ED57" s="157">
        <f t="shared" si="18"/>
        <v>0.4</v>
      </c>
      <c r="EE57" s="157">
        <f t="shared" si="19"/>
        <v>0.40000000000000019</v>
      </c>
      <c r="EF57" s="157">
        <f t="shared" si="20"/>
        <v>0.4</v>
      </c>
    </row>
    <row r="58" spans="1:136" ht="14.25" customHeight="1">
      <c r="A58" s="291" t="b">
        <f t="shared" si="0"/>
        <v>0</v>
      </c>
      <c r="B58" s="292"/>
      <c r="C58" s="355" t="s">
        <v>3358</v>
      </c>
      <c r="D58" s="345"/>
      <c r="E58" s="361" t="s">
        <v>3359</v>
      </c>
      <c r="F58" s="362">
        <v>0.6</v>
      </c>
      <c r="G58" s="365"/>
      <c r="H58" s="362">
        <v>0.6</v>
      </c>
      <c r="I58" s="365"/>
      <c r="J58" s="362">
        <v>0.6</v>
      </c>
      <c r="K58" s="365"/>
      <c r="L58" s="362">
        <v>0.6</v>
      </c>
      <c r="M58" s="365"/>
      <c r="N58" s="362">
        <v>0.6</v>
      </c>
      <c r="O58" s="365"/>
      <c r="P58" s="370"/>
      <c r="Q58" s="360">
        <v>1</v>
      </c>
      <c r="R58" s="351" t="e">
        <f t="shared" si="1"/>
        <v>#N/A</v>
      </c>
      <c r="S58" s="351" t="e">
        <f t="shared" si="2"/>
        <v>#N/A</v>
      </c>
      <c r="T58" s="351"/>
      <c r="U58" s="371" t="s">
        <v>3360</v>
      </c>
      <c r="V58" s="362">
        <v>0.8</v>
      </c>
      <c r="W58" s="365"/>
      <c r="X58" s="362">
        <v>0.8</v>
      </c>
      <c r="Y58" s="365"/>
      <c r="Z58" s="362">
        <v>0.8</v>
      </c>
      <c r="AA58" s="365"/>
      <c r="AB58" s="362">
        <v>0.8</v>
      </c>
      <c r="AC58" s="365"/>
      <c r="AD58" s="362">
        <v>0.8</v>
      </c>
      <c r="AE58" s="365"/>
      <c r="AF58" s="370"/>
      <c r="AG58" s="360">
        <v>1</v>
      </c>
      <c r="AH58" s="351" t="e">
        <f t="shared" si="3"/>
        <v>#N/A</v>
      </c>
      <c r="AI58" s="351" t="e">
        <f t="shared" si="4"/>
        <v>#N/A</v>
      </c>
      <c r="AJ58" s="351"/>
      <c r="AK58" s="371" t="s">
        <v>3361</v>
      </c>
      <c r="AL58" s="362">
        <v>0.8</v>
      </c>
      <c r="AM58" s="365"/>
      <c r="AN58" s="362">
        <v>0.8</v>
      </c>
      <c r="AO58" s="365"/>
      <c r="AP58" s="362">
        <v>0.8</v>
      </c>
      <c r="AQ58" s="365"/>
      <c r="AR58" s="362">
        <v>0.8</v>
      </c>
      <c r="AS58" s="365"/>
      <c r="AT58" s="362">
        <v>0.8</v>
      </c>
      <c r="AU58" s="365"/>
      <c r="AV58" s="370"/>
      <c r="AW58" s="360">
        <v>1</v>
      </c>
      <c r="AX58" s="351" t="e">
        <f t="shared" si="5"/>
        <v>#N/A</v>
      </c>
      <c r="AY58" s="351" t="e">
        <f t="shared" si="6"/>
        <v>#N/A</v>
      </c>
      <c r="AZ58" s="351"/>
      <c r="BA58" s="371" t="s">
        <v>3362</v>
      </c>
      <c r="BB58" s="362">
        <v>0.8</v>
      </c>
      <c r="BC58" s="365"/>
      <c r="BD58" s="362">
        <v>0.8</v>
      </c>
      <c r="BE58" s="365"/>
      <c r="BF58" s="362">
        <v>0.8</v>
      </c>
      <c r="BG58" s="365"/>
      <c r="BH58" s="362">
        <v>0.8</v>
      </c>
      <c r="BI58" s="365"/>
      <c r="BJ58" s="362">
        <v>0.8</v>
      </c>
      <c r="BK58" s="365"/>
      <c r="BL58" s="370"/>
      <c r="BM58" s="360">
        <v>1</v>
      </c>
      <c r="BN58" s="351" t="e">
        <f t="shared" si="7"/>
        <v>#N/A</v>
      </c>
      <c r="BO58" s="351" t="e">
        <f t="shared" si="8"/>
        <v>#N/A</v>
      </c>
      <c r="BP58" s="351"/>
      <c r="BQ58" s="371" t="s">
        <v>3363</v>
      </c>
      <c r="BR58" s="362">
        <v>0.8</v>
      </c>
      <c r="BS58" s="365"/>
      <c r="BT58" s="362">
        <v>0.8</v>
      </c>
      <c r="BU58" s="365"/>
      <c r="BV58" s="362">
        <v>0.8</v>
      </c>
      <c r="BW58" s="365"/>
      <c r="BX58" s="362">
        <v>0.8</v>
      </c>
      <c r="BY58" s="365"/>
      <c r="BZ58" s="362">
        <v>0.8</v>
      </c>
      <c r="CA58" s="365"/>
      <c r="CB58" s="370"/>
      <c r="CC58" s="360">
        <v>1</v>
      </c>
      <c r="CD58" s="351" t="e">
        <f t="shared" si="9"/>
        <v>#N/A</v>
      </c>
      <c r="CE58" s="351" t="e">
        <f t="shared" si="10"/>
        <v>#N/A</v>
      </c>
      <c r="CF58" s="351"/>
      <c r="CG58" s="371" t="s">
        <v>3364</v>
      </c>
      <c r="CH58" s="362">
        <v>0.8</v>
      </c>
      <c r="CI58" s="365"/>
      <c r="CJ58" s="362">
        <v>0.8</v>
      </c>
      <c r="CK58" s="365"/>
      <c r="CL58" s="362">
        <v>0.8</v>
      </c>
      <c r="CM58" s="365"/>
      <c r="CN58" s="362">
        <v>0.8</v>
      </c>
      <c r="CO58" s="365"/>
      <c r="CP58" s="362">
        <v>0.8</v>
      </c>
      <c r="CQ58" s="365"/>
      <c r="CR58" s="370"/>
      <c r="CS58" s="360">
        <v>1</v>
      </c>
      <c r="CT58" s="351" t="e">
        <f t="shared" si="11"/>
        <v>#N/A</v>
      </c>
      <c r="CU58" s="351" t="e">
        <f t="shared" si="12"/>
        <v>#N/A</v>
      </c>
      <c r="CV58" s="351"/>
      <c r="CW58" s="371" t="s">
        <v>3361</v>
      </c>
      <c r="CX58" s="362">
        <v>0.8</v>
      </c>
      <c r="CY58" s="365"/>
      <c r="CZ58" s="362">
        <v>0.8</v>
      </c>
      <c r="DA58" s="365"/>
      <c r="DB58" s="362">
        <v>0.8</v>
      </c>
      <c r="DC58" s="365"/>
      <c r="DD58" s="362">
        <v>0.8</v>
      </c>
      <c r="DE58" s="365"/>
      <c r="DF58" s="362">
        <v>0.8</v>
      </c>
      <c r="DG58" s="365"/>
      <c r="DH58" s="370"/>
      <c r="DI58" s="360">
        <v>1</v>
      </c>
      <c r="DJ58" s="351" t="e">
        <f t="shared" si="13"/>
        <v>#N/A</v>
      </c>
      <c r="DK58" s="351" t="e">
        <f t="shared" si="14"/>
        <v>#N/A</v>
      </c>
      <c r="DL58" s="351"/>
      <c r="DM58" s="371" t="s">
        <v>3361</v>
      </c>
      <c r="DN58" s="362">
        <v>0.8</v>
      </c>
      <c r="DO58" s="365"/>
      <c r="DP58" s="362">
        <v>0.8</v>
      </c>
      <c r="DQ58" s="365"/>
      <c r="DR58" s="362">
        <v>0.8</v>
      </c>
      <c r="DS58" s="365"/>
      <c r="DT58" s="362">
        <v>0.8</v>
      </c>
      <c r="DU58" s="365"/>
      <c r="DV58" s="362">
        <v>0.8</v>
      </c>
      <c r="DW58" s="365"/>
      <c r="DX58" s="370"/>
      <c r="DY58" s="360">
        <v>1</v>
      </c>
      <c r="DZ58" s="351" t="e">
        <f t="shared" si="15"/>
        <v>#N/A</v>
      </c>
      <c r="EA58" s="351" t="e">
        <f t="shared" si="16"/>
        <v>#N/A</v>
      </c>
      <c r="EB58" s="351"/>
      <c r="EC58" s="157">
        <f t="shared" si="17"/>
        <v>0.6</v>
      </c>
      <c r="ED58" s="157">
        <f t="shared" si="18"/>
        <v>0.8</v>
      </c>
      <c r="EE58" s="157">
        <f t="shared" si="19"/>
        <v>0.77500000000000047</v>
      </c>
      <c r="EF58" s="157">
        <f t="shared" si="20"/>
        <v>0.8</v>
      </c>
    </row>
    <row r="59" spans="1:136" ht="14.25" customHeight="1">
      <c r="A59" s="291" t="b">
        <f t="shared" si="0"/>
        <v>1</v>
      </c>
      <c r="B59" s="292"/>
      <c r="C59" s="355" t="s">
        <v>3365</v>
      </c>
      <c r="D59" s="345"/>
      <c r="E59" s="361" t="s">
        <v>3366</v>
      </c>
      <c r="F59" s="362">
        <v>0.5</v>
      </c>
      <c r="G59" s="365"/>
      <c r="H59" s="362">
        <v>0.5</v>
      </c>
      <c r="I59" s="365"/>
      <c r="J59" s="362">
        <v>0.5</v>
      </c>
      <c r="K59" s="365"/>
      <c r="L59" s="362">
        <v>0.5</v>
      </c>
      <c r="M59" s="365"/>
      <c r="N59" s="362">
        <v>0.5</v>
      </c>
      <c r="O59" s="365"/>
      <c r="P59" s="370"/>
      <c r="Q59" s="360">
        <v>1</v>
      </c>
      <c r="R59" s="351" t="e">
        <f t="shared" si="1"/>
        <v>#N/A</v>
      </c>
      <c r="S59" s="351" t="e">
        <f t="shared" si="2"/>
        <v>#N/A</v>
      </c>
      <c r="T59" s="351"/>
      <c r="U59" s="361" t="s">
        <v>3366</v>
      </c>
      <c r="V59" s="362">
        <v>0.5</v>
      </c>
      <c r="W59" s="365"/>
      <c r="X59" s="362">
        <v>0.5</v>
      </c>
      <c r="Y59" s="365"/>
      <c r="Z59" s="362">
        <v>0.5</v>
      </c>
      <c r="AA59" s="365"/>
      <c r="AB59" s="362">
        <v>0.5</v>
      </c>
      <c r="AC59" s="365"/>
      <c r="AD59" s="362">
        <v>0.5</v>
      </c>
      <c r="AE59" s="365"/>
      <c r="AF59" s="370"/>
      <c r="AG59" s="360">
        <v>1</v>
      </c>
      <c r="AH59" s="351" t="e">
        <f t="shared" si="3"/>
        <v>#N/A</v>
      </c>
      <c r="AI59" s="351" t="e">
        <f t="shared" si="4"/>
        <v>#N/A</v>
      </c>
      <c r="AJ59" s="351"/>
      <c r="AK59" s="361" t="s">
        <v>3366</v>
      </c>
      <c r="AL59" s="362">
        <v>0.5</v>
      </c>
      <c r="AM59" s="365"/>
      <c r="AN59" s="362">
        <v>0.5</v>
      </c>
      <c r="AO59" s="365"/>
      <c r="AP59" s="362">
        <v>0.5</v>
      </c>
      <c r="AQ59" s="365"/>
      <c r="AR59" s="362">
        <v>0.5</v>
      </c>
      <c r="AS59" s="365"/>
      <c r="AT59" s="362">
        <v>0.5</v>
      </c>
      <c r="AU59" s="365"/>
      <c r="AV59" s="370"/>
      <c r="AW59" s="360">
        <v>1</v>
      </c>
      <c r="AX59" s="351" t="e">
        <f t="shared" si="5"/>
        <v>#N/A</v>
      </c>
      <c r="AY59" s="351" t="e">
        <f t="shared" si="6"/>
        <v>#N/A</v>
      </c>
      <c r="AZ59" s="351"/>
      <c r="BA59" s="361" t="s">
        <v>3366</v>
      </c>
      <c r="BB59" s="362">
        <v>0.5</v>
      </c>
      <c r="BC59" s="365"/>
      <c r="BD59" s="362">
        <v>0.5</v>
      </c>
      <c r="BE59" s="365"/>
      <c r="BF59" s="362">
        <v>0.5</v>
      </c>
      <c r="BG59" s="365"/>
      <c r="BH59" s="362">
        <v>0.5</v>
      </c>
      <c r="BI59" s="365"/>
      <c r="BJ59" s="362">
        <v>0.5</v>
      </c>
      <c r="BK59" s="365"/>
      <c r="BL59" s="370"/>
      <c r="BM59" s="360">
        <v>1</v>
      </c>
      <c r="BN59" s="351" t="e">
        <f t="shared" si="7"/>
        <v>#N/A</v>
      </c>
      <c r="BO59" s="351" t="e">
        <f t="shared" si="8"/>
        <v>#N/A</v>
      </c>
      <c r="BP59" s="351"/>
      <c r="BQ59" s="361" t="s">
        <v>3366</v>
      </c>
      <c r="BR59" s="362">
        <v>0.5</v>
      </c>
      <c r="BS59" s="365"/>
      <c r="BT59" s="362">
        <v>0.5</v>
      </c>
      <c r="BU59" s="365"/>
      <c r="BV59" s="362">
        <v>0.5</v>
      </c>
      <c r="BW59" s="365"/>
      <c r="BX59" s="362">
        <v>0.5</v>
      </c>
      <c r="BY59" s="365"/>
      <c r="BZ59" s="362">
        <v>0.5</v>
      </c>
      <c r="CA59" s="365"/>
      <c r="CB59" s="370"/>
      <c r="CC59" s="360">
        <v>1</v>
      </c>
      <c r="CD59" s="351" t="e">
        <f t="shared" si="9"/>
        <v>#N/A</v>
      </c>
      <c r="CE59" s="351" t="e">
        <f t="shared" si="10"/>
        <v>#N/A</v>
      </c>
      <c r="CF59" s="351"/>
      <c r="CG59" s="361" t="s">
        <v>3366</v>
      </c>
      <c r="CH59" s="362">
        <v>0.5</v>
      </c>
      <c r="CI59" s="365"/>
      <c r="CJ59" s="362">
        <v>0.5</v>
      </c>
      <c r="CK59" s="365"/>
      <c r="CL59" s="362">
        <v>0.5</v>
      </c>
      <c r="CM59" s="365"/>
      <c r="CN59" s="362">
        <v>0.5</v>
      </c>
      <c r="CO59" s="365"/>
      <c r="CP59" s="362">
        <v>0.5</v>
      </c>
      <c r="CQ59" s="365"/>
      <c r="CR59" s="370"/>
      <c r="CS59" s="360">
        <v>1</v>
      </c>
      <c r="CT59" s="351" t="e">
        <f t="shared" si="11"/>
        <v>#N/A</v>
      </c>
      <c r="CU59" s="351" t="e">
        <f t="shared" si="12"/>
        <v>#N/A</v>
      </c>
      <c r="CV59" s="351"/>
      <c r="CW59" s="361" t="s">
        <v>3366</v>
      </c>
      <c r="CX59" s="362">
        <v>0.5</v>
      </c>
      <c r="CY59" s="365"/>
      <c r="CZ59" s="362">
        <v>0.5</v>
      </c>
      <c r="DA59" s="365"/>
      <c r="DB59" s="362">
        <v>0.5</v>
      </c>
      <c r="DC59" s="365"/>
      <c r="DD59" s="362">
        <v>0.5</v>
      </c>
      <c r="DE59" s="365"/>
      <c r="DF59" s="362">
        <v>0.5</v>
      </c>
      <c r="DG59" s="365"/>
      <c r="DH59" s="370"/>
      <c r="DI59" s="360">
        <v>1</v>
      </c>
      <c r="DJ59" s="351" t="e">
        <f t="shared" si="13"/>
        <v>#N/A</v>
      </c>
      <c r="DK59" s="351" t="e">
        <f t="shared" si="14"/>
        <v>#N/A</v>
      </c>
      <c r="DL59" s="351"/>
      <c r="DM59" s="361" t="s">
        <v>3366</v>
      </c>
      <c r="DN59" s="362">
        <v>0.5</v>
      </c>
      <c r="DO59" s="365"/>
      <c r="DP59" s="362">
        <v>0.5</v>
      </c>
      <c r="DQ59" s="365"/>
      <c r="DR59" s="362">
        <v>0.5</v>
      </c>
      <c r="DS59" s="365"/>
      <c r="DT59" s="362">
        <v>0.5</v>
      </c>
      <c r="DU59" s="365"/>
      <c r="DV59" s="362">
        <v>0.5</v>
      </c>
      <c r="DW59" s="365"/>
      <c r="DX59" s="370"/>
      <c r="DY59" s="360">
        <v>1</v>
      </c>
      <c r="DZ59" s="351" t="e">
        <f t="shared" si="15"/>
        <v>#N/A</v>
      </c>
      <c r="EA59" s="351" t="e">
        <f t="shared" si="16"/>
        <v>#N/A</v>
      </c>
      <c r="EB59" s="351"/>
      <c r="EC59" s="157">
        <f t="shared" si="17"/>
        <v>0.5</v>
      </c>
      <c r="ED59" s="157">
        <f t="shared" si="18"/>
        <v>0.5</v>
      </c>
      <c r="EE59" s="157">
        <f t="shared" si="19"/>
        <v>0.5</v>
      </c>
      <c r="EF59" s="157">
        <f t="shared" si="20"/>
        <v>0.5</v>
      </c>
    </row>
    <row r="60" spans="1:136" ht="14.25" customHeight="1">
      <c r="A60" s="291" t="b">
        <f t="shared" si="0"/>
        <v>1</v>
      </c>
      <c r="B60" s="292"/>
      <c r="C60" s="355" t="s">
        <v>3367</v>
      </c>
      <c r="D60" s="345"/>
      <c r="E60" s="361" t="s">
        <v>3368</v>
      </c>
      <c r="F60" s="362">
        <v>0.8</v>
      </c>
      <c r="G60" s="365"/>
      <c r="H60" s="362">
        <v>0.8</v>
      </c>
      <c r="I60" s="365"/>
      <c r="J60" s="362">
        <v>0.8</v>
      </c>
      <c r="K60" s="365"/>
      <c r="L60" s="362">
        <v>0.8</v>
      </c>
      <c r="M60" s="365"/>
      <c r="N60" s="362">
        <v>0.8</v>
      </c>
      <c r="O60" s="365"/>
      <c r="P60" s="370"/>
      <c r="Q60" s="360">
        <v>1</v>
      </c>
      <c r="R60" s="351" t="e">
        <f t="shared" si="1"/>
        <v>#N/A</v>
      </c>
      <c r="S60" s="351" t="e">
        <f t="shared" si="2"/>
        <v>#N/A</v>
      </c>
      <c r="T60" s="351"/>
      <c r="U60" s="361" t="s">
        <v>3369</v>
      </c>
      <c r="V60" s="362">
        <v>0.8</v>
      </c>
      <c r="W60" s="365"/>
      <c r="X60" s="362">
        <v>0.8</v>
      </c>
      <c r="Y60" s="365"/>
      <c r="Z60" s="362">
        <v>0.8</v>
      </c>
      <c r="AA60" s="365"/>
      <c r="AB60" s="362">
        <v>0.8</v>
      </c>
      <c r="AC60" s="365"/>
      <c r="AD60" s="362">
        <v>0.8</v>
      </c>
      <c r="AE60" s="365"/>
      <c r="AF60" s="370"/>
      <c r="AG60" s="360">
        <v>1</v>
      </c>
      <c r="AH60" s="351" t="e">
        <f t="shared" si="3"/>
        <v>#N/A</v>
      </c>
      <c r="AI60" s="351" t="e">
        <f t="shared" si="4"/>
        <v>#N/A</v>
      </c>
      <c r="AJ60" s="351"/>
      <c r="AK60" s="361" t="s">
        <v>3370</v>
      </c>
      <c r="AL60" s="362">
        <v>0.8</v>
      </c>
      <c r="AM60" s="365"/>
      <c r="AN60" s="362">
        <v>0.8</v>
      </c>
      <c r="AO60" s="365"/>
      <c r="AP60" s="362">
        <v>0.8</v>
      </c>
      <c r="AQ60" s="365"/>
      <c r="AR60" s="362">
        <v>0.8</v>
      </c>
      <c r="AS60" s="365"/>
      <c r="AT60" s="362">
        <v>0.8</v>
      </c>
      <c r="AU60" s="365"/>
      <c r="AV60" s="370"/>
      <c r="AW60" s="360">
        <v>1</v>
      </c>
      <c r="AX60" s="351" t="e">
        <f t="shared" si="5"/>
        <v>#N/A</v>
      </c>
      <c r="AY60" s="351" t="e">
        <f t="shared" si="6"/>
        <v>#N/A</v>
      </c>
      <c r="AZ60" s="351"/>
      <c r="BA60" s="361" t="s">
        <v>3369</v>
      </c>
      <c r="BB60" s="362">
        <v>0.8</v>
      </c>
      <c r="BC60" s="365"/>
      <c r="BD60" s="362">
        <v>0.8</v>
      </c>
      <c r="BE60" s="365"/>
      <c r="BF60" s="362">
        <v>0.8</v>
      </c>
      <c r="BG60" s="365"/>
      <c r="BH60" s="362">
        <v>0.8</v>
      </c>
      <c r="BI60" s="365"/>
      <c r="BJ60" s="362">
        <v>0.8</v>
      </c>
      <c r="BK60" s="365"/>
      <c r="BL60" s="370"/>
      <c r="BM60" s="360">
        <v>1</v>
      </c>
      <c r="BN60" s="351" t="e">
        <f t="shared" si="7"/>
        <v>#N/A</v>
      </c>
      <c r="BO60" s="351" t="e">
        <f t="shared" si="8"/>
        <v>#N/A</v>
      </c>
      <c r="BP60" s="351"/>
      <c r="BQ60" s="361" t="s">
        <v>3369</v>
      </c>
      <c r="BR60" s="362">
        <v>0.8</v>
      </c>
      <c r="BS60" s="365"/>
      <c r="BT60" s="362">
        <v>0.8</v>
      </c>
      <c r="BU60" s="365"/>
      <c r="BV60" s="362">
        <v>0.8</v>
      </c>
      <c r="BW60" s="365"/>
      <c r="BX60" s="362">
        <v>0.8</v>
      </c>
      <c r="BY60" s="365"/>
      <c r="BZ60" s="362">
        <v>0.8</v>
      </c>
      <c r="CA60" s="365"/>
      <c r="CB60" s="370"/>
      <c r="CC60" s="360">
        <v>1</v>
      </c>
      <c r="CD60" s="351" t="e">
        <f t="shared" si="9"/>
        <v>#N/A</v>
      </c>
      <c r="CE60" s="351" t="e">
        <f t="shared" si="10"/>
        <v>#N/A</v>
      </c>
      <c r="CF60" s="351"/>
      <c r="CG60" s="361" t="s">
        <v>3369</v>
      </c>
      <c r="CH60" s="362">
        <v>0.8</v>
      </c>
      <c r="CI60" s="365"/>
      <c r="CJ60" s="362">
        <v>0.8</v>
      </c>
      <c r="CK60" s="365"/>
      <c r="CL60" s="362">
        <v>0.8</v>
      </c>
      <c r="CM60" s="365"/>
      <c r="CN60" s="362">
        <v>0.8</v>
      </c>
      <c r="CO60" s="365"/>
      <c r="CP60" s="362">
        <v>0.8</v>
      </c>
      <c r="CQ60" s="365"/>
      <c r="CR60" s="370"/>
      <c r="CS60" s="360">
        <v>1</v>
      </c>
      <c r="CT60" s="351" t="e">
        <f t="shared" si="11"/>
        <v>#N/A</v>
      </c>
      <c r="CU60" s="351" t="e">
        <f t="shared" si="12"/>
        <v>#N/A</v>
      </c>
      <c r="CV60" s="351"/>
      <c r="CW60" s="361" t="s">
        <v>3371</v>
      </c>
      <c r="CX60" s="362">
        <v>0.8</v>
      </c>
      <c r="CY60" s="365"/>
      <c r="CZ60" s="362">
        <v>0.8</v>
      </c>
      <c r="DA60" s="365"/>
      <c r="DB60" s="362">
        <v>0.8</v>
      </c>
      <c r="DC60" s="365"/>
      <c r="DD60" s="362">
        <v>0.8</v>
      </c>
      <c r="DE60" s="365"/>
      <c r="DF60" s="362">
        <v>0.8</v>
      </c>
      <c r="DG60" s="365"/>
      <c r="DH60" s="370"/>
      <c r="DI60" s="360">
        <v>1</v>
      </c>
      <c r="DJ60" s="351" t="e">
        <f t="shared" si="13"/>
        <v>#N/A</v>
      </c>
      <c r="DK60" s="351" t="e">
        <f t="shared" si="14"/>
        <v>#N/A</v>
      </c>
      <c r="DL60" s="351"/>
      <c r="DM60" s="361" t="s">
        <v>3369</v>
      </c>
      <c r="DN60" s="362">
        <v>0.8</v>
      </c>
      <c r="DO60" s="365"/>
      <c r="DP60" s="362">
        <v>0.8</v>
      </c>
      <c r="DQ60" s="365"/>
      <c r="DR60" s="362">
        <v>0.8</v>
      </c>
      <c r="DS60" s="365"/>
      <c r="DT60" s="362">
        <v>0.8</v>
      </c>
      <c r="DU60" s="365"/>
      <c r="DV60" s="362">
        <v>0.8</v>
      </c>
      <c r="DW60" s="365"/>
      <c r="DX60" s="370"/>
      <c r="DY60" s="360">
        <v>1</v>
      </c>
      <c r="DZ60" s="351" t="e">
        <f t="shared" si="15"/>
        <v>#N/A</v>
      </c>
      <c r="EA60" s="351" t="e">
        <f t="shared" si="16"/>
        <v>#N/A</v>
      </c>
      <c r="EB60" s="351"/>
      <c r="EC60" s="157">
        <f t="shared" si="17"/>
        <v>0.8</v>
      </c>
      <c r="ED60" s="157">
        <f t="shared" si="18"/>
        <v>0.8</v>
      </c>
      <c r="EE60" s="157">
        <f t="shared" si="19"/>
        <v>0.80000000000000038</v>
      </c>
      <c r="EF60" s="157">
        <f t="shared" si="20"/>
        <v>0.8</v>
      </c>
    </row>
    <row r="61" spans="1:136" ht="14.25" customHeight="1">
      <c r="A61" s="291" t="b">
        <f t="shared" si="0"/>
        <v>1</v>
      </c>
      <c r="B61" s="292"/>
      <c r="C61" s="355" t="s">
        <v>3372</v>
      </c>
      <c r="D61" s="345"/>
      <c r="E61" s="371" t="s">
        <v>3373</v>
      </c>
      <c r="F61" s="372">
        <v>0.5</v>
      </c>
      <c r="G61" s="358"/>
      <c r="H61" s="372">
        <v>0.5</v>
      </c>
      <c r="I61" s="358"/>
      <c r="J61" s="372">
        <v>0.5</v>
      </c>
      <c r="K61" s="358"/>
      <c r="L61" s="372">
        <v>0.5</v>
      </c>
      <c r="M61" s="358"/>
      <c r="N61" s="372">
        <v>0.5</v>
      </c>
      <c r="O61" s="358"/>
      <c r="P61" s="359"/>
      <c r="Q61" s="360">
        <v>1</v>
      </c>
      <c r="R61" s="351" t="e">
        <f t="shared" ref="R61:R92" si="21">IF(RechtsformGI=H$13,H61*Q61,IF(RechtsformGI=J$13,J61*Q61,IF(RechtsformGI=L$13,L61*Q61,IF(RechtsformGI=N$13,N61*Q61,IF(RechtsformGI=F$13,F61*Q61,"")))))</f>
        <v>#N/A</v>
      </c>
      <c r="S61" s="351" t="e">
        <f t="shared" ref="S61:S92" si="22">IF(RechtsformAngebot=H$13,H61*Q61,IF(RechtsformAngebot=J$13,J61*Q61,IF(RechtsformAngebot=L$13,L61*Q61,IF(RechtsformAngebot=N$13,N61*Q61,IF(RechtsformAngebot=F$13,F61*Q61,"")))))</f>
        <v>#N/A</v>
      </c>
      <c r="T61" s="351"/>
      <c r="U61" s="371" t="s">
        <v>3374</v>
      </c>
      <c r="V61" s="372">
        <v>0.5</v>
      </c>
      <c r="W61" s="358"/>
      <c r="X61" s="372">
        <v>0.5</v>
      </c>
      <c r="Y61" s="358"/>
      <c r="Z61" s="372">
        <v>0.5</v>
      </c>
      <c r="AA61" s="358"/>
      <c r="AB61" s="372">
        <v>0.5</v>
      </c>
      <c r="AC61" s="358"/>
      <c r="AD61" s="372">
        <v>0.5</v>
      </c>
      <c r="AE61" s="358"/>
      <c r="AF61" s="359"/>
      <c r="AG61" s="360">
        <v>1</v>
      </c>
      <c r="AH61" s="351" t="e">
        <f t="shared" ref="AH61:AH92" si="23">IF(RechtsformGI=X$13,X61*AG61,IF(RechtsformGI=Z$13,Z61*AG61,IF(RechtsformGI=AB$13,AB61*AG61,IF(RechtsformGI=AD$13,AD61*AG61,IF(RechtsformGI=V$13,V61*AG61,"")))))</f>
        <v>#N/A</v>
      </c>
      <c r="AI61" s="351" t="e">
        <f t="shared" ref="AI61:AI92" si="24">IF(RechtsformAngebot=X$13,X61*AG61,IF(RechtsformAngebot=Z$13,Z61*AG61,IF(RechtsformAngebot=AB$13,AB61*AG61,IF(RechtsformAngebot=AD$13,AD61*AG61,IF(RechtsformAngebot=V$13,V61*AG61,"")))))</f>
        <v>#N/A</v>
      </c>
      <c r="AJ61" s="351"/>
      <c r="AK61" s="361" t="s">
        <v>3375</v>
      </c>
      <c r="AL61" s="372">
        <v>0.5</v>
      </c>
      <c r="AM61" s="358"/>
      <c r="AN61" s="372">
        <v>0.5</v>
      </c>
      <c r="AO61" s="358"/>
      <c r="AP61" s="372">
        <v>0.5</v>
      </c>
      <c r="AQ61" s="358"/>
      <c r="AR61" s="372">
        <v>0.5</v>
      </c>
      <c r="AS61" s="358"/>
      <c r="AT61" s="372">
        <v>0.5</v>
      </c>
      <c r="AU61" s="358"/>
      <c r="AV61" s="359"/>
      <c r="AW61" s="360">
        <v>1</v>
      </c>
      <c r="AX61" s="351" t="e">
        <f t="shared" ref="AX61:AX92" si="25">IF(RechtsformGI=AN$13,AN61*AW61,IF(RechtsformGI=AP$13,AP61*AW61,IF(RechtsformGI=AR$13,AR61*AW61,IF(RechtsformGI=AT$13,AT61*AW61,IF(RechtsformGI=AL$13,AL61*AW61,"")))))</f>
        <v>#N/A</v>
      </c>
      <c r="AY61" s="351" t="e">
        <f t="shared" ref="AY61:AY92" si="26">IF(RechtsformAngebot=AN$13,AN61*AW61,IF(RechtsformAngebot=AP$13,AP61*AW61,IF(RechtsformAngebot=AR$13,AR61*AW61,IF(RechtsformAngebot=AT$13,AT61*AW61,IF(RechtsformAngebot=AL$13,AL61*AW61,"")))))</f>
        <v>#N/A</v>
      </c>
      <c r="AZ61" s="351"/>
      <c r="BA61" s="371" t="s">
        <v>3374</v>
      </c>
      <c r="BB61" s="372">
        <v>0.5</v>
      </c>
      <c r="BC61" s="358"/>
      <c r="BD61" s="372">
        <v>0.5</v>
      </c>
      <c r="BE61" s="358"/>
      <c r="BF61" s="372">
        <v>0.5</v>
      </c>
      <c r="BG61" s="358"/>
      <c r="BH61" s="372">
        <v>0.5</v>
      </c>
      <c r="BI61" s="358"/>
      <c r="BJ61" s="372">
        <v>0.5</v>
      </c>
      <c r="BK61" s="358"/>
      <c r="BL61" s="359"/>
      <c r="BM61" s="360">
        <v>1</v>
      </c>
      <c r="BN61" s="351" t="e">
        <f t="shared" ref="BN61:BN92" si="27">IF(RechtsformGI=BD$13,BD61*BM61,IF(RechtsformGI=BF$13,BF61*BM61,IF(RechtsformGI=BH$13,BH61*BM61,IF(RechtsformGI=BJ$13,BJ61*BM61,IF(RechtsformGI=BB$13,BB61*BM61,"")))))</f>
        <v>#N/A</v>
      </c>
      <c r="BO61" s="351" t="e">
        <f t="shared" ref="BO61:BO92" si="28">IF(RechtsformAngebot=BD$13,BD61*BM61,IF(RechtsformAngebot=BF$13,BF61*BM61,IF(RechtsformAngebot=BH$13,BH61*BM61,IF(RechtsformAngebot=BJ$13,BJ61*BM61,IF(RechtsformAngebot=BB$13,BB61*BM61,"")))))</f>
        <v>#N/A</v>
      </c>
      <c r="BP61" s="351"/>
      <c r="BQ61" s="371" t="s">
        <v>3374</v>
      </c>
      <c r="BR61" s="372">
        <v>0.5</v>
      </c>
      <c r="BS61" s="358"/>
      <c r="BT61" s="372">
        <v>0.5</v>
      </c>
      <c r="BU61" s="358"/>
      <c r="BV61" s="372">
        <v>0.5</v>
      </c>
      <c r="BW61" s="358"/>
      <c r="BX61" s="372">
        <v>0.5</v>
      </c>
      <c r="BY61" s="358"/>
      <c r="BZ61" s="372">
        <v>0.5</v>
      </c>
      <c r="CA61" s="358"/>
      <c r="CB61" s="359"/>
      <c r="CC61" s="360">
        <v>1</v>
      </c>
      <c r="CD61" s="351" t="e">
        <f t="shared" ref="CD61:CD92" si="29">IF(RechtsformGI=BT$13,BT61*CC61,IF(RechtsformGI=BV$13,BV61*CC61,IF(RechtsformGI=BX$13,BX61*CC61,IF(RechtsformGI=BZ$13,BZ61*CC61,IF(RechtsformGI=BR$13,BR61*CC61,"")))))</f>
        <v>#N/A</v>
      </c>
      <c r="CE61" s="351" t="e">
        <f t="shared" ref="CE61:CE92" si="30">IF(RechtsformAngebot=BT$13,BT61*CC61,IF(RechtsformAngebot=BV$13,BV61*CC61,IF(RechtsformAngebot=BX$13,BX61*CC61,IF(RechtsformAngebot=BZ$13,BZ61*CC61,IF(RechtsformAngebot=BR$13,BR61*CC61,"")))))</f>
        <v>#N/A</v>
      </c>
      <c r="CF61" s="351"/>
      <c r="CG61" s="371" t="s">
        <v>3374</v>
      </c>
      <c r="CH61" s="372">
        <v>0.5</v>
      </c>
      <c r="CI61" s="358"/>
      <c r="CJ61" s="372">
        <v>0.5</v>
      </c>
      <c r="CK61" s="358"/>
      <c r="CL61" s="372">
        <v>0.5</v>
      </c>
      <c r="CM61" s="358"/>
      <c r="CN61" s="372">
        <v>0.5</v>
      </c>
      <c r="CO61" s="358"/>
      <c r="CP61" s="372">
        <v>0.5</v>
      </c>
      <c r="CQ61" s="358"/>
      <c r="CR61" s="359"/>
      <c r="CS61" s="360">
        <v>1</v>
      </c>
      <c r="CT61" s="351" t="e">
        <f t="shared" ref="CT61:CT92" si="31">IF(RechtsformGI=CJ$13,CJ61*CS61,IF(RechtsformGI=CL$13,CL61*CS61,IF(RechtsformGI=CN$13,CN61*CS61,IF(RechtsformGI=CP$13,CP61*CS61,IF(RechtsformGI=CH$13,CH61*CS61,"")))))</f>
        <v>#N/A</v>
      </c>
      <c r="CU61" s="351" t="e">
        <f t="shared" ref="CU61:CU92" si="32">IF(RechtsformAngebot=CJ$13,CJ61*CS61,IF(RechtsformAngebot=CL$13,CL61*CS61,IF(RechtsformAngebot=CN$13,CN61*CS61,IF(RechtsformAngebot=CP$13,CP61*CS61,IF(RechtsformAngebot=CH$13,CH61*CS61,"")))))</f>
        <v>#N/A</v>
      </c>
      <c r="CV61" s="351"/>
      <c r="CW61" s="371" t="s">
        <v>3374</v>
      </c>
      <c r="CX61" s="372">
        <v>0.5</v>
      </c>
      <c r="CY61" s="358"/>
      <c r="CZ61" s="372">
        <v>0.5</v>
      </c>
      <c r="DA61" s="358"/>
      <c r="DB61" s="372">
        <v>0.5</v>
      </c>
      <c r="DC61" s="358"/>
      <c r="DD61" s="372">
        <v>0.5</v>
      </c>
      <c r="DE61" s="358"/>
      <c r="DF61" s="372">
        <v>0.5</v>
      </c>
      <c r="DG61" s="358"/>
      <c r="DH61" s="359"/>
      <c r="DI61" s="360">
        <v>1</v>
      </c>
      <c r="DJ61" s="351" t="e">
        <f t="shared" ref="DJ61:DJ92" si="33">IF(RechtsformGI=CZ$13,CZ61*DI61,IF(RechtsformGI=DB$13,DB61*DI61,IF(RechtsformGI=DD$13,DD61*DI61,IF(RechtsformGI=DF$13,DF61*DI61,IF(RechtsformGI=CX$13,CX61*DI61,"")))))</f>
        <v>#N/A</v>
      </c>
      <c r="DK61" s="351" t="e">
        <f t="shared" ref="DK61:DK92" si="34">IF(RechtsformAngebot=CZ$13,CZ61*DI61,IF(RechtsformAngebot=DB$13,DB61*DI61,IF(RechtsformAngebot=DD$13,DD61*DI61,IF(RechtsformAngebot=DF$13,DF61*DI61,IF(RechtsformAngebot=CX$13,CX61*DI61,"")))))</f>
        <v>#N/A</v>
      </c>
      <c r="DL61" s="351"/>
      <c r="DM61" s="361" t="s">
        <v>3375</v>
      </c>
      <c r="DN61" s="372">
        <v>0.5</v>
      </c>
      <c r="DO61" s="358"/>
      <c r="DP61" s="372">
        <v>0.5</v>
      </c>
      <c r="DQ61" s="358"/>
      <c r="DR61" s="372">
        <v>0.5</v>
      </c>
      <c r="DS61" s="358"/>
      <c r="DT61" s="372">
        <v>0.5</v>
      </c>
      <c r="DU61" s="358"/>
      <c r="DV61" s="372">
        <v>0.5</v>
      </c>
      <c r="DW61" s="358"/>
      <c r="DX61" s="359"/>
      <c r="DY61" s="360">
        <v>1</v>
      </c>
      <c r="DZ61" s="351" t="e">
        <f t="shared" ref="DZ61:DZ92" si="35">IF(RechtsformGI=DP$13,DP61*DY61,IF(RechtsformGI=DR$13,DR61*DY61,IF(RechtsformGI=DT$13,DT61*DY61,IF(RechtsformGI=DV$13,DV61*DY61,IF(RechtsformGI=DN$13,DN61*DY61,"")))))</f>
        <v>#N/A</v>
      </c>
      <c r="EA61" s="351" t="e">
        <f t="shared" ref="EA61:EA92" si="36">IF(RechtsformAngebot=DP$13,DP61*DY61,IF(RechtsformAngebot=DR$13,DR61*DY61,IF(RechtsformAngebot=DT$13,DT61*DY61,IF(RechtsformAngebot=DV$13,DV61*DY61,IF(RechtsformAngebot=DN$13,DN61*DY61,"")))))</f>
        <v>#N/A</v>
      </c>
      <c r="EB61" s="351"/>
      <c r="EC61" s="157">
        <f t="shared" si="17"/>
        <v>0.5</v>
      </c>
      <c r="ED61" s="157">
        <f t="shared" si="18"/>
        <v>0.5</v>
      </c>
      <c r="EE61" s="157">
        <f t="shared" si="19"/>
        <v>0.5</v>
      </c>
      <c r="EF61" s="157">
        <f t="shared" si="20"/>
        <v>0.5</v>
      </c>
    </row>
    <row r="62" spans="1:136" ht="14.25" customHeight="1">
      <c r="A62" s="291" t="b">
        <f t="shared" si="0"/>
        <v>0</v>
      </c>
      <c r="B62" s="292"/>
      <c r="C62" s="355" t="s">
        <v>3376</v>
      </c>
      <c r="D62" s="345"/>
      <c r="E62" s="356" t="s">
        <v>3377</v>
      </c>
      <c r="F62" s="357">
        <v>0.8</v>
      </c>
      <c r="G62" s="358"/>
      <c r="H62" s="357">
        <v>0.8</v>
      </c>
      <c r="I62" s="358"/>
      <c r="J62" s="357">
        <v>0.8</v>
      </c>
      <c r="K62" s="358"/>
      <c r="L62" s="357">
        <v>0.8</v>
      </c>
      <c r="M62" s="358"/>
      <c r="N62" s="357">
        <v>0.8</v>
      </c>
      <c r="O62" s="358"/>
      <c r="P62" s="359"/>
      <c r="Q62" s="360">
        <v>1</v>
      </c>
      <c r="R62" s="351" t="e">
        <f t="shared" si="21"/>
        <v>#N/A</v>
      </c>
      <c r="S62" s="351" t="e">
        <f t="shared" si="22"/>
        <v>#N/A</v>
      </c>
      <c r="T62" s="351"/>
      <c r="U62" s="361" t="s">
        <v>3378</v>
      </c>
      <c r="V62" s="362">
        <v>0.8</v>
      </c>
      <c r="W62" s="363"/>
      <c r="X62" s="364">
        <v>0.8</v>
      </c>
      <c r="Y62" s="363"/>
      <c r="Z62" s="364">
        <v>0.8</v>
      </c>
      <c r="AA62" s="363"/>
      <c r="AB62" s="364">
        <v>0.8</v>
      </c>
      <c r="AC62" s="363"/>
      <c r="AD62" s="364">
        <v>0.8</v>
      </c>
      <c r="AE62" s="363"/>
      <c r="AF62" s="363"/>
      <c r="AG62" s="360">
        <v>1</v>
      </c>
      <c r="AH62" s="351" t="e">
        <f t="shared" si="23"/>
        <v>#N/A</v>
      </c>
      <c r="AI62" s="351" t="e">
        <f t="shared" si="24"/>
        <v>#N/A</v>
      </c>
      <c r="AJ62" s="351"/>
      <c r="AK62" s="361" t="s">
        <v>3378</v>
      </c>
      <c r="AL62" s="362">
        <v>0.8</v>
      </c>
      <c r="AM62" s="365"/>
      <c r="AN62" s="362">
        <v>0.8</v>
      </c>
      <c r="AO62" s="365"/>
      <c r="AP62" s="362">
        <v>0.8</v>
      </c>
      <c r="AQ62" s="365"/>
      <c r="AR62" s="362">
        <v>0.8</v>
      </c>
      <c r="AS62" s="365"/>
      <c r="AT62" s="362">
        <v>0.8</v>
      </c>
      <c r="AU62" s="365"/>
      <c r="AV62" s="365"/>
      <c r="AW62" s="360">
        <v>1</v>
      </c>
      <c r="AX62" s="351" t="e">
        <f t="shared" si="25"/>
        <v>#N/A</v>
      </c>
      <c r="AY62" s="351" t="e">
        <f t="shared" si="26"/>
        <v>#N/A</v>
      </c>
      <c r="AZ62" s="351"/>
      <c r="BA62" s="361" t="s">
        <v>3378</v>
      </c>
      <c r="BB62" s="366">
        <v>0.8</v>
      </c>
      <c r="BC62" s="365"/>
      <c r="BD62" s="366">
        <v>0.8</v>
      </c>
      <c r="BE62" s="365"/>
      <c r="BF62" s="366">
        <v>0.8</v>
      </c>
      <c r="BG62" s="365"/>
      <c r="BH62" s="366">
        <v>0.8</v>
      </c>
      <c r="BI62" s="365"/>
      <c r="BJ62" s="366">
        <v>0.8</v>
      </c>
      <c r="BK62" s="365"/>
      <c r="BL62" s="365"/>
      <c r="BM62" s="360">
        <v>1</v>
      </c>
      <c r="BN62" s="351" t="e">
        <f t="shared" si="27"/>
        <v>#N/A</v>
      </c>
      <c r="BO62" s="351" t="e">
        <f t="shared" si="28"/>
        <v>#N/A</v>
      </c>
      <c r="BP62" s="351"/>
      <c r="BQ62" s="361" t="s">
        <v>3378</v>
      </c>
      <c r="BR62" s="367">
        <v>0.8</v>
      </c>
      <c r="BS62" s="368"/>
      <c r="BT62" s="367">
        <v>0.8</v>
      </c>
      <c r="BU62" s="368"/>
      <c r="BV62" s="367">
        <v>0.8</v>
      </c>
      <c r="BW62" s="368"/>
      <c r="BX62" s="367">
        <v>0.8</v>
      </c>
      <c r="BY62" s="368"/>
      <c r="BZ62" s="367">
        <v>0.8</v>
      </c>
      <c r="CA62" s="368"/>
      <c r="CB62" s="368"/>
      <c r="CC62" s="360">
        <v>1</v>
      </c>
      <c r="CD62" s="351" t="e">
        <f t="shared" si="29"/>
        <v>#N/A</v>
      </c>
      <c r="CE62" s="351" t="e">
        <f t="shared" si="30"/>
        <v>#N/A</v>
      </c>
      <c r="CF62" s="351"/>
      <c r="CG62" s="356" t="s">
        <v>3234</v>
      </c>
      <c r="CH62" s="376">
        <v>0</v>
      </c>
      <c r="CI62" s="377"/>
      <c r="CJ62" s="376">
        <v>0</v>
      </c>
      <c r="CK62" s="377"/>
      <c r="CL62" s="376">
        <v>0</v>
      </c>
      <c r="CM62" s="377"/>
      <c r="CN62" s="376">
        <v>0</v>
      </c>
      <c r="CO62" s="377"/>
      <c r="CP62" s="376">
        <v>0</v>
      </c>
      <c r="CQ62" s="377"/>
      <c r="CR62" s="377"/>
      <c r="CS62" s="360">
        <v>1</v>
      </c>
      <c r="CT62" s="351" t="e">
        <f t="shared" si="31"/>
        <v>#N/A</v>
      </c>
      <c r="CU62" s="351" t="e">
        <f t="shared" si="32"/>
        <v>#N/A</v>
      </c>
      <c r="CV62" s="351"/>
      <c r="CW62" s="361" t="s">
        <v>3378</v>
      </c>
      <c r="CX62" s="367">
        <v>1</v>
      </c>
      <c r="CY62" s="368"/>
      <c r="CZ62" s="367">
        <v>1</v>
      </c>
      <c r="DA62" s="369"/>
      <c r="DB62" s="367">
        <v>1</v>
      </c>
      <c r="DC62" s="368"/>
      <c r="DD62" s="367">
        <v>1</v>
      </c>
      <c r="DE62" s="368"/>
      <c r="DF62" s="367">
        <v>1</v>
      </c>
      <c r="DG62" s="368"/>
      <c r="DH62" s="368"/>
      <c r="DI62" s="360">
        <v>1</v>
      </c>
      <c r="DJ62" s="351" t="e">
        <f t="shared" si="33"/>
        <v>#N/A</v>
      </c>
      <c r="DK62" s="351" t="e">
        <f t="shared" si="34"/>
        <v>#N/A</v>
      </c>
      <c r="DL62" s="351"/>
      <c r="DM62" s="361" t="s">
        <v>3378</v>
      </c>
      <c r="DN62" s="367">
        <v>1</v>
      </c>
      <c r="DO62" s="368"/>
      <c r="DP62" s="367">
        <v>1</v>
      </c>
      <c r="DQ62" s="368"/>
      <c r="DR62" s="367">
        <v>1</v>
      </c>
      <c r="DS62" s="368"/>
      <c r="DT62" s="367">
        <v>1</v>
      </c>
      <c r="DU62" s="368"/>
      <c r="DV62" s="367">
        <v>1</v>
      </c>
      <c r="DW62" s="368"/>
      <c r="DX62" s="368"/>
      <c r="DY62" s="360">
        <v>1</v>
      </c>
      <c r="DZ62" s="351" t="e">
        <f t="shared" si="35"/>
        <v>#N/A</v>
      </c>
      <c r="EA62" s="351" t="e">
        <f t="shared" si="36"/>
        <v>#N/A</v>
      </c>
      <c r="EB62" s="351"/>
      <c r="EC62" s="157">
        <f t="shared" si="17"/>
        <v>0</v>
      </c>
      <c r="ED62" s="157">
        <f t="shared" si="18"/>
        <v>1</v>
      </c>
      <c r="EE62" s="157">
        <f t="shared" si="19"/>
        <v>0.75000000000000022</v>
      </c>
      <c r="EF62" s="157">
        <f t="shared" si="20"/>
        <v>0.8</v>
      </c>
    </row>
    <row r="63" spans="1:136" ht="14.25" customHeight="1">
      <c r="A63" s="291" t="b">
        <f t="shared" si="0"/>
        <v>1</v>
      </c>
      <c r="B63" s="292"/>
      <c r="C63" s="355" t="s">
        <v>3379</v>
      </c>
      <c r="D63" s="345"/>
      <c r="E63" s="388" t="s">
        <v>3234</v>
      </c>
      <c r="F63" s="389">
        <v>1</v>
      </c>
      <c r="G63" s="365"/>
      <c r="H63" s="389">
        <v>1</v>
      </c>
      <c r="I63" s="365"/>
      <c r="J63" s="389">
        <v>1</v>
      </c>
      <c r="K63" s="365"/>
      <c r="L63" s="389">
        <v>1</v>
      </c>
      <c r="M63" s="365"/>
      <c r="N63" s="389">
        <v>1</v>
      </c>
      <c r="O63" s="365"/>
      <c r="P63" s="370"/>
      <c r="Q63" s="360">
        <v>1</v>
      </c>
      <c r="R63" s="351" t="e">
        <f t="shared" si="21"/>
        <v>#N/A</v>
      </c>
      <c r="S63" s="351" t="e">
        <f t="shared" si="22"/>
        <v>#N/A</v>
      </c>
      <c r="T63" s="351"/>
      <c r="U63" s="388" t="s">
        <v>3234</v>
      </c>
      <c r="V63" s="389">
        <v>1</v>
      </c>
      <c r="W63" s="363"/>
      <c r="X63" s="390">
        <v>1</v>
      </c>
      <c r="Y63" s="363"/>
      <c r="Z63" s="390">
        <v>1</v>
      </c>
      <c r="AA63" s="363"/>
      <c r="AB63" s="390">
        <v>1</v>
      </c>
      <c r="AC63" s="363"/>
      <c r="AD63" s="390">
        <v>1</v>
      </c>
      <c r="AE63" s="363"/>
      <c r="AF63" s="363"/>
      <c r="AG63" s="360">
        <v>1</v>
      </c>
      <c r="AH63" s="351" t="e">
        <f t="shared" si="23"/>
        <v>#N/A</v>
      </c>
      <c r="AI63" s="351" t="e">
        <f t="shared" si="24"/>
        <v>#N/A</v>
      </c>
      <c r="AJ63" s="351"/>
      <c r="AK63" s="361" t="s">
        <v>3380</v>
      </c>
      <c r="AL63" s="362">
        <v>1</v>
      </c>
      <c r="AM63" s="365"/>
      <c r="AN63" s="362">
        <v>1</v>
      </c>
      <c r="AO63" s="365"/>
      <c r="AP63" s="362">
        <v>1</v>
      </c>
      <c r="AQ63" s="365"/>
      <c r="AR63" s="362">
        <v>1</v>
      </c>
      <c r="AS63" s="365"/>
      <c r="AT63" s="362">
        <v>1</v>
      </c>
      <c r="AU63" s="365"/>
      <c r="AV63" s="365"/>
      <c r="AW63" s="360">
        <v>1</v>
      </c>
      <c r="AX63" s="351" t="e">
        <f t="shared" si="25"/>
        <v>#N/A</v>
      </c>
      <c r="AY63" s="351" t="e">
        <f t="shared" si="26"/>
        <v>#N/A</v>
      </c>
      <c r="AZ63" s="351"/>
      <c r="BA63" s="388" t="s">
        <v>3234</v>
      </c>
      <c r="BB63" s="391">
        <v>1</v>
      </c>
      <c r="BC63" s="365"/>
      <c r="BD63" s="391">
        <v>1</v>
      </c>
      <c r="BE63" s="365"/>
      <c r="BF63" s="391">
        <v>1</v>
      </c>
      <c r="BG63" s="365"/>
      <c r="BH63" s="391">
        <v>1</v>
      </c>
      <c r="BI63" s="365"/>
      <c r="BJ63" s="391">
        <v>1</v>
      </c>
      <c r="BK63" s="365"/>
      <c r="BL63" s="365"/>
      <c r="BM63" s="360">
        <v>1</v>
      </c>
      <c r="BN63" s="351" t="e">
        <f t="shared" si="27"/>
        <v>#N/A</v>
      </c>
      <c r="BO63" s="351" t="e">
        <f t="shared" si="28"/>
        <v>#N/A</v>
      </c>
      <c r="BP63" s="351"/>
      <c r="BQ63" s="388" t="s">
        <v>3234</v>
      </c>
      <c r="BR63" s="392">
        <v>1</v>
      </c>
      <c r="BS63" s="393"/>
      <c r="BT63" s="392">
        <v>1</v>
      </c>
      <c r="BU63" s="393"/>
      <c r="BV63" s="392">
        <v>1</v>
      </c>
      <c r="BW63" s="393"/>
      <c r="BX63" s="392">
        <v>1</v>
      </c>
      <c r="BY63" s="393"/>
      <c r="BZ63" s="392">
        <v>1</v>
      </c>
      <c r="CA63" s="393"/>
      <c r="CB63" s="393"/>
      <c r="CC63" s="360">
        <v>1</v>
      </c>
      <c r="CD63" s="351" t="e">
        <f t="shared" si="29"/>
        <v>#N/A</v>
      </c>
      <c r="CE63" s="351" t="e">
        <f t="shared" si="30"/>
        <v>#N/A</v>
      </c>
      <c r="CF63" s="351"/>
      <c r="CG63" s="388" t="s">
        <v>3234</v>
      </c>
      <c r="CH63" s="392">
        <v>1</v>
      </c>
      <c r="CI63" s="368"/>
      <c r="CJ63" s="392">
        <v>1</v>
      </c>
      <c r="CK63" s="368"/>
      <c r="CL63" s="392">
        <v>1</v>
      </c>
      <c r="CM63" s="368"/>
      <c r="CN63" s="392">
        <v>1</v>
      </c>
      <c r="CO63" s="368"/>
      <c r="CP63" s="392">
        <v>1</v>
      </c>
      <c r="CQ63" s="368"/>
      <c r="CR63" s="368"/>
      <c r="CS63" s="360">
        <v>1</v>
      </c>
      <c r="CT63" s="351" t="e">
        <f t="shared" si="31"/>
        <v>#N/A</v>
      </c>
      <c r="CU63" s="351" t="e">
        <f t="shared" si="32"/>
        <v>#N/A</v>
      </c>
      <c r="CV63" s="351"/>
      <c r="CW63" s="388" t="s">
        <v>3234</v>
      </c>
      <c r="CX63" s="392">
        <v>1</v>
      </c>
      <c r="CY63" s="368"/>
      <c r="CZ63" s="392">
        <v>1</v>
      </c>
      <c r="DA63" s="394"/>
      <c r="DB63" s="392">
        <v>1</v>
      </c>
      <c r="DC63" s="368"/>
      <c r="DD63" s="392">
        <v>1</v>
      </c>
      <c r="DE63" s="368"/>
      <c r="DF63" s="392">
        <v>1</v>
      </c>
      <c r="DG63" s="368"/>
      <c r="DH63" s="368"/>
      <c r="DI63" s="360">
        <v>1</v>
      </c>
      <c r="DJ63" s="351" t="e">
        <f t="shared" si="33"/>
        <v>#N/A</v>
      </c>
      <c r="DK63" s="351" t="e">
        <f t="shared" si="34"/>
        <v>#N/A</v>
      </c>
      <c r="DL63" s="351"/>
      <c r="DM63" s="388" t="s">
        <v>3234</v>
      </c>
      <c r="DN63" s="392">
        <v>1</v>
      </c>
      <c r="DO63" s="368"/>
      <c r="DP63" s="392">
        <v>1</v>
      </c>
      <c r="DQ63" s="368"/>
      <c r="DR63" s="392">
        <v>1</v>
      </c>
      <c r="DS63" s="368"/>
      <c r="DT63" s="392">
        <v>1</v>
      </c>
      <c r="DU63" s="368"/>
      <c r="DV63" s="392">
        <v>1</v>
      </c>
      <c r="DW63" s="368"/>
      <c r="DX63" s="368"/>
      <c r="DY63" s="360">
        <v>1</v>
      </c>
      <c r="DZ63" s="351" t="e">
        <f t="shared" si="35"/>
        <v>#N/A</v>
      </c>
      <c r="EA63" s="351" t="e">
        <f t="shared" si="36"/>
        <v>#N/A</v>
      </c>
      <c r="EB63" s="351"/>
      <c r="EC63" s="157">
        <f t="shared" si="17"/>
        <v>1</v>
      </c>
      <c r="ED63" s="157">
        <f t="shared" si="18"/>
        <v>1</v>
      </c>
      <c r="EE63" s="157">
        <f t="shared" si="19"/>
        <v>1</v>
      </c>
      <c r="EF63" s="157">
        <f t="shared" si="20"/>
        <v>1</v>
      </c>
    </row>
    <row r="64" spans="1:136" ht="14.25" customHeight="1">
      <c r="A64" s="395"/>
      <c r="B64" s="337" t="s">
        <v>3381</v>
      </c>
      <c r="C64" s="395"/>
      <c r="D64" s="396"/>
      <c r="E64" s="397"/>
      <c r="F64" s="398"/>
      <c r="G64" s="399"/>
      <c r="H64" s="398"/>
      <c r="I64" s="399"/>
      <c r="J64" s="398"/>
      <c r="K64" s="399"/>
      <c r="L64" s="398"/>
      <c r="M64" s="399"/>
      <c r="N64" s="398"/>
      <c r="O64" s="399"/>
      <c r="P64" s="400"/>
      <c r="Q64" s="401"/>
      <c r="R64" s="351" t="e">
        <f t="shared" si="21"/>
        <v>#N/A</v>
      </c>
      <c r="S64" s="351" t="e">
        <f t="shared" si="22"/>
        <v>#N/A</v>
      </c>
      <c r="T64" s="351"/>
      <c r="U64" s="397"/>
      <c r="V64" s="398"/>
      <c r="W64" s="402"/>
      <c r="X64" s="403"/>
      <c r="Y64" s="402"/>
      <c r="Z64" s="403"/>
      <c r="AA64" s="402"/>
      <c r="AB64" s="403"/>
      <c r="AC64" s="402"/>
      <c r="AD64" s="403"/>
      <c r="AE64" s="402"/>
      <c r="AF64" s="402"/>
      <c r="AG64" s="401"/>
      <c r="AH64" s="351" t="e">
        <f t="shared" si="23"/>
        <v>#N/A</v>
      </c>
      <c r="AI64" s="351" t="e">
        <f t="shared" si="24"/>
        <v>#N/A</v>
      </c>
      <c r="AJ64" s="351"/>
      <c r="AK64" s="397"/>
      <c r="AL64" s="398"/>
      <c r="AM64" s="399"/>
      <c r="AN64" s="398"/>
      <c r="AO64" s="399"/>
      <c r="AP64" s="398"/>
      <c r="AQ64" s="399"/>
      <c r="AR64" s="398"/>
      <c r="AS64" s="399"/>
      <c r="AT64" s="398"/>
      <c r="AU64" s="399"/>
      <c r="AV64" s="399"/>
      <c r="AW64" s="401"/>
      <c r="AX64" s="351" t="e">
        <f t="shared" si="25"/>
        <v>#N/A</v>
      </c>
      <c r="AY64" s="351" t="e">
        <f t="shared" si="26"/>
        <v>#N/A</v>
      </c>
      <c r="AZ64" s="351"/>
      <c r="BA64" s="397"/>
      <c r="BB64" s="404"/>
      <c r="BC64" s="399"/>
      <c r="BD64" s="404"/>
      <c r="BE64" s="399"/>
      <c r="BF64" s="404"/>
      <c r="BG64" s="399"/>
      <c r="BH64" s="404"/>
      <c r="BI64" s="399"/>
      <c r="BJ64" s="404"/>
      <c r="BK64" s="399"/>
      <c r="BL64" s="399"/>
      <c r="BM64" s="401"/>
      <c r="BN64" s="351" t="e">
        <f t="shared" si="27"/>
        <v>#N/A</v>
      </c>
      <c r="BO64" s="351" t="e">
        <f t="shared" si="28"/>
        <v>#N/A</v>
      </c>
      <c r="BP64" s="351"/>
      <c r="BQ64" s="397"/>
      <c r="BR64" s="405"/>
      <c r="BS64" s="406"/>
      <c r="BT64" s="405"/>
      <c r="BU64" s="406"/>
      <c r="BV64" s="405"/>
      <c r="BW64" s="406"/>
      <c r="BX64" s="405"/>
      <c r="BY64" s="406"/>
      <c r="BZ64" s="405"/>
      <c r="CA64" s="406"/>
      <c r="CB64" s="406"/>
      <c r="CC64" s="401"/>
      <c r="CD64" s="351" t="e">
        <f t="shared" si="29"/>
        <v>#N/A</v>
      </c>
      <c r="CE64" s="351" t="e">
        <f t="shared" si="30"/>
        <v>#N/A</v>
      </c>
      <c r="CF64" s="351"/>
      <c r="CG64" s="397"/>
      <c r="CH64" s="405"/>
      <c r="CI64" s="407"/>
      <c r="CJ64" s="405"/>
      <c r="CK64" s="407"/>
      <c r="CL64" s="405"/>
      <c r="CM64" s="407"/>
      <c r="CN64" s="405"/>
      <c r="CO64" s="407"/>
      <c r="CP64" s="405"/>
      <c r="CQ64" s="407"/>
      <c r="CR64" s="407"/>
      <c r="CS64" s="401"/>
      <c r="CT64" s="351" t="e">
        <f t="shared" si="31"/>
        <v>#N/A</v>
      </c>
      <c r="CU64" s="351" t="e">
        <f t="shared" si="32"/>
        <v>#N/A</v>
      </c>
      <c r="CV64" s="351"/>
      <c r="CW64" s="397"/>
      <c r="CX64" s="405"/>
      <c r="CY64" s="407"/>
      <c r="CZ64" s="408"/>
      <c r="DA64" s="409"/>
      <c r="DB64" s="405"/>
      <c r="DC64" s="407"/>
      <c r="DD64" s="405"/>
      <c r="DE64" s="407"/>
      <c r="DF64" s="405"/>
      <c r="DG64" s="407"/>
      <c r="DH64" s="407"/>
      <c r="DI64" s="401"/>
      <c r="DJ64" s="351" t="e">
        <f t="shared" si="33"/>
        <v>#N/A</v>
      </c>
      <c r="DK64" s="351" t="e">
        <f t="shared" si="34"/>
        <v>#N/A</v>
      </c>
      <c r="DL64" s="351"/>
      <c r="DM64" s="397"/>
      <c r="DN64" s="405"/>
      <c r="DO64" s="407"/>
      <c r="DP64" s="405"/>
      <c r="DQ64" s="407"/>
      <c r="DR64" s="405"/>
      <c r="DS64" s="407"/>
      <c r="DT64" s="405"/>
      <c r="DU64" s="407"/>
      <c r="DV64" s="405"/>
      <c r="DW64" s="407"/>
      <c r="DX64" s="407"/>
      <c r="DY64" s="401"/>
      <c r="DZ64" s="351" t="e">
        <f t="shared" si="35"/>
        <v>#N/A</v>
      </c>
      <c r="EA64" s="351" t="e">
        <f t="shared" si="36"/>
        <v>#N/A</v>
      </c>
      <c r="EB64" s="351"/>
      <c r="EC64" s="157">
        <f t="shared" si="17"/>
        <v>0</v>
      </c>
      <c r="ED64" s="157">
        <f t="shared" si="18"/>
        <v>0</v>
      </c>
      <c r="EE64" s="157" t="e">
        <f t="shared" si="19"/>
        <v>#DIV/0!</v>
      </c>
      <c r="EF64" s="157" t="e">
        <f t="shared" si="20"/>
        <v>#NUM!</v>
      </c>
    </row>
    <row r="65" spans="1:136" ht="14.25" customHeight="1">
      <c r="A65" s="291" t="b">
        <f t="shared" ref="A65:A88" si="37">EXACT(MAX(F65,H65,J65,L65,N65,V65,X65,Z65,AB65,AD65,AL65,AN65,AP65,AR65,AT65,BB65,BD65,BF65,BH65,BJ65,BR65,BT65,BV65,BX65,BZ65,CH65,CJ65,CL65,CN65,CP65,CX65,CZ65,DB65,DD65,DF65),MIN(F65,H65,J65,L65,N65,V65,X65,Z65,AB65,AD65,AL65,AN65,AP65,AR65,AT65,BB65,BD65,BF65,BH65,BJ65,BR65,BT65,BV65,BX65,BZ65,CH65,CJ65,CL65,CN65,CP65,CX65,CZ65,DB65,DD65,DF65))</f>
        <v>0</v>
      </c>
      <c r="B65" s="292"/>
      <c r="C65" s="355" t="s">
        <v>3382</v>
      </c>
      <c r="D65" s="345"/>
      <c r="E65" s="356" t="s">
        <v>3234</v>
      </c>
      <c r="F65" s="357">
        <v>0</v>
      </c>
      <c r="G65" s="358"/>
      <c r="H65" s="357">
        <v>0</v>
      </c>
      <c r="I65" s="358"/>
      <c r="J65" s="357">
        <v>0</v>
      </c>
      <c r="K65" s="358"/>
      <c r="L65" s="357">
        <v>0</v>
      </c>
      <c r="M65" s="358"/>
      <c r="N65" s="357">
        <v>0</v>
      </c>
      <c r="O65" s="358"/>
      <c r="P65" s="359"/>
      <c r="Q65" s="373">
        <v>1</v>
      </c>
      <c r="R65" s="351" t="e">
        <f t="shared" si="21"/>
        <v>#N/A</v>
      </c>
      <c r="S65" s="351" t="e">
        <f t="shared" si="22"/>
        <v>#N/A</v>
      </c>
      <c r="T65" s="351"/>
      <c r="U65" s="356" t="s">
        <v>3234</v>
      </c>
      <c r="V65" s="357">
        <v>0</v>
      </c>
      <c r="W65" s="374"/>
      <c r="X65" s="375">
        <v>0</v>
      </c>
      <c r="Y65" s="374"/>
      <c r="Z65" s="375">
        <v>0</v>
      </c>
      <c r="AA65" s="374"/>
      <c r="AB65" s="375">
        <v>0</v>
      </c>
      <c r="AC65" s="374"/>
      <c r="AD65" s="375">
        <v>0</v>
      </c>
      <c r="AE65" s="374"/>
      <c r="AF65" s="374"/>
      <c r="AG65" s="373">
        <v>1</v>
      </c>
      <c r="AH65" s="351" t="e">
        <f t="shared" si="23"/>
        <v>#N/A</v>
      </c>
      <c r="AI65" s="351" t="e">
        <f t="shared" si="24"/>
        <v>#N/A</v>
      </c>
      <c r="AJ65" s="351"/>
      <c r="AK65" s="356" t="s">
        <v>3234</v>
      </c>
      <c r="AL65" s="357">
        <v>0</v>
      </c>
      <c r="AM65" s="358"/>
      <c r="AN65" s="357">
        <v>0</v>
      </c>
      <c r="AO65" s="358"/>
      <c r="AP65" s="357">
        <v>0</v>
      </c>
      <c r="AQ65" s="358"/>
      <c r="AR65" s="357">
        <v>0</v>
      </c>
      <c r="AS65" s="358"/>
      <c r="AT65" s="357">
        <v>0</v>
      </c>
      <c r="AU65" s="358"/>
      <c r="AV65" s="358"/>
      <c r="AW65" s="373">
        <v>1</v>
      </c>
      <c r="AX65" s="351" t="e">
        <f t="shared" si="25"/>
        <v>#N/A</v>
      </c>
      <c r="AY65" s="351" t="e">
        <f t="shared" si="26"/>
        <v>#N/A</v>
      </c>
      <c r="AZ65" s="351"/>
      <c r="BA65" s="361" t="s">
        <v>3383</v>
      </c>
      <c r="BB65" s="366">
        <v>0.5</v>
      </c>
      <c r="BC65" s="365"/>
      <c r="BD65" s="366">
        <v>0.5</v>
      </c>
      <c r="BE65" s="365"/>
      <c r="BF65" s="366">
        <v>0.5</v>
      </c>
      <c r="BG65" s="365"/>
      <c r="BH65" s="366">
        <v>0.5</v>
      </c>
      <c r="BI65" s="365"/>
      <c r="BJ65" s="366">
        <v>0.5</v>
      </c>
      <c r="BK65" s="365"/>
      <c r="BL65" s="365"/>
      <c r="BM65" s="373">
        <v>1</v>
      </c>
      <c r="BN65" s="351" t="e">
        <f t="shared" si="27"/>
        <v>#N/A</v>
      </c>
      <c r="BO65" s="351" t="e">
        <f t="shared" si="28"/>
        <v>#N/A</v>
      </c>
      <c r="BP65" s="351"/>
      <c r="BQ65" s="361" t="s">
        <v>3383</v>
      </c>
      <c r="BR65" s="367">
        <v>0.5</v>
      </c>
      <c r="BS65" s="368"/>
      <c r="BT65" s="367">
        <v>0.5</v>
      </c>
      <c r="BU65" s="368"/>
      <c r="BV65" s="367">
        <v>0.5</v>
      </c>
      <c r="BW65" s="368"/>
      <c r="BX65" s="367">
        <v>0.5</v>
      </c>
      <c r="BY65" s="368"/>
      <c r="BZ65" s="367">
        <v>0.5</v>
      </c>
      <c r="CA65" s="368"/>
      <c r="CB65" s="368"/>
      <c r="CC65" s="373">
        <v>1</v>
      </c>
      <c r="CD65" s="351" t="e">
        <f t="shared" si="29"/>
        <v>#N/A</v>
      </c>
      <c r="CE65" s="351" t="e">
        <f t="shared" si="30"/>
        <v>#N/A</v>
      </c>
      <c r="CF65" s="351"/>
      <c r="CG65" s="361" t="s">
        <v>3384</v>
      </c>
      <c r="CH65" s="367">
        <v>0.3</v>
      </c>
      <c r="CI65" s="368"/>
      <c r="CJ65" s="367">
        <v>0.3</v>
      </c>
      <c r="CK65" s="368"/>
      <c r="CL65" s="367">
        <v>0.3</v>
      </c>
      <c r="CM65" s="368"/>
      <c r="CN65" s="367">
        <v>0.3</v>
      </c>
      <c r="CO65" s="368"/>
      <c r="CP65" s="367">
        <v>0.3</v>
      </c>
      <c r="CQ65" s="368"/>
      <c r="CR65" s="368"/>
      <c r="CS65" s="373">
        <v>1</v>
      </c>
      <c r="CT65" s="351" t="e">
        <f t="shared" si="31"/>
        <v>#N/A</v>
      </c>
      <c r="CU65" s="351" t="e">
        <f t="shared" si="32"/>
        <v>#N/A</v>
      </c>
      <c r="CV65" s="351"/>
      <c r="CW65" s="356" t="s">
        <v>3234</v>
      </c>
      <c r="CX65" s="376">
        <v>0</v>
      </c>
      <c r="CY65" s="377"/>
      <c r="CZ65" s="376">
        <v>0</v>
      </c>
      <c r="DA65" s="379"/>
      <c r="DB65" s="376">
        <v>0</v>
      </c>
      <c r="DC65" s="377"/>
      <c r="DD65" s="376">
        <v>0</v>
      </c>
      <c r="DE65" s="377"/>
      <c r="DF65" s="376">
        <v>0</v>
      </c>
      <c r="DG65" s="377"/>
      <c r="DH65" s="377"/>
      <c r="DI65" s="373">
        <v>1</v>
      </c>
      <c r="DJ65" s="351" t="e">
        <f t="shared" si="33"/>
        <v>#N/A</v>
      </c>
      <c r="DK65" s="351" t="e">
        <f t="shared" si="34"/>
        <v>#N/A</v>
      </c>
      <c r="DL65" s="351"/>
      <c r="DM65" s="361" t="s">
        <v>3383</v>
      </c>
      <c r="DN65" s="367">
        <v>0.5</v>
      </c>
      <c r="DO65" s="368"/>
      <c r="DP65" s="367">
        <v>0.5</v>
      </c>
      <c r="DQ65" s="368"/>
      <c r="DR65" s="367">
        <v>0.5</v>
      </c>
      <c r="DS65" s="368"/>
      <c r="DT65" s="367">
        <v>0.5</v>
      </c>
      <c r="DU65" s="368"/>
      <c r="DV65" s="367">
        <v>0.5</v>
      </c>
      <c r="DW65" s="368"/>
      <c r="DX65" s="368"/>
      <c r="DY65" s="373">
        <v>1</v>
      </c>
      <c r="DZ65" s="351" t="e">
        <f t="shared" si="35"/>
        <v>#N/A</v>
      </c>
      <c r="EA65" s="351" t="e">
        <f t="shared" si="36"/>
        <v>#N/A</v>
      </c>
      <c r="EB65" s="351"/>
      <c r="EC65" s="157">
        <f t="shared" si="17"/>
        <v>0</v>
      </c>
      <c r="ED65" s="157">
        <f t="shared" si="18"/>
        <v>0.5</v>
      </c>
      <c r="EE65" s="157">
        <f t="shared" si="19"/>
        <v>0.22500000000000001</v>
      </c>
      <c r="EF65" s="157">
        <f t="shared" si="20"/>
        <v>0.15</v>
      </c>
    </row>
    <row r="66" spans="1:136" ht="14.25" customHeight="1">
      <c r="A66" s="291" t="b">
        <f t="shared" si="37"/>
        <v>1</v>
      </c>
      <c r="B66" s="292"/>
      <c r="C66" s="355" t="s">
        <v>3385</v>
      </c>
      <c r="D66" s="345"/>
      <c r="E66" s="361" t="s">
        <v>3386</v>
      </c>
      <c r="F66" s="362">
        <v>0.6</v>
      </c>
      <c r="G66" s="365"/>
      <c r="H66" s="362">
        <v>0.6</v>
      </c>
      <c r="I66" s="365"/>
      <c r="J66" s="362">
        <v>0.6</v>
      </c>
      <c r="K66" s="365"/>
      <c r="L66" s="362">
        <v>0.6</v>
      </c>
      <c r="M66" s="365"/>
      <c r="N66" s="362">
        <v>0.6</v>
      </c>
      <c r="O66" s="365"/>
      <c r="P66" s="370"/>
      <c r="Q66" s="360">
        <v>1</v>
      </c>
      <c r="R66" s="351" t="e">
        <f t="shared" si="21"/>
        <v>#N/A</v>
      </c>
      <c r="S66" s="351" t="e">
        <f t="shared" si="22"/>
        <v>#N/A</v>
      </c>
      <c r="T66" s="351"/>
      <c r="U66" s="361" t="s">
        <v>3386</v>
      </c>
      <c r="V66" s="362">
        <v>0.6</v>
      </c>
      <c r="W66" s="365"/>
      <c r="X66" s="362">
        <v>0.6</v>
      </c>
      <c r="Y66" s="365"/>
      <c r="Z66" s="362">
        <v>0.6</v>
      </c>
      <c r="AA66" s="365"/>
      <c r="AB66" s="362">
        <v>0.6</v>
      </c>
      <c r="AC66" s="365"/>
      <c r="AD66" s="362">
        <v>0.6</v>
      </c>
      <c r="AE66" s="365"/>
      <c r="AF66" s="370"/>
      <c r="AG66" s="360">
        <v>1</v>
      </c>
      <c r="AH66" s="351" t="e">
        <f t="shared" si="23"/>
        <v>#N/A</v>
      </c>
      <c r="AI66" s="351" t="e">
        <f t="shared" si="24"/>
        <v>#N/A</v>
      </c>
      <c r="AJ66" s="351"/>
      <c r="AK66" s="361" t="s">
        <v>3386</v>
      </c>
      <c r="AL66" s="362">
        <v>0.6</v>
      </c>
      <c r="AM66" s="365"/>
      <c r="AN66" s="362">
        <v>0.6</v>
      </c>
      <c r="AO66" s="365"/>
      <c r="AP66" s="362">
        <v>0.6</v>
      </c>
      <c r="AQ66" s="365"/>
      <c r="AR66" s="362">
        <v>0.6</v>
      </c>
      <c r="AS66" s="365"/>
      <c r="AT66" s="362">
        <v>0.6</v>
      </c>
      <c r="AU66" s="365"/>
      <c r="AV66" s="370"/>
      <c r="AW66" s="360">
        <v>1</v>
      </c>
      <c r="AX66" s="351" t="e">
        <f t="shared" si="25"/>
        <v>#N/A</v>
      </c>
      <c r="AY66" s="351" t="e">
        <f t="shared" si="26"/>
        <v>#N/A</v>
      </c>
      <c r="AZ66" s="351"/>
      <c r="BA66" s="361" t="s">
        <v>3386</v>
      </c>
      <c r="BB66" s="362">
        <v>0.6</v>
      </c>
      <c r="BC66" s="365"/>
      <c r="BD66" s="362">
        <v>0.6</v>
      </c>
      <c r="BE66" s="365"/>
      <c r="BF66" s="362">
        <v>0.6</v>
      </c>
      <c r="BG66" s="365"/>
      <c r="BH66" s="362">
        <v>0.6</v>
      </c>
      <c r="BI66" s="365"/>
      <c r="BJ66" s="362">
        <v>0.6</v>
      </c>
      <c r="BK66" s="365"/>
      <c r="BL66" s="370"/>
      <c r="BM66" s="360">
        <v>1</v>
      </c>
      <c r="BN66" s="351" t="e">
        <f t="shared" si="27"/>
        <v>#N/A</v>
      </c>
      <c r="BO66" s="351" t="e">
        <f t="shared" si="28"/>
        <v>#N/A</v>
      </c>
      <c r="BP66" s="351"/>
      <c r="BQ66" s="361" t="s">
        <v>3386</v>
      </c>
      <c r="BR66" s="362">
        <v>0.6</v>
      </c>
      <c r="BS66" s="365"/>
      <c r="BT66" s="362">
        <v>0.6</v>
      </c>
      <c r="BU66" s="365"/>
      <c r="BV66" s="362">
        <v>0.6</v>
      </c>
      <c r="BW66" s="365"/>
      <c r="BX66" s="362">
        <v>0.6</v>
      </c>
      <c r="BY66" s="365"/>
      <c r="BZ66" s="362">
        <v>0.6</v>
      </c>
      <c r="CA66" s="365"/>
      <c r="CB66" s="370"/>
      <c r="CC66" s="360">
        <v>1</v>
      </c>
      <c r="CD66" s="351" t="e">
        <f t="shared" si="29"/>
        <v>#N/A</v>
      </c>
      <c r="CE66" s="351" t="e">
        <f t="shared" si="30"/>
        <v>#N/A</v>
      </c>
      <c r="CF66" s="351"/>
      <c r="CG66" s="361" t="s">
        <v>3386</v>
      </c>
      <c r="CH66" s="362">
        <v>0.6</v>
      </c>
      <c r="CI66" s="365"/>
      <c r="CJ66" s="362">
        <v>0.6</v>
      </c>
      <c r="CK66" s="365"/>
      <c r="CL66" s="362">
        <v>0.6</v>
      </c>
      <c r="CM66" s="365"/>
      <c r="CN66" s="362">
        <v>0.6</v>
      </c>
      <c r="CO66" s="365"/>
      <c r="CP66" s="362">
        <v>0.6</v>
      </c>
      <c r="CQ66" s="365"/>
      <c r="CR66" s="370"/>
      <c r="CS66" s="360">
        <v>1</v>
      </c>
      <c r="CT66" s="351" t="e">
        <f t="shared" si="31"/>
        <v>#N/A</v>
      </c>
      <c r="CU66" s="351" t="e">
        <f t="shared" si="32"/>
        <v>#N/A</v>
      </c>
      <c r="CV66" s="351"/>
      <c r="CW66" s="361" t="s">
        <v>3386</v>
      </c>
      <c r="CX66" s="362">
        <v>0.6</v>
      </c>
      <c r="CY66" s="365"/>
      <c r="CZ66" s="362">
        <v>0.6</v>
      </c>
      <c r="DA66" s="365"/>
      <c r="DB66" s="362">
        <v>0.6</v>
      </c>
      <c r="DC66" s="365"/>
      <c r="DD66" s="362">
        <v>0.6</v>
      </c>
      <c r="DE66" s="365"/>
      <c r="DF66" s="362">
        <v>0.6</v>
      </c>
      <c r="DG66" s="365"/>
      <c r="DH66" s="370"/>
      <c r="DI66" s="360">
        <v>1</v>
      </c>
      <c r="DJ66" s="351" t="e">
        <f t="shared" si="33"/>
        <v>#N/A</v>
      </c>
      <c r="DK66" s="351" t="e">
        <f t="shared" si="34"/>
        <v>#N/A</v>
      </c>
      <c r="DL66" s="351"/>
      <c r="DM66" s="361" t="s">
        <v>3386</v>
      </c>
      <c r="DN66" s="362">
        <v>0.6</v>
      </c>
      <c r="DO66" s="365"/>
      <c r="DP66" s="362">
        <v>0.6</v>
      </c>
      <c r="DQ66" s="365"/>
      <c r="DR66" s="362">
        <v>0.6</v>
      </c>
      <c r="DS66" s="365"/>
      <c r="DT66" s="362">
        <v>0.6</v>
      </c>
      <c r="DU66" s="365"/>
      <c r="DV66" s="362">
        <v>0.6</v>
      </c>
      <c r="DW66" s="365"/>
      <c r="DX66" s="370"/>
      <c r="DY66" s="360">
        <v>1</v>
      </c>
      <c r="DZ66" s="351" t="e">
        <f t="shared" si="35"/>
        <v>#N/A</v>
      </c>
      <c r="EA66" s="351" t="e">
        <f t="shared" si="36"/>
        <v>#N/A</v>
      </c>
      <c r="EB66" s="351"/>
      <c r="EC66" s="157">
        <f t="shared" si="17"/>
        <v>0.6</v>
      </c>
      <c r="ED66" s="157">
        <f t="shared" si="18"/>
        <v>0.6</v>
      </c>
      <c r="EE66" s="157">
        <f t="shared" si="19"/>
        <v>0.60000000000000031</v>
      </c>
      <c r="EF66" s="157">
        <f t="shared" si="20"/>
        <v>0.6</v>
      </c>
    </row>
    <row r="67" spans="1:136" ht="14.25" customHeight="1">
      <c r="A67" s="291" t="b">
        <f t="shared" si="37"/>
        <v>0</v>
      </c>
      <c r="B67" s="292"/>
      <c r="C67" s="355" t="s">
        <v>3387</v>
      </c>
      <c r="D67" s="345"/>
      <c r="E67" s="361" t="s">
        <v>3232</v>
      </c>
      <c r="F67" s="362">
        <v>0</v>
      </c>
      <c r="G67" s="365"/>
      <c r="H67" s="362">
        <v>0</v>
      </c>
      <c r="I67" s="365"/>
      <c r="J67" s="362">
        <v>0</v>
      </c>
      <c r="K67" s="365"/>
      <c r="L67" s="362">
        <v>0</v>
      </c>
      <c r="M67" s="365"/>
      <c r="N67" s="362">
        <v>0</v>
      </c>
      <c r="O67" s="365"/>
      <c r="P67" s="370"/>
      <c r="Q67" s="373">
        <v>1</v>
      </c>
      <c r="R67" s="351" t="e">
        <f t="shared" si="21"/>
        <v>#N/A</v>
      </c>
      <c r="S67" s="351" t="e">
        <f t="shared" si="22"/>
        <v>#N/A</v>
      </c>
      <c r="T67" s="351"/>
      <c r="U67" s="356" t="s">
        <v>3234</v>
      </c>
      <c r="V67" s="357">
        <v>0</v>
      </c>
      <c r="W67" s="374"/>
      <c r="X67" s="375">
        <v>0</v>
      </c>
      <c r="Y67" s="374"/>
      <c r="Z67" s="375">
        <v>0</v>
      </c>
      <c r="AA67" s="374"/>
      <c r="AB67" s="375">
        <v>0</v>
      </c>
      <c r="AC67" s="374"/>
      <c r="AD67" s="375">
        <v>0</v>
      </c>
      <c r="AE67" s="374"/>
      <c r="AF67" s="374"/>
      <c r="AG67" s="373">
        <v>1</v>
      </c>
      <c r="AH67" s="351" t="e">
        <f t="shared" si="23"/>
        <v>#N/A</v>
      </c>
      <c r="AI67" s="351" t="e">
        <f t="shared" si="24"/>
        <v>#N/A</v>
      </c>
      <c r="AJ67" s="351"/>
      <c r="AK67" s="361" t="s">
        <v>3388</v>
      </c>
      <c r="AL67" s="362">
        <v>0.6</v>
      </c>
      <c r="AM67" s="365"/>
      <c r="AN67" s="362">
        <v>0.6</v>
      </c>
      <c r="AO67" s="365"/>
      <c r="AP67" s="362">
        <v>0.6</v>
      </c>
      <c r="AQ67" s="365"/>
      <c r="AR67" s="362">
        <v>0.6</v>
      </c>
      <c r="AS67" s="365"/>
      <c r="AT67" s="362">
        <v>0.6</v>
      </c>
      <c r="AU67" s="365"/>
      <c r="AV67" s="370"/>
      <c r="AW67" s="373">
        <v>1</v>
      </c>
      <c r="AX67" s="351" t="e">
        <f t="shared" si="25"/>
        <v>#N/A</v>
      </c>
      <c r="AY67" s="351" t="e">
        <f t="shared" si="26"/>
        <v>#N/A</v>
      </c>
      <c r="AZ67" s="351"/>
      <c r="BA67" s="361" t="s">
        <v>3389</v>
      </c>
      <c r="BB67" s="362">
        <v>0.6</v>
      </c>
      <c r="BC67" s="365"/>
      <c r="BD67" s="362">
        <v>0.6</v>
      </c>
      <c r="BE67" s="365"/>
      <c r="BF67" s="362">
        <v>0.6</v>
      </c>
      <c r="BG67" s="365"/>
      <c r="BH67" s="362">
        <v>0.6</v>
      </c>
      <c r="BI67" s="365"/>
      <c r="BJ67" s="362">
        <v>0.6</v>
      </c>
      <c r="BK67" s="365"/>
      <c r="BL67" s="370"/>
      <c r="BM67" s="373">
        <v>1</v>
      </c>
      <c r="BN67" s="351" t="e">
        <f t="shared" si="27"/>
        <v>#N/A</v>
      </c>
      <c r="BO67" s="351" t="e">
        <f t="shared" si="28"/>
        <v>#N/A</v>
      </c>
      <c r="BP67" s="351"/>
      <c r="BQ67" s="361" t="s">
        <v>3390</v>
      </c>
      <c r="BR67" s="362">
        <v>0.6</v>
      </c>
      <c r="BS67" s="365"/>
      <c r="BT67" s="362">
        <v>0.6</v>
      </c>
      <c r="BU67" s="365"/>
      <c r="BV67" s="362">
        <v>0.6</v>
      </c>
      <c r="BW67" s="365"/>
      <c r="BX67" s="362">
        <v>0.6</v>
      </c>
      <c r="BY67" s="365"/>
      <c r="BZ67" s="362">
        <v>0.6</v>
      </c>
      <c r="CA67" s="365"/>
      <c r="CB67" s="370"/>
      <c r="CC67" s="373">
        <v>1</v>
      </c>
      <c r="CD67" s="351" t="e">
        <f t="shared" si="29"/>
        <v>#N/A</v>
      </c>
      <c r="CE67" s="351" t="e">
        <f t="shared" si="30"/>
        <v>#N/A</v>
      </c>
      <c r="CF67" s="351"/>
      <c r="CG67" s="361" t="s">
        <v>3390</v>
      </c>
      <c r="CH67" s="362">
        <v>0.8</v>
      </c>
      <c r="CI67" s="365"/>
      <c r="CJ67" s="362">
        <v>0.8</v>
      </c>
      <c r="CK67" s="365"/>
      <c r="CL67" s="362">
        <v>0.8</v>
      </c>
      <c r="CM67" s="365"/>
      <c r="CN67" s="362">
        <v>0.8</v>
      </c>
      <c r="CO67" s="365"/>
      <c r="CP67" s="362">
        <v>0.8</v>
      </c>
      <c r="CQ67" s="365"/>
      <c r="CR67" s="370"/>
      <c r="CS67" s="373">
        <v>1</v>
      </c>
      <c r="CT67" s="351" t="e">
        <f t="shared" si="31"/>
        <v>#N/A</v>
      </c>
      <c r="CU67" s="351" t="e">
        <f t="shared" si="32"/>
        <v>#N/A</v>
      </c>
      <c r="CV67" s="351"/>
      <c r="CW67" s="361" t="s">
        <v>3391</v>
      </c>
      <c r="CX67" s="362">
        <v>0.6</v>
      </c>
      <c r="CY67" s="365"/>
      <c r="CZ67" s="362">
        <v>0.6</v>
      </c>
      <c r="DA67" s="365"/>
      <c r="DB67" s="362">
        <v>0.6</v>
      </c>
      <c r="DC67" s="365"/>
      <c r="DD67" s="362">
        <v>0.6</v>
      </c>
      <c r="DE67" s="365"/>
      <c r="DF67" s="362">
        <v>0.6</v>
      </c>
      <c r="DG67" s="365"/>
      <c r="DH67" s="370"/>
      <c r="DI67" s="373">
        <v>1</v>
      </c>
      <c r="DJ67" s="351" t="e">
        <f t="shared" si="33"/>
        <v>#N/A</v>
      </c>
      <c r="DK67" s="351" t="e">
        <f t="shared" si="34"/>
        <v>#N/A</v>
      </c>
      <c r="DL67" s="351"/>
      <c r="DM67" s="361" t="s">
        <v>3389</v>
      </c>
      <c r="DN67" s="362">
        <v>0.6</v>
      </c>
      <c r="DO67" s="365"/>
      <c r="DP67" s="362">
        <v>0.6</v>
      </c>
      <c r="DQ67" s="365"/>
      <c r="DR67" s="362">
        <v>0.6</v>
      </c>
      <c r="DS67" s="365"/>
      <c r="DT67" s="362">
        <v>0.6</v>
      </c>
      <c r="DU67" s="365"/>
      <c r="DV67" s="362">
        <v>0.6</v>
      </c>
      <c r="DW67" s="365"/>
      <c r="DX67" s="370"/>
      <c r="DY67" s="373">
        <v>1</v>
      </c>
      <c r="DZ67" s="351" t="e">
        <f t="shared" si="35"/>
        <v>#N/A</v>
      </c>
      <c r="EA67" s="351" t="e">
        <f t="shared" si="36"/>
        <v>#N/A</v>
      </c>
      <c r="EB67" s="351"/>
      <c r="EC67" s="157">
        <f t="shared" si="17"/>
        <v>0</v>
      </c>
      <c r="ED67" s="157">
        <f t="shared" si="18"/>
        <v>0.8</v>
      </c>
      <c r="EE67" s="157">
        <f t="shared" si="19"/>
        <v>0.4750000000000002</v>
      </c>
      <c r="EF67" s="157">
        <f t="shared" si="20"/>
        <v>0.6</v>
      </c>
    </row>
    <row r="68" spans="1:136" ht="14.25" customHeight="1">
      <c r="A68" s="291" t="b">
        <f t="shared" si="37"/>
        <v>0</v>
      </c>
      <c r="B68" s="292"/>
      <c r="C68" s="355" t="s">
        <v>3392</v>
      </c>
      <c r="D68" s="345"/>
      <c r="E68" s="371" t="s">
        <v>3393</v>
      </c>
      <c r="F68" s="372">
        <v>0.9</v>
      </c>
      <c r="G68" s="358"/>
      <c r="H68" s="372">
        <v>0.9</v>
      </c>
      <c r="I68" s="358"/>
      <c r="J68" s="372">
        <v>0.9</v>
      </c>
      <c r="K68" s="358"/>
      <c r="L68" s="372">
        <v>0.9</v>
      </c>
      <c r="M68" s="358"/>
      <c r="N68" s="372">
        <v>0.9</v>
      </c>
      <c r="O68" s="358"/>
      <c r="P68" s="359"/>
      <c r="Q68" s="360">
        <v>1</v>
      </c>
      <c r="R68" s="351" t="e">
        <f t="shared" si="21"/>
        <v>#N/A</v>
      </c>
      <c r="S68" s="351" t="e">
        <f t="shared" si="22"/>
        <v>#N/A</v>
      </c>
      <c r="T68" s="351"/>
      <c r="U68" s="361" t="s">
        <v>3394</v>
      </c>
      <c r="V68" s="362">
        <v>0.9</v>
      </c>
      <c r="W68" s="363"/>
      <c r="X68" s="364">
        <v>0.9</v>
      </c>
      <c r="Y68" s="363"/>
      <c r="Z68" s="364">
        <v>0.9</v>
      </c>
      <c r="AA68" s="363"/>
      <c r="AB68" s="364">
        <v>0.9</v>
      </c>
      <c r="AC68" s="363"/>
      <c r="AD68" s="364">
        <v>0.9</v>
      </c>
      <c r="AE68" s="363"/>
      <c r="AF68" s="363"/>
      <c r="AG68" s="360">
        <v>1</v>
      </c>
      <c r="AH68" s="351" t="e">
        <f t="shared" si="23"/>
        <v>#N/A</v>
      </c>
      <c r="AI68" s="351" t="e">
        <f t="shared" si="24"/>
        <v>#N/A</v>
      </c>
      <c r="AJ68" s="351"/>
      <c r="AK68" s="361" t="s">
        <v>3394</v>
      </c>
      <c r="AL68" s="362">
        <v>0.9</v>
      </c>
      <c r="AM68" s="365"/>
      <c r="AN68" s="362">
        <v>0.9</v>
      </c>
      <c r="AO68" s="365"/>
      <c r="AP68" s="362">
        <v>0.9</v>
      </c>
      <c r="AQ68" s="365"/>
      <c r="AR68" s="362">
        <v>0.9</v>
      </c>
      <c r="AS68" s="365"/>
      <c r="AT68" s="362">
        <v>0.9</v>
      </c>
      <c r="AU68" s="365"/>
      <c r="AV68" s="365"/>
      <c r="AW68" s="360">
        <v>1</v>
      </c>
      <c r="AX68" s="351" t="e">
        <f t="shared" si="25"/>
        <v>#N/A</v>
      </c>
      <c r="AY68" s="351" t="e">
        <f t="shared" si="26"/>
        <v>#N/A</v>
      </c>
      <c r="AZ68" s="351"/>
      <c r="BA68" s="371" t="s">
        <v>3395</v>
      </c>
      <c r="BB68" s="384">
        <v>0.1</v>
      </c>
      <c r="BC68" s="358"/>
      <c r="BD68" s="384">
        <v>0.1</v>
      </c>
      <c r="BE68" s="358"/>
      <c r="BF68" s="384">
        <v>0.1</v>
      </c>
      <c r="BG68" s="358"/>
      <c r="BH68" s="384">
        <v>0.1</v>
      </c>
      <c r="BI68" s="358"/>
      <c r="BJ68" s="384">
        <v>0.1</v>
      </c>
      <c r="BK68" s="358"/>
      <c r="BL68" s="358"/>
      <c r="BM68" s="360">
        <v>1</v>
      </c>
      <c r="BN68" s="351" t="e">
        <f t="shared" si="27"/>
        <v>#N/A</v>
      </c>
      <c r="BO68" s="351" t="e">
        <f t="shared" si="28"/>
        <v>#N/A</v>
      </c>
      <c r="BP68" s="351"/>
      <c r="BQ68" s="371" t="s">
        <v>3395</v>
      </c>
      <c r="BR68" s="385">
        <v>0.1</v>
      </c>
      <c r="BS68" s="377"/>
      <c r="BT68" s="385">
        <v>0.1</v>
      </c>
      <c r="BU68" s="377"/>
      <c r="BV68" s="385">
        <v>0.1</v>
      </c>
      <c r="BW68" s="377"/>
      <c r="BX68" s="385">
        <v>0.1</v>
      </c>
      <c r="BY68" s="377"/>
      <c r="BZ68" s="385">
        <v>0.1</v>
      </c>
      <c r="CA68" s="377"/>
      <c r="CB68" s="377"/>
      <c r="CC68" s="360">
        <v>1</v>
      </c>
      <c r="CD68" s="351" t="e">
        <f t="shared" si="29"/>
        <v>#N/A</v>
      </c>
      <c r="CE68" s="351" t="e">
        <f t="shared" si="30"/>
        <v>#N/A</v>
      </c>
      <c r="CF68" s="351"/>
      <c r="CG68" s="371" t="s">
        <v>3396</v>
      </c>
      <c r="CH68" s="385">
        <v>0.9</v>
      </c>
      <c r="CI68" s="377"/>
      <c r="CJ68" s="385">
        <v>0.9</v>
      </c>
      <c r="CK68" s="377"/>
      <c r="CL68" s="385">
        <v>0.9</v>
      </c>
      <c r="CM68" s="377"/>
      <c r="CN68" s="385">
        <v>0.9</v>
      </c>
      <c r="CO68" s="377"/>
      <c r="CP68" s="385">
        <v>0.9</v>
      </c>
      <c r="CQ68" s="377"/>
      <c r="CR68" s="377"/>
      <c r="CS68" s="360">
        <v>1</v>
      </c>
      <c r="CT68" s="351" t="e">
        <f t="shared" si="31"/>
        <v>#N/A</v>
      </c>
      <c r="CU68" s="351" t="e">
        <f t="shared" si="32"/>
        <v>#N/A</v>
      </c>
      <c r="CV68" s="351"/>
      <c r="CW68" s="361" t="s">
        <v>3397</v>
      </c>
      <c r="CX68" s="367">
        <v>0.8</v>
      </c>
      <c r="CY68" s="368"/>
      <c r="CZ68" s="367">
        <v>0.8</v>
      </c>
      <c r="DA68" s="369"/>
      <c r="DB68" s="367">
        <v>0.8</v>
      </c>
      <c r="DC68" s="368"/>
      <c r="DD68" s="367">
        <v>0.8</v>
      </c>
      <c r="DE68" s="368"/>
      <c r="DF68" s="367">
        <v>0.8</v>
      </c>
      <c r="DG68" s="368"/>
      <c r="DH68" s="368"/>
      <c r="DI68" s="360">
        <v>1</v>
      </c>
      <c r="DJ68" s="351" t="e">
        <f t="shared" si="33"/>
        <v>#N/A</v>
      </c>
      <c r="DK68" s="351" t="e">
        <f t="shared" si="34"/>
        <v>#N/A</v>
      </c>
      <c r="DL68" s="351"/>
      <c r="DM68" s="361" t="s">
        <v>3398</v>
      </c>
      <c r="DN68" s="367">
        <v>0.6</v>
      </c>
      <c r="DO68" s="368"/>
      <c r="DP68" s="367">
        <v>0.6</v>
      </c>
      <c r="DQ68" s="368"/>
      <c r="DR68" s="367">
        <v>0.6</v>
      </c>
      <c r="DS68" s="368"/>
      <c r="DT68" s="367">
        <v>0.6</v>
      </c>
      <c r="DU68" s="368"/>
      <c r="DV68" s="367">
        <v>0.6</v>
      </c>
      <c r="DW68" s="368"/>
      <c r="DX68" s="368"/>
      <c r="DY68" s="360">
        <v>1</v>
      </c>
      <c r="DZ68" s="351" t="e">
        <f t="shared" si="35"/>
        <v>#N/A</v>
      </c>
      <c r="EA68" s="351" t="e">
        <f t="shared" si="36"/>
        <v>#N/A</v>
      </c>
      <c r="EB68" s="351"/>
      <c r="EC68" s="157">
        <f t="shared" si="17"/>
        <v>0.1</v>
      </c>
      <c r="ED68" s="157">
        <f t="shared" si="18"/>
        <v>0.9</v>
      </c>
      <c r="EE68" s="157">
        <f t="shared" si="19"/>
        <v>0.65000000000000013</v>
      </c>
      <c r="EF68" s="157">
        <f t="shared" si="20"/>
        <v>0.85000000000000009</v>
      </c>
    </row>
    <row r="69" spans="1:136" ht="14.25" customHeight="1">
      <c r="A69" s="291" t="b">
        <f t="shared" si="37"/>
        <v>1</v>
      </c>
      <c r="B69" s="292"/>
      <c r="C69" s="355" t="s">
        <v>3399</v>
      </c>
      <c r="D69" s="345"/>
      <c r="E69" s="361" t="s">
        <v>3400</v>
      </c>
      <c r="F69" s="362">
        <v>0.8</v>
      </c>
      <c r="G69" s="365"/>
      <c r="H69" s="362">
        <v>0.8</v>
      </c>
      <c r="I69" s="365"/>
      <c r="J69" s="362">
        <v>0.8</v>
      </c>
      <c r="K69" s="365"/>
      <c r="L69" s="362">
        <v>0.8</v>
      </c>
      <c r="M69" s="365"/>
      <c r="N69" s="362">
        <v>0.8</v>
      </c>
      <c r="O69" s="365"/>
      <c r="P69" s="370"/>
      <c r="Q69" s="360">
        <v>1</v>
      </c>
      <c r="R69" s="351" t="e">
        <f t="shared" si="21"/>
        <v>#N/A</v>
      </c>
      <c r="S69" s="351" t="e">
        <f t="shared" si="22"/>
        <v>#N/A</v>
      </c>
      <c r="T69" s="351"/>
      <c r="U69" s="361" t="s">
        <v>3400</v>
      </c>
      <c r="V69" s="362">
        <v>0.8</v>
      </c>
      <c r="W69" s="365"/>
      <c r="X69" s="362">
        <v>0.8</v>
      </c>
      <c r="Y69" s="365"/>
      <c r="Z69" s="362">
        <v>0.8</v>
      </c>
      <c r="AA69" s="365"/>
      <c r="AB69" s="362">
        <v>0.8</v>
      </c>
      <c r="AC69" s="365"/>
      <c r="AD69" s="362">
        <v>0.8</v>
      </c>
      <c r="AE69" s="365"/>
      <c r="AF69" s="370"/>
      <c r="AG69" s="360">
        <v>1</v>
      </c>
      <c r="AH69" s="351" t="e">
        <f t="shared" si="23"/>
        <v>#N/A</v>
      </c>
      <c r="AI69" s="351" t="e">
        <f t="shared" si="24"/>
        <v>#N/A</v>
      </c>
      <c r="AJ69" s="351"/>
      <c r="AK69" s="361" t="s">
        <v>3400</v>
      </c>
      <c r="AL69" s="362">
        <v>0.8</v>
      </c>
      <c r="AM69" s="365"/>
      <c r="AN69" s="362">
        <v>0.8</v>
      </c>
      <c r="AO69" s="365"/>
      <c r="AP69" s="362">
        <v>0.8</v>
      </c>
      <c r="AQ69" s="365"/>
      <c r="AR69" s="362">
        <v>0.8</v>
      </c>
      <c r="AS69" s="365"/>
      <c r="AT69" s="362">
        <v>0.8</v>
      </c>
      <c r="AU69" s="365"/>
      <c r="AV69" s="370"/>
      <c r="AW69" s="360">
        <v>1</v>
      </c>
      <c r="AX69" s="351" t="e">
        <f t="shared" si="25"/>
        <v>#N/A</v>
      </c>
      <c r="AY69" s="351" t="e">
        <f t="shared" si="26"/>
        <v>#N/A</v>
      </c>
      <c r="AZ69" s="351"/>
      <c r="BA69" s="361" t="s">
        <v>3400</v>
      </c>
      <c r="BB69" s="362">
        <v>0.8</v>
      </c>
      <c r="BC69" s="365"/>
      <c r="BD69" s="362">
        <v>0.8</v>
      </c>
      <c r="BE69" s="365"/>
      <c r="BF69" s="362">
        <v>0.8</v>
      </c>
      <c r="BG69" s="365"/>
      <c r="BH69" s="362">
        <v>0.8</v>
      </c>
      <c r="BI69" s="365"/>
      <c r="BJ69" s="362">
        <v>0.8</v>
      </c>
      <c r="BK69" s="365"/>
      <c r="BL69" s="370"/>
      <c r="BM69" s="360">
        <v>1</v>
      </c>
      <c r="BN69" s="351" t="e">
        <f t="shared" si="27"/>
        <v>#N/A</v>
      </c>
      <c r="BO69" s="351" t="e">
        <f t="shared" si="28"/>
        <v>#N/A</v>
      </c>
      <c r="BP69" s="351"/>
      <c r="BQ69" s="361" t="s">
        <v>3400</v>
      </c>
      <c r="BR69" s="362">
        <v>0.8</v>
      </c>
      <c r="BS69" s="365"/>
      <c r="BT69" s="362">
        <v>0.8</v>
      </c>
      <c r="BU69" s="365"/>
      <c r="BV69" s="362">
        <v>0.8</v>
      </c>
      <c r="BW69" s="365"/>
      <c r="BX69" s="362">
        <v>0.8</v>
      </c>
      <c r="BY69" s="365"/>
      <c r="BZ69" s="362">
        <v>0.8</v>
      </c>
      <c r="CA69" s="365"/>
      <c r="CB69" s="370"/>
      <c r="CC69" s="360">
        <v>1</v>
      </c>
      <c r="CD69" s="351" t="e">
        <f t="shared" si="29"/>
        <v>#N/A</v>
      </c>
      <c r="CE69" s="351" t="e">
        <f t="shared" si="30"/>
        <v>#N/A</v>
      </c>
      <c r="CF69" s="351"/>
      <c r="CG69" s="361" t="s">
        <v>3400</v>
      </c>
      <c r="CH69" s="362">
        <v>0.8</v>
      </c>
      <c r="CI69" s="365"/>
      <c r="CJ69" s="362">
        <v>0.8</v>
      </c>
      <c r="CK69" s="365"/>
      <c r="CL69" s="362">
        <v>0.8</v>
      </c>
      <c r="CM69" s="365"/>
      <c r="CN69" s="362">
        <v>0.8</v>
      </c>
      <c r="CO69" s="365"/>
      <c r="CP69" s="362">
        <v>0.8</v>
      </c>
      <c r="CQ69" s="365"/>
      <c r="CR69" s="370"/>
      <c r="CS69" s="360">
        <v>1</v>
      </c>
      <c r="CT69" s="351" t="e">
        <f t="shared" si="31"/>
        <v>#N/A</v>
      </c>
      <c r="CU69" s="351" t="e">
        <f t="shared" si="32"/>
        <v>#N/A</v>
      </c>
      <c r="CV69" s="351"/>
      <c r="CW69" s="361" t="s">
        <v>3400</v>
      </c>
      <c r="CX69" s="362">
        <v>0.8</v>
      </c>
      <c r="CY69" s="365"/>
      <c r="CZ69" s="362">
        <v>0.8</v>
      </c>
      <c r="DA69" s="365"/>
      <c r="DB69" s="362">
        <v>0.8</v>
      </c>
      <c r="DC69" s="365"/>
      <c r="DD69" s="362">
        <v>0.8</v>
      </c>
      <c r="DE69" s="365"/>
      <c r="DF69" s="362">
        <v>0.8</v>
      </c>
      <c r="DG69" s="365"/>
      <c r="DH69" s="370"/>
      <c r="DI69" s="360">
        <v>1</v>
      </c>
      <c r="DJ69" s="351" t="e">
        <f t="shared" si="33"/>
        <v>#N/A</v>
      </c>
      <c r="DK69" s="351" t="e">
        <f t="shared" si="34"/>
        <v>#N/A</v>
      </c>
      <c r="DL69" s="351"/>
      <c r="DM69" s="361" t="s">
        <v>3401</v>
      </c>
      <c r="DN69" s="362">
        <v>0.8</v>
      </c>
      <c r="DO69" s="365"/>
      <c r="DP69" s="362">
        <v>0.8</v>
      </c>
      <c r="DQ69" s="365"/>
      <c r="DR69" s="362">
        <v>0.8</v>
      </c>
      <c r="DS69" s="365"/>
      <c r="DT69" s="362">
        <v>0.8</v>
      </c>
      <c r="DU69" s="365"/>
      <c r="DV69" s="362">
        <v>0.8</v>
      </c>
      <c r="DW69" s="365"/>
      <c r="DX69" s="370"/>
      <c r="DY69" s="360">
        <v>1</v>
      </c>
      <c r="DZ69" s="351" t="e">
        <f t="shared" si="35"/>
        <v>#N/A</v>
      </c>
      <c r="EA69" s="351" t="e">
        <f t="shared" si="36"/>
        <v>#N/A</v>
      </c>
      <c r="EB69" s="351"/>
      <c r="EC69" s="157">
        <f t="shared" si="17"/>
        <v>0.8</v>
      </c>
      <c r="ED69" s="157">
        <f t="shared" si="18"/>
        <v>0.8</v>
      </c>
      <c r="EE69" s="157">
        <f t="shared" si="19"/>
        <v>0.80000000000000038</v>
      </c>
      <c r="EF69" s="157">
        <f t="shared" si="20"/>
        <v>0.8</v>
      </c>
    </row>
    <row r="70" spans="1:136" ht="14.25" customHeight="1">
      <c r="A70" s="291" t="b">
        <f t="shared" si="37"/>
        <v>0</v>
      </c>
      <c r="B70" s="292"/>
      <c r="C70" s="355" t="s">
        <v>3402</v>
      </c>
      <c r="D70" s="345"/>
      <c r="E70" s="371" t="s">
        <v>3403</v>
      </c>
      <c r="F70" s="372">
        <v>1</v>
      </c>
      <c r="G70" s="358"/>
      <c r="H70" s="372">
        <v>1</v>
      </c>
      <c r="I70" s="358"/>
      <c r="J70" s="372">
        <v>1</v>
      </c>
      <c r="K70" s="358"/>
      <c r="L70" s="372">
        <v>1</v>
      </c>
      <c r="M70" s="358"/>
      <c r="N70" s="372">
        <v>1</v>
      </c>
      <c r="O70" s="358"/>
      <c r="P70" s="359"/>
      <c r="Q70" s="360">
        <v>1</v>
      </c>
      <c r="R70" s="351" t="e">
        <f t="shared" si="21"/>
        <v>#N/A</v>
      </c>
      <c r="S70" s="351" t="e">
        <f t="shared" si="22"/>
        <v>#N/A</v>
      </c>
      <c r="T70" s="351"/>
      <c r="U70" s="371" t="s">
        <v>3404</v>
      </c>
      <c r="V70" s="372">
        <v>1</v>
      </c>
      <c r="W70" s="358"/>
      <c r="X70" s="372">
        <v>1</v>
      </c>
      <c r="Y70" s="358"/>
      <c r="Z70" s="372">
        <v>1</v>
      </c>
      <c r="AA70" s="358"/>
      <c r="AB70" s="372">
        <v>1</v>
      </c>
      <c r="AC70" s="358"/>
      <c r="AD70" s="372">
        <v>1</v>
      </c>
      <c r="AE70" s="358"/>
      <c r="AF70" s="359"/>
      <c r="AG70" s="360">
        <v>1</v>
      </c>
      <c r="AH70" s="351" t="e">
        <f t="shared" si="23"/>
        <v>#N/A</v>
      </c>
      <c r="AI70" s="351" t="e">
        <f t="shared" si="24"/>
        <v>#N/A</v>
      </c>
      <c r="AJ70" s="351"/>
      <c r="AK70" s="361" t="s">
        <v>3405</v>
      </c>
      <c r="AL70" s="372">
        <v>1</v>
      </c>
      <c r="AM70" s="358"/>
      <c r="AN70" s="372">
        <v>1</v>
      </c>
      <c r="AO70" s="358"/>
      <c r="AP70" s="372">
        <v>1</v>
      </c>
      <c r="AQ70" s="358"/>
      <c r="AR70" s="372">
        <v>1</v>
      </c>
      <c r="AS70" s="358"/>
      <c r="AT70" s="372">
        <v>1</v>
      </c>
      <c r="AU70" s="358"/>
      <c r="AV70" s="359"/>
      <c r="AW70" s="360">
        <v>1</v>
      </c>
      <c r="AX70" s="351" t="e">
        <f t="shared" si="25"/>
        <v>#N/A</v>
      </c>
      <c r="AY70" s="351" t="e">
        <f t="shared" si="26"/>
        <v>#N/A</v>
      </c>
      <c r="AZ70" s="351"/>
      <c r="BA70" s="361" t="s">
        <v>3406</v>
      </c>
      <c r="BB70" s="372">
        <v>1</v>
      </c>
      <c r="BC70" s="358"/>
      <c r="BD70" s="372">
        <v>1</v>
      </c>
      <c r="BE70" s="358"/>
      <c r="BF70" s="372">
        <v>1</v>
      </c>
      <c r="BG70" s="358"/>
      <c r="BH70" s="372">
        <v>1</v>
      </c>
      <c r="BI70" s="358"/>
      <c r="BJ70" s="372">
        <v>1</v>
      </c>
      <c r="BK70" s="358"/>
      <c r="BL70" s="359"/>
      <c r="BM70" s="360">
        <v>1</v>
      </c>
      <c r="BN70" s="351" t="e">
        <f t="shared" si="27"/>
        <v>#N/A</v>
      </c>
      <c r="BO70" s="351" t="e">
        <f t="shared" si="28"/>
        <v>#N/A</v>
      </c>
      <c r="BP70" s="351"/>
      <c r="BQ70" s="361" t="s">
        <v>3406</v>
      </c>
      <c r="BR70" s="372">
        <v>1</v>
      </c>
      <c r="BS70" s="358"/>
      <c r="BT70" s="372">
        <v>1</v>
      </c>
      <c r="BU70" s="358"/>
      <c r="BV70" s="372">
        <v>1</v>
      </c>
      <c r="BW70" s="358"/>
      <c r="BX70" s="372">
        <v>1</v>
      </c>
      <c r="BY70" s="358"/>
      <c r="BZ70" s="372">
        <v>1</v>
      </c>
      <c r="CA70" s="358"/>
      <c r="CB70" s="359"/>
      <c r="CC70" s="360">
        <v>1</v>
      </c>
      <c r="CD70" s="351" t="e">
        <f t="shared" si="29"/>
        <v>#N/A</v>
      </c>
      <c r="CE70" s="351" t="e">
        <f t="shared" si="30"/>
        <v>#N/A</v>
      </c>
      <c r="CF70" s="351"/>
      <c r="CG70" s="371" t="s">
        <v>3407</v>
      </c>
      <c r="CH70" s="372">
        <v>0.9</v>
      </c>
      <c r="CI70" s="358"/>
      <c r="CJ70" s="372">
        <v>0.9</v>
      </c>
      <c r="CK70" s="358"/>
      <c r="CL70" s="372">
        <v>0.9</v>
      </c>
      <c r="CM70" s="358"/>
      <c r="CN70" s="372">
        <v>0.9</v>
      </c>
      <c r="CO70" s="358"/>
      <c r="CP70" s="372">
        <v>0.9</v>
      </c>
      <c r="CQ70" s="358"/>
      <c r="CR70" s="359"/>
      <c r="CS70" s="360">
        <v>1</v>
      </c>
      <c r="CT70" s="351" t="e">
        <f t="shared" si="31"/>
        <v>#N/A</v>
      </c>
      <c r="CU70" s="351" t="e">
        <f t="shared" si="32"/>
        <v>#N/A</v>
      </c>
      <c r="CV70" s="351"/>
      <c r="CW70" s="371" t="s">
        <v>3408</v>
      </c>
      <c r="CX70" s="372">
        <v>1</v>
      </c>
      <c r="CY70" s="358"/>
      <c r="CZ70" s="372">
        <v>1</v>
      </c>
      <c r="DA70" s="358"/>
      <c r="DB70" s="372">
        <v>1</v>
      </c>
      <c r="DC70" s="358"/>
      <c r="DD70" s="372">
        <v>1</v>
      </c>
      <c r="DE70" s="358"/>
      <c r="DF70" s="372">
        <v>1</v>
      </c>
      <c r="DG70" s="358"/>
      <c r="DH70" s="359"/>
      <c r="DI70" s="360">
        <v>1</v>
      </c>
      <c r="DJ70" s="351" t="e">
        <f t="shared" si="33"/>
        <v>#N/A</v>
      </c>
      <c r="DK70" s="351" t="e">
        <f t="shared" si="34"/>
        <v>#N/A</v>
      </c>
      <c r="DL70" s="351"/>
      <c r="DM70" s="361" t="s">
        <v>3409</v>
      </c>
      <c r="DN70" s="372">
        <v>1</v>
      </c>
      <c r="DO70" s="358"/>
      <c r="DP70" s="372">
        <v>1</v>
      </c>
      <c r="DQ70" s="358"/>
      <c r="DR70" s="372">
        <v>1</v>
      </c>
      <c r="DS70" s="358"/>
      <c r="DT70" s="372">
        <v>1</v>
      </c>
      <c r="DU70" s="358"/>
      <c r="DV70" s="372">
        <v>1</v>
      </c>
      <c r="DW70" s="358"/>
      <c r="DX70" s="359"/>
      <c r="DY70" s="360">
        <v>1</v>
      </c>
      <c r="DZ70" s="351" t="e">
        <f t="shared" si="35"/>
        <v>#N/A</v>
      </c>
      <c r="EA70" s="351" t="e">
        <f t="shared" si="36"/>
        <v>#N/A</v>
      </c>
      <c r="EB70" s="351"/>
      <c r="EC70" s="157">
        <f t="shared" si="17"/>
        <v>0.9</v>
      </c>
      <c r="ED70" s="157">
        <f t="shared" si="18"/>
        <v>1</v>
      </c>
      <c r="EE70" s="157">
        <f t="shared" si="19"/>
        <v>0.98749999999999982</v>
      </c>
      <c r="EF70" s="157">
        <f t="shared" si="20"/>
        <v>1</v>
      </c>
    </row>
    <row r="71" spans="1:136" ht="14.25" customHeight="1">
      <c r="A71" s="291" t="b">
        <f t="shared" si="37"/>
        <v>1</v>
      </c>
      <c r="B71" s="292"/>
      <c r="C71" s="355" t="s">
        <v>3410</v>
      </c>
      <c r="D71" s="345"/>
      <c r="E71" s="361" t="s">
        <v>3411</v>
      </c>
      <c r="F71" s="362">
        <v>0.9</v>
      </c>
      <c r="G71" s="365"/>
      <c r="H71" s="362">
        <v>0.9</v>
      </c>
      <c r="I71" s="365"/>
      <c r="J71" s="362">
        <v>0.9</v>
      </c>
      <c r="K71" s="365"/>
      <c r="L71" s="362">
        <v>0.9</v>
      </c>
      <c r="M71" s="365"/>
      <c r="N71" s="362">
        <v>0.9</v>
      </c>
      <c r="O71" s="365"/>
      <c r="P71" s="370"/>
      <c r="Q71" s="360">
        <v>1</v>
      </c>
      <c r="R71" s="351" t="e">
        <f t="shared" si="21"/>
        <v>#N/A</v>
      </c>
      <c r="S71" s="351" t="e">
        <f t="shared" si="22"/>
        <v>#N/A</v>
      </c>
      <c r="T71" s="351"/>
      <c r="U71" s="361" t="s">
        <v>3411</v>
      </c>
      <c r="V71" s="362">
        <v>0.9</v>
      </c>
      <c r="W71" s="365"/>
      <c r="X71" s="362">
        <v>0.9</v>
      </c>
      <c r="Y71" s="365"/>
      <c r="Z71" s="362">
        <v>0.9</v>
      </c>
      <c r="AA71" s="365"/>
      <c r="AB71" s="362">
        <v>0.9</v>
      </c>
      <c r="AC71" s="365"/>
      <c r="AD71" s="362">
        <v>0.9</v>
      </c>
      <c r="AE71" s="365"/>
      <c r="AF71" s="370"/>
      <c r="AG71" s="360">
        <v>1</v>
      </c>
      <c r="AH71" s="351" t="e">
        <f t="shared" si="23"/>
        <v>#N/A</v>
      </c>
      <c r="AI71" s="351" t="e">
        <f t="shared" si="24"/>
        <v>#N/A</v>
      </c>
      <c r="AJ71" s="351"/>
      <c r="AK71" s="361" t="s">
        <v>3411</v>
      </c>
      <c r="AL71" s="362">
        <v>0.9</v>
      </c>
      <c r="AM71" s="365"/>
      <c r="AN71" s="362">
        <v>0.9</v>
      </c>
      <c r="AO71" s="365"/>
      <c r="AP71" s="362">
        <v>0.9</v>
      </c>
      <c r="AQ71" s="365"/>
      <c r="AR71" s="362">
        <v>0.9</v>
      </c>
      <c r="AS71" s="365"/>
      <c r="AT71" s="362">
        <v>0.9</v>
      </c>
      <c r="AU71" s="365"/>
      <c r="AV71" s="370"/>
      <c r="AW71" s="360">
        <v>1</v>
      </c>
      <c r="AX71" s="351" t="e">
        <f t="shared" si="25"/>
        <v>#N/A</v>
      </c>
      <c r="AY71" s="351" t="e">
        <f t="shared" si="26"/>
        <v>#N/A</v>
      </c>
      <c r="AZ71" s="351"/>
      <c r="BA71" s="361" t="s">
        <v>3411</v>
      </c>
      <c r="BB71" s="362">
        <v>0.9</v>
      </c>
      <c r="BC71" s="365"/>
      <c r="BD71" s="362">
        <v>0.9</v>
      </c>
      <c r="BE71" s="365"/>
      <c r="BF71" s="362">
        <v>0.9</v>
      </c>
      <c r="BG71" s="365"/>
      <c r="BH71" s="362">
        <v>0.9</v>
      </c>
      <c r="BI71" s="365"/>
      <c r="BJ71" s="362">
        <v>0.9</v>
      </c>
      <c r="BK71" s="365"/>
      <c r="BL71" s="370"/>
      <c r="BM71" s="360">
        <v>1</v>
      </c>
      <c r="BN71" s="351" t="e">
        <f t="shared" si="27"/>
        <v>#N/A</v>
      </c>
      <c r="BO71" s="351" t="e">
        <f t="shared" si="28"/>
        <v>#N/A</v>
      </c>
      <c r="BP71" s="351"/>
      <c r="BQ71" s="361" t="s">
        <v>3411</v>
      </c>
      <c r="BR71" s="362">
        <v>0.9</v>
      </c>
      <c r="BS71" s="365"/>
      <c r="BT71" s="362">
        <v>0.9</v>
      </c>
      <c r="BU71" s="365"/>
      <c r="BV71" s="362">
        <v>0.9</v>
      </c>
      <c r="BW71" s="365"/>
      <c r="BX71" s="362">
        <v>0.9</v>
      </c>
      <c r="BY71" s="365"/>
      <c r="BZ71" s="362">
        <v>0.9</v>
      </c>
      <c r="CA71" s="365"/>
      <c r="CB71" s="370"/>
      <c r="CC71" s="360">
        <v>1</v>
      </c>
      <c r="CD71" s="351" t="e">
        <f t="shared" si="29"/>
        <v>#N/A</v>
      </c>
      <c r="CE71" s="351" t="e">
        <f t="shared" si="30"/>
        <v>#N/A</v>
      </c>
      <c r="CF71" s="351"/>
      <c r="CG71" s="361" t="s">
        <v>3411</v>
      </c>
      <c r="CH71" s="362">
        <v>0.9</v>
      </c>
      <c r="CI71" s="365"/>
      <c r="CJ71" s="362">
        <v>0.9</v>
      </c>
      <c r="CK71" s="365"/>
      <c r="CL71" s="362">
        <v>0.9</v>
      </c>
      <c r="CM71" s="365"/>
      <c r="CN71" s="362">
        <v>0.9</v>
      </c>
      <c r="CO71" s="365"/>
      <c r="CP71" s="362">
        <v>0.9</v>
      </c>
      <c r="CQ71" s="365"/>
      <c r="CR71" s="370"/>
      <c r="CS71" s="360">
        <v>1</v>
      </c>
      <c r="CT71" s="351" t="e">
        <f t="shared" si="31"/>
        <v>#N/A</v>
      </c>
      <c r="CU71" s="351" t="e">
        <f t="shared" si="32"/>
        <v>#N/A</v>
      </c>
      <c r="CV71" s="351"/>
      <c r="CW71" s="361" t="s">
        <v>3411</v>
      </c>
      <c r="CX71" s="362">
        <v>0.9</v>
      </c>
      <c r="CY71" s="365"/>
      <c r="CZ71" s="362">
        <v>0.9</v>
      </c>
      <c r="DA71" s="365"/>
      <c r="DB71" s="362">
        <v>0.9</v>
      </c>
      <c r="DC71" s="365"/>
      <c r="DD71" s="362">
        <v>0.9</v>
      </c>
      <c r="DE71" s="365"/>
      <c r="DF71" s="362">
        <v>0.9</v>
      </c>
      <c r="DG71" s="365"/>
      <c r="DH71" s="370"/>
      <c r="DI71" s="360">
        <v>1</v>
      </c>
      <c r="DJ71" s="351" t="e">
        <f t="shared" si="33"/>
        <v>#N/A</v>
      </c>
      <c r="DK71" s="351" t="e">
        <f t="shared" si="34"/>
        <v>#N/A</v>
      </c>
      <c r="DL71" s="351"/>
      <c r="DM71" s="361" t="s">
        <v>3411</v>
      </c>
      <c r="DN71" s="362">
        <v>0.9</v>
      </c>
      <c r="DO71" s="365"/>
      <c r="DP71" s="362">
        <v>0.9</v>
      </c>
      <c r="DQ71" s="365"/>
      <c r="DR71" s="362">
        <v>0.9</v>
      </c>
      <c r="DS71" s="365"/>
      <c r="DT71" s="362">
        <v>0.9</v>
      </c>
      <c r="DU71" s="365"/>
      <c r="DV71" s="362">
        <v>0.9</v>
      </c>
      <c r="DW71" s="365"/>
      <c r="DX71" s="370"/>
      <c r="DY71" s="360">
        <v>1</v>
      </c>
      <c r="DZ71" s="351" t="e">
        <f t="shared" si="35"/>
        <v>#N/A</v>
      </c>
      <c r="EA71" s="351" t="e">
        <f t="shared" si="36"/>
        <v>#N/A</v>
      </c>
      <c r="EB71" s="351"/>
      <c r="EC71" s="157">
        <f t="shared" si="17"/>
        <v>0.9</v>
      </c>
      <c r="ED71" s="157">
        <f t="shared" si="18"/>
        <v>0.9</v>
      </c>
      <c r="EE71" s="157">
        <f t="shared" si="19"/>
        <v>0.89999999999999925</v>
      </c>
      <c r="EF71" s="157">
        <f t="shared" si="20"/>
        <v>0.9</v>
      </c>
    </row>
    <row r="72" spans="1:136" ht="14.25" customHeight="1">
      <c r="A72" s="291" t="b">
        <f t="shared" si="37"/>
        <v>1</v>
      </c>
      <c r="B72" s="292"/>
      <c r="C72" s="355" t="s">
        <v>3412</v>
      </c>
      <c r="D72" s="345"/>
      <c r="E72" s="410" t="s">
        <v>3413</v>
      </c>
      <c r="F72" s="411">
        <v>0.5</v>
      </c>
      <c r="G72" s="412"/>
      <c r="H72" s="411">
        <v>0.5</v>
      </c>
      <c r="I72" s="412"/>
      <c r="J72" s="411">
        <v>0.5</v>
      </c>
      <c r="K72" s="412"/>
      <c r="L72" s="411">
        <v>0.5</v>
      </c>
      <c r="M72" s="412"/>
      <c r="N72" s="411">
        <v>0.5</v>
      </c>
      <c r="O72" s="412"/>
      <c r="P72" s="413"/>
      <c r="Q72" s="360">
        <v>1</v>
      </c>
      <c r="R72" s="351" t="e">
        <f t="shared" si="21"/>
        <v>#N/A</v>
      </c>
      <c r="S72" s="351" t="e">
        <f t="shared" si="22"/>
        <v>#N/A</v>
      </c>
      <c r="T72" s="351"/>
      <c r="U72" s="410" t="s">
        <v>3413</v>
      </c>
      <c r="V72" s="411">
        <v>0.5</v>
      </c>
      <c r="W72" s="412"/>
      <c r="X72" s="411">
        <v>0.5</v>
      </c>
      <c r="Y72" s="412"/>
      <c r="Z72" s="411">
        <v>0.5</v>
      </c>
      <c r="AA72" s="412"/>
      <c r="AB72" s="411">
        <v>0.5</v>
      </c>
      <c r="AC72" s="412"/>
      <c r="AD72" s="411">
        <v>0.5</v>
      </c>
      <c r="AE72" s="412"/>
      <c r="AF72" s="413"/>
      <c r="AG72" s="360">
        <v>1</v>
      </c>
      <c r="AH72" s="351" t="e">
        <f t="shared" si="23"/>
        <v>#N/A</v>
      </c>
      <c r="AI72" s="351" t="e">
        <f t="shared" si="24"/>
        <v>#N/A</v>
      </c>
      <c r="AJ72" s="351"/>
      <c r="AK72" s="410" t="s">
        <v>3413</v>
      </c>
      <c r="AL72" s="411">
        <v>0.5</v>
      </c>
      <c r="AM72" s="412"/>
      <c r="AN72" s="411">
        <v>0.5</v>
      </c>
      <c r="AO72" s="412"/>
      <c r="AP72" s="411">
        <v>0.5</v>
      </c>
      <c r="AQ72" s="412"/>
      <c r="AR72" s="411">
        <v>0.5</v>
      </c>
      <c r="AS72" s="412"/>
      <c r="AT72" s="411">
        <v>0.5</v>
      </c>
      <c r="AU72" s="412"/>
      <c r="AV72" s="413"/>
      <c r="AW72" s="360">
        <v>1</v>
      </c>
      <c r="AX72" s="351" t="e">
        <f t="shared" si="25"/>
        <v>#N/A</v>
      </c>
      <c r="AY72" s="351" t="e">
        <f t="shared" si="26"/>
        <v>#N/A</v>
      </c>
      <c r="AZ72" s="351"/>
      <c r="BA72" s="410" t="s">
        <v>3413</v>
      </c>
      <c r="BB72" s="411">
        <v>0.5</v>
      </c>
      <c r="BC72" s="412"/>
      <c r="BD72" s="411">
        <v>0.5</v>
      </c>
      <c r="BE72" s="412"/>
      <c r="BF72" s="411">
        <v>0.5</v>
      </c>
      <c r="BG72" s="412"/>
      <c r="BH72" s="411">
        <v>0.5</v>
      </c>
      <c r="BI72" s="412"/>
      <c r="BJ72" s="411">
        <v>0.5</v>
      </c>
      <c r="BK72" s="412"/>
      <c r="BL72" s="413"/>
      <c r="BM72" s="360">
        <v>1</v>
      </c>
      <c r="BN72" s="351" t="e">
        <f t="shared" si="27"/>
        <v>#N/A</v>
      </c>
      <c r="BO72" s="351" t="e">
        <f t="shared" si="28"/>
        <v>#N/A</v>
      </c>
      <c r="BP72" s="351"/>
      <c r="BQ72" s="410" t="s">
        <v>3413</v>
      </c>
      <c r="BR72" s="411">
        <v>0.5</v>
      </c>
      <c r="BS72" s="412"/>
      <c r="BT72" s="411">
        <v>0.5</v>
      </c>
      <c r="BU72" s="412"/>
      <c r="BV72" s="411">
        <v>0.5</v>
      </c>
      <c r="BW72" s="412"/>
      <c r="BX72" s="411">
        <v>0.5</v>
      </c>
      <c r="BY72" s="412"/>
      <c r="BZ72" s="411">
        <v>0.5</v>
      </c>
      <c r="CA72" s="412"/>
      <c r="CB72" s="413"/>
      <c r="CC72" s="360">
        <v>1</v>
      </c>
      <c r="CD72" s="351" t="e">
        <f t="shared" si="29"/>
        <v>#N/A</v>
      </c>
      <c r="CE72" s="351" t="e">
        <f t="shared" si="30"/>
        <v>#N/A</v>
      </c>
      <c r="CF72" s="351"/>
      <c r="CG72" s="410" t="s">
        <v>3413</v>
      </c>
      <c r="CH72" s="411">
        <v>0.5</v>
      </c>
      <c r="CI72" s="412"/>
      <c r="CJ72" s="411">
        <v>0.5</v>
      </c>
      <c r="CK72" s="412"/>
      <c r="CL72" s="411">
        <v>0.5</v>
      </c>
      <c r="CM72" s="412"/>
      <c r="CN72" s="411">
        <v>0.5</v>
      </c>
      <c r="CO72" s="412"/>
      <c r="CP72" s="411">
        <v>0.5</v>
      </c>
      <c r="CQ72" s="412"/>
      <c r="CR72" s="413"/>
      <c r="CS72" s="360">
        <v>1</v>
      </c>
      <c r="CT72" s="351" t="e">
        <f t="shared" si="31"/>
        <v>#N/A</v>
      </c>
      <c r="CU72" s="351" t="e">
        <f t="shared" si="32"/>
        <v>#N/A</v>
      </c>
      <c r="CV72" s="351"/>
      <c r="CW72" s="410" t="s">
        <v>3414</v>
      </c>
      <c r="CX72" s="411">
        <v>0.5</v>
      </c>
      <c r="CY72" s="412"/>
      <c r="CZ72" s="411">
        <v>0.5</v>
      </c>
      <c r="DA72" s="412"/>
      <c r="DB72" s="411">
        <v>0.5</v>
      </c>
      <c r="DC72" s="412"/>
      <c r="DD72" s="411">
        <v>0.5</v>
      </c>
      <c r="DE72" s="412"/>
      <c r="DF72" s="411">
        <v>0.5</v>
      </c>
      <c r="DG72" s="412"/>
      <c r="DH72" s="413"/>
      <c r="DI72" s="360">
        <v>1</v>
      </c>
      <c r="DJ72" s="351" t="e">
        <f t="shared" si="33"/>
        <v>#N/A</v>
      </c>
      <c r="DK72" s="351" t="e">
        <f t="shared" si="34"/>
        <v>#N/A</v>
      </c>
      <c r="DL72" s="351"/>
      <c r="DM72" s="410" t="s">
        <v>3413</v>
      </c>
      <c r="DN72" s="411">
        <v>0.5</v>
      </c>
      <c r="DO72" s="412"/>
      <c r="DP72" s="411">
        <v>0.5</v>
      </c>
      <c r="DQ72" s="412"/>
      <c r="DR72" s="411">
        <v>0.5</v>
      </c>
      <c r="DS72" s="412"/>
      <c r="DT72" s="411">
        <v>0.5</v>
      </c>
      <c r="DU72" s="412"/>
      <c r="DV72" s="411">
        <v>0.5</v>
      </c>
      <c r="DW72" s="412"/>
      <c r="DX72" s="413"/>
      <c r="DY72" s="360">
        <v>1</v>
      </c>
      <c r="DZ72" s="351" t="e">
        <f t="shared" si="35"/>
        <v>#N/A</v>
      </c>
      <c r="EA72" s="351" t="e">
        <f t="shared" si="36"/>
        <v>#N/A</v>
      </c>
      <c r="EB72" s="351"/>
      <c r="EC72" s="157">
        <f t="shared" si="17"/>
        <v>0.5</v>
      </c>
      <c r="ED72" s="157">
        <f t="shared" si="18"/>
        <v>0.5</v>
      </c>
      <c r="EE72" s="157">
        <f t="shared" si="19"/>
        <v>0.5</v>
      </c>
      <c r="EF72" s="157">
        <f t="shared" si="20"/>
        <v>0.5</v>
      </c>
    </row>
    <row r="73" spans="1:136" ht="14.25" customHeight="1">
      <c r="A73" s="291" t="b">
        <f t="shared" si="37"/>
        <v>0</v>
      </c>
      <c r="B73" s="292"/>
      <c r="C73" s="355" t="s">
        <v>3415</v>
      </c>
      <c r="D73" s="345"/>
      <c r="E73" s="371" t="s">
        <v>3416</v>
      </c>
      <c r="F73" s="372">
        <v>0.8</v>
      </c>
      <c r="G73" s="358"/>
      <c r="H73" s="372">
        <v>0.8</v>
      </c>
      <c r="I73" s="358"/>
      <c r="J73" s="372">
        <v>0.8</v>
      </c>
      <c r="K73" s="358"/>
      <c r="L73" s="372">
        <v>0.8</v>
      </c>
      <c r="M73" s="358"/>
      <c r="N73" s="372">
        <v>0.8</v>
      </c>
      <c r="O73" s="358"/>
      <c r="P73" s="359"/>
      <c r="Q73" s="360">
        <v>1</v>
      </c>
      <c r="R73" s="351" t="e">
        <f t="shared" si="21"/>
        <v>#N/A</v>
      </c>
      <c r="S73" s="351" t="e">
        <f t="shared" si="22"/>
        <v>#N/A</v>
      </c>
      <c r="T73" s="351"/>
      <c r="U73" s="371" t="s">
        <v>3417</v>
      </c>
      <c r="V73" s="372">
        <v>0.8</v>
      </c>
      <c r="W73" s="358"/>
      <c r="X73" s="372">
        <v>0.8</v>
      </c>
      <c r="Y73" s="358"/>
      <c r="Z73" s="372">
        <v>0.8</v>
      </c>
      <c r="AA73" s="358"/>
      <c r="AB73" s="372">
        <v>0.8</v>
      </c>
      <c r="AC73" s="358"/>
      <c r="AD73" s="372">
        <v>0.8</v>
      </c>
      <c r="AE73" s="358"/>
      <c r="AF73" s="359"/>
      <c r="AG73" s="360">
        <v>1</v>
      </c>
      <c r="AH73" s="351" t="e">
        <f t="shared" si="23"/>
        <v>#N/A</v>
      </c>
      <c r="AI73" s="351" t="e">
        <f t="shared" si="24"/>
        <v>#N/A</v>
      </c>
      <c r="AJ73" s="351"/>
      <c r="AK73" s="371" t="s">
        <v>3418</v>
      </c>
      <c r="AL73" s="372">
        <v>0.8</v>
      </c>
      <c r="AM73" s="358"/>
      <c r="AN73" s="372">
        <v>0.8</v>
      </c>
      <c r="AO73" s="358"/>
      <c r="AP73" s="372">
        <v>0.8</v>
      </c>
      <c r="AQ73" s="358"/>
      <c r="AR73" s="372">
        <v>0.8</v>
      </c>
      <c r="AS73" s="358"/>
      <c r="AT73" s="372">
        <v>0.8</v>
      </c>
      <c r="AU73" s="358"/>
      <c r="AV73" s="359"/>
      <c r="AW73" s="360">
        <v>1</v>
      </c>
      <c r="AX73" s="351" t="e">
        <f t="shared" si="25"/>
        <v>#N/A</v>
      </c>
      <c r="AY73" s="351" t="e">
        <f t="shared" si="26"/>
        <v>#N/A</v>
      </c>
      <c r="AZ73" s="351"/>
      <c r="BA73" s="371" t="s">
        <v>3417</v>
      </c>
      <c r="BB73" s="372">
        <v>0.8</v>
      </c>
      <c r="BC73" s="358"/>
      <c r="BD73" s="372">
        <v>0.8</v>
      </c>
      <c r="BE73" s="358"/>
      <c r="BF73" s="372">
        <v>0.8</v>
      </c>
      <c r="BG73" s="358"/>
      <c r="BH73" s="372">
        <v>0.8</v>
      </c>
      <c r="BI73" s="358"/>
      <c r="BJ73" s="372">
        <v>0.8</v>
      </c>
      <c r="BK73" s="358"/>
      <c r="BL73" s="359"/>
      <c r="BM73" s="360">
        <v>1</v>
      </c>
      <c r="BN73" s="351" t="e">
        <f t="shared" si="27"/>
        <v>#N/A</v>
      </c>
      <c r="BO73" s="351" t="e">
        <f t="shared" si="28"/>
        <v>#N/A</v>
      </c>
      <c r="BP73" s="351"/>
      <c r="BQ73" s="371" t="s">
        <v>3419</v>
      </c>
      <c r="BR73" s="372">
        <v>0.8</v>
      </c>
      <c r="BS73" s="358"/>
      <c r="BT73" s="372">
        <v>0.8</v>
      </c>
      <c r="BU73" s="358"/>
      <c r="BV73" s="372">
        <v>0.8</v>
      </c>
      <c r="BW73" s="358"/>
      <c r="BX73" s="372">
        <v>0.8</v>
      </c>
      <c r="BY73" s="358"/>
      <c r="BZ73" s="372">
        <v>0.8</v>
      </c>
      <c r="CA73" s="358"/>
      <c r="CB73" s="359"/>
      <c r="CC73" s="360">
        <v>1</v>
      </c>
      <c r="CD73" s="351" t="e">
        <f t="shared" si="29"/>
        <v>#N/A</v>
      </c>
      <c r="CE73" s="351" t="e">
        <f t="shared" si="30"/>
        <v>#N/A</v>
      </c>
      <c r="CF73" s="351"/>
      <c r="CG73" s="371" t="s">
        <v>3416</v>
      </c>
      <c r="CH73" s="372">
        <v>1</v>
      </c>
      <c r="CI73" s="358"/>
      <c r="CJ73" s="372">
        <v>1</v>
      </c>
      <c r="CK73" s="358"/>
      <c r="CL73" s="372">
        <v>1</v>
      </c>
      <c r="CM73" s="358"/>
      <c r="CN73" s="372">
        <v>1</v>
      </c>
      <c r="CO73" s="358"/>
      <c r="CP73" s="372">
        <v>1</v>
      </c>
      <c r="CQ73" s="358"/>
      <c r="CR73" s="359"/>
      <c r="CS73" s="360">
        <v>1</v>
      </c>
      <c r="CT73" s="351" t="e">
        <f t="shared" si="31"/>
        <v>#N/A</v>
      </c>
      <c r="CU73" s="351" t="e">
        <f t="shared" si="32"/>
        <v>#N/A</v>
      </c>
      <c r="CV73" s="351"/>
      <c r="CW73" s="371" t="s">
        <v>3420</v>
      </c>
      <c r="CX73" s="372">
        <v>0.8</v>
      </c>
      <c r="CY73" s="358"/>
      <c r="CZ73" s="372">
        <v>0.8</v>
      </c>
      <c r="DA73" s="358"/>
      <c r="DB73" s="372">
        <v>0.8</v>
      </c>
      <c r="DC73" s="358"/>
      <c r="DD73" s="372">
        <v>0.8</v>
      </c>
      <c r="DE73" s="358"/>
      <c r="DF73" s="372">
        <v>0.8</v>
      </c>
      <c r="DG73" s="358"/>
      <c r="DH73" s="359"/>
      <c r="DI73" s="360">
        <v>1</v>
      </c>
      <c r="DJ73" s="351" t="e">
        <f t="shared" si="33"/>
        <v>#N/A</v>
      </c>
      <c r="DK73" s="351" t="e">
        <f t="shared" si="34"/>
        <v>#N/A</v>
      </c>
      <c r="DL73" s="351"/>
      <c r="DM73" s="371" t="s">
        <v>3416</v>
      </c>
      <c r="DN73" s="372">
        <v>0.8</v>
      </c>
      <c r="DO73" s="358"/>
      <c r="DP73" s="372">
        <v>0.8</v>
      </c>
      <c r="DQ73" s="358"/>
      <c r="DR73" s="372">
        <v>0.8</v>
      </c>
      <c r="DS73" s="358"/>
      <c r="DT73" s="372">
        <v>0.8</v>
      </c>
      <c r="DU73" s="358"/>
      <c r="DV73" s="372">
        <v>0.8</v>
      </c>
      <c r="DW73" s="358"/>
      <c r="DX73" s="359"/>
      <c r="DY73" s="360">
        <v>1</v>
      </c>
      <c r="DZ73" s="351" t="e">
        <f t="shared" si="35"/>
        <v>#N/A</v>
      </c>
      <c r="EA73" s="351" t="e">
        <f t="shared" si="36"/>
        <v>#N/A</v>
      </c>
      <c r="EB73" s="351"/>
      <c r="EC73" s="157">
        <f t="shared" si="17"/>
        <v>0.8</v>
      </c>
      <c r="ED73" s="157">
        <f t="shared" si="18"/>
        <v>1</v>
      </c>
      <c r="EE73" s="157">
        <f t="shared" si="19"/>
        <v>0.82500000000000018</v>
      </c>
      <c r="EF73" s="157">
        <f t="shared" si="20"/>
        <v>0.8</v>
      </c>
    </row>
    <row r="74" spans="1:136" ht="14.25" customHeight="1">
      <c r="A74" s="291" t="b">
        <f t="shared" si="37"/>
        <v>0</v>
      </c>
      <c r="B74" s="292"/>
      <c r="C74" s="355" t="s">
        <v>3421</v>
      </c>
      <c r="D74" s="345" t="s">
        <v>3422</v>
      </c>
      <c r="E74" s="361" t="s">
        <v>3423</v>
      </c>
      <c r="F74" s="362">
        <v>0.9</v>
      </c>
      <c r="G74" s="368"/>
      <c r="H74" s="362">
        <v>0.6</v>
      </c>
      <c r="I74" s="365"/>
      <c r="J74" s="362">
        <v>0.6</v>
      </c>
      <c r="K74" s="365"/>
      <c r="L74" s="362">
        <v>0.8</v>
      </c>
      <c r="M74" s="365"/>
      <c r="N74" s="362">
        <v>0.5</v>
      </c>
      <c r="O74" s="365"/>
      <c r="P74" s="370"/>
      <c r="Q74" s="360">
        <v>1</v>
      </c>
      <c r="R74" s="351" t="e">
        <f t="shared" si="21"/>
        <v>#N/A</v>
      </c>
      <c r="S74" s="351" t="e">
        <f t="shared" si="22"/>
        <v>#N/A</v>
      </c>
      <c r="T74" s="351"/>
      <c r="U74" s="361" t="s">
        <v>3423</v>
      </c>
      <c r="V74" s="362">
        <v>0.9</v>
      </c>
      <c r="W74" s="368" t="s">
        <v>3424</v>
      </c>
      <c r="X74" s="362">
        <v>0.6</v>
      </c>
      <c r="Y74" s="365"/>
      <c r="Z74" s="362">
        <v>0.6</v>
      </c>
      <c r="AA74" s="365"/>
      <c r="AB74" s="362">
        <v>0.8</v>
      </c>
      <c r="AC74" s="365"/>
      <c r="AD74" s="362">
        <v>0.5</v>
      </c>
      <c r="AE74" s="365"/>
      <c r="AF74" s="370"/>
      <c r="AG74" s="360">
        <v>1</v>
      </c>
      <c r="AH74" s="351" t="e">
        <f t="shared" si="23"/>
        <v>#N/A</v>
      </c>
      <c r="AI74" s="351" t="e">
        <f t="shared" si="24"/>
        <v>#N/A</v>
      </c>
      <c r="AJ74" s="351"/>
      <c r="AK74" s="361" t="s">
        <v>3423</v>
      </c>
      <c r="AL74" s="362">
        <v>0.9</v>
      </c>
      <c r="AM74" s="368" t="s">
        <v>3424</v>
      </c>
      <c r="AN74" s="362">
        <v>0.6</v>
      </c>
      <c r="AO74" s="365"/>
      <c r="AP74" s="362">
        <v>0.6</v>
      </c>
      <c r="AQ74" s="365"/>
      <c r="AR74" s="362">
        <v>0.8</v>
      </c>
      <c r="AS74" s="365"/>
      <c r="AT74" s="362">
        <v>0.5</v>
      </c>
      <c r="AU74" s="365"/>
      <c r="AV74" s="370"/>
      <c r="AW74" s="360">
        <v>1</v>
      </c>
      <c r="AX74" s="351" t="e">
        <f t="shared" si="25"/>
        <v>#N/A</v>
      </c>
      <c r="AY74" s="351" t="e">
        <f t="shared" si="26"/>
        <v>#N/A</v>
      </c>
      <c r="AZ74" s="351"/>
      <c r="BA74" s="361" t="s">
        <v>3423</v>
      </c>
      <c r="BB74" s="362">
        <v>0.9</v>
      </c>
      <c r="BC74" s="368" t="s">
        <v>3424</v>
      </c>
      <c r="BD74" s="362">
        <v>0.6</v>
      </c>
      <c r="BE74" s="365"/>
      <c r="BF74" s="362">
        <v>0.6</v>
      </c>
      <c r="BG74" s="365"/>
      <c r="BH74" s="362">
        <v>0.8</v>
      </c>
      <c r="BI74" s="365"/>
      <c r="BJ74" s="362">
        <v>0.5</v>
      </c>
      <c r="BK74" s="365"/>
      <c r="BL74" s="370"/>
      <c r="BM74" s="360">
        <v>1</v>
      </c>
      <c r="BN74" s="351" t="e">
        <f t="shared" si="27"/>
        <v>#N/A</v>
      </c>
      <c r="BO74" s="351" t="e">
        <f t="shared" si="28"/>
        <v>#N/A</v>
      </c>
      <c r="BP74" s="351"/>
      <c r="BQ74" s="361" t="s">
        <v>3423</v>
      </c>
      <c r="BR74" s="362">
        <v>0.9</v>
      </c>
      <c r="BS74" s="368" t="s">
        <v>3424</v>
      </c>
      <c r="BT74" s="362">
        <v>0.6</v>
      </c>
      <c r="BU74" s="365"/>
      <c r="BV74" s="362">
        <v>0.6</v>
      </c>
      <c r="BW74" s="365"/>
      <c r="BX74" s="362">
        <v>0.8</v>
      </c>
      <c r="BY74" s="365"/>
      <c r="BZ74" s="362">
        <v>0.5</v>
      </c>
      <c r="CA74" s="365"/>
      <c r="CB74" s="370"/>
      <c r="CC74" s="360">
        <v>1</v>
      </c>
      <c r="CD74" s="351" t="e">
        <f t="shared" si="29"/>
        <v>#N/A</v>
      </c>
      <c r="CE74" s="351" t="e">
        <f t="shared" si="30"/>
        <v>#N/A</v>
      </c>
      <c r="CF74" s="351"/>
      <c r="CG74" s="361" t="s">
        <v>3423</v>
      </c>
      <c r="CH74" s="362">
        <v>0.9</v>
      </c>
      <c r="CI74" s="368" t="s">
        <v>3424</v>
      </c>
      <c r="CJ74" s="362">
        <v>0.6</v>
      </c>
      <c r="CK74" s="365"/>
      <c r="CL74" s="362">
        <v>0.6</v>
      </c>
      <c r="CM74" s="365"/>
      <c r="CN74" s="362">
        <v>0.9</v>
      </c>
      <c r="CO74" s="365"/>
      <c r="CP74" s="362">
        <v>0.5</v>
      </c>
      <c r="CQ74" s="365"/>
      <c r="CR74" s="370"/>
      <c r="CS74" s="360">
        <v>1</v>
      </c>
      <c r="CT74" s="351" t="e">
        <f t="shared" si="31"/>
        <v>#N/A</v>
      </c>
      <c r="CU74" s="351" t="e">
        <f t="shared" si="32"/>
        <v>#N/A</v>
      </c>
      <c r="CV74" s="351"/>
      <c r="CW74" s="361" t="s">
        <v>3423</v>
      </c>
      <c r="CX74" s="362">
        <v>0.9</v>
      </c>
      <c r="CY74" s="368" t="s">
        <v>3424</v>
      </c>
      <c r="CZ74" s="362">
        <v>0.6</v>
      </c>
      <c r="DA74" s="365"/>
      <c r="DB74" s="362">
        <v>0.6</v>
      </c>
      <c r="DC74" s="365"/>
      <c r="DD74" s="362">
        <v>0.8</v>
      </c>
      <c r="DE74" s="365"/>
      <c r="DF74" s="362">
        <v>0.5</v>
      </c>
      <c r="DG74" s="365"/>
      <c r="DH74" s="370"/>
      <c r="DI74" s="360">
        <v>1</v>
      </c>
      <c r="DJ74" s="351" t="e">
        <f t="shared" si="33"/>
        <v>#N/A</v>
      </c>
      <c r="DK74" s="351" t="e">
        <f t="shared" si="34"/>
        <v>#N/A</v>
      </c>
      <c r="DL74" s="351"/>
      <c r="DM74" s="361" t="s">
        <v>3423</v>
      </c>
      <c r="DN74" s="362">
        <v>0.9</v>
      </c>
      <c r="DO74" s="368" t="s">
        <v>3424</v>
      </c>
      <c r="DP74" s="362">
        <v>0.6</v>
      </c>
      <c r="DQ74" s="365"/>
      <c r="DR74" s="362">
        <v>0.6</v>
      </c>
      <c r="DS74" s="365"/>
      <c r="DT74" s="362">
        <v>0.8</v>
      </c>
      <c r="DU74" s="365"/>
      <c r="DV74" s="362">
        <v>0.5</v>
      </c>
      <c r="DW74" s="365"/>
      <c r="DX74" s="370"/>
      <c r="DY74" s="360">
        <v>1</v>
      </c>
      <c r="DZ74" s="351" t="e">
        <f t="shared" si="35"/>
        <v>#N/A</v>
      </c>
      <c r="EA74" s="351" t="e">
        <f t="shared" si="36"/>
        <v>#N/A</v>
      </c>
      <c r="EB74" s="351"/>
      <c r="EC74" s="157">
        <f t="shared" si="17"/>
        <v>0.5</v>
      </c>
      <c r="ED74" s="157">
        <f t="shared" si="18"/>
        <v>0.9</v>
      </c>
      <c r="EE74" s="157">
        <f t="shared" si="19"/>
        <v>0.68250000000000011</v>
      </c>
      <c r="EF74" s="157">
        <f t="shared" si="20"/>
        <v>0.6</v>
      </c>
    </row>
    <row r="75" spans="1:136" ht="14.25" customHeight="1">
      <c r="A75" s="291" t="b">
        <f t="shared" si="37"/>
        <v>1</v>
      </c>
      <c r="B75" s="292"/>
      <c r="C75" s="355" t="s">
        <v>3425</v>
      </c>
      <c r="D75" s="345"/>
      <c r="E75" s="361" t="s">
        <v>3426</v>
      </c>
      <c r="F75" s="362">
        <v>0.5</v>
      </c>
      <c r="G75" s="365"/>
      <c r="H75" s="362">
        <v>0.5</v>
      </c>
      <c r="I75" s="365"/>
      <c r="J75" s="362">
        <v>0.5</v>
      </c>
      <c r="K75" s="365"/>
      <c r="L75" s="362">
        <v>0.5</v>
      </c>
      <c r="M75" s="365"/>
      <c r="N75" s="362">
        <v>0.5</v>
      </c>
      <c r="O75" s="365"/>
      <c r="P75" s="370"/>
      <c r="Q75" s="360">
        <v>1</v>
      </c>
      <c r="R75" s="351" t="e">
        <f t="shared" si="21"/>
        <v>#N/A</v>
      </c>
      <c r="S75" s="351" t="e">
        <f t="shared" si="22"/>
        <v>#N/A</v>
      </c>
      <c r="T75" s="351"/>
      <c r="U75" s="361" t="s">
        <v>3426</v>
      </c>
      <c r="V75" s="362">
        <v>0.5</v>
      </c>
      <c r="W75" s="365"/>
      <c r="X75" s="362">
        <v>0.5</v>
      </c>
      <c r="Y75" s="365"/>
      <c r="Z75" s="362">
        <v>0.5</v>
      </c>
      <c r="AA75" s="365"/>
      <c r="AB75" s="362">
        <v>0.5</v>
      </c>
      <c r="AC75" s="365"/>
      <c r="AD75" s="362">
        <v>0.5</v>
      </c>
      <c r="AE75" s="365"/>
      <c r="AF75" s="370"/>
      <c r="AG75" s="360">
        <v>1</v>
      </c>
      <c r="AH75" s="351" t="e">
        <f t="shared" si="23"/>
        <v>#N/A</v>
      </c>
      <c r="AI75" s="351" t="e">
        <f t="shared" si="24"/>
        <v>#N/A</v>
      </c>
      <c r="AJ75" s="351"/>
      <c r="AK75" s="361" t="s">
        <v>3426</v>
      </c>
      <c r="AL75" s="362">
        <v>0.5</v>
      </c>
      <c r="AM75" s="365"/>
      <c r="AN75" s="362">
        <v>0.5</v>
      </c>
      <c r="AO75" s="365"/>
      <c r="AP75" s="362">
        <v>0.5</v>
      </c>
      <c r="AQ75" s="365"/>
      <c r="AR75" s="362">
        <v>0.5</v>
      </c>
      <c r="AS75" s="365"/>
      <c r="AT75" s="362">
        <v>0.5</v>
      </c>
      <c r="AU75" s="365"/>
      <c r="AV75" s="370"/>
      <c r="AW75" s="360">
        <v>1</v>
      </c>
      <c r="AX75" s="351" t="e">
        <f t="shared" si="25"/>
        <v>#N/A</v>
      </c>
      <c r="AY75" s="351" t="e">
        <f t="shared" si="26"/>
        <v>#N/A</v>
      </c>
      <c r="AZ75" s="351"/>
      <c r="BA75" s="361" t="s">
        <v>3426</v>
      </c>
      <c r="BB75" s="362">
        <v>0.5</v>
      </c>
      <c r="BC75" s="365"/>
      <c r="BD75" s="362">
        <v>0.5</v>
      </c>
      <c r="BE75" s="365"/>
      <c r="BF75" s="362">
        <v>0.5</v>
      </c>
      <c r="BG75" s="365"/>
      <c r="BH75" s="362">
        <v>0.5</v>
      </c>
      <c r="BI75" s="365"/>
      <c r="BJ75" s="362">
        <v>0.5</v>
      </c>
      <c r="BK75" s="365"/>
      <c r="BL75" s="370"/>
      <c r="BM75" s="360">
        <v>1</v>
      </c>
      <c r="BN75" s="351" t="e">
        <f t="shared" si="27"/>
        <v>#N/A</v>
      </c>
      <c r="BO75" s="351" t="e">
        <f t="shared" si="28"/>
        <v>#N/A</v>
      </c>
      <c r="BP75" s="351"/>
      <c r="BQ75" s="361" t="s">
        <v>3426</v>
      </c>
      <c r="BR75" s="362">
        <v>0.5</v>
      </c>
      <c r="BS75" s="365"/>
      <c r="BT75" s="362">
        <v>0.5</v>
      </c>
      <c r="BU75" s="365"/>
      <c r="BV75" s="362">
        <v>0.5</v>
      </c>
      <c r="BW75" s="365"/>
      <c r="BX75" s="362">
        <v>0.5</v>
      </c>
      <c r="BY75" s="365"/>
      <c r="BZ75" s="362">
        <v>0.5</v>
      </c>
      <c r="CA75" s="365"/>
      <c r="CB75" s="370"/>
      <c r="CC75" s="360">
        <v>1</v>
      </c>
      <c r="CD75" s="351" t="e">
        <f t="shared" si="29"/>
        <v>#N/A</v>
      </c>
      <c r="CE75" s="351" t="e">
        <f t="shared" si="30"/>
        <v>#N/A</v>
      </c>
      <c r="CF75" s="351"/>
      <c r="CG75" s="361" t="s">
        <v>3426</v>
      </c>
      <c r="CH75" s="362">
        <v>0.5</v>
      </c>
      <c r="CI75" s="365"/>
      <c r="CJ75" s="362">
        <v>0.5</v>
      </c>
      <c r="CK75" s="365"/>
      <c r="CL75" s="362">
        <v>0.5</v>
      </c>
      <c r="CM75" s="365"/>
      <c r="CN75" s="362">
        <v>0.5</v>
      </c>
      <c r="CO75" s="365"/>
      <c r="CP75" s="362">
        <v>0.5</v>
      </c>
      <c r="CQ75" s="365"/>
      <c r="CR75" s="370"/>
      <c r="CS75" s="360">
        <v>1</v>
      </c>
      <c r="CT75" s="351" t="e">
        <f t="shared" si="31"/>
        <v>#N/A</v>
      </c>
      <c r="CU75" s="351" t="e">
        <f t="shared" si="32"/>
        <v>#N/A</v>
      </c>
      <c r="CV75" s="351"/>
      <c r="CW75" s="361" t="s">
        <v>3426</v>
      </c>
      <c r="CX75" s="362">
        <v>0.5</v>
      </c>
      <c r="CY75" s="365"/>
      <c r="CZ75" s="362">
        <v>0.5</v>
      </c>
      <c r="DA75" s="365"/>
      <c r="DB75" s="362">
        <v>0.5</v>
      </c>
      <c r="DC75" s="365"/>
      <c r="DD75" s="362">
        <v>0.5</v>
      </c>
      <c r="DE75" s="365"/>
      <c r="DF75" s="362">
        <v>0.5</v>
      </c>
      <c r="DG75" s="365"/>
      <c r="DH75" s="370"/>
      <c r="DI75" s="360">
        <v>1</v>
      </c>
      <c r="DJ75" s="351" t="e">
        <f t="shared" si="33"/>
        <v>#N/A</v>
      </c>
      <c r="DK75" s="351" t="e">
        <f t="shared" si="34"/>
        <v>#N/A</v>
      </c>
      <c r="DL75" s="351"/>
      <c r="DM75" s="361" t="s">
        <v>3426</v>
      </c>
      <c r="DN75" s="362">
        <v>0.5</v>
      </c>
      <c r="DO75" s="365"/>
      <c r="DP75" s="362">
        <v>0.5</v>
      </c>
      <c r="DQ75" s="365"/>
      <c r="DR75" s="362">
        <v>0.5</v>
      </c>
      <c r="DS75" s="365"/>
      <c r="DT75" s="362">
        <v>0.5</v>
      </c>
      <c r="DU75" s="365"/>
      <c r="DV75" s="362">
        <v>0.5</v>
      </c>
      <c r="DW75" s="365"/>
      <c r="DX75" s="370"/>
      <c r="DY75" s="360">
        <v>1</v>
      </c>
      <c r="DZ75" s="351" t="e">
        <f t="shared" si="35"/>
        <v>#N/A</v>
      </c>
      <c r="EA75" s="351" t="e">
        <f t="shared" si="36"/>
        <v>#N/A</v>
      </c>
      <c r="EB75" s="351"/>
      <c r="EC75" s="157">
        <f t="shared" si="17"/>
        <v>0.5</v>
      </c>
      <c r="ED75" s="157">
        <f t="shared" si="18"/>
        <v>0.5</v>
      </c>
      <c r="EE75" s="157">
        <f t="shared" si="19"/>
        <v>0.5</v>
      </c>
      <c r="EF75" s="157">
        <f t="shared" si="20"/>
        <v>0.5</v>
      </c>
    </row>
    <row r="76" spans="1:136" ht="14.25" customHeight="1">
      <c r="A76" s="291" t="b">
        <f t="shared" si="37"/>
        <v>0</v>
      </c>
      <c r="B76" s="292"/>
      <c r="C76" s="355" t="s">
        <v>3427</v>
      </c>
      <c r="D76" s="345"/>
      <c r="E76" s="361" t="s">
        <v>3428</v>
      </c>
      <c r="F76" s="362">
        <v>0.5</v>
      </c>
      <c r="G76" s="365"/>
      <c r="H76" s="362">
        <v>0.5</v>
      </c>
      <c r="I76" s="365"/>
      <c r="J76" s="362">
        <v>0.5</v>
      </c>
      <c r="K76" s="365"/>
      <c r="L76" s="362">
        <v>0.5</v>
      </c>
      <c r="M76" s="365"/>
      <c r="N76" s="362">
        <v>0.5</v>
      </c>
      <c r="O76" s="365"/>
      <c r="P76" s="370"/>
      <c r="Q76" s="360">
        <v>1</v>
      </c>
      <c r="R76" s="351" t="e">
        <f t="shared" si="21"/>
        <v>#N/A</v>
      </c>
      <c r="S76" s="351" t="e">
        <f t="shared" si="22"/>
        <v>#N/A</v>
      </c>
      <c r="T76" s="351"/>
      <c r="U76" s="361" t="s">
        <v>3428</v>
      </c>
      <c r="V76" s="362">
        <v>0.5</v>
      </c>
      <c r="W76" s="365"/>
      <c r="X76" s="362">
        <v>0.5</v>
      </c>
      <c r="Y76" s="365"/>
      <c r="Z76" s="362">
        <v>0.5</v>
      </c>
      <c r="AA76" s="365"/>
      <c r="AB76" s="362">
        <v>0.5</v>
      </c>
      <c r="AC76" s="365"/>
      <c r="AD76" s="362">
        <v>0.8</v>
      </c>
      <c r="AE76" s="365"/>
      <c r="AF76" s="370"/>
      <c r="AG76" s="360">
        <v>1</v>
      </c>
      <c r="AH76" s="351" t="e">
        <f t="shared" si="23"/>
        <v>#N/A</v>
      </c>
      <c r="AI76" s="351" t="e">
        <f t="shared" si="24"/>
        <v>#N/A</v>
      </c>
      <c r="AJ76" s="351"/>
      <c r="AK76" s="361" t="s">
        <v>3428</v>
      </c>
      <c r="AL76" s="362">
        <v>0.5</v>
      </c>
      <c r="AM76" s="365"/>
      <c r="AN76" s="362">
        <v>0.5</v>
      </c>
      <c r="AO76" s="365"/>
      <c r="AP76" s="362">
        <v>0.5</v>
      </c>
      <c r="AQ76" s="365"/>
      <c r="AR76" s="362">
        <v>0.5</v>
      </c>
      <c r="AS76" s="365"/>
      <c r="AT76" s="362">
        <v>0.8</v>
      </c>
      <c r="AU76" s="365"/>
      <c r="AV76" s="370"/>
      <c r="AW76" s="360">
        <v>1</v>
      </c>
      <c r="AX76" s="351" t="e">
        <f t="shared" si="25"/>
        <v>#N/A</v>
      </c>
      <c r="AY76" s="351" t="e">
        <f t="shared" si="26"/>
        <v>#N/A</v>
      </c>
      <c r="AZ76" s="351"/>
      <c r="BA76" s="361" t="s">
        <v>3428</v>
      </c>
      <c r="BB76" s="362">
        <v>0.5</v>
      </c>
      <c r="BC76" s="365"/>
      <c r="BD76" s="362">
        <v>0.5</v>
      </c>
      <c r="BE76" s="365"/>
      <c r="BF76" s="362">
        <v>0.5</v>
      </c>
      <c r="BG76" s="365"/>
      <c r="BH76" s="362">
        <v>0.5</v>
      </c>
      <c r="BI76" s="365"/>
      <c r="BJ76" s="362">
        <v>0.8</v>
      </c>
      <c r="BK76" s="365"/>
      <c r="BL76" s="370"/>
      <c r="BM76" s="360">
        <v>1</v>
      </c>
      <c r="BN76" s="351" t="e">
        <f t="shared" si="27"/>
        <v>#N/A</v>
      </c>
      <c r="BO76" s="351" t="e">
        <f t="shared" si="28"/>
        <v>#N/A</v>
      </c>
      <c r="BP76" s="351"/>
      <c r="BQ76" s="361" t="s">
        <v>3428</v>
      </c>
      <c r="BR76" s="362">
        <v>0.5</v>
      </c>
      <c r="BS76" s="365"/>
      <c r="BT76" s="362">
        <v>0.5</v>
      </c>
      <c r="BU76" s="365"/>
      <c r="BV76" s="362">
        <v>0.5</v>
      </c>
      <c r="BW76" s="365"/>
      <c r="BX76" s="362">
        <v>0.5</v>
      </c>
      <c r="BY76" s="365"/>
      <c r="BZ76" s="362">
        <v>0.8</v>
      </c>
      <c r="CA76" s="365"/>
      <c r="CB76" s="370"/>
      <c r="CC76" s="360">
        <v>1</v>
      </c>
      <c r="CD76" s="351" t="e">
        <f t="shared" si="29"/>
        <v>#N/A</v>
      </c>
      <c r="CE76" s="351" t="e">
        <f t="shared" si="30"/>
        <v>#N/A</v>
      </c>
      <c r="CF76" s="351"/>
      <c r="CG76" s="361" t="s">
        <v>3428</v>
      </c>
      <c r="CH76" s="362">
        <v>0.5</v>
      </c>
      <c r="CI76" s="365"/>
      <c r="CJ76" s="362">
        <v>0.5</v>
      </c>
      <c r="CK76" s="365"/>
      <c r="CL76" s="362">
        <v>0.5</v>
      </c>
      <c r="CM76" s="365"/>
      <c r="CN76" s="362">
        <v>0.5</v>
      </c>
      <c r="CO76" s="365"/>
      <c r="CP76" s="362">
        <v>0.8</v>
      </c>
      <c r="CQ76" s="365"/>
      <c r="CR76" s="370"/>
      <c r="CS76" s="360">
        <v>1</v>
      </c>
      <c r="CT76" s="351" t="e">
        <f t="shared" si="31"/>
        <v>#N/A</v>
      </c>
      <c r="CU76" s="351" t="e">
        <f t="shared" si="32"/>
        <v>#N/A</v>
      </c>
      <c r="CV76" s="351"/>
      <c r="CW76" s="361" t="s">
        <v>3428</v>
      </c>
      <c r="CX76" s="362">
        <v>0.5</v>
      </c>
      <c r="CY76" s="365"/>
      <c r="CZ76" s="362">
        <v>0.5</v>
      </c>
      <c r="DA76" s="365"/>
      <c r="DB76" s="362">
        <v>0.5</v>
      </c>
      <c r="DC76" s="365"/>
      <c r="DD76" s="362">
        <v>0.5</v>
      </c>
      <c r="DE76" s="365"/>
      <c r="DF76" s="362">
        <v>0.8</v>
      </c>
      <c r="DG76" s="365"/>
      <c r="DH76" s="370"/>
      <c r="DI76" s="360">
        <v>1</v>
      </c>
      <c r="DJ76" s="351" t="e">
        <f t="shared" si="33"/>
        <v>#N/A</v>
      </c>
      <c r="DK76" s="351" t="e">
        <f t="shared" si="34"/>
        <v>#N/A</v>
      </c>
      <c r="DL76" s="351"/>
      <c r="DM76" s="361" t="s">
        <v>3428</v>
      </c>
      <c r="DN76" s="362">
        <v>0.5</v>
      </c>
      <c r="DO76" s="365"/>
      <c r="DP76" s="362">
        <v>0.5</v>
      </c>
      <c r="DQ76" s="365"/>
      <c r="DR76" s="362">
        <v>0.5</v>
      </c>
      <c r="DS76" s="365"/>
      <c r="DT76" s="362">
        <v>0.5</v>
      </c>
      <c r="DU76" s="365"/>
      <c r="DV76" s="362">
        <v>0.8</v>
      </c>
      <c r="DW76" s="365"/>
      <c r="DX76" s="370"/>
      <c r="DY76" s="360">
        <v>1</v>
      </c>
      <c r="DZ76" s="351" t="e">
        <f t="shared" si="35"/>
        <v>#N/A</v>
      </c>
      <c r="EA76" s="351" t="e">
        <f t="shared" si="36"/>
        <v>#N/A</v>
      </c>
      <c r="EB76" s="351"/>
      <c r="EC76" s="157">
        <f t="shared" si="17"/>
        <v>0.5</v>
      </c>
      <c r="ED76" s="157">
        <f t="shared" si="18"/>
        <v>0.8</v>
      </c>
      <c r="EE76" s="157">
        <f t="shared" si="19"/>
        <v>0.55249999999999999</v>
      </c>
      <c r="EF76" s="157">
        <f t="shared" si="20"/>
        <v>0.5</v>
      </c>
    </row>
    <row r="77" spans="1:136" ht="14.25" customHeight="1">
      <c r="A77" s="291" t="b">
        <f t="shared" si="37"/>
        <v>1</v>
      </c>
      <c r="B77" s="292"/>
      <c r="C77" s="355" t="s">
        <v>3429</v>
      </c>
      <c r="D77" s="345"/>
      <c r="E77" s="361" t="s">
        <v>3430</v>
      </c>
      <c r="F77" s="362">
        <v>0.9</v>
      </c>
      <c r="G77" s="365"/>
      <c r="H77" s="362">
        <v>0.9</v>
      </c>
      <c r="I77" s="365"/>
      <c r="J77" s="362">
        <v>0.9</v>
      </c>
      <c r="K77" s="365"/>
      <c r="L77" s="362">
        <v>0.9</v>
      </c>
      <c r="M77" s="365"/>
      <c r="N77" s="362">
        <v>0.9</v>
      </c>
      <c r="O77" s="365"/>
      <c r="P77" s="370"/>
      <c r="Q77" s="360">
        <v>1</v>
      </c>
      <c r="R77" s="351" t="e">
        <f t="shared" si="21"/>
        <v>#N/A</v>
      </c>
      <c r="S77" s="351" t="e">
        <f t="shared" si="22"/>
        <v>#N/A</v>
      </c>
      <c r="T77" s="351"/>
      <c r="U77" s="371" t="s">
        <v>3431</v>
      </c>
      <c r="V77" s="362">
        <v>0.9</v>
      </c>
      <c r="W77" s="365"/>
      <c r="X77" s="362">
        <v>0.9</v>
      </c>
      <c r="Y77" s="365"/>
      <c r="Z77" s="362">
        <v>0.9</v>
      </c>
      <c r="AA77" s="365"/>
      <c r="AB77" s="362">
        <v>0.9</v>
      </c>
      <c r="AC77" s="365"/>
      <c r="AD77" s="362">
        <v>0.9</v>
      </c>
      <c r="AE77" s="365"/>
      <c r="AF77" s="370"/>
      <c r="AG77" s="360">
        <v>1</v>
      </c>
      <c r="AH77" s="351" t="e">
        <f t="shared" si="23"/>
        <v>#N/A</v>
      </c>
      <c r="AI77" s="351" t="e">
        <f t="shared" si="24"/>
        <v>#N/A</v>
      </c>
      <c r="AJ77" s="351"/>
      <c r="AK77" s="371" t="s">
        <v>3432</v>
      </c>
      <c r="AL77" s="362">
        <v>0.9</v>
      </c>
      <c r="AM77" s="365"/>
      <c r="AN77" s="362">
        <v>0.9</v>
      </c>
      <c r="AO77" s="365"/>
      <c r="AP77" s="362">
        <v>0.9</v>
      </c>
      <c r="AQ77" s="365"/>
      <c r="AR77" s="362">
        <v>0.9</v>
      </c>
      <c r="AS77" s="365"/>
      <c r="AT77" s="362">
        <v>0.9</v>
      </c>
      <c r="AU77" s="365"/>
      <c r="AV77" s="370"/>
      <c r="AW77" s="360">
        <v>1</v>
      </c>
      <c r="AX77" s="351" t="e">
        <f t="shared" si="25"/>
        <v>#N/A</v>
      </c>
      <c r="AY77" s="351" t="e">
        <f t="shared" si="26"/>
        <v>#N/A</v>
      </c>
      <c r="AZ77" s="351"/>
      <c r="BA77" s="371" t="s">
        <v>3433</v>
      </c>
      <c r="BB77" s="362">
        <v>0.9</v>
      </c>
      <c r="BC77" s="365"/>
      <c r="BD77" s="362">
        <v>0.9</v>
      </c>
      <c r="BE77" s="365"/>
      <c r="BF77" s="362">
        <v>0.9</v>
      </c>
      <c r="BG77" s="365"/>
      <c r="BH77" s="362">
        <v>0.9</v>
      </c>
      <c r="BI77" s="365"/>
      <c r="BJ77" s="362">
        <v>0.9</v>
      </c>
      <c r="BK77" s="365"/>
      <c r="BL77" s="370"/>
      <c r="BM77" s="360">
        <v>1</v>
      </c>
      <c r="BN77" s="351" t="e">
        <f t="shared" si="27"/>
        <v>#N/A</v>
      </c>
      <c r="BO77" s="351" t="e">
        <f t="shared" si="28"/>
        <v>#N/A</v>
      </c>
      <c r="BP77" s="351"/>
      <c r="BQ77" s="371" t="s">
        <v>3434</v>
      </c>
      <c r="BR77" s="362">
        <v>0.9</v>
      </c>
      <c r="BS77" s="365"/>
      <c r="BT77" s="362">
        <v>0.9</v>
      </c>
      <c r="BU77" s="365"/>
      <c r="BV77" s="362">
        <v>0.9</v>
      </c>
      <c r="BW77" s="365"/>
      <c r="BX77" s="362">
        <v>0.9</v>
      </c>
      <c r="BY77" s="365"/>
      <c r="BZ77" s="362">
        <v>0.9</v>
      </c>
      <c r="CA77" s="365"/>
      <c r="CB77" s="370"/>
      <c r="CC77" s="360">
        <v>1</v>
      </c>
      <c r="CD77" s="351" t="e">
        <f t="shared" si="29"/>
        <v>#N/A</v>
      </c>
      <c r="CE77" s="351" t="e">
        <f t="shared" si="30"/>
        <v>#N/A</v>
      </c>
      <c r="CF77" s="351"/>
      <c r="CG77" s="371" t="s">
        <v>3435</v>
      </c>
      <c r="CH77" s="362">
        <v>0.9</v>
      </c>
      <c r="CI77" s="365"/>
      <c r="CJ77" s="362">
        <v>0.9</v>
      </c>
      <c r="CK77" s="365"/>
      <c r="CL77" s="362">
        <v>0.9</v>
      </c>
      <c r="CM77" s="365"/>
      <c r="CN77" s="362">
        <v>0.9</v>
      </c>
      <c r="CO77" s="365"/>
      <c r="CP77" s="362">
        <v>0.9</v>
      </c>
      <c r="CQ77" s="365"/>
      <c r="CR77" s="370"/>
      <c r="CS77" s="360">
        <v>1</v>
      </c>
      <c r="CT77" s="351" t="e">
        <f t="shared" si="31"/>
        <v>#N/A</v>
      </c>
      <c r="CU77" s="351" t="e">
        <f t="shared" si="32"/>
        <v>#N/A</v>
      </c>
      <c r="CV77" s="351"/>
      <c r="CW77" s="371" t="s">
        <v>3436</v>
      </c>
      <c r="CX77" s="362">
        <v>0.9</v>
      </c>
      <c r="CY77" s="365"/>
      <c r="CZ77" s="362">
        <v>0.9</v>
      </c>
      <c r="DA77" s="365"/>
      <c r="DB77" s="362">
        <v>0.9</v>
      </c>
      <c r="DC77" s="365"/>
      <c r="DD77" s="362">
        <v>0.9</v>
      </c>
      <c r="DE77" s="365"/>
      <c r="DF77" s="362">
        <v>0.9</v>
      </c>
      <c r="DG77" s="365"/>
      <c r="DH77" s="370"/>
      <c r="DI77" s="360">
        <v>1</v>
      </c>
      <c r="DJ77" s="351" t="e">
        <f t="shared" si="33"/>
        <v>#N/A</v>
      </c>
      <c r="DK77" s="351" t="e">
        <f t="shared" si="34"/>
        <v>#N/A</v>
      </c>
      <c r="DL77" s="351"/>
      <c r="DM77" s="371" t="s">
        <v>3437</v>
      </c>
      <c r="DN77" s="362">
        <v>0.9</v>
      </c>
      <c r="DO77" s="365"/>
      <c r="DP77" s="362">
        <v>0.9</v>
      </c>
      <c r="DQ77" s="365"/>
      <c r="DR77" s="362">
        <v>0.9</v>
      </c>
      <c r="DS77" s="365"/>
      <c r="DT77" s="362">
        <v>0.9</v>
      </c>
      <c r="DU77" s="365"/>
      <c r="DV77" s="362">
        <v>0.9</v>
      </c>
      <c r="DW77" s="365"/>
      <c r="DX77" s="370"/>
      <c r="DY77" s="360">
        <v>1</v>
      </c>
      <c r="DZ77" s="351" t="e">
        <f t="shared" si="35"/>
        <v>#N/A</v>
      </c>
      <c r="EA77" s="351" t="e">
        <f t="shared" si="36"/>
        <v>#N/A</v>
      </c>
      <c r="EB77" s="351"/>
      <c r="EC77" s="157">
        <f t="shared" si="17"/>
        <v>0.9</v>
      </c>
      <c r="ED77" s="157">
        <f t="shared" si="18"/>
        <v>0.9</v>
      </c>
      <c r="EE77" s="157">
        <f t="shared" si="19"/>
        <v>0.89999999999999925</v>
      </c>
      <c r="EF77" s="157">
        <f t="shared" si="20"/>
        <v>0.9</v>
      </c>
    </row>
    <row r="78" spans="1:136" ht="14.25" customHeight="1">
      <c r="A78" s="291" t="b">
        <f t="shared" si="37"/>
        <v>0</v>
      </c>
      <c r="B78" s="292"/>
      <c r="C78" s="355" t="s">
        <v>3438</v>
      </c>
      <c r="D78" s="345"/>
      <c r="E78" s="361" t="s">
        <v>3232</v>
      </c>
      <c r="F78" s="362">
        <v>0</v>
      </c>
      <c r="G78" s="365"/>
      <c r="H78" s="362">
        <v>0</v>
      </c>
      <c r="I78" s="365"/>
      <c r="J78" s="362">
        <v>0</v>
      </c>
      <c r="K78" s="365"/>
      <c r="L78" s="362">
        <v>0</v>
      </c>
      <c r="M78" s="365"/>
      <c r="N78" s="362">
        <v>0</v>
      </c>
      <c r="O78" s="365"/>
      <c r="P78" s="370"/>
      <c r="Q78" s="373">
        <v>1</v>
      </c>
      <c r="R78" s="351" t="e">
        <f t="shared" si="21"/>
        <v>#N/A</v>
      </c>
      <c r="S78" s="351" t="e">
        <f t="shared" si="22"/>
        <v>#N/A</v>
      </c>
      <c r="T78" s="351"/>
      <c r="U78" s="356" t="s">
        <v>3234</v>
      </c>
      <c r="V78" s="357">
        <v>0</v>
      </c>
      <c r="W78" s="374"/>
      <c r="X78" s="375">
        <v>0</v>
      </c>
      <c r="Y78" s="374"/>
      <c r="Z78" s="375">
        <v>0</v>
      </c>
      <c r="AA78" s="374"/>
      <c r="AB78" s="375">
        <v>0</v>
      </c>
      <c r="AC78" s="374"/>
      <c r="AD78" s="375">
        <v>0</v>
      </c>
      <c r="AE78" s="374"/>
      <c r="AF78" s="374"/>
      <c r="AG78" s="373">
        <v>1</v>
      </c>
      <c r="AH78" s="351" t="e">
        <f t="shared" si="23"/>
        <v>#N/A</v>
      </c>
      <c r="AI78" s="351" t="e">
        <f t="shared" si="24"/>
        <v>#N/A</v>
      </c>
      <c r="AJ78" s="351"/>
      <c r="AK78" s="356" t="s">
        <v>3234</v>
      </c>
      <c r="AL78" s="357">
        <v>0</v>
      </c>
      <c r="AM78" s="358"/>
      <c r="AN78" s="357">
        <v>0</v>
      </c>
      <c r="AO78" s="358"/>
      <c r="AP78" s="357">
        <v>0</v>
      </c>
      <c r="AQ78" s="358"/>
      <c r="AR78" s="357">
        <v>0</v>
      </c>
      <c r="AS78" s="358"/>
      <c r="AT78" s="357">
        <v>0</v>
      </c>
      <c r="AU78" s="358"/>
      <c r="AV78" s="358"/>
      <c r="AW78" s="373">
        <v>1</v>
      </c>
      <c r="AX78" s="351" t="e">
        <f t="shared" si="25"/>
        <v>#N/A</v>
      </c>
      <c r="AY78" s="351" t="e">
        <f t="shared" si="26"/>
        <v>#N/A</v>
      </c>
      <c r="AZ78" s="351"/>
      <c r="BA78" s="356" t="s">
        <v>3234</v>
      </c>
      <c r="BB78" s="381">
        <v>0</v>
      </c>
      <c r="BC78" s="358"/>
      <c r="BD78" s="381">
        <v>0</v>
      </c>
      <c r="BE78" s="358"/>
      <c r="BF78" s="381">
        <v>0</v>
      </c>
      <c r="BG78" s="358"/>
      <c r="BH78" s="381">
        <v>0</v>
      </c>
      <c r="BI78" s="358"/>
      <c r="BJ78" s="381">
        <v>0</v>
      </c>
      <c r="BK78" s="358"/>
      <c r="BL78" s="358"/>
      <c r="BM78" s="373">
        <v>1</v>
      </c>
      <c r="BN78" s="351" t="e">
        <f t="shared" si="27"/>
        <v>#N/A</v>
      </c>
      <c r="BO78" s="351" t="e">
        <f t="shared" si="28"/>
        <v>#N/A</v>
      </c>
      <c r="BP78" s="351"/>
      <c r="BQ78" s="356" t="s">
        <v>3234</v>
      </c>
      <c r="BR78" s="376">
        <v>0</v>
      </c>
      <c r="BS78" s="382"/>
      <c r="BT78" s="376">
        <v>0</v>
      </c>
      <c r="BU78" s="382"/>
      <c r="BV78" s="376">
        <v>0</v>
      </c>
      <c r="BW78" s="382"/>
      <c r="BX78" s="376">
        <v>0</v>
      </c>
      <c r="BY78" s="382"/>
      <c r="BZ78" s="376">
        <v>0</v>
      </c>
      <c r="CA78" s="382"/>
      <c r="CB78" s="382"/>
      <c r="CC78" s="373">
        <v>1</v>
      </c>
      <c r="CD78" s="351" t="e">
        <f t="shared" si="29"/>
        <v>#N/A</v>
      </c>
      <c r="CE78" s="351" t="e">
        <f t="shared" si="30"/>
        <v>#N/A</v>
      </c>
      <c r="CF78" s="351"/>
      <c r="CG78" s="361" t="s">
        <v>3439</v>
      </c>
      <c r="CH78" s="362">
        <v>0.9</v>
      </c>
      <c r="CI78" s="365"/>
      <c r="CJ78" s="362">
        <v>0.9</v>
      </c>
      <c r="CK78" s="365"/>
      <c r="CL78" s="362">
        <v>0.9</v>
      </c>
      <c r="CM78" s="365"/>
      <c r="CN78" s="362">
        <v>0.9</v>
      </c>
      <c r="CO78" s="365"/>
      <c r="CP78" s="362">
        <v>0.9</v>
      </c>
      <c r="CQ78" s="365"/>
      <c r="CR78" s="370"/>
      <c r="CS78" s="373">
        <v>1</v>
      </c>
      <c r="CT78" s="351" t="e">
        <f t="shared" si="31"/>
        <v>#N/A</v>
      </c>
      <c r="CU78" s="351" t="e">
        <f t="shared" si="32"/>
        <v>#N/A</v>
      </c>
      <c r="CV78" s="351"/>
      <c r="CW78" s="361" t="s">
        <v>3440</v>
      </c>
      <c r="CX78" s="362">
        <v>0.9</v>
      </c>
      <c r="CY78" s="365"/>
      <c r="CZ78" s="362">
        <v>0.9</v>
      </c>
      <c r="DA78" s="365"/>
      <c r="DB78" s="362">
        <v>0.9</v>
      </c>
      <c r="DC78" s="365"/>
      <c r="DD78" s="362">
        <v>0.9</v>
      </c>
      <c r="DE78" s="365"/>
      <c r="DF78" s="362">
        <v>0.9</v>
      </c>
      <c r="DG78" s="365"/>
      <c r="DH78" s="370"/>
      <c r="DI78" s="373">
        <v>1</v>
      </c>
      <c r="DJ78" s="351" t="e">
        <f t="shared" si="33"/>
        <v>#N/A</v>
      </c>
      <c r="DK78" s="351" t="e">
        <f t="shared" si="34"/>
        <v>#N/A</v>
      </c>
      <c r="DL78" s="351"/>
      <c r="DM78" s="356" t="s">
        <v>3234</v>
      </c>
      <c r="DN78" s="376">
        <v>0</v>
      </c>
      <c r="DO78" s="377"/>
      <c r="DP78" s="376">
        <v>0</v>
      </c>
      <c r="DQ78" s="377"/>
      <c r="DR78" s="376">
        <v>0</v>
      </c>
      <c r="DS78" s="377"/>
      <c r="DT78" s="376">
        <v>0</v>
      </c>
      <c r="DU78" s="377"/>
      <c r="DV78" s="376">
        <v>0</v>
      </c>
      <c r="DW78" s="377"/>
      <c r="DX78" s="377"/>
      <c r="DY78" s="373">
        <v>1</v>
      </c>
      <c r="DZ78" s="351" t="e">
        <f t="shared" si="35"/>
        <v>#N/A</v>
      </c>
      <c r="EA78" s="351" t="e">
        <f t="shared" si="36"/>
        <v>#N/A</v>
      </c>
      <c r="EB78" s="351"/>
      <c r="EC78" s="157">
        <f t="shared" si="17"/>
        <v>0</v>
      </c>
      <c r="ED78" s="157">
        <f t="shared" si="18"/>
        <v>0.9</v>
      </c>
      <c r="EE78" s="157">
        <f t="shared" si="19"/>
        <v>0.22500000000000003</v>
      </c>
      <c r="EF78" s="157">
        <f t="shared" si="20"/>
        <v>0</v>
      </c>
    </row>
    <row r="79" spans="1:136" ht="14.25" customHeight="1">
      <c r="A79" s="291" t="b">
        <f t="shared" si="37"/>
        <v>1</v>
      </c>
      <c r="B79" s="292"/>
      <c r="C79" s="355" t="s">
        <v>3441</v>
      </c>
      <c r="D79" s="345"/>
      <c r="E79" s="361" t="s">
        <v>3442</v>
      </c>
      <c r="F79" s="362">
        <v>0.9</v>
      </c>
      <c r="G79" s="365"/>
      <c r="H79" s="362">
        <v>0.9</v>
      </c>
      <c r="I79" s="365"/>
      <c r="J79" s="362">
        <v>0.9</v>
      </c>
      <c r="K79" s="365"/>
      <c r="L79" s="362">
        <v>0.9</v>
      </c>
      <c r="M79" s="365"/>
      <c r="N79" s="362">
        <v>0.9</v>
      </c>
      <c r="O79" s="365"/>
      <c r="P79" s="370"/>
      <c r="Q79" s="360">
        <v>1</v>
      </c>
      <c r="R79" s="351" t="e">
        <f t="shared" si="21"/>
        <v>#N/A</v>
      </c>
      <c r="S79" s="351" t="e">
        <f t="shared" si="22"/>
        <v>#N/A</v>
      </c>
      <c r="T79" s="351"/>
      <c r="U79" s="361" t="s">
        <v>3442</v>
      </c>
      <c r="V79" s="362">
        <v>0.9</v>
      </c>
      <c r="W79" s="365"/>
      <c r="X79" s="362">
        <v>0.9</v>
      </c>
      <c r="Y79" s="365"/>
      <c r="Z79" s="362">
        <v>0.9</v>
      </c>
      <c r="AA79" s="365"/>
      <c r="AB79" s="362">
        <v>0.9</v>
      </c>
      <c r="AC79" s="365"/>
      <c r="AD79" s="362">
        <v>0.9</v>
      </c>
      <c r="AE79" s="365"/>
      <c r="AF79" s="370"/>
      <c r="AG79" s="360">
        <v>1</v>
      </c>
      <c r="AH79" s="351" t="e">
        <f t="shared" si="23"/>
        <v>#N/A</v>
      </c>
      <c r="AI79" s="351" t="e">
        <f t="shared" si="24"/>
        <v>#N/A</v>
      </c>
      <c r="AJ79" s="351"/>
      <c r="AK79" s="361" t="s">
        <v>3442</v>
      </c>
      <c r="AL79" s="362">
        <v>0.9</v>
      </c>
      <c r="AM79" s="365"/>
      <c r="AN79" s="362">
        <v>0.9</v>
      </c>
      <c r="AO79" s="365"/>
      <c r="AP79" s="362">
        <v>0.9</v>
      </c>
      <c r="AQ79" s="365"/>
      <c r="AR79" s="362">
        <v>0.9</v>
      </c>
      <c r="AS79" s="365"/>
      <c r="AT79" s="362">
        <v>0.9</v>
      </c>
      <c r="AU79" s="365"/>
      <c r="AV79" s="370"/>
      <c r="AW79" s="360">
        <v>1</v>
      </c>
      <c r="AX79" s="351" t="e">
        <f t="shared" si="25"/>
        <v>#N/A</v>
      </c>
      <c r="AY79" s="351" t="e">
        <f t="shared" si="26"/>
        <v>#N/A</v>
      </c>
      <c r="AZ79" s="351"/>
      <c r="BA79" s="361" t="s">
        <v>3442</v>
      </c>
      <c r="BB79" s="362">
        <v>0.9</v>
      </c>
      <c r="BC79" s="365"/>
      <c r="BD79" s="362">
        <v>0.9</v>
      </c>
      <c r="BE79" s="365"/>
      <c r="BF79" s="362">
        <v>0.9</v>
      </c>
      <c r="BG79" s="365"/>
      <c r="BH79" s="362">
        <v>0.9</v>
      </c>
      <c r="BI79" s="365"/>
      <c r="BJ79" s="362">
        <v>0.9</v>
      </c>
      <c r="BK79" s="365"/>
      <c r="BL79" s="370"/>
      <c r="BM79" s="360">
        <v>1</v>
      </c>
      <c r="BN79" s="351" t="e">
        <f t="shared" si="27"/>
        <v>#N/A</v>
      </c>
      <c r="BO79" s="351" t="e">
        <f t="shared" si="28"/>
        <v>#N/A</v>
      </c>
      <c r="BP79" s="351"/>
      <c r="BQ79" s="361" t="s">
        <v>3442</v>
      </c>
      <c r="BR79" s="362">
        <v>0.9</v>
      </c>
      <c r="BS79" s="365"/>
      <c r="BT79" s="362">
        <v>0.9</v>
      </c>
      <c r="BU79" s="365"/>
      <c r="BV79" s="362">
        <v>0.9</v>
      </c>
      <c r="BW79" s="365"/>
      <c r="BX79" s="362">
        <v>0.9</v>
      </c>
      <c r="BY79" s="365"/>
      <c r="BZ79" s="362">
        <v>0.9</v>
      </c>
      <c r="CA79" s="365"/>
      <c r="CB79" s="370"/>
      <c r="CC79" s="360">
        <v>1</v>
      </c>
      <c r="CD79" s="351" t="e">
        <f t="shared" si="29"/>
        <v>#N/A</v>
      </c>
      <c r="CE79" s="351" t="e">
        <f t="shared" si="30"/>
        <v>#N/A</v>
      </c>
      <c r="CF79" s="351"/>
      <c r="CG79" s="361" t="s">
        <v>3443</v>
      </c>
      <c r="CH79" s="362">
        <v>0.9</v>
      </c>
      <c r="CI79" s="365"/>
      <c r="CJ79" s="362">
        <v>0.9</v>
      </c>
      <c r="CK79" s="365"/>
      <c r="CL79" s="362">
        <v>0.9</v>
      </c>
      <c r="CM79" s="365"/>
      <c r="CN79" s="362">
        <v>0.9</v>
      </c>
      <c r="CO79" s="365"/>
      <c r="CP79" s="362">
        <v>0.9</v>
      </c>
      <c r="CQ79" s="365"/>
      <c r="CR79" s="370"/>
      <c r="CS79" s="360">
        <v>1</v>
      </c>
      <c r="CT79" s="351" t="e">
        <f t="shared" si="31"/>
        <v>#N/A</v>
      </c>
      <c r="CU79" s="351" t="e">
        <f t="shared" si="32"/>
        <v>#N/A</v>
      </c>
      <c r="CV79" s="351"/>
      <c r="CW79" s="361" t="s">
        <v>3444</v>
      </c>
      <c r="CX79" s="362">
        <v>0.9</v>
      </c>
      <c r="CY79" s="365"/>
      <c r="CZ79" s="362">
        <v>0.9</v>
      </c>
      <c r="DA79" s="365"/>
      <c r="DB79" s="362">
        <v>0.9</v>
      </c>
      <c r="DC79" s="365"/>
      <c r="DD79" s="362">
        <v>0.9</v>
      </c>
      <c r="DE79" s="365"/>
      <c r="DF79" s="362">
        <v>0.9</v>
      </c>
      <c r="DG79" s="365"/>
      <c r="DH79" s="370"/>
      <c r="DI79" s="360">
        <v>1</v>
      </c>
      <c r="DJ79" s="351" t="e">
        <f t="shared" si="33"/>
        <v>#N/A</v>
      </c>
      <c r="DK79" s="351" t="e">
        <f t="shared" si="34"/>
        <v>#N/A</v>
      </c>
      <c r="DL79" s="351"/>
      <c r="DM79" s="361" t="s">
        <v>3442</v>
      </c>
      <c r="DN79" s="362">
        <v>0.9</v>
      </c>
      <c r="DO79" s="365"/>
      <c r="DP79" s="362">
        <v>0.9</v>
      </c>
      <c r="DQ79" s="365"/>
      <c r="DR79" s="362">
        <v>0.9</v>
      </c>
      <c r="DS79" s="365"/>
      <c r="DT79" s="362">
        <v>0.9</v>
      </c>
      <c r="DU79" s="365"/>
      <c r="DV79" s="362">
        <v>0.9</v>
      </c>
      <c r="DW79" s="365"/>
      <c r="DX79" s="370"/>
      <c r="DY79" s="360">
        <v>1</v>
      </c>
      <c r="DZ79" s="351" t="e">
        <f t="shared" si="35"/>
        <v>#N/A</v>
      </c>
      <c r="EA79" s="351" t="e">
        <f t="shared" si="36"/>
        <v>#N/A</v>
      </c>
      <c r="EB79" s="351"/>
      <c r="EC79" s="157">
        <f t="shared" si="17"/>
        <v>0.9</v>
      </c>
      <c r="ED79" s="157">
        <f t="shared" si="18"/>
        <v>0.9</v>
      </c>
      <c r="EE79" s="157">
        <f t="shared" si="19"/>
        <v>0.89999999999999925</v>
      </c>
      <c r="EF79" s="157">
        <f t="shared" si="20"/>
        <v>0.9</v>
      </c>
    </row>
    <row r="80" spans="1:136" ht="14.25" customHeight="1">
      <c r="A80" s="291" t="b">
        <f t="shared" si="37"/>
        <v>1</v>
      </c>
      <c r="B80" s="292"/>
      <c r="C80" s="355" t="s">
        <v>3445</v>
      </c>
      <c r="D80" s="345"/>
      <c r="E80" s="371" t="s">
        <v>3446</v>
      </c>
      <c r="F80" s="372">
        <v>0.9</v>
      </c>
      <c r="G80" s="358"/>
      <c r="H80" s="372">
        <v>0.9</v>
      </c>
      <c r="I80" s="358"/>
      <c r="J80" s="372">
        <v>0.9</v>
      </c>
      <c r="K80" s="358"/>
      <c r="L80" s="372">
        <v>0.9</v>
      </c>
      <c r="M80" s="358"/>
      <c r="N80" s="372">
        <v>0.9</v>
      </c>
      <c r="O80" s="358"/>
      <c r="P80" s="359"/>
      <c r="Q80" s="360">
        <v>1</v>
      </c>
      <c r="R80" s="351" t="e">
        <f t="shared" si="21"/>
        <v>#N/A</v>
      </c>
      <c r="S80" s="351" t="e">
        <f t="shared" si="22"/>
        <v>#N/A</v>
      </c>
      <c r="T80" s="351"/>
      <c r="U80" s="361" t="s">
        <v>3447</v>
      </c>
      <c r="V80" s="372">
        <v>0.9</v>
      </c>
      <c r="W80" s="358"/>
      <c r="X80" s="372">
        <v>0.9</v>
      </c>
      <c r="Y80" s="358"/>
      <c r="Z80" s="372">
        <v>0.9</v>
      </c>
      <c r="AA80" s="358"/>
      <c r="AB80" s="372">
        <v>0.9</v>
      </c>
      <c r="AC80" s="358"/>
      <c r="AD80" s="372">
        <v>0.9</v>
      </c>
      <c r="AE80" s="358"/>
      <c r="AF80" s="359"/>
      <c r="AG80" s="360">
        <v>1</v>
      </c>
      <c r="AH80" s="351" t="e">
        <f t="shared" si="23"/>
        <v>#N/A</v>
      </c>
      <c r="AI80" s="351" t="e">
        <f t="shared" si="24"/>
        <v>#N/A</v>
      </c>
      <c r="AJ80" s="351"/>
      <c r="AK80" s="361" t="s">
        <v>3447</v>
      </c>
      <c r="AL80" s="372">
        <v>0.9</v>
      </c>
      <c r="AM80" s="358"/>
      <c r="AN80" s="372">
        <v>0.9</v>
      </c>
      <c r="AO80" s="358"/>
      <c r="AP80" s="372">
        <v>0.9</v>
      </c>
      <c r="AQ80" s="358"/>
      <c r="AR80" s="372">
        <v>0.9</v>
      </c>
      <c r="AS80" s="358"/>
      <c r="AT80" s="372">
        <v>0.9</v>
      </c>
      <c r="AU80" s="358"/>
      <c r="AV80" s="359"/>
      <c r="AW80" s="360">
        <v>1</v>
      </c>
      <c r="AX80" s="351" t="e">
        <f t="shared" si="25"/>
        <v>#N/A</v>
      </c>
      <c r="AY80" s="351" t="e">
        <f t="shared" si="26"/>
        <v>#N/A</v>
      </c>
      <c r="AZ80" s="351"/>
      <c r="BA80" s="361" t="s">
        <v>3447</v>
      </c>
      <c r="BB80" s="372">
        <v>0.9</v>
      </c>
      <c r="BC80" s="358"/>
      <c r="BD80" s="372">
        <v>0.9</v>
      </c>
      <c r="BE80" s="358"/>
      <c r="BF80" s="372">
        <v>0.9</v>
      </c>
      <c r="BG80" s="358"/>
      <c r="BH80" s="372">
        <v>0.9</v>
      </c>
      <c r="BI80" s="358"/>
      <c r="BJ80" s="372">
        <v>0.9</v>
      </c>
      <c r="BK80" s="358"/>
      <c r="BL80" s="359"/>
      <c r="BM80" s="360">
        <v>1</v>
      </c>
      <c r="BN80" s="351" t="e">
        <f t="shared" si="27"/>
        <v>#N/A</v>
      </c>
      <c r="BO80" s="351" t="e">
        <f t="shared" si="28"/>
        <v>#N/A</v>
      </c>
      <c r="BP80" s="351"/>
      <c r="BQ80" s="361" t="s">
        <v>3447</v>
      </c>
      <c r="BR80" s="372">
        <v>0.9</v>
      </c>
      <c r="BS80" s="358"/>
      <c r="BT80" s="372">
        <v>0.9</v>
      </c>
      <c r="BU80" s="358"/>
      <c r="BV80" s="372">
        <v>0.9</v>
      </c>
      <c r="BW80" s="358"/>
      <c r="BX80" s="372">
        <v>0.9</v>
      </c>
      <c r="BY80" s="358"/>
      <c r="BZ80" s="372">
        <v>0.9</v>
      </c>
      <c r="CA80" s="358"/>
      <c r="CB80" s="359"/>
      <c r="CC80" s="360">
        <v>1</v>
      </c>
      <c r="CD80" s="351" t="e">
        <f t="shared" si="29"/>
        <v>#N/A</v>
      </c>
      <c r="CE80" s="351" t="e">
        <f t="shared" si="30"/>
        <v>#N/A</v>
      </c>
      <c r="CF80" s="351"/>
      <c r="CG80" s="361" t="s">
        <v>3448</v>
      </c>
      <c r="CH80" s="372">
        <v>0.9</v>
      </c>
      <c r="CI80" s="358"/>
      <c r="CJ80" s="372">
        <v>0.9</v>
      </c>
      <c r="CK80" s="358"/>
      <c r="CL80" s="372">
        <v>0.9</v>
      </c>
      <c r="CM80" s="358"/>
      <c r="CN80" s="372">
        <v>0.9</v>
      </c>
      <c r="CO80" s="358"/>
      <c r="CP80" s="372">
        <v>0.9</v>
      </c>
      <c r="CQ80" s="358"/>
      <c r="CR80" s="359"/>
      <c r="CS80" s="360">
        <v>1</v>
      </c>
      <c r="CT80" s="351" t="e">
        <f t="shared" si="31"/>
        <v>#N/A</v>
      </c>
      <c r="CU80" s="351" t="e">
        <f t="shared" si="32"/>
        <v>#N/A</v>
      </c>
      <c r="CV80" s="351"/>
      <c r="CW80" s="361" t="s">
        <v>3449</v>
      </c>
      <c r="CX80" s="372">
        <v>0.9</v>
      </c>
      <c r="CY80" s="358"/>
      <c r="CZ80" s="372">
        <v>0.9</v>
      </c>
      <c r="DA80" s="358"/>
      <c r="DB80" s="372">
        <v>0.9</v>
      </c>
      <c r="DC80" s="358"/>
      <c r="DD80" s="372">
        <v>0.9</v>
      </c>
      <c r="DE80" s="358"/>
      <c r="DF80" s="372">
        <v>0.9</v>
      </c>
      <c r="DG80" s="358"/>
      <c r="DH80" s="359"/>
      <c r="DI80" s="360">
        <v>1</v>
      </c>
      <c r="DJ80" s="351" t="e">
        <f t="shared" si="33"/>
        <v>#N/A</v>
      </c>
      <c r="DK80" s="351" t="e">
        <f t="shared" si="34"/>
        <v>#N/A</v>
      </c>
      <c r="DL80" s="351"/>
      <c r="DM80" s="361" t="s">
        <v>3446</v>
      </c>
      <c r="DN80" s="372">
        <v>0.9</v>
      </c>
      <c r="DO80" s="358"/>
      <c r="DP80" s="372">
        <v>0.9</v>
      </c>
      <c r="DQ80" s="358"/>
      <c r="DR80" s="372">
        <v>0.9</v>
      </c>
      <c r="DS80" s="358"/>
      <c r="DT80" s="372">
        <v>0.9</v>
      </c>
      <c r="DU80" s="358"/>
      <c r="DV80" s="372">
        <v>0.9</v>
      </c>
      <c r="DW80" s="358"/>
      <c r="DX80" s="359"/>
      <c r="DY80" s="360">
        <v>1</v>
      </c>
      <c r="DZ80" s="351" t="e">
        <f t="shared" si="35"/>
        <v>#N/A</v>
      </c>
      <c r="EA80" s="351" t="e">
        <f t="shared" si="36"/>
        <v>#N/A</v>
      </c>
      <c r="EB80" s="351"/>
      <c r="EC80" s="157">
        <f t="shared" si="17"/>
        <v>0.9</v>
      </c>
      <c r="ED80" s="157">
        <f t="shared" si="18"/>
        <v>0.9</v>
      </c>
      <c r="EE80" s="157">
        <f t="shared" si="19"/>
        <v>0.89999999999999925</v>
      </c>
      <c r="EF80" s="157">
        <f t="shared" si="20"/>
        <v>0.9</v>
      </c>
    </row>
    <row r="81" spans="1:136" ht="14.25" customHeight="1">
      <c r="A81" s="291" t="b">
        <f t="shared" si="37"/>
        <v>0</v>
      </c>
      <c r="B81" s="292"/>
      <c r="C81" s="355" t="s">
        <v>3450</v>
      </c>
      <c r="D81" s="345" t="s">
        <v>3451</v>
      </c>
      <c r="E81" s="361" t="s">
        <v>3452</v>
      </c>
      <c r="F81" s="362">
        <v>0</v>
      </c>
      <c r="G81" s="365"/>
      <c r="H81" s="362">
        <v>0</v>
      </c>
      <c r="I81" s="365"/>
      <c r="J81" s="362">
        <v>0</v>
      </c>
      <c r="K81" s="365"/>
      <c r="L81" s="362">
        <v>1</v>
      </c>
      <c r="M81" s="368" t="s">
        <v>3453</v>
      </c>
      <c r="N81" s="362">
        <v>0</v>
      </c>
      <c r="O81" s="365"/>
      <c r="P81" s="368" t="s">
        <v>3454</v>
      </c>
      <c r="Q81" s="360">
        <v>1</v>
      </c>
      <c r="R81" s="351" t="e">
        <f t="shared" si="21"/>
        <v>#N/A</v>
      </c>
      <c r="S81" s="351" t="e">
        <f t="shared" si="22"/>
        <v>#N/A</v>
      </c>
      <c r="T81" s="351"/>
      <c r="U81" s="361" t="s">
        <v>3452</v>
      </c>
      <c r="V81" s="362">
        <v>0</v>
      </c>
      <c r="W81" s="365"/>
      <c r="X81" s="362">
        <v>0</v>
      </c>
      <c r="Y81" s="365"/>
      <c r="Z81" s="362">
        <v>0</v>
      </c>
      <c r="AA81" s="365"/>
      <c r="AB81" s="362">
        <v>1</v>
      </c>
      <c r="AC81" s="368" t="s">
        <v>3454</v>
      </c>
      <c r="AD81" s="362">
        <v>0</v>
      </c>
      <c r="AE81" s="365"/>
      <c r="AF81" s="368" t="s">
        <v>3454</v>
      </c>
      <c r="AG81" s="360">
        <v>1</v>
      </c>
      <c r="AH81" s="351" t="e">
        <f t="shared" si="23"/>
        <v>#N/A</v>
      </c>
      <c r="AI81" s="351" t="e">
        <f t="shared" si="24"/>
        <v>#N/A</v>
      </c>
      <c r="AJ81" s="351"/>
      <c r="AK81" s="361" t="s">
        <v>3452</v>
      </c>
      <c r="AL81" s="362">
        <v>0</v>
      </c>
      <c r="AM81" s="365"/>
      <c r="AN81" s="414">
        <v>0</v>
      </c>
      <c r="AO81" s="365"/>
      <c r="AP81" s="414">
        <v>0</v>
      </c>
      <c r="AQ81" s="365"/>
      <c r="AR81" s="362">
        <v>1</v>
      </c>
      <c r="AS81" s="368" t="s">
        <v>3454</v>
      </c>
      <c r="AT81" s="362">
        <v>0</v>
      </c>
      <c r="AU81" s="365"/>
      <c r="AV81" s="368" t="s">
        <v>3454</v>
      </c>
      <c r="AW81" s="360">
        <v>1</v>
      </c>
      <c r="AX81" s="351" t="e">
        <f t="shared" si="25"/>
        <v>#N/A</v>
      </c>
      <c r="AY81" s="351" t="e">
        <f t="shared" si="26"/>
        <v>#N/A</v>
      </c>
      <c r="AZ81" s="351"/>
      <c r="BA81" s="361" t="s">
        <v>3452</v>
      </c>
      <c r="BB81" s="362">
        <v>0</v>
      </c>
      <c r="BC81" s="365"/>
      <c r="BD81" s="414">
        <v>0</v>
      </c>
      <c r="BE81" s="365"/>
      <c r="BF81" s="414">
        <v>0</v>
      </c>
      <c r="BG81" s="365"/>
      <c r="BH81" s="362">
        <v>1</v>
      </c>
      <c r="BI81" s="368" t="s">
        <v>3454</v>
      </c>
      <c r="BJ81" s="362">
        <v>0</v>
      </c>
      <c r="BK81" s="365"/>
      <c r="BL81" s="368" t="s">
        <v>3454</v>
      </c>
      <c r="BM81" s="360">
        <v>1</v>
      </c>
      <c r="BN81" s="351" t="e">
        <f t="shared" si="27"/>
        <v>#N/A</v>
      </c>
      <c r="BO81" s="351" t="e">
        <f t="shared" si="28"/>
        <v>#N/A</v>
      </c>
      <c r="BP81" s="351"/>
      <c r="BQ81" s="361" t="s">
        <v>3452</v>
      </c>
      <c r="BR81" s="362">
        <v>0</v>
      </c>
      <c r="BS81" s="365"/>
      <c r="BT81" s="414">
        <v>0</v>
      </c>
      <c r="BU81" s="365"/>
      <c r="BV81" s="414">
        <v>0</v>
      </c>
      <c r="BW81" s="365"/>
      <c r="BX81" s="362">
        <v>1</v>
      </c>
      <c r="BY81" s="368" t="s">
        <v>3454</v>
      </c>
      <c r="BZ81" s="362">
        <v>0</v>
      </c>
      <c r="CA81" s="365"/>
      <c r="CB81" s="368" t="s">
        <v>3454</v>
      </c>
      <c r="CC81" s="360">
        <v>1</v>
      </c>
      <c r="CD81" s="351" t="e">
        <f t="shared" si="29"/>
        <v>#N/A</v>
      </c>
      <c r="CE81" s="351" t="e">
        <f t="shared" si="30"/>
        <v>#N/A</v>
      </c>
      <c r="CF81" s="351"/>
      <c r="CG81" s="361" t="s">
        <v>3455</v>
      </c>
      <c r="CH81" s="362">
        <v>0</v>
      </c>
      <c r="CI81" s="365"/>
      <c r="CJ81" s="414">
        <v>0</v>
      </c>
      <c r="CK81" s="365"/>
      <c r="CL81" s="414">
        <v>1</v>
      </c>
      <c r="CM81" s="365"/>
      <c r="CN81" s="362">
        <v>1</v>
      </c>
      <c r="CO81" s="368" t="s">
        <v>3454</v>
      </c>
      <c r="CP81" s="414">
        <v>0</v>
      </c>
      <c r="CQ81" s="365"/>
      <c r="CR81" s="368" t="s">
        <v>3454</v>
      </c>
      <c r="CS81" s="360">
        <v>1</v>
      </c>
      <c r="CT81" s="351" t="e">
        <f t="shared" si="31"/>
        <v>#N/A</v>
      </c>
      <c r="CU81" s="351" t="e">
        <f t="shared" si="32"/>
        <v>#N/A</v>
      </c>
      <c r="CV81" s="351"/>
      <c r="CW81" s="361" t="s">
        <v>3455</v>
      </c>
      <c r="CX81" s="362">
        <v>0</v>
      </c>
      <c r="CY81" s="365"/>
      <c r="CZ81" s="414">
        <v>0</v>
      </c>
      <c r="DA81" s="365"/>
      <c r="DB81" s="414">
        <v>0</v>
      </c>
      <c r="DC81" s="365"/>
      <c r="DD81" s="362">
        <v>1</v>
      </c>
      <c r="DE81" s="368" t="s">
        <v>3454</v>
      </c>
      <c r="DF81" s="362">
        <v>0</v>
      </c>
      <c r="DG81" s="365"/>
      <c r="DH81" s="368" t="s">
        <v>3454</v>
      </c>
      <c r="DI81" s="360">
        <v>1</v>
      </c>
      <c r="DJ81" s="351" t="e">
        <f t="shared" si="33"/>
        <v>#N/A</v>
      </c>
      <c r="DK81" s="351" t="e">
        <f t="shared" si="34"/>
        <v>#N/A</v>
      </c>
      <c r="DL81" s="351"/>
      <c r="DM81" s="361" t="s">
        <v>3452</v>
      </c>
      <c r="DN81" s="362">
        <v>0</v>
      </c>
      <c r="DO81" s="365"/>
      <c r="DP81" s="414">
        <v>0</v>
      </c>
      <c r="DQ81" s="365"/>
      <c r="DR81" s="414">
        <v>0</v>
      </c>
      <c r="DS81" s="365"/>
      <c r="DT81" s="362">
        <v>1</v>
      </c>
      <c r="DU81" s="368" t="s">
        <v>3454</v>
      </c>
      <c r="DV81" s="362">
        <v>0</v>
      </c>
      <c r="DW81" s="365"/>
      <c r="DX81" s="368" t="s">
        <v>3454</v>
      </c>
      <c r="DY81" s="360">
        <v>1</v>
      </c>
      <c r="DZ81" s="351" t="e">
        <f t="shared" si="35"/>
        <v>#N/A</v>
      </c>
      <c r="EA81" s="351" t="e">
        <f t="shared" si="36"/>
        <v>#N/A</v>
      </c>
      <c r="EB81" s="351"/>
      <c r="EC81" s="157">
        <f t="shared" si="17"/>
        <v>0</v>
      </c>
      <c r="ED81" s="157">
        <f t="shared" si="18"/>
        <v>1</v>
      </c>
      <c r="EE81" s="157">
        <f t="shared" si="19"/>
        <v>0.22500000000000001</v>
      </c>
      <c r="EF81" s="157">
        <f t="shared" si="20"/>
        <v>0</v>
      </c>
    </row>
    <row r="82" spans="1:136" ht="14.25" customHeight="1">
      <c r="A82" s="291" t="b">
        <f t="shared" si="37"/>
        <v>0</v>
      </c>
      <c r="B82" s="292"/>
      <c r="C82" s="355" t="s">
        <v>3456</v>
      </c>
      <c r="D82" s="345"/>
      <c r="E82" s="371" t="s">
        <v>3457</v>
      </c>
      <c r="F82" s="372">
        <v>0.9</v>
      </c>
      <c r="G82" s="358"/>
      <c r="H82" s="372">
        <v>0.9</v>
      </c>
      <c r="I82" s="358"/>
      <c r="J82" s="372">
        <v>0.9</v>
      </c>
      <c r="K82" s="358"/>
      <c r="L82" s="372">
        <v>0.9</v>
      </c>
      <c r="M82" s="358"/>
      <c r="N82" s="372">
        <v>0.9</v>
      </c>
      <c r="O82" s="358"/>
      <c r="P82" s="359"/>
      <c r="Q82" s="360">
        <v>1</v>
      </c>
      <c r="R82" s="351" t="e">
        <f t="shared" si="21"/>
        <v>#N/A</v>
      </c>
      <c r="S82" s="351" t="e">
        <f t="shared" si="22"/>
        <v>#N/A</v>
      </c>
      <c r="T82" s="351"/>
      <c r="U82" s="361" t="s">
        <v>3458</v>
      </c>
      <c r="V82" s="372">
        <v>0.9</v>
      </c>
      <c r="W82" s="358"/>
      <c r="X82" s="372">
        <v>0.9</v>
      </c>
      <c r="Y82" s="358"/>
      <c r="Z82" s="372">
        <v>0.9</v>
      </c>
      <c r="AA82" s="358"/>
      <c r="AB82" s="372">
        <v>0.9</v>
      </c>
      <c r="AC82" s="358"/>
      <c r="AD82" s="372">
        <v>0.9</v>
      </c>
      <c r="AE82" s="358"/>
      <c r="AF82" s="359"/>
      <c r="AG82" s="360">
        <v>1</v>
      </c>
      <c r="AH82" s="351" t="e">
        <f t="shared" si="23"/>
        <v>#N/A</v>
      </c>
      <c r="AI82" s="351" t="e">
        <f t="shared" si="24"/>
        <v>#N/A</v>
      </c>
      <c r="AJ82" s="351"/>
      <c r="AK82" s="361" t="s">
        <v>3458</v>
      </c>
      <c r="AL82" s="372">
        <v>0.9</v>
      </c>
      <c r="AM82" s="358"/>
      <c r="AN82" s="372">
        <v>0.9</v>
      </c>
      <c r="AO82" s="358"/>
      <c r="AP82" s="372">
        <v>0.9</v>
      </c>
      <c r="AQ82" s="358"/>
      <c r="AR82" s="372">
        <v>0.9</v>
      </c>
      <c r="AS82" s="358"/>
      <c r="AT82" s="372">
        <v>0.9</v>
      </c>
      <c r="AU82" s="358"/>
      <c r="AV82" s="359"/>
      <c r="AW82" s="360">
        <v>1</v>
      </c>
      <c r="AX82" s="351" t="e">
        <f t="shared" si="25"/>
        <v>#N/A</v>
      </c>
      <c r="AY82" s="351" t="e">
        <f t="shared" si="26"/>
        <v>#N/A</v>
      </c>
      <c r="AZ82" s="351"/>
      <c r="BA82" s="356" t="s">
        <v>3234</v>
      </c>
      <c r="BB82" s="381">
        <v>0</v>
      </c>
      <c r="BC82" s="358"/>
      <c r="BD82" s="381">
        <v>0</v>
      </c>
      <c r="BE82" s="358"/>
      <c r="BF82" s="381">
        <v>0</v>
      </c>
      <c r="BG82" s="358"/>
      <c r="BH82" s="381">
        <v>0</v>
      </c>
      <c r="BI82" s="358"/>
      <c r="BJ82" s="381">
        <v>0</v>
      </c>
      <c r="BK82" s="358"/>
      <c r="BL82" s="358"/>
      <c r="BM82" s="360">
        <v>1</v>
      </c>
      <c r="BN82" s="351" t="e">
        <f t="shared" si="27"/>
        <v>#N/A</v>
      </c>
      <c r="BO82" s="351" t="e">
        <f t="shared" si="28"/>
        <v>#N/A</v>
      </c>
      <c r="BP82" s="351"/>
      <c r="BQ82" s="361" t="s">
        <v>3458</v>
      </c>
      <c r="BR82" s="372">
        <v>0.9</v>
      </c>
      <c r="BS82" s="358"/>
      <c r="BT82" s="372">
        <v>0.9</v>
      </c>
      <c r="BU82" s="358"/>
      <c r="BV82" s="372">
        <v>0.9</v>
      </c>
      <c r="BW82" s="358"/>
      <c r="BX82" s="372">
        <v>0.9</v>
      </c>
      <c r="BY82" s="358"/>
      <c r="BZ82" s="372">
        <v>0.9</v>
      </c>
      <c r="CA82" s="358"/>
      <c r="CB82" s="359"/>
      <c r="CC82" s="360">
        <v>1</v>
      </c>
      <c r="CD82" s="351" t="e">
        <f t="shared" si="29"/>
        <v>#N/A</v>
      </c>
      <c r="CE82" s="351" t="e">
        <f t="shared" si="30"/>
        <v>#N/A</v>
      </c>
      <c r="CF82" s="351"/>
      <c r="CG82" s="361" t="s">
        <v>3458</v>
      </c>
      <c r="CH82" s="372">
        <v>0.9</v>
      </c>
      <c r="CI82" s="358"/>
      <c r="CJ82" s="372">
        <v>0.9</v>
      </c>
      <c r="CK82" s="358"/>
      <c r="CL82" s="372">
        <v>0.9</v>
      </c>
      <c r="CM82" s="358"/>
      <c r="CN82" s="372">
        <v>0.9</v>
      </c>
      <c r="CO82" s="358"/>
      <c r="CP82" s="372">
        <v>0.9</v>
      </c>
      <c r="CQ82" s="358"/>
      <c r="CR82" s="359"/>
      <c r="CS82" s="360">
        <v>1</v>
      </c>
      <c r="CT82" s="351" t="e">
        <f t="shared" si="31"/>
        <v>#N/A</v>
      </c>
      <c r="CU82" s="351" t="e">
        <f t="shared" si="32"/>
        <v>#N/A</v>
      </c>
      <c r="CV82" s="351"/>
      <c r="CW82" s="361" t="s">
        <v>3458</v>
      </c>
      <c r="CX82" s="372">
        <v>0.9</v>
      </c>
      <c r="CY82" s="358"/>
      <c r="CZ82" s="372">
        <v>0.9</v>
      </c>
      <c r="DA82" s="358"/>
      <c r="DB82" s="372">
        <v>0.9</v>
      </c>
      <c r="DC82" s="358"/>
      <c r="DD82" s="372">
        <v>0.9</v>
      </c>
      <c r="DE82" s="358"/>
      <c r="DF82" s="372">
        <v>0.9</v>
      </c>
      <c r="DG82" s="358"/>
      <c r="DH82" s="359"/>
      <c r="DI82" s="360">
        <v>1</v>
      </c>
      <c r="DJ82" s="351" t="e">
        <f t="shared" si="33"/>
        <v>#N/A</v>
      </c>
      <c r="DK82" s="351" t="e">
        <f t="shared" si="34"/>
        <v>#N/A</v>
      </c>
      <c r="DL82" s="351"/>
      <c r="DM82" s="356" t="s">
        <v>3234</v>
      </c>
      <c r="DN82" s="376">
        <v>0</v>
      </c>
      <c r="DO82" s="377"/>
      <c r="DP82" s="376">
        <v>0</v>
      </c>
      <c r="DQ82" s="377"/>
      <c r="DR82" s="376">
        <v>0</v>
      </c>
      <c r="DS82" s="377"/>
      <c r="DT82" s="376">
        <v>0</v>
      </c>
      <c r="DU82" s="377"/>
      <c r="DV82" s="376">
        <v>0</v>
      </c>
      <c r="DW82" s="377"/>
      <c r="DX82" s="377"/>
      <c r="DY82" s="360">
        <v>1</v>
      </c>
      <c r="DZ82" s="351" t="e">
        <f t="shared" si="35"/>
        <v>#N/A</v>
      </c>
      <c r="EA82" s="351" t="e">
        <f t="shared" si="36"/>
        <v>#N/A</v>
      </c>
      <c r="EB82" s="351"/>
      <c r="EC82" s="157">
        <f t="shared" si="17"/>
        <v>0</v>
      </c>
      <c r="ED82" s="157">
        <f t="shared" si="18"/>
        <v>0.9</v>
      </c>
      <c r="EE82" s="157">
        <f t="shared" si="19"/>
        <v>0.6749999999999996</v>
      </c>
      <c r="EF82" s="157">
        <f t="shared" si="20"/>
        <v>0.9</v>
      </c>
    </row>
    <row r="83" spans="1:136" ht="14.25" customHeight="1">
      <c r="A83" s="291" t="b">
        <f t="shared" si="37"/>
        <v>0</v>
      </c>
      <c r="B83" s="292"/>
      <c r="C83" s="355" t="s">
        <v>3459</v>
      </c>
      <c r="D83" s="345"/>
      <c r="E83" s="356" t="s">
        <v>3234</v>
      </c>
      <c r="F83" s="357">
        <v>0</v>
      </c>
      <c r="G83" s="358"/>
      <c r="H83" s="357">
        <v>0</v>
      </c>
      <c r="I83" s="358"/>
      <c r="J83" s="357">
        <v>0</v>
      </c>
      <c r="K83" s="358"/>
      <c r="L83" s="357">
        <v>0</v>
      </c>
      <c r="M83" s="358"/>
      <c r="N83" s="357">
        <v>0</v>
      </c>
      <c r="O83" s="358"/>
      <c r="P83" s="359"/>
      <c r="Q83" s="373">
        <v>1</v>
      </c>
      <c r="R83" s="351" t="e">
        <f t="shared" si="21"/>
        <v>#N/A</v>
      </c>
      <c r="S83" s="351" t="e">
        <f t="shared" si="22"/>
        <v>#N/A</v>
      </c>
      <c r="T83" s="351"/>
      <c r="U83" s="356" t="s">
        <v>3234</v>
      </c>
      <c r="V83" s="357">
        <v>0</v>
      </c>
      <c r="W83" s="374"/>
      <c r="X83" s="375">
        <v>0</v>
      </c>
      <c r="Y83" s="374"/>
      <c r="Z83" s="375">
        <v>0</v>
      </c>
      <c r="AA83" s="374"/>
      <c r="AB83" s="375">
        <v>0</v>
      </c>
      <c r="AC83" s="374"/>
      <c r="AD83" s="375">
        <v>0</v>
      </c>
      <c r="AE83" s="374"/>
      <c r="AF83" s="374"/>
      <c r="AG83" s="373">
        <v>1</v>
      </c>
      <c r="AH83" s="351" t="e">
        <f t="shared" si="23"/>
        <v>#N/A</v>
      </c>
      <c r="AI83" s="351" t="e">
        <f t="shared" si="24"/>
        <v>#N/A</v>
      </c>
      <c r="AJ83" s="351"/>
      <c r="AK83" s="361" t="s">
        <v>3460</v>
      </c>
      <c r="AL83" s="362">
        <v>1</v>
      </c>
      <c r="AM83" s="365"/>
      <c r="AN83" s="362">
        <v>1</v>
      </c>
      <c r="AO83" s="365"/>
      <c r="AP83" s="362">
        <v>1</v>
      </c>
      <c r="AQ83" s="365"/>
      <c r="AR83" s="362">
        <v>1</v>
      </c>
      <c r="AS83" s="365"/>
      <c r="AT83" s="362">
        <v>1</v>
      </c>
      <c r="AU83" s="365"/>
      <c r="AV83" s="365"/>
      <c r="AW83" s="373">
        <v>1</v>
      </c>
      <c r="AX83" s="351" t="e">
        <f t="shared" si="25"/>
        <v>#N/A</v>
      </c>
      <c r="AY83" s="351" t="e">
        <f t="shared" si="26"/>
        <v>#N/A</v>
      </c>
      <c r="AZ83" s="351"/>
      <c r="BA83" s="356" t="s">
        <v>3234</v>
      </c>
      <c r="BB83" s="381">
        <v>0</v>
      </c>
      <c r="BC83" s="358"/>
      <c r="BD83" s="381">
        <v>0</v>
      </c>
      <c r="BE83" s="358"/>
      <c r="BF83" s="381">
        <v>0</v>
      </c>
      <c r="BG83" s="358"/>
      <c r="BH83" s="381">
        <v>0</v>
      </c>
      <c r="BI83" s="358"/>
      <c r="BJ83" s="381">
        <v>0</v>
      </c>
      <c r="BK83" s="358"/>
      <c r="BL83" s="358"/>
      <c r="BM83" s="373">
        <v>1</v>
      </c>
      <c r="BN83" s="351" t="e">
        <f t="shared" si="27"/>
        <v>#N/A</v>
      </c>
      <c r="BO83" s="351" t="e">
        <f t="shared" si="28"/>
        <v>#N/A</v>
      </c>
      <c r="BP83" s="351"/>
      <c r="BQ83" s="356" t="s">
        <v>3234</v>
      </c>
      <c r="BR83" s="376">
        <v>0</v>
      </c>
      <c r="BS83" s="382"/>
      <c r="BT83" s="376">
        <v>0</v>
      </c>
      <c r="BU83" s="382"/>
      <c r="BV83" s="376">
        <v>0</v>
      </c>
      <c r="BW83" s="382"/>
      <c r="BX83" s="376">
        <v>0</v>
      </c>
      <c r="BY83" s="382"/>
      <c r="BZ83" s="376">
        <v>0</v>
      </c>
      <c r="CA83" s="382"/>
      <c r="CB83" s="382"/>
      <c r="CC83" s="373">
        <v>1</v>
      </c>
      <c r="CD83" s="351" t="e">
        <f t="shared" si="29"/>
        <v>#N/A</v>
      </c>
      <c r="CE83" s="351" t="e">
        <f t="shared" si="30"/>
        <v>#N/A</v>
      </c>
      <c r="CF83" s="351"/>
      <c r="CG83" s="356" t="s">
        <v>3234</v>
      </c>
      <c r="CH83" s="376">
        <v>0</v>
      </c>
      <c r="CI83" s="377"/>
      <c r="CJ83" s="376">
        <v>0</v>
      </c>
      <c r="CK83" s="377"/>
      <c r="CL83" s="376">
        <v>0</v>
      </c>
      <c r="CM83" s="377"/>
      <c r="CN83" s="376">
        <v>0</v>
      </c>
      <c r="CO83" s="377"/>
      <c r="CP83" s="376">
        <v>0</v>
      </c>
      <c r="CQ83" s="377"/>
      <c r="CR83" s="377"/>
      <c r="CS83" s="373">
        <v>1</v>
      </c>
      <c r="CT83" s="351" t="e">
        <f t="shared" si="31"/>
        <v>#N/A</v>
      </c>
      <c r="CU83" s="351" t="e">
        <f t="shared" si="32"/>
        <v>#N/A</v>
      </c>
      <c r="CV83" s="351"/>
      <c r="CW83" s="361" t="s">
        <v>3460</v>
      </c>
      <c r="CX83" s="367">
        <v>1</v>
      </c>
      <c r="CY83" s="368"/>
      <c r="CZ83" s="367">
        <v>1</v>
      </c>
      <c r="DA83" s="369"/>
      <c r="DB83" s="367">
        <v>1</v>
      </c>
      <c r="DC83" s="368"/>
      <c r="DD83" s="367">
        <v>1</v>
      </c>
      <c r="DE83" s="368"/>
      <c r="DF83" s="367">
        <v>1</v>
      </c>
      <c r="DG83" s="368"/>
      <c r="DH83" s="368"/>
      <c r="DI83" s="373">
        <v>1</v>
      </c>
      <c r="DJ83" s="351" t="e">
        <f t="shared" si="33"/>
        <v>#N/A</v>
      </c>
      <c r="DK83" s="351" t="e">
        <f t="shared" si="34"/>
        <v>#N/A</v>
      </c>
      <c r="DL83" s="351"/>
      <c r="DM83" s="361" t="s">
        <v>3461</v>
      </c>
      <c r="DN83" s="367">
        <v>1</v>
      </c>
      <c r="DO83" s="368"/>
      <c r="DP83" s="367">
        <v>1</v>
      </c>
      <c r="DQ83" s="368"/>
      <c r="DR83" s="367">
        <v>1</v>
      </c>
      <c r="DS83" s="368"/>
      <c r="DT83" s="367">
        <v>1</v>
      </c>
      <c r="DU83" s="368"/>
      <c r="DV83" s="367">
        <v>1</v>
      </c>
      <c r="DW83" s="368"/>
      <c r="DX83" s="368"/>
      <c r="DY83" s="373">
        <v>1</v>
      </c>
      <c r="DZ83" s="351" t="e">
        <f t="shared" si="35"/>
        <v>#N/A</v>
      </c>
      <c r="EA83" s="351" t="e">
        <f t="shared" si="36"/>
        <v>#N/A</v>
      </c>
      <c r="EB83" s="351"/>
      <c r="EC83" s="157">
        <f t="shared" si="17"/>
        <v>0</v>
      </c>
      <c r="ED83" s="157">
        <f t="shared" si="18"/>
        <v>1</v>
      </c>
      <c r="EE83" s="157">
        <f t="shared" si="19"/>
        <v>0.375</v>
      </c>
      <c r="EF83" s="157">
        <f t="shared" si="20"/>
        <v>0</v>
      </c>
    </row>
    <row r="84" spans="1:136" ht="14.25" customHeight="1">
      <c r="A84" s="291" t="b">
        <f t="shared" si="37"/>
        <v>1</v>
      </c>
      <c r="B84" s="292"/>
      <c r="C84" s="355" t="s">
        <v>3462</v>
      </c>
      <c r="D84" s="345"/>
      <c r="E84" s="361" t="s">
        <v>3463</v>
      </c>
      <c r="F84" s="362">
        <v>1</v>
      </c>
      <c r="G84" s="365"/>
      <c r="H84" s="362">
        <v>1</v>
      </c>
      <c r="I84" s="365"/>
      <c r="J84" s="362">
        <v>1</v>
      </c>
      <c r="K84" s="365"/>
      <c r="L84" s="362">
        <v>1</v>
      </c>
      <c r="M84" s="365"/>
      <c r="N84" s="362">
        <v>1</v>
      </c>
      <c r="O84" s="365"/>
      <c r="P84" s="370"/>
      <c r="Q84" s="360">
        <v>1</v>
      </c>
      <c r="R84" s="351" t="e">
        <f t="shared" si="21"/>
        <v>#N/A</v>
      </c>
      <c r="S84" s="351" t="e">
        <f t="shared" si="22"/>
        <v>#N/A</v>
      </c>
      <c r="T84" s="351"/>
      <c r="U84" s="361" t="s">
        <v>3464</v>
      </c>
      <c r="V84" s="362">
        <v>1</v>
      </c>
      <c r="W84" s="365"/>
      <c r="X84" s="362">
        <v>1</v>
      </c>
      <c r="Y84" s="365"/>
      <c r="Z84" s="362">
        <v>1</v>
      </c>
      <c r="AA84" s="365"/>
      <c r="AB84" s="362">
        <v>1</v>
      </c>
      <c r="AC84" s="365"/>
      <c r="AD84" s="362">
        <v>1</v>
      </c>
      <c r="AE84" s="365"/>
      <c r="AF84" s="370"/>
      <c r="AG84" s="360">
        <v>1</v>
      </c>
      <c r="AH84" s="351" t="e">
        <f t="shared" si="23"/>
        <v>#N/A</v>
      </c>
      <c r="AI84" s="351" t="e">
        <f t="shared" si="24"/>
        <v>#N/A</v>
      </c>
      <c r="AJ84" s="351"/>
      <c r="AK84" s="361" t="s">
        <v>3465</v>
      </c>
      <c r="AL84" s="362">
        <v>1</v>
      </c>
      <c r="AM84" s="365"/>
      <c r="AN84" s="362">
        <v>1</v>
      </c>
      <c r="AO84" s="365"/>
      <c r="AP84" s="362">
        <v>1</v>
      </c>
      <c r="AQ84" s="365"/>
      <c r="AR84" s="362">
        <v>1</v>
      </c>
      <c r="AS84" s="365"/>
      <c r="AT84" s="362">
        <v>1</v>
      </c>
      <c r="AU84" s="365"/>
      <c r="AV84" s="370"/>
      <c r="AW84" s="360">
        <v>1</v>
      </c>
      <c r="AX84" s="351" t="e">
        <f t="shared" si="25"/>
        <v>#N/A</v>
      </c>
      <c r="AY84" s="351" t="e">
        <f t="shared" si="26"/>
        <v>#N/A</v>
      </c>
      <c r="AZ84" s="351"/>
      <c r="BA84" s="361" t="s">
        <v>3466</v>
      </c>
      <c r="BB84" s="362">
        <v>1</v>
      </c>
      <c r="BC84" s="365"/>
      <c r="BD84" s="362">
        <v>1</v>
      </c>
      <c r="BE84" s="365"/>
      <c r="BF84" s="362">
        <v>1</v>
      </c>
      <c r="BG84" s="365"/>
      <c r="BH84" s="362">
        <v>1</v>
      </c>
      <c r="BI84" s="365"/>
      <c r="BJ84" s="362">
        <v>1</v>
      </c>
      <c r="BK84" s="365"/>
      <c r="BL84" s="370"/>
      <c r="BM84" s="360">
        <v>1</v>
      </c>
      <c r="BN84" s="351" t="e">
        <f t="shared" si="27"/>
        <v>#N/A</v>
      </c>
      <c r="BO84" s="351" t="e">
        <f t="shared" si="28"/>
        <v>#N/A</v>
      </c>
      <c r="BP84" s="351"/>
      <c r="BQ84" s="361" t="s">
        <v>3466</v>
      </c>
      <c r="BR84" s="362">
        <v>1</v>
      </c>
      <c r="BS84" s="365"/>
      <c r="BT84" s="362">
        <v>1</v>
      </c>
      <c r="BU84" s="365"/>
      <c r="BV84" s="362">
        <v>1</v>
      </c>
      <c r="BW84" s="365"/>
      <c r="BX84" s="362">
        <v>1</v>
      </c>
      <c r="BY84" s="365"/>
      <c r="BZ84" s="362">
        <v>1</v>
      </c>
      <c r="CA84" s="365"/>
      <c r="CB84" s="370"/>
      <c r="CC84" s="360">
        <v>1</v>
      </c>
      <c r="CD84" s="351" t="e">
        <f t="shared" si="29"/>
        <v>#N/A</v>
      </c>
      <c r="CE84" s="351" t="e">
        <f t="shared" si="30"/>
        <v>#N/A</v>
      </c>
      <c r="CF84" s="351"/>
      <c r="CG84" s="361" t="s">
        <v>3467</v>
      </c>
      <c r="CH84" s="362">
        <v>1</v>
      </c>
      <c r="CI84" s="365"/>
      <c r="CJ84" s="362">
        <v>1</v>
      </c>
      <c r="CK84" s="365"/>
      <c r="CL84" s="362">
        <v>1</v>
      </c>
      <c r="CM84" s="365"/>
      <c r="CN84" s="362">
        <v>1</v>
      </c>
      <c r="CO84" s="365"/>
      <c r="CP84" s="362">
        <v>1</v>
      </c>
      <c r="CQ84" s="365"/>
      <c r="CR84" s="370"/>
      <c r="CS84" s="360">
        <v>1</v>
      </c>
      <c r="CT84" s="351" t="e">
        <f t="shared" si="31"/>
        <v>#N/A</v>
      </c>
      <c r="CU84" s="351" t="e">
        <f t="shared" si="32"/>
        <v>#N/A</v>
      </c>
      <c r="CV84" s="351"/>
      <c r="CW84" s="361" t="s">
        <v>3468</v>
      </c>
      <c r="CX84" s="362">
        <v>1</v>
      </c>
      <c r="CY84" s="365"/>
      <c r="CZ84" s="362">
        <v>1</v>
      </c>
      <c r="DA84" s="365"/>
      <c r="DB84" s="362">
        <v>1</v>
      </c>
      <c r="DC84" s="365"/>
      <c r="DD84" s="362">
        <v>1</v>
      </c>
      <c r="DE84" s="365"/>
      <c r="DF84" s="362">
        <v>1</v>
      </c>
      <c r="DG84" s="365"/>
      <c r="DH84" s="370"/>
      <c r="DI84" s="360">
        <v>1</v>
      </c>
      <c r="DJ84" s="351" t="e">
        <f t="shared" si="33"/>
        <v>#N/A</v>
      </c>
      <c r="DK84" s="351" t="e">
        <f t="shared" si="34"/>
        <v>#N/A</v>
      </c>
      <c r="DL84" s="351"/>
      <c r="DM84" s="361" t="s">
        <v>3469</v>
      </c>
      <c r="DN84" s="362">
        <v>1</v>
      </c>
      <c r="DO84" s="365"/>
      <c r="DP84" s="362">
        <v>1</v>
      </c>
      <c r="DQ84" s="365"/>
      <c r="DR84" s="362">
        <v>1</v>
      </c>
      <c r="DS84" s="365"/>
      <c r="DT84" s="362">
        <v>1</v>
      </c>
      <c r="DU84" s="365"/>
      <c r="DV84" s="362">
        <v>1</v>
      </c>
      <c r="DW84" s="365"/>
      <c r="DX84" s="370"/>
      <c r="DY84" s="360">
        <v>1</v>
      </c>
      <c r="DZ84" s="351" t="e">
        <f t="shared" si="35"/>
        <v>#N/A</v>
      </c>
      <c r="EA84" s="351" t="e">
        <f t="shared" si="36"/>
        <v>#N/A</v>
      </c>
      <c r="EB84" s="351"/>
      <c r="EC84" s="157">
        <f t="shared" si="17"/>
        <v>1</v>
      </c>
      <c r="ED84" s="157">
        <f t="shared" si="18"/>
        <v>1</v>
      </c>
      <c r="EE84" s="157">
        <f t="shared" si="19"/>
        <v>1</v>
      </c>
      <c r="EF84" s="157">
        <f t="shared" si="20"/>
        <v>1</v>
      </c>
    </row>
    <row r="85" spans="1:136" ht="14.25" customHeight="1">
      <c r="A85" s="291" t="b">
        <f t="shared" si="37"/>
        <v>0</v>
      </c>
      <c r="B85" s="292"/>
      <c r="C85" s="355" t="s">
        <v>3470</v>
      </c>
      <c r="D85" s="345"/>
      <c r="E85" s="356" t="s">
        <v>3234</v>
      </c>
      <c r="F85" s="357">
        <v>0</v>
      </c>
      <c r="G85" s="358"/>
      <c r="H85" s="357">
        <v>0</v>
      </c>
      <c r="I85" s="358"/>
      <c r="J85" s="357">
        <v>0</v>
      </c>
      <c r="K85" s="358"/>
      <c r="L85" s="357">
        <v>0</v>
      </c>
      <c r="M85" s="358"/>
      <c r="N85" s="357">
        <v>0</v>
      </c>
      <c r="O85" s="358"/>
      <c r="P85" s="359"/>
      <c r="Q85" s="373">
        <v>1</v>
      </c>
      <c r="R85" s="351" t="e">
        <f t="shared" si="21"/>
        <v>#N/A</v>
      </c>
      <c r="S85" s="351" t="e">
        <f t="shared" si="22"/>
        <v>#N/A</v>
      </c>
      <c r="T85" s="351"/>
      <c r="U85" s="356" t="s">
        <v>3234</v>
      </c>
      <c r="V85" s="357">
        <v>0</v>
      </c>
      <c r="W85" s="374"/>
      <c r="X85" s="375">
        <v>0</v>
      </c>
      <c r="Y85" s="374"/>
      <c r="Z85" s="375">
        <v>0</v>
      </c>
      <c r="AA85" s="374"/>
      <c r="AB85" s="375">
        <v>0</v>
      </c>
      <c r="AC85" s="374"/>
      <c r="AD85" s="375">
        <v>0</v>
      </c>
      <c r="AE85" s="374"/>
      <c r="AF85" s="374"/>
      <c r="AG85" s="373">
        <v>1</v>
      </c>
      <c r="AH85" s="351" t="e">
        <f t="shared" si="23"/>
        <v>#N/A</v>
      </c>
      <c r="AI85" s="351" t="e">
        <f t="shared" si="24"/>
        <v>#N/A</v>
      </c>
      <c r="AJ85" s="351"/>
      <c r="AK85" s="371" t="s">
        <v>3471</v>
      </c>
      <c r="AL85" s="372">
        <v>0.7</v>
      </c>
      <c r="AM85" s="358"/>
      <c r="AN85" s="372">
        <v>0.7</v>
      </c>
      <c r="AO85" s="358"/>
      <c r="AP85" s="372">
        <v>0.7</v>
      </c>
      <c r="AQ85" s="358"/>
      <c r="AR85" s="372">
        <v>0.7</v>
      </c>
      <c r="AS85" s="358"/>
      <c r="AT85" s="372">
        <v>0.7</v>
      </c>
      <c r="AU85" s="358"/>
      <c r="AV85" s="358"/>
      <c r="AW85" s="373">
        <v>1</v>
      </c>
      <c r="AX85" s="351" t="e">
        <f t="shared" si="25"/>
        <v>#N/A</v>
      </c>
      <c r="AY85" s="351" t="e">
        <f t="shared" si="26"/>
        <v>#N/A</v>
      </c>
      <c r="AZ85" s="351"/>
      <c r="BA85" s="356" t="s">
        <v>3234</v>
      </c>
      <c r="BB85" s="381">
        <v>0</v>
      </c>
      <c r="BC85" s="358"/>
      <c r="BD85" s="381">
        <v>0</v>
      </c>
      <c r="BE85" s="358"/>
      <c r="BF85" s="381">
        <v>0</v>
      </c>
      <c r="BG85" s="358"/>
      <c r="BH85" s="381">
        <v>0</v>
      </c>
      <c r="BI85" s="358"/>
      <c r="BJ85" s="381">
        <v>0</v>
      </c>
      <c r="BK85" s="358"/>
      <c r="BL85" s="358"/>
      <c r="BM85" s="373">
        <v>1</v>
      </c>
      <c r="BN85" s="351" t="e">
        <f t="shared" si="27"/>
        <v>#N/A</v>
      </c>
      <c r="BO85" s="351" t="e">
        <f t="shared" si="28"/>
        <v>#N/A</v>
      </c>
      <c r="BP85" s="351"/>
      <c r="BQ85" s="356" t="s">
        <v>3234</v>
      </c>
      <c r="BR85" s="376">
        <v>0</v>
      </c>
      <c r="BS85" s="382"/>
      <c r="BT85" s="376">
        <v>0</v>
      </c>
      <c r="BU85" s="382"/>
      <c r="BV85" s="376">
        <v>0</v>
      </c>
      <c r="BW85" s="382"/>
      <c r="BX85" s="376">
        <v>0</v>
      </c>
      <c r="BY85" s="382"/>
      <c r="BZ85" s="376">
        <v>0</v>
      </c>
      <c r="CA85" s="382"/>
      <c r="CB85" s="382"/>
      <c r="CC85" s="373">
        <v>1</v>
      </c>
      <c r="CD85" s="351" t="e">
        <f t="shared" si="29"/>
        <v>#N/A</v>
      </c>
      <c r="CE85" s="351" t="e">
        <f t="shared" si="30"/>
        <v>#N/A</v>
      </c>
      <c r="CF85" s="351"/>
      <c r="CG85" s="356" t="s">
        <v>3234</v>
      </c>
      <c r="CH85" s="376">
        <v>0</v>
      </c>
      <c r="CI85" s="377"/>
      <c r="CJ85" s="376">
        <v>0</v>
      </c>
      <c r="CK85" s="377"/>
      <c r="CL85" s="376">
        <v>0</v>
      </c>
      <c r="CM85" s="377"/>
      <c r="CN85" s="376">
        <v>0</v>
      </c>
      <c r="CO85" s="377"/>
      <c r="CP85" s="376">
        <v>0</v>
      </c>
      <c r="CQ85" s="377"/>
      <c r="CR85" s="377"/>
      <c r="CS85" s="373">
        <v>1</v>
      </c>
      <c r="CT85" s="351" t="e">
        <f t="shared" si="31"/>
        <v>#N/A</v>
      </c>
      <c r="CU85" s="351" t="e">
        <f t="shared" si="32"/>
        <v>#N/A</v>
      </c>
      <c r="CV85" s="351"/>
      <c r="CW85" s="356" t="s">
        <v>3234</v>
      </c>
      <c r="CX85" s="376">
        <v>0</v>
      </c>
      <c r="CY85" s="377"/>
      <c r="CZ85" s="376">
        <v>0</v>
      </c>
      <c r="DA85" s="379"/>
      <c r="DB85" s="376">
        <v>0</v>
      </c>
      <c r="DC85" s="377"/>
      <c r="DD85" s="376">
        <v>0</v>
      </c>
      <c r="DE85" s="377"/>
      <c r="DF85" s="376">
        <v>0</v>
      </c>
      <c r="DG85" s="377"/>
      <c r="DH85" s="377"/>
      <c r="DI85" s="373">
        <v>1</v>
      </c>
      <c r="DJ85" s="351" t="e">
        <f t="shared" si="33"/>
        <v>#N/A</v>
      </c>
      <c r="DK85" s="351" t="e">
        <f t="shared" si="34"/>
        <v>#N/A</v>
      </c>
      <c r="DL85" s="351"/>
      <c r="DM85" s="361" t="s">
        <v>3472</v>
      </c>
      <c r="DN85" s="367">
        <v>0.9</v>
      </c>
      <c r="DO85" s="368"/>
      <c r="DP85" s="367">
        <v>0.9</v>
      </c>
      <c r="DQ85" s="368"/>
      <c r="DR85" s="367">
        <v>0.9</v>
      </c>
      <c r="DS85" s="368"/>
      <c r="DT85" s="367">
        <v>0.9</v>
      </c>
      <c r="DU85" s="368"/>
      <c r="DV85" s="367">
        <v>0.9</v>
      </c>
      <c r="DW85" s="368"/>
      <c r="DX85" s="368"/>
      <c r="DY85" s="373">
        <v>1</v>
      </c>
      <c r="DZ85" s="351" t="e">
        <f t="shared" si="35"/>
        <v>#N/A</v>
      </c>
      <c r="EA85" s="351" t="e">
        <f t="shared" si="36"/>
        <v>#N/A</v>
      </c>
      <c r="EB85" s="351"/>
      <c r="EC85" s="157">
        <f t="shared" si="17"/>
        <v>0</v>
      </c>
      <c r="ED85" s="157">
        <f t="shared" si="18"/>
        <v>0.9</v>
      </c>
      <c r="EE85" s="157">
        <f t="shared" si="19"/>
        <v>0.20000000000000004</v>
      </c>
      <c r="EF85" s="157">
        <f t="shared" si="20"/>
        <v>0</v>
      </c>
    </row>
    <row r="86" spans="1:136" ht="14.25" customHeight="1">
      <c r="A86" s="291" t="b">
        <f t="shared" si="37"/>
        <v>0</v>
      </c>
      <c r="B86" s="292"/>
      <c r="C86" s="355" t="s">
        <v>3473</v>
      </c>
      <c r="D86" s="345"/>
      <c r="E86" s="361" t="s">
        <v>3474</v>
      </c>
      <c r="F86" s="362">
        <v>1</v>
      </c>
      <c r="G86" s="365"/>
      <c r="H86" s="362">
        <v>1</v>
      </c>
      <c r="I86" s="365"/>
      <c r="J86" s="362">
        <v>1</v>
      </c>
      <c r="K86" s="365"/>
      <c r="L86" s="362">
        <v>1</v>
      </c>
      <c r="M86" s="365"/>
      <c r="N86" s="362">
        <v>1</v>
      </c>
      <c r="O86" s="365"/>
      <c r="P86" s="370"/>
      <c r="Q86" s="360">
        <v>1</v>
      </c>
      <c r="R86" s="351" t="e">
        <f t="shared" si="21"/>
        <v>#N/A</v>
      </c>
      <c r="S86" s="351" t="e">
        <f t="shared" si="22"/>
        <v>#N/A</v>
      </c>
      <c r="T86" s="351"/>
      <c r="U86" s="361" t="s">
        <v>3474</v>
      </c>
      <c r="V86" s="362">
        <v>1</v>
      </c>
      <c r="W86" s="365"/>
      <c r="X86" s="362">
        <v>1</v>
      </c>
      <c r="Y86" s="365"/>
      <c r="Z86" s="362">
        <v>1</v>
      </c>
      <c r="AA86" s="365"/>
      <c r="AB86" s="362">
        <v>1</v>
      </c>
      <c r="AC86" s="365"/>
      <c r="AD86" s="362">
        <v>1</v>
      </c>
      <c r="AE86" s="365"/>
      <c r="AF86" s="370"/>
      <c r="AG86" s="360">
        <v>1</v>
      </c>
      <c r="AH86" s="351" t="e">
        <f t="shared" si="23"/>
        <v>#N/A</v>
      </c>
      <c r="AI86" s="351" t="e">
        <f t="shared" si="24"/>
        <v>#N/A</v>
      </c>
      <c r="AJ86" s="351"/>
      <c r="AK86" s="361" t="s">
        <v>3474</v>
      </c>
      <c r="AL86" s="362">
        <v>1</v>
      </c>
      <c r="AM86" s="365"/>
      <c r="AN86" s="362">
        <v>1</v>
      </c>
      <c r="AO86" s="365"/>
      <c r="AP86" s="362">
        <v>1</v>
      </c>
      <c r="AQ86" s="365"/>
      <c r="AR86" s="362">
        <v>1</v>
      </c>
      <c r="AS86" s="365"/>
      <c r="AT86" s="362">
        <v>1</v>
      </c>
      <c r="AU86" s="365"/>
      <c r="AV86" s="370"/>
      <c r="AW86" s="360">
        <v>1</v>
      </c>
      <c r="AX86" s="351" t="e">
        <f t="shared" si="25"/>
        <v>#N/A</v>
      </c>
      <c r="AY86" s="351" t="e">
        <f t="shared" si="26"/>
        <v>#N/A</v>
      </c>
      <c r="AZ86" s="351"/>
      <c r="BA86" s="361" t="s">
        <v>3474</v>
      </c>
      <c r="BB86" s="362">
        <v>1</v>
      </c>
      <c r="BC86" s="365"/>
      <c r="BD86" s="362">
        <v>1</v>
      </c>
      <c r="BE86" s="365"/>
      <c r="BF86" s="362">
        <v>1</v>
      </c>
      <c r="BG86" s="365"/>
      <c r="BH86" s="362">
        <v>1</v>
      </c>
      <c r="BI86" s="365"/>
      <c r="BJ86" s="362">
        <v>1</v>
      </c>
      <c r="BK86" s="365"/>
      <c r="BL86" s="370"/>
      <c r="BM86" s="360">
        <v>1</v>
      </c>
      <c r="BN86" s="351" t="e">
        <f t="shared" si="27"/>
        <v>#N/A</v>
      </c>
      <c r="BO86" s="351" t="e">
        <f t="shared" si="28"/>
        <v>#N/A</v>
      </c>
      <c r="BP86" s="351"/>
      <c r="BQ86" s="361" t="s">
        <v>3474</v>
      </c>
      <c r="BR86" s="362">
        <v>1</v>
      </c>
      <c r="BS86" s="365"/>
      <c r="BT86" s="362">
        <v>1</v>
      </c>
      <c r="BU86" s="365"/>
      <c r="BV86" s="362">
        <v>1</v>
      </c>
      <c r="BW86" s="365"/>
      <c r="BX86" s="362">
        <v>1</v>
      </c>
      <c r="BY86" s="365"/>
      <c r="BZ86" s="362">
        <v>1</v>
      </c>
      <c r="CA86" s="365"/>
      <c r="CB86" s="370"/>
      <c r="CC86" s="360">
        <v>1</v>
      </c>
      <c r="CD86" s="351" t="e">
        <f t="shared" si="29"/>
        <v>#N/A</v>
      </c>
      <c r="CE86" s="351" t="e">
        <f t="shared" si="30"/>
        <v>#N/A</v>
      </c>
      <c r="CF86" s="351"/>
      <c r="CG86" s="361" t="s">
        <v>3474</v>
      </c>
      <c r="CH86" s="362">
        <v>0.9</v>
      </c>
      <c r="CI86" s="365"/>
      <c r="CJ86" s="362">
        <v>0.9</v>
      </c>
      <c r="CK86" s="365"/>
      <c r="CL86" s="362">
        <v>0.9</v>
      </c>
      <c r="CM86" s="365"/>
      <c r="CN86" s="362">
        <v>0.9</v>
      </c>
      <c r="CO86" s="365"/>
      <c r="CP86" s="362">
        <v>0.9</v>
      </c>
      <c r="CQ86" s="365"/>
      <c r="CR86" s="370"/>
      <c r="CS86" s="360">
        <v>1</v>
      </c>
      <c r="CT86" s="351" t="e">
        <f t="shared" si="31"/>
        <v>#N/A</v>
      </c>
      <c r="CU86" s="351" t="e">
        <f t="shared" si="32"/>
        <v>#N/A</v>
      </c>
      <c r="CV86" s="351"/>
      <c r="CW86" s="361" t="s">
        <v>3474</v>
      </c>
      <c r="CX86" s="362">
        <v>1</v>
      </c>
      <c r="CY86" s="365"/>
      <c r="CZ86" s="362">
        <v>1</v>
      </c>
      <c r="DA86" s="365"/>
      <c r="DB86" s="362">
        <v>1</v>
      </c>
      <c r="DC86" s="365"/>
      <c r="DD86" s="362">
        <v>1</v>
      </c>
      <c r="DE86" s="365"/>
      <c r="DF86" s="362">
        <v>1</v>
      </c>
      <c r="DG86" s="365"/>
      <c r="DH86" s="370"/>
      <c r="DI86" s="360">
        <v>1</v>
      </c>
      <c r="DJ86" s="351" t="e">
        <f t="shared" si="33"/>
        <v>#N/A</v>
      </c>
      <c r="DK86" s="351" t="e">
        <f t="shared" si="34"/>
        <v>#N/A</v>
      </c>
      <c r="DL86" s="351"/>
      <c r="DM86" s="361" t="s">
        <v>3474</v>
      </c>
      <c r="DN86" s="362">
        <v>1</v>
      </c>
      <c r="DO86" s="365"/>
      <c r="DP86" s="362">
        <v>1</v>
      </c>
      <c r="DQ86" s="365"/>
      <c r="DR86" s="362">
        <v>1</v>
      </c>
      <c r="DS86" s="365"/>
      <c r="DT86" s="362">
        <v>1</v>
      </c>
      <c r="DU86" s="365"/>
      <c r="DV86" s="362">
        <v>1</v>
      </c>
      <c r="DW86" s="365"/>
      <c r="DX86" s="370"/>
      <c r="DY86" s="360">
        <v>1</v>
      </c>
      <c r="DZ86" s="351" t="e">
        <f t="shared" si="35"/>
        <v>#N/A</v>
      </c>
      <c r="EA86" s="351" t="e">
        <f t="shared" si="36"/>
        <v>#N/A</v>
      </c>
      <c r="EB86" s="351"/>
      <c r="EC86" s="157">
        <f t="shared" si="17"/>
        <v>0.9</v>
      </c>
      <c r="ED86" s="157">
        <f t="shared" si="18"/>
        <v>1</v>
      </c>
      <c r="EE86" s="157">
        <f t="shared" si="19"/>
        <v>0.98749999999999982</v>
      </c>
      <c r="EF86" s="157">
        <f t="shared" si="20"/>
        <v>1</v>
      </c>
    </row>
    <row r="87" spans="1:136" ht="14.25" customHeight="1">
      <c r="A87" s="291" t="b">
        <f t="shared" si="37"/>
        <v>1</v>
      </c>
      <c r="B87" s="292"/>
      <c r="C87" s="355" t="s">
        <v>3475</v>
      </c>
      <c r="D87" s="345"/>
      <c r="E87" s="361" t="s">
        <v>3476</v>
      </c>
      <c r="F87" s="362">
        <v>1</v>
      </c>
      <c r="G87" s="365"/>
      <c r="H87" s="362">
        <v>1</v>
      </c>
      <c r="I87" s="365"/>
      <c r="J87" s="362">
        <v>1</v>
      </c>
      <c r="K87" s="365"/>
      <c r="L87" s="362">
        <v>1</v>
      </c>
      <c r="M87" s="365"/>
      <c r="N87" s="362">
        <v>1</v>
      </c>
      <c r="O87" s="365"/>
      <c r="P87" s="370"/>
      <c r="Q87" s="360">
        <v>1</v>
      </c>
      <c r="R87" s="351" t="e">
        <f t="shared" si="21"/>
        <v>#N/A</v>
      </c>
      <c r="S87" s="351" t="e">
        <f t="shared" si="22"/>
        <v>#N/A</v>
      </c>
      <c r="T87" s="351"/>
      <c r="U87" s="361" t="s">
        <v>3476</v>
      </c>
      <c r="V87" s="362">
        <v>1</v>
      </c>
      <c r="W87" s="363"/>
      <c r="X87" s="364">
        <v>1</v>
      </c>
      <c r="Y87" s="363"/>
      <c r="Z87" s="364">
        <v>1</v>
      </c>
      <c r="AA87" s="363"/>
      <c r="AB87" s="364">
        <v>1</v>
      </c>
      <c r="AC87" s="363"/>
      <c r="AD87" s="364">
        <v>1</v>
      </c>
      <c r="AE87" s="363"/>
      <c r="AF87" s="363"/>
      <c r="AG87" s="360">
        <v>1</v>
      </c>
      <c r="AH87" s="351" t="e">
        <f t="shared" si="23"/>
        <v>#N/A</v>
      </c>
      <c r="AI87" s="351" t="e">
        <f t="shared" si="24"/>
        <v>#N/A</v>
      </c>
      <c r="AJ87" s="351"/>
      <c r="AK87" s="361" t="s">
        <v>3476</v>
      </c>
      <c r="AL87" s="362">
        <v>1</v>
      </c>
      <c r="AM87" s="365"/>
      <c r="AN87" s="362">
        <v>1</v>
      </c>
      <c r="AO87" s="365"/>
      <c r="AP87" s="362">
        <v>1</v>
      </c>
      <c r="AQ87" s="365"/>
      <c r="AR87" s="362">
        <v>1</v>
      </c>
      <c r="AS87" s="365"/>
      <c r="AT87" s="362">
        <v>1</v>
      </c>
      <c r="AU87" s="365"/>
      <c r="AV87" s="365"/>
      <c r="AW87" s="360">
        <v>1</v>
      </c>
      <c r="AX87" s="351" t="e">
        <f t="shared" si="25"/>
        <v>#N/A</v>
      </c>
      <c r="AY87" s="351" t="e">
        <f t="shared" si="26"/>
        <v>#N/A</v>
      </c>
      <c r="AZ87" s="351"/>
      <c r="BA87" s="361" t="s">
        <v>3476</v>
      </c>
      <c r="BB87" s="366">
        <v>1</v>
      </c>
      <c r="BC87" s="365"/>
      <c r="BD87" s="366">
        <v>1</v>
      </c>
      <c r="BE87" s="365"/>
      <c r="BF87" s="366">
        <v>1</v>
      </c>
      <c r="BG87" s="365"/>
      <c r="BH87" s="366">
        <v>1</v>
      </c>
      <c r="BI87" s="365"/>
      <c r="BJ87" s="366">
        <v>1</v>
      </c>
      <c r="BK87" s="365"/>
      <c r="BL87" s="365"/>
      <c r="BM87" s="360">
        <v>1</v>
      </c>
      <c r="BN87" s="351" t="e">
        <f t="shared" si="27"/>
        <v>#N/A</v>
      </c>
      <c r="BO87" s="351" t="e">
        <f t="shared" si="28"/>
        <v>#N/A</v>
      </c>
      <c r="BP87" s="351"/>
      <c r="BQ87" s="361" t="s">
        <v>3476</v>
      </c>
      <c r="BR87" s="367">
        <v>1</v>
      </c>
      <c r="BS87" s="368"/>
      <c r="BT87" s="367">
        <v>1</v>
      </c>
      <c r="BU87" s="368"/>
      <c r="BV87" s="367">
        <v>1</v>
      </c>
      <c r="BW87" s="368"/>
      <c r="BX87" s="367">
        <v>1</v>
      </c>
      <c r="BY87" s="368"/>
      <c r="BZ87" s="367">
        <v>1</v>
      </c>
      <c r="CA87" s="368"/>
      <c r="CB87" s="368"/>
      <c r="CC87" s="360">
        <v>1</v>
      </c>
      <c r="CD87" s="351" t="e">
        <f t="shared" si="29"/>
        <v>#N/A</v>
      </c>
      <c r="CE87" s="351" t="e">
        <f t="shared" si="30"/>
        <v>#N/A</v>
      </c>
      <c r="CF87" s="351"/>
      <c r="CG87" s="361" t="s">
        <v>3476</v>
      </c>
      <c r="CH87" s="367">
        <v>1</v>
      </c>
      <c r="CI87" s="368"/>
      <c r="CJ87" s="367">
        <v>1</v>
      </c>
      <c r="CK87" s="368"/>
      <c r="CL87" s="367">
        <v>1</v>
      </c>
      <c r="CM87" s="368"/>
      <c r="CN87" s="367">
        <v>1</v>
      </c>
      <c r="CO87" s="368"/>
      <c r="CP87" s="367">
        <v>1</v>
      </c>
      <c r="CQ87" s="368"/>
      <c r="CR87" s="368"/>
      <c r="CS87" s="360">
        <v>1</v>
      </c>
      <c r="CT87" s="351" t="e">
        <f t="shared" si="31"/>
        <v>#N/A</v>
      </c>
      <c r="CU87" s="351" t="e">
        <f t="shared" si="32"/>
        <v>#N/A</v>
      </c>
      <c r="CV87" s="351"/>
      <c r="CW87" s="361" t="s">
        <v>3476</v>
      </c>
      <c r="CX87" s="367">
        <v>1</v>
      </c>
      <c r="CY87" s="368"/>
      <c r="CZ87" s="367">
        <v>1</v>
      </c>
      <c r="DA87" s="369"/>
      <c r="DB87" s="367">
        <v>1</v>
      </c>
      <c r="DC87" s="368"/>
      <c r="DD87" s="367">
        <v>1</v>
      </c>
      <c r="DE87" s="368"/>
      <c r="DF87" s="367">
        <v>1</v>
      </c>
      <c r="DG87" s="368"/>
      <c r="DH87" s="368"/>
      <c r="DI87" s="360">
        <v>1</v>
      </c>
      <c r="DJ87" s="351" t="e">
        <f t="shared" si="33"/>
        <v>#N/A</v>
      </c>
      <c r="DK87" s="351" t="e">
        <f t="shared" si="34"/>
        <v>#N/A</v>
      </c>
      <c r="DL87" s="351"/>
      <c r="DM87" s="361" t="s">
        <v>3476</v>
      </c>
      <c r="DN87" s="367">
        <v>1</v>
      </c>
      <c r="DO87" s="368"/>
      <c r="DP87" s="367">
        <v>1</v>
      </c>
      <c r="DQ87" s="368"/>
      <c r="DR87" s="367">
        <v>1</v>
      </c>
      <c r="DS87" s="368"/>
      <c r="DT87" s="367">
        <v>1</v>
      </c>
      <c r="DU87" s="368"/>
      <c r="DV87" s="367">
        <v>1</v>
      </c>
      <c r="DW87" s="368"/>
      <c r="DX87" s="368"/>
      <c r="DY87" s="360">
        <v>1</v>
      </c>
      <c r="DZ87" s="351" t="e">
        <f t="shared" si="35"/>
        <v>#N/A</v>
      </c>
      <c r="EA87" s="351" t="e">
        <f t="shared" si="36"/>
        <v>#N/A</v>
      </c>
      <c r="EB87" s="351"/>
      <c r="EC87" s="157">
        <f t="shared" si="17"/>
        <v>1</v>
      </c>
      <c r="ED87" s="157">
        <f t="shared" si="18"/>
        <v>1</v>
      </c>
      <c r="EE87" s="157">
        <f t="shared" si="19"/>
        <v>1</v>
      </c>
      <c r="EF87" s="157">
        <f t="shared" si="20"/>
        <v>1</v>
      </c>
    </row>
    <row r="88" spans="1:136" ht="14.25" customHeight="1">
      <c r="A88" s="291" t="b">
        <f t="shared" si="37"/>
        <v>0</v>
      </c>
      <c r="B88" s="292"/>
      <c r="C88" s="355" t="s">
        <v>3477</v>
      </c>
      <c r="D88" s="345"/>
      <c r="E88" s="371" t="s">
        <v>3478</v>
      </c>
      <c r="F88" s="372">
        <v>1</v>
      </c>
      <c r="G88" s="358"/>
      <c r="H88" s="372">
        <v>1</v>
      </c>
      <c r="I88" s="358"/>
      <c r="J88" s="372">
        <v>1</v>
      </c>
      <c r="K88" s="358"/>
      <c r="L88" s="372">
        <v>1</v>
      </c>
      <c r="M88" s="358"/>
      <c r="N88" s="372">
        <v>1</v>
      </c>
      <c r="O88" s="358"/>
      <c r="P88" s="415" t="s">
        <v>3479</v>
      </c>
      <c r="Q88" s="360">
        <v>1</v>
      </c>
      <c r="R88" s="351" t="e">
        <f t="shared" si="21"/>
        <v>#N/A</v>
      </c>
      <c r="S88" s="351" t="e">
        <f t="shared" si="22"/>
        <v>#N/A</v>
      </c>
      <c r="T88" s="351"/>
      <c r="U88" s="361" t="s">
        <v>3480</v>
      </c>
      <c r="V88" s="372">
        <v>0</v>
      </c>
      <c r="W88" s="358"/>
      <c r="X88" s="372">
        <v>0</v>
      </c>
      <c r="Y88" s="358"/>
      <c r="Z88" s="372">
        <v>0</v>
      </c>
      <c r="AA88" s="358"/>
      <c r="AB88" s="372">
        <v>0</v>
      </c>
      <c r="AC88" s="358"/>
      <c r="AD88" s="372">
        <v>0</v>
      </c>
      <c r="AE88" s="358"/>
      <c r="AF88" s="415" t="s">
        <v>3479</v>
      </c>
      <c r="AG88" s="360">
        <v>1</v>
      </c>
      <c r="AH88" s="351" t="e">
        <f t="shared" si="23"/>
        <v>#N/A</v>
      </c>
      <c r="AI88" s="351" t="e">
        <f t="shared" si="24"/>
        <v>#N/A</v>
      </c>
      <c r="AJ88" s="351"/>
      <c r="AK88" s="361" t="s">
        <v>3480</v>
      </c>
      <c r="AL88" s="372">
        <v>0</v>
      </c>
      <c r="AM88" s="358"/>
      <c r="AN88" s="372">
        <v>0</v>
      </c>
      <c r="AO88" s="358"/>
      <c r="AP88" s="372">
        <v>0</v>
      </c>
      <c r="AQ88" s="358"/>
      <c r="AR88" s="372">
        <v>0</v>
      </c>
      <c r="AS88" s="358"/>
      <c r="AT88" s="372">
        <v>0</v>
      </c>
      <c r="AU88" s="358"/>
      <c r="AV88" s="415" t="s">
        <v>3479</v>
      </c>
      <c r="AW88" s="360">
        <v>1</v>
      </c>
      <c r="AX88" s="351" t="e">
        <f t="shared" si="25"/>
        <v>#N/A</v>
      </c>
      <c r="AY88" s="351" t="e">
        <f t="shared" si="26"/>
        <v>#N/A</v>
      </c>
      <c r="AZ88" s="351"/>
      <c r="BA88" s="361" t="s">
        <v>3480</v>
      </c>
      <c r="BB88" s="372">
        <v>0</v>
      </c>
      <c r="BC88" s="358"/>
      <c r="BD88" s="372">
        <v>0</v>
      </c>
      <c r="BE88" s="358"/>
      <c r="BF88" s="372">
        <v>0</v>
      </c>
      <c r="BG88" s="358"/>
      <c r="BH88" s="372">
        <v>0</v>
      </c>
      <c r="BI88" s="358"/>
      <c r="BJ88" s="372">
        <v>0</v>
      </c>
      <c r="BK88" s="358"/>
      <c r="BL88" s="415" t="s">
        <v>3479</v>
      </c>
      <c r="BM88" s="360">
        <v>1</v>
      </c>
      <c r="BN88" s="351" t="e">
        <f t="shared" si="27"/>
        <v>#N/A</v>
      </c>
      <c r="BO88" s="351" t="e">
        <f t="shared" si="28"/>
        <v>#N/A</v>
      </c>
      <c r="BP88" s="351"/>
      <c r="BQ88" s="361" t="s">
        <v>3480</v>
      </c>
      <c r="BR88" s="372">
        <v>0</v>
      </c>
      <c r="BS88" s="358"/>
      <c r="BT88" s="372">
        <v>0</v>
      </c>
      <c r="BU88" s="358"/>
      <c r="BV88" s="372">
        <v>0</v>
      </c>
      <c r="BW88" s="358"/>
      <c r="BX88" s="372">
        <v>0</v>
      </c>
      <c r="BY88" s="358"/>
      <c r="BZ88" s="372">
        <v>0</v>
      </c>
      <c r="CA88" s="358"/>
      <c r="CB88" s="415" t="s">
        <v>3479</v>
      </c>
      <c r="CC88" s="360">
        <v>1</v>
      </c>
      <c r="CD88" s="351" t="e">
        <f t="shared" si="29"/>
        <v>#N/A</v>
      </c>
      <c r="CE88" s="351" t="e">
        <f t="shared" si="30"/>
        <v>#N/A</v>
      </c>
      <c r="CF88" s="351"/>
      <c r="CG88" s="361" t="s">
        <v>3480</v>
      </c>
      <c r="CH88" s="372">
        <v>0</v>
      </c>
      <c r="CI88" s="358"/>
      <c r="CJ88" s="372">
        <v>0</v>
      </c>
      <c r="CK88" s="358"/>
      <c r="CL88" s="372">
        <v>0</v>
      </c>
      <c r="CM88" s="358"/>
      <c r="CN88" s="372">
        <v>0</v>
      </c>
      <c r="CO88" s="358"/>
      <c r="CP88" s="372">
        <v>0</v>
      </c>
      <c r="CQ88" s="358"/>
      <c r="CR88" s="415" t="s">
        <v>3479</v>
      </c>
      <c r="CS88" s="360">
        <v>1</v>
      </c>
      <c r="CT88" s="351" t="e">
        <f t="shared" si="31"/>
        <v>#N/A</v>
      </c>
      <c r="CU88" s="351" t="e">
        <f t="shared" si="32"/>
        <v>#N/A</v>
      </c>
      <c r="CV88" s="351"/>
      <c r="CW88" s="361" t="s">
        <v>3480</v>
      </c>
      <c r="CX88" s="372">
        <v>0</v>
      </c>
      <c r="CY88" s="358"/>
      <c r="CZ88" s="372">
        <v>0</v>
      </c>
      <c r="DA88" s="358"/>
      <c r="DB88" s="372">
        <v>0</v>
      </c>
      <c r="DC88" s="358"/>
      <c r="DD88" s="372">
        <v>0</v>
      </c>
      <c r="DE88" s="358"/>
      <c r="DF88" s="372">
        <v>0</v>
      </c>
      <c r="DG88" s="358"/>
      <c r="DH88" s="415" t="s">
        <v>3479</v>
      </c>
      <c r="DI88" s="360">
        <v>1</v>
      </c>
      <c r="DJ88" s="351" t="e">
        <f t="shared" si="33"/>
        <v>#N/A</v>
      </c>
      <c r="DK88" s="351" t="e">
        <f t="shared" si="34"/>
        <v>#N/A</v>
      </c>
      <c r="DL88" s="351"/>
      <c r="DM88" s="361" t="s">
        <v>3480</v>
      </c>
      <c r="DN88" s="372">
        <v>0</v>
      </c>
      <c r="DO88" s="358"/>
      <c r="DP88" s="372">
        <v>0</v>
      </c>
      <c r="DQ88" s="358"/>
      <c r="DR88" s="372">
        <v>0</v>
      </c>
      <c r="DS88" s="358"/>
      <c r="DT88" s="372">
        <v>0</v>
      </c>
      <c r="DU88" s="358"/>
      <c r="DV88" s="372">
        <v>0</v>
      </c>
      <c r="DW88" s="358"/>
      <c r="DX88" s="415" t="s">
        <v>3479</v>
      </c>
      <c r="DY88" s="360">
        <v>1</v>
      </c>
      <c r="DZ88" s="351" t="e">
        <f t="shared" si="35"/>
        <v>#N/A</v>
      </c>
      <c r="EA88" s="351" t="e">
        <f t="shared" si="36"/>
        <v>#N/A</v>
      </c>
      <c r="EB88" s="351"/>
      <c r="EC88" s="157">
        <f t="shared" si="17"/>
        <v>0</v>
      </c>
      <c r="ED88" s="157">
        <f t="shared" si="18"/>
        <v>1</v>
      </c>
      <c r="EE88" s="157">
        <f t="shared" si="19"/>
        <v>0.125</v>
      </c>
      <c r="EF88" s="157">
        <f t="shared" si="20"/>
        <v>0</v>
      </c>
    </row>
    <row r="89" spans="1:136" ht="14.25" customHeight="1">
      <c r="A89" s="395"/>
      <c r="B89" s="337" t="s">
        <v>3481</v>
      </c>
      <c r="C89" s="395"/>
      <c r="D89" s="396"/>
      <c r="E89" s="397"/>
      <c r="F89" s="398"/>
      <c r="G89" s="399"/>
      <c r="H89" s="398"/>
      <c r="I89" s="399"/>
      <c r="J89" s="398"/>
      <c r="K89" s="399"/>
      <c r="L89" s="398"/>
      <c r="M89" s="399"/>
      <c r="N89" s="398"/>
      <c r="O89" s="399"/>
      <c r="P89" s="400"/>
      <c r="Q89" s="401"/>
      <c r="R89" s="351" t="e">
        <f t="shared" si="21"/>
        <v>#N/A</v>
      </c>
      <c r="S89" s="351" t="e">
        <f t="shared" si="22"/>
        <v>#N/A</v>
      </c>
      <c r="T89" s="351"/>
      <c r="U89" s="397"/>
      <c r="V89" s="398"/>
      <c r="W89" s="402"/>
      <c r="X89" s="403"/>
      <c r="Y89" s="402"/>
      <c r="Z89" s="403"/>
      <c r="AA89" s="402"/>
      <c r="AB89" s="403"/>
      <c r="AC89" s="402"/>
      <c r="AD89" s="403"/>
      <c r="AE89" s="402"/>
      <c r="AF89" s="402"/>
      <c r="AG89" s="401"/>
      <c r="AH89" s="351" t="e">
        <f t="shared" si="23"/>
        <v>#N/A</v>
      </c>
      <c r="AI89" s="351" t="e">
        <f t="shared" si="24"/>
        <v>#N/A</v>
      </c>
      <c r="AJ89" s="351"/>
      <c r="AK89" s="397"/>
      <c r="AL89" s="398"/>
      <c r="AM89" s="399"/>
      <c r="AN89" s="398"/>
      <c r="AO89" s="399"/>
      <c r="AP89" s="398"/>
      <c r="AQ89" s="399"/>
      <c r="AR89" s="398"/>
      <c r="AS89" s="399"/>
      <c r="AT89" s="398"/>
      <c r="AU89" s="399"/>
      <c r="AV89" s="399"/>
      <c r="AW89" s="401"/>
      <c r="AX89" s="351" t="e">
        <f t="shared" si="25"/>
        <v>#N/A</v>
      </c>
      <c r="AY89" s="351" t="e">
        <f t="shared" si="26"/>
        <v>#N/A</v>
      </c>
      <c r="AZ89" s="351"/>
      <c r="BA89" s="397"/>
      <c r="BB89" s="404"/>
      <c r="BC89" s="399"/>
      <c r="BD89" s="404"/>
      <c r="BE89" s="399"/>
      <c r="BF89" s="404"/>
      <c r="BG89" s="399"/>
      <c r="BH89" s="404"/>
      <c r="BI89" s="399"/>
      <c r="BJ89" s="404"/>
      <c r="BK89" s="399"/>
      <c r="BL89" s="399"/>
      <c r="BM89" s="401"/>
      <c r="BN89" s="351" t="e">
        <f t="shared" si="27"/>
        <v>#N/A</v>
      </c>
      <c r="BO89" s="351" t="e">
        <f t="shared" si="28"/>
        <v>#N/A</v>
      </c>
      <c r="BP89" s="351"/>
      <c r="BQ89" s="397"/>
      <c r="BR89" s="405"/>
      <c r="BS89" s="406"/>
      <c r="BT89" s="405"/>
      <c r="BU89" s="406"/>
      <c r="BV89" s="405"/>
      <c r="BW89" s="406"/>
      <c r="BX89" s="405"/>
      <c r="BY89" s="406"/>
      <c r="BZ89" s="405"/>
      <c r="CA89" s="406"/>
      <c r="CB89" s="406"/>
      <c r="CC89" s="401"/>
      <c r="CD89" s="351" t="e">
        <f t="shared" si="29"/>
        <v>#N/A</v>
      </c>
      <c r="CE89" s="351" t="e">
        <f t="shared" si="30"/>
        <v>#N/A</v>
      </c>
      <c r="CF89" s="351"/>
      <c r="CG89" s="397"/>
      <c r="CH89" s="405"/>
      <c r="CI89" s="407"/>
      <c r="CJ89" s="405"/>
      <c r="CK89" s="407"/>
      <c r="CL89" s="405"/>
      <c r="CM89" s="407"/>
      <c r="CN89" s="405"/>
      <c r="CO89" s="407"/>
      <c r="CP89" s="405"/>
      <c r="CQ89" s="407"/>
      <c r="CR89" s="407"/>
      <c r="CS89" s="401"/>
      <c r="CT89" s="351" t="e">
        <f t="shared" si="31"/>
        <v>#N/A</v>
      </c>
      <c r="CU89" s="351" t="e">
        <f t="shared" si="32"/>
        <v>#N/A</v>
      </c>
      <c r="CV89" s="351"/>
      <c r="CW89" s="397"/>
      <c r="CX89" s="405"/>
      <c r="CY89" s="407"/>
      <c r="CZ89" s="408"/>
      <c r="DA89" s="409"/>
      <c r="DB89" s="405"/>
      <c r="DC89" s="407"/>
      <c r="DD89" s="405"/>
      <c r="DE89" s="407"/>
      <c r="DF89" s="405"/>
      <c r="DG89" s="407"/>
      <c r="DH89" s="407"/>
      <c r="DI89" s="401"/>
      <c r="DJ89" s="351" t="e">
        <f t="shared" si="33"/>
        <v>#N/A</v>
      </c>
      <c r="DK89" s="351" t="e">
        <f t="shared" si="34"/>
        <v>#N/A</v>
      </c>
      <c r="DL89" s="351"/>
      <c r="DM89" s="397"/>
      <c r="DN89" s="405"/>
      <c r="DO89" s="407"/>
      <c r="DP89" s="405"/>
      <c r="DQ89" s="407"/>
      <c r="DR89" s="405"/>
      <c r="DS89" s="407"/>
      <c r="DT89" s="405"/>
      <c r="DU89" s="407"/>
      <c r="DV89" s="405"/>
      <c r="DW89" s="407"/>
      <c r="DX89" s="407"/>
      <c r="DY89" s="401"/>
      <c r="DZ89" s="351" t="e">
        <f t="shared" si="35"/>
        <v>#N/A</v>
      </c>
      <c r="EA89" s="351" t="e">
        <f t="shared" si="36"/>
        <v>#N/A</v>
      </c>
      <c r="EB89" s="351"/>
      <c r="EC89" s="157">
        <f t="shared" si="17"/>
        <v>0</v>
      </c>
      <c r="ED89" s="157">
        <f t="shared" si="18"/>
        <v>0</v>
      </c>
      <c r="EE89" s="157" t="e">
        <f t="shared" si="19"/>
        <v>#DIV/0!</v>
      </c>
      <c r="EF89" s="157" t="e">
        <f t="shared" si="20"/>
        <v>#NUM!</v>
      </c>
    </row>
    <row r="90" spans="1:136" ht="14.25" customHeight="1">
      <c r="A90" s="291" t="b">
        <f t="shared" ref="A90:A96" si="38">EXACT(MAX(F90,H90,J90,L90,N90,V90,X90,Z90,AB90,AD90,AL90,AN90,AP90,AR90,AT90,BB90,BD90,BF90,BH90,BJ90,BR90,BT90,BV90,BX90,BZ90,CH90,CJ90,CL90,CN90,CP90,CX90,CZ90,DB90,DD90,DF90),MIN(F90,H90,J90,L90,N90,V90,X90,Z90,AB90,AD90,AL90,AN90,AP90,AR90,AT90,BB90,BD90,BF90,BH90,BJ90,BR90,BT90,BV90,BX90,BZ90,CH90,CJ90,CL90,CN90,CP90,CX90,CZ90,DB90,DD90,DF90))</f>
        <v>1</v>
      </c>
      <c r="B90" s="292"/>
      <c r="C90" s="355" t="s">
        <v>3482</v>
      </c>
      <c r="D90" s="345"/>
      <c r="E90" s="356" t="s">
        <v>3234</v>
      </c>
      <c r="F90" s="357">
        <v>0</v>
      </c>
      <c r="G90" s="358"/>
      <c r="H90" s="357">
        <v>0</v>
      </c>
      <c r="I90" s="358"/>
      <c r="J90" s="357">
        <v>0</v>
      </c>
      <c r="K90" s="358"/>
      <c r="L90" s="357">
        <v>0</v>
      </c>
      <c r="M90" s="358"/>
      <c r="N90" s="357">
        <v>0</v>
      </c>
      <c r="O90" s="358"/>
      <c r="P90" s="359"/>
      <c r="Q90" s="373">
        <v>1</v>
      </c>
      <c r="R90" s="351" t="e">
        <f t="shared" si="21"/>
        <v>#N/A</v>
      </c>
      <c r="S90" s="351" t="e">
        <f t="shared" si="22"/>
        <v>#N/A</v>
      </c>
      <c r="T90" s="351"/>
      <c r="U90" s="356" t="s">
        <v>3234</v>
      </c>
      <c r="V90" s="357">
        <v>0</v>
      </c>
      <c r="W90" s="374"/>
      <c r="X90" s="375">
        <v>0</v>
      </c>
      <c r="Y90" s="374"/>
      <c r="Z90" s="375">
        <v>0</v>
      </c>
      <c r="AA90" s="374"/>
      <c r="AB90" s="375">
        <v>0</v>
      </c>
      <c r="AC90" s="374"/>
      <c r="AD90" s="375">
        <v>0</v>
      </c>
      <c r="AE90" s="374"/>
      <c r="AF90" s="374"/>
      <c r="AG90" s="373">
        <v>1</v>
      </c>
      <c r="AH90" s="351" t="e">
        <f t="shared" si="23"/>
        <v>#N/A</v>
      </c>
      <c r="AI90" s="351" t="e">
        <f t="shared" si="24"/>
        <v>#N/A</v>
      </c>
      <c r="AJ90" s="351"/>
      <c r="AK90" s="356" t="s">
        <v>3234</v>
      </c>
      <c r="AL90" s="357">
        <v>0</v>
      </c>
      <c r="AM90" s="358"/>
      <c r="AN90" s="357">
        <v>0</v>
      </c>
      <c r="AO90" s="358"/>
      <c r="AP90" s="357">
        <v>0</v>
      </c>
      <c r="AQ90" s="358"/>
      <c r="AR90" s="357">
        <v>0</v>
      </c>
      <c r="AS90" s="358"/>
      <c r="AT90" s="357">
        <v>0</v>
      </c>
      <c r="AU90" s="358"/>
      <c r="AV90" s="358"/>
      <c r="AW90" s="373">
        <v>1</v>
      </c>
      <c r="AX90" s="351" t="e">
        <f t="shared" si="25"/>
        <v>#N/A</v>
      </c>
      <c r="AY90" s="351" t="e">
        <f t="shared" si="26"/>
        <v>#N/A</v>
      </c>
      <c r="AZ90" s="351"/>
      <c r="BA90" s="356" t="s">
        <v>3234</v>
      </c>
      <c r="BB90" s="381">
        <v>0</v>
      </c>
      <c r="BC90" s="358"/>
      <c r="BD90" s="381">
        <v>0</v>
      </c>
      <c r="BE90" s="358"/>
      <c r="BF90" s="381">
        <v>0</v>
      </c>
      <c r="BG90" s="358"/>
      <c r="BH90" s="381">
        <v>0</v>
      </c>
      <c r="BI90" s="358"/>
      <c r="BJ90" s="381">
        <v>0</v>
      </c>
      <c r="BK90" s="358"/>
      <c r="BL90" s="358"/>
      <c r="BM90" s="373">
        <v>1</v>
      </c>
      <c r="BN90" s="351" t="e">
        <f t="shared" si="27"/>
        <v>#N/A</v>
      </c>
      <c r="BO90" s="351" t="e">
        <f t="shared" si="28"/>
        <v>#N/A</v>
      </c>
      <c r="BP90" s="351"/>
      <c r="BQ90" s="356" t="s">
        <v>3234</v>
      </c>
      <c r="BR90" s="376">
        <v>0</v>
      </c>
      <c r="BS90" s="382"/>
      <c r="BT90" s="376">
        <v>0</v>
      </c>
      <c r="BU90" s="382"/>
      <c r="BV90" s="376">
        <v>0</v>
      </c>
      <c r="BW90" s="382"/>
      <c r="BX90" s="376">
        <v>0</v>
      </c>
      <c r="BY90" s="382"/>
      <c r="BZ90" s="376">
        <v>0</v>
      </c>
      <c r="CA90" s="382"/>
      <c r="CB90" s="382"/>
      <c r="CC90" s="373">
        <v>1</v>
      </c>
      <c r="CD90" s="351" t="e">
        <f t="shared" si="29"/>
        <v>#N/A</v>
      </c>
      <c r="CE90" s="351" t="e">
        <f t="shared" si="30"/>
        <v>#N/A</v>
      </c>
      <c r="CF90" s="351"/>
      <c r="CG90" s="356" t="s">
        <v>3234</v>
      </c>
      <c r="CH90" s="376">
        <v>0</v>
      </c>
      <c r="CI90" s="377"/>
      <c r="CJ90" s="376">
        <v>0</v>
      </c>
      <c r="CK90" s="377"/>
      <c r="CL90" s="376">
        <v>0</v>
      </c>
      <c r="CM90" s="377"/>
      <c r="CN90" s="376">
        <v>0</v>
      </c>
      <c r="CO90" s="377"/>
      <c r="CP90" s="376">
        <v>0</v>
      </c>
      <c r="CQ90" s="377"/>
      <c r="CR90" s="377"/>
      <c r="CS90" s="373">
        <v>1</v>
      </c>
      <c r="CT90" s="351" t="e">
        <f t="shared" si="31"/>
        <v>#N/A</v>
      </c>
      <c r="CU90" s="351" t="e">
        <f t="shared" si="32"/>
        <v>#N/A</v>
      </c>
      <c r="CV90" s="351"/>
      <c r="CW90" s="356" t="s">
        <v>3234</v>
      </c>
      <c r="CX90" s="376">
        <v>0</v>
      </c>
      <c r="CY90" s="377"/>
      <c r="CZ90" s="376">
        <v>0</v>
      </c>
      <c r="DA90" s="379"/>
      <c r="DB90" s="376">
        <v>0</v>
      </c>
      <c r="DC90" s="377"/>
      <c r="DD90" s="376">
        <v>0</v>
      </c>
      <c r="DE90" s="377"/>
      <c r="DF90" s="376">
        <v>0</v>
      </c>
      <c r="DG90" s="377"/>
      <c r="DH90" s="377"/>
      <c r="DI90" s="373">
        <v>1</v>
      </c>
      <c r="DJ90" s="351" t="e">
        <f t="shared" si="33"/>
        <v>#N/A</v>
      </c>
      <c r="DK90" s="351" t="e">
        <f t="shared" si="34"/>
        <v>#N/A</v>
      </c>
      <c r="DL90" s="351"/>
      <c r="DM90" s="356" t="s">
        <v>3234</v>
      </c>
      <c r="DN90" s="376">
        <v>0</v>
      </c>
      <c r="DO90" s="377"/>
      <c r="DP90" s="376">
        <v>0</v>
      </c>
      <c r="DQ90" s="377"/>
      <c r="DR90" s="376">
        <v>0</v>
      </c>
      <c r="DS90" s="377"/>
      <c r="DT90" s="376">
        <v>0</v>
      </c>
      <c r="DU90" s="377"/>
      <c r="DV90" s="376">
        <v>0</v>
      </c>
      <c r="DW90" s="377"/>
      <c r="DX90" s="377"/>
      <c r="DY90" s="373">
        <v>1</v>
      </c>
      <c r="DZ90" s="351" t="e">
        <f t="shared" si="35"/>
        <v>#N/A</v>
      </c>
      <c r="EA90" s="351" t="e">
        <f t="shared" si="36"/>
        <v>#N/A</v>
      </c>
      <c r="EB90" s="351"/>
      <c r="EC90" s="157">
        <f t="shared" si="17"/>
        <v>0</v>
      </c>
      <c r="ED90" s="157">
        <f t="shared" si="18"/>
        <v>0</v>
      </c>
      <c r="EE90" s="157">
        <f t="shared" si="19"/>
        <v>0</v>
      </c>
      <c r="EF90" s="157">
        <f t="shared" si="20"/>
        <v>0</v>
      </c>
    </row>
    <row r="91" spans="1:136" ht="14.25" customHeight="1">
      <c r="A91" s="291" t="b">
        <f t="shared" si="38"/>
        <v>0</v>
      </c>
      <c r="B91" s="292"/>
      <c r="C91" s="355" t="s">
        <v>3483</v>
      </c>
      <c r="D91" s="345"/>
      <c r="E91" s="371" t="s">
        <v>3484</v>
      </c>
      <c r="F91" s="372">
        <v>1</v>
      </c>
      <c r="G91" s="358"/>
      <c r="H91" s="372">
        <v>1</v>
      </c>
      <c r="I91" s="358"/>
      <c r="J91" s="372">
        <v>1</v>
      </c>
      <c r="K91" s="358"/>
      <c r="L91" s="372">
        <v>1</v>
      </c>
      <c r="M91" s="358"/>
      <c r="N91" s="372">
        <v>1</v>
      </c>
      <c r="O91" s="358"/>
      <c r="P91" s="359"/>
      <c r="Q91" s="360">
        <v>1</v>
      </c>
      <c r="R91" s="351" t="e">
        <f t="shared" si="21"/>
        <v>#N/A</v>
      </c>
      <c r="S91" s="351" t="e">
        <f t="shared" si="22"/>
        <v>#N/A</v>
      </c>
      <c r="T91" s="351"/>
      <c r="U91" s="361" t="s">
        <v>3485</v>
      </c>
      <c r="V91" s="372">
        <v>1</v>
      </c>
      <c r="W91" s="358"/>
      <c r="X91" s="372">
        <v>1</v>
      </c>
      <c r="Y91" s="358"/>
      <c r="Z91" s="372">
        <v>1</v>
      </c>
      <c r="AA91" s="358"/>
      <c r="AB91" s="372">
        <v>1</v>
      </c>
      <c r="AC91" s="358"/>
      <c r="AD91" s="372">
        <v>1</v>
      </c>
      <c r="AE91" s="358"/>
      <c r="AF91" s="359"/>
      <c r="AG91" s="360">
        <v>1</v>
      </c>
      <c r="AH91" s="351" t="e">
        <f t="shared" si="23"/>
        <v>#N/A</v>
      </c>
      <c r="AI91" s="351" t="e">
        <f t="shared" si="24"/>
        <v>#N/A</v>
      </c>
      <c r="AJ91" s="351"/>
      <c r="AK91" s="371" t="s">
        <v>3485</v>
      </c>
      <c r="AL91" s="372">
        <v>1</v>
      </c>
      <c r="AM91" s="358"/>
      <c r="AN91" s="372">
        <v>1</v>
      </c>
      <c r="AO91" s="358"/>
      <c r="AP91" s="372">
        <v>1</v>
      </c>
      <c r="AQ91" s="358"/>
      <c r="AR91" s="372">
        <v>1</v>
      </c>
      <c r="AS91" s="358"/>
      <c r="AT91" s="372">
        <v>1</v>
      </c>
      <c r="AU91" s="358"/>
      <c r="AV91" s="359"/>
      <c r="AW91" s="360">
        <v>1</v>
      </c>
      <c r="AX91" s="351" t="e">
        <f t="shared" si="25"/>
        <v>#N/A</v>
      </c>
      <c r="AY91" s="351" t="e">
        <f t="shared" si="26"/>
        <v>#N/A</v>
      </c>
      <c r="AZ91" s="351"/>
      <c r="BA91" s="361" t="s">
        <v>3485</v>
      </c>
      <c r="BB91" s="372">
        <v>1</v>
      </c>
      <c r="BC91" s="358"/>
      <c r="BD91" s="372">
        <v>1</v>
      </c>
      <c r="BE91" s="358"/>
      <c r="BF91" s="372">
        <v>1</v>
      </c>
      <c r="BG91" s="358"/>
      <c r="BH91" s="372">
        <v>1</v>
      </c>
      <c r="BI91" s="358"/>
      <c r="BJ91" s="372">
        <v>1</v>
      </c>
      <c r="BK91" s="358"/>
      <c r="BL91" s="359"/>
      <c r="BM91" s="360">
        <v>1</v>
      </c>
      <c r="BN91" s="351" t="e">
        <f t="shared" si="27"/>
        <v>#N/A</v>
      </c>
      <c r="BO91" s="351" t="e">
        <f t="shared" si="28"/>
        <v>#N/A</v>
      </c>
      <c r="BP91" s="351"/>
      <c r="BQ91" s="361" t="s">
        <v>3485</v>
      </c>
      <c r="BR91" s="372">
        <v>1</v>
      </c>
      <c r="BS91" s="358"/>
      <c r="BT91" s="372">
        <v>1</v>
      </c>
      <c r="BU91" s="358"/>
      <c r="BV91" s="372">
        <v>1</v>
      </c>
      <c r="BW91" s="358"/>
      <c r="BX91" s="372">
        <v>1</v>
      </c>
      <c r="BY91" s="358"/>
      <c r="BZ91" s="372">
        <v>1</v>
      </c>
      <c r="CA91" s="358"/>
      <c r="CB91" s="359"/>
      <c r="CC91" s="360">
        <v>1</v>
      </c>
      <c r="CD91" s="351" t="e">
        <f t="shared" si="29"/>
        <v>#N/A</v>
      </c>
      <c r="CE91" s="351" t="e">
        <f t="shared" si="30"/>
        <v>#N/A</v>
      </c>
      <c r="CF91" s="351"/>
      <c r="CG91" s="361" t="s">
        <v>3486</v>
      </c>
      <c r="CH91" s="372">
        <v>0.9</v>
      </c>
      <c r="CI91" s="358"/>
      <c r="CJ91" s="372">
        <v>0.9</v>
      </c>
      <c r="CK91" s="358"/>
      <c r="CL91" s="372">
        <v>0.9</v>
      </c>
      <c r="CM91" s="358"/>
      <c r="CN91" s="372">
        <v>0.9</v>
      </c>
      <c r="CO91" s="358"/>
      <c r="CP91" s="372">
        <v>0.9</v>
      </c>
      <c r="CQ91" s="358"/>
      <c r="CR91" s="359"/>
      <c r="CS91" s="360">
        <v>1</v>
      </c>
      <c r="CT91" s="351" t="e">
        <f t="shared" si="31"/>
        <v>#N/A</v>
      </c>
      <c r="CU91" s="351" t="e">
        <f t="shared" si="32"/>
        <v>#N/A</v>
      </c>
      <c r="CV91" s="351"/>
      <c r="CW91" s="371" t="s">
        <v>3487</v>
      </c>
      <c r="CX91" s="372">
        <v>1</v>
      </c>
      <c r="CY91" s="358"/>
      <c r="CZ91" s="372">
        <v>1</v>
      </c>
      <c r="DA91" s="358"/>
      <c r="DB91" s="372">
        <v>1</v>
      </c>
      <c r="DC91" s="358"/>
      <c r="DD91" s="372">
        <v>1</v>
      </c>
      <c r="DE91" s="358"/>
      <c r="DF91" s="372">
        <v>1</v>
      </c>
      <c r="DG91" s="358"/>
      <c r="DH91" s="359"/>
      <c r="DI91" s="360">
        <v>1</v>
      </c>
      <c r="DJ91" s="351" t="e">
        <f t="shared" si="33"/>
        <v>#N/A</v>
      </c>
      <c r="DK91" s="351" t="e">
        <f t="shared" si="34"/>
        <v>#N/A</v>
      </c>
      <c r="DL91" s="351"/>
      <c r="DM91" s="361" t="s">
        <v>3485</v>
      </c>
      <c r="DN91" s="372">
        <v>1</v>
      </c>
      <c r="DO91" s="358"/>
      <c r="DP91" s="372">
        <v>1</v>
      </c>
      <c r="DQ91" s="358"/>
      <c r="DR91" s="372">
        <v>1</v>
      </c>
      <c r="DS91" s="358"/>
      <c r="DT91" s="372">
        <v>1</v>
      </c>
      <c r="DU91" s="358"/>
      <c r="DV91" s="372">
        <v>1</v>
      </c>
      <c r="DW91" s="358"/>
      <c r="DX91" s="359"/>
      <c r="DY91" s="360">
        <v>1</v>
      </c>
      <c r="DZ91" s="351" t="e">
        <f t="shared" si="35"/>
        <v>#N/A</v>
      </c>
      <c r="EA91" s="351" t="e">
        <f t="shared" si="36"/>
        <v>#N/A</v>
      </c>
      <c r="EB91" s="351"/>
      <c r="EC91" s="157">
        <f t="shared" si="17"/>
        <v>0.9</v>
      </c>
      <c r="ED91" s="157">
        <f t="shared" si="18"/>
        <v>1</v>
      </c>
      <c r="EE91" s="157">
        <f t="shared" si="19"/>
        <v>0.98749999999999982</v>
      </c>
      <c r="EF91" s="157">
        <f t="shared" si="20"/>
        <v>1</v>
      </c>
    </row>
    <row r="92" spans="1:136" ht="14.25" customHeight="1">
      <c r="A92" s="291" t="b">
        <f t="shared" si="38"/>
        <v>0</v>
      </c>
      <c r="B92" s="292"/>
      <c r="C92" s="355" t="s">
        <v>3488</v>
      </c>
      <c r="D92" s="345"/>
      <c r="E92" s="356" t="s">
        <v>3489</v>
      </c>
      <c r="F92" s="357">
        <v>0</v>
      </c>
      <c r="G92" s="358"/>
      <c r="H92" s="357">
        <v>0</v>
      </c>
      <c r="I92" s="358"/>
      <c r="J92" s="357">
        <v>0</v>
      </c>
      <c r="K92" s="358"/>
      <c r="L92" s="357">
        <v>0</v>
      </c>
      <c r="M92" s="358"/>
      <c r="N92" s="357">
        <v>0</v>
      </c>
      <c r="O92" s="358"/>
      <c r="P92" s="359"/>
      <c r="Q92" s="373">
        <v>1</v>
      </c>
      <c r="R92" s="351" t="e">
        <f t="shared" si="21"/>
        <v>#N/A</v>
      </c>
      <c r="S92" s="351" t="e">
        <f t="shared" si="22"/>
        <v>#N/A</v>
      </c>
      <c r="T92" s="351"/>
      <c r="U92" s="356" t="s">
        <v>3489</v>
      </c>
      <c r="V92" s="357">
        <v>0.7</v>
      </c>
      <c r="W92" s="358"/>
      <c r="X92" s="357">
        <v>0.7</v>
      </c>
      <c r="Y92" s="358"/>
      <c r="Z92" s="357">
        <v>0.7</v>
      </c>
      <c r="AA92" s="358"/>
      <c r="AB92" s="357">
        <v>0.7</v>
      </c>
      <c r="AC92" s="358"/>
      <c r="AD92" s="357">
        <v>0.7</v>
      </c>
      <c r="AE92" s="358"/>
      <c r="AF92" s="359"/>
      <c r="AG92" s="373">
        <v>1</v>
      </c>
      <c r="AH92" s="351" t="e">
        <f t="shared" si="23"/>
        <v>#N/A</v>
      </c>
      <c r="AI92" s="351" t="e">
        <f t="shared" si="24"/>
        <v>#N/A</v>
      </c>
      <c r="AJ92" s="351"/>
      <c r="AK92" s="356" t="s">
        <v>3489</v>
      </c>
      <c r="AL92" s="357">
        <v>0.7</v>
      </c>
      <c r="AM92" s="358"/>
      <c r="AN92" s="357">
        <v>0.7</v>
      </c>
      <c r="AO92" s="358"/>
      <c r="AP92" s="357">
        <v>0.7</v>
      </c>
      <c r="AQ92" s="358"/>
      <c r="AR92" s="357">
        <v>0.7</v>
      </c>
      <c r="AS92" s="358"/>
      <c r="AT92" s="357">
        <v>0.7</v>
      </c>
      <c r="AU92" s="358"/>
      <c r="AV92" s="359"/>
      <c r="AW92" s="373">
        <v>1</v>
      </c>
      <c r="AX92" s="351" t="e">
        <f t="shared" si="25"/>
        <v>#N/A</v>
      </c>
      <c r="AY92" s="351" t="e">
        <f t="shared" si="26"/>
        <v>#N/A</v>
      </c>
      <c r="AZ92" s="351"/>
      <c r="BA92" s="356" t="s">
        <v>3489</v>
      </c>
      <c r="BB92" s="357">
        <v>0.7</v>
      </c>
      <c r="BC92" s="358"/>
      <c r="BD92" s="357">
        <v>0.7</v>
      </c>
      <c r="BE92" s="358"/>
      <c r="BF92" s="357">
        <v>0.7</v>
      </c>
      <c r="BG92" s="358"/>
      <c r="BH92" s="357">
        <v>0.7</v>
      </c>
      <c r="BI92" s="358"/>
      <c r="BJ92" s="357">
        <v>0.7</v>
      </c>
      <c r="BK92" s="358"/>
      <c r="BL92" s="359"/>
      <c r="BM92" s="373">
        <v>1</v>
      </c>
      <c r="BN92" s="351" t="e">
        <f t="shared" si="27"/>
        <v>#N/A</v>
      </c>
      <c r="BO92" s="351" t="e">
        <f t="shared" si="28"/>
        <v>#N/A</v>
      </c>
      <c r="BP92" s="351"/>
      <c r="BQ92" s="356" t="s">
        <v>3489</v>
      </c>
      <c r="BR92" s="357">
        <v>0.7</v>
      </c>
      <c r="BS92" s="358"/>
      <c r="BT92" s="357">
        <v>0.7</v>
      </c>
      <c r="BU92" s="358"/>
      <c r="BV92" s="357">
        <v>0.7</v>
      </c>
      <c r="BW92" s="358"/>
      <c r="BX92" s="357">
        <v>0.7</v>
      </c>
      <c r="BY92" s="358"/>
      <c r="BZ92" s="357">
        <v>0.7</v>
      </c>
      <c r="CA92" s="358"/>
      <c r="CB92" s="359"/>
      <c r="CC92" s="373">
        <v>1</v>
      </c>
      <c r="CD92" s="351" t="e">
        <f t="shared" si="29"/>
        <v>#N/A</v>
      </c>
      <c r="CE92" s="351" t="e">
        <f t="shared" si="30"/>
        <v>#N/A</v>
      </c>
      <c r="CF92" s="351"/>
      <c r="CG92" s="361" t="s">
        <v>3490</v>
      </c>
      <c r="CH92" s="357">
        <v>0</v>
      </c>
      <c r="CI92" s="358"/>
      <c r="CJ92" s="357">
        <v>0</v>
      </c>
      <c r="CK92" s="358"/>
      <c r="CL92" s="357">
        <v>0</v>
      </c>
      <c r="CM92" s="358"/>
      <c r="CN92" s="357">
        <v>0</v>
      </c>
      <c r="CO92" s="358"/>
      <c r="CP92" s="357">
        <v>0</v>
      </c>
      <c r="CQ92" s="358"/>
      <c r="CR92" s="359"/>
      <c r="CS92" s="373">
        <v>1</v>
      </c>
      <c r="CT92" s="351" t="e">
        <f t="shared" si="31"/>
        <v>#N/A</v>
      </c>
      <c r="CU92" s="351" t="e">
        <f t="shared" si="32"/>
        <v>#N/A</v>
      </c>
      <c r="CV92" s="351"/>
      <c r="CW92" s="356" t="s">
        <v>3489</v>
      </c>
      <c r="CX92" s="357">
        <v>0.7</v>
      </c>
      <c r="CY92" s="358"/>
      <c r="CZ92" s="357">
        <v>0.7</v>
      </c>
      <c r="DA92" s="358"/>
      <c r="DB92" s="357">
        <v>0.7</v>
      </c>
      <c r="DC92" s="358"/>
      <c r="DD92" s="357">
        <v>0.7</v>
      </c>
      <c r="DE92" s="358"/>
      <c r="DF92" s="357">
        <v>0.7</v>
      </c>
      <c r="DG92" s="358"/>
      <c r="DH92" s="359"/>
      <c r="DI92" s="373">
        <v>1</v>
      </c>
      <c r="DJ92" s="351" t="e">
        <f t="shared" si="33"/>
        <v>#N/A</v>
      </c>
      <c r="DK92" s="351" t="e">
        <f t="shared" si="34"/>
        <v>#N/A</v>
      </c>
      <c r="DL92" s="351"/>
      <c r="DM92" s="356" t="s">
        <v>3489</v>
      </c>
      <c r="DN92" s="357">
        <v>0.7</v>
      </c>
      <c r="DO92" s="358"/>
      <c r="DP92" s="357">
        <v>0.7</v>
      </c>
      <c r="DQ92" s="358"/>
      <c r="DR92" s="357">
        <v>0.7</v>
      </c>
      <c r="DS92" s="358"/>
      <c r="DT92" s="357">
        <v>0.7</v>
      </c>
      <c r="DU92" s="358"/>
      <c r="DV92" s="357">
        <v>0.7</v>
      </c>
      <c r="DW92" s="358"/>
      <c r="DX92" s="359"/>
      <c r="DY92" s="373">
        <v>1</v>
      </c>
      <c r="DZ92" s="351" t="e">
        <f t="shared" si="35"/>
        <v>#N/A</v>
      </c>
      <c r="EA92" s="351" t="e">
        <f t="shared" si="36"/>
        <v>#N/A</v>
      </c>
      <c r="EB92" s="351"/>
      <c r="EC92" s="157">
        <f t="shared" si="17"/>
        <v>0</v>
      </c>
      <c r="ED92" s="157">
        <f t="shared" si="18"/>
        <v>0.7</v>
      </c>
      <c r="EE92" s="157">
        <f t="shared" si="19"/>
        <v>0.52499999999999969</v>
      </c>
      <c r="EF92" s="157">
        <f t="shared" si="20"/>
        <v>0.7</v>
      </c>
    </row>
    <row r="93" spans="1:136" ht="14.25" customHeight="1">
      <c r="A93" s="291" t="b">
        <f t="shared" si="38"/>
        <v>1</v>
      </c>
      <c r="B93" s="292"/>
      <c r="C93" s="355" t="s">
        <v>3491</v>
      </c>
      <c r="D93" s="345"/>
      <c r="E93" s="371" t="s">
        <v>3492</v>
      </c>
      <c r="F93" s="372">
        <v>0.7</v>
      </c>
      <c r="G93" s="358"/>
      <c r="H93" s="372">
        <v>0.7</v>
      </c>
      <c r="I93" s="358"/>
      <c r="J93" s="372">
        <v>0.7</v>
      </c>
      <c r="K93" s="358"/>
      <c r="L93" s="372">
        <v>0.7</v>
      </c>
      <c r="M93" s="358"/>
      <c r="N93" s="372">
        <v>0.7</v>
      </c>
      <c r="O93" s="358"/>
      <c r="P93" s="359"/>
      <c r="Q93" s="360">
        <v>1</v>
      </c>
      <c r="R93" s="351" t="e">
        <f t="shared" ref="R93:R124" si="39">IF(RechtsformGI=H$13,H93*Q93,IF(RechtsformGI=J$13,J93*Q93,IF(RechtsformGI=L$13,L93*Q93,IF(RechtsformGI=N$13,N93*Q93,IF(RechtsformGI=F$13,F93*Q93,"")))))</f>
        <v>#N/A</v>
      </c>
      <c r="S93" s="351" t="e">
        <f t="shared" ref="S93:S124" si="40">IF(RechtsformAngebot=H$13,H93*Q93,IF(RechtsformAngebot=J$13,J93*Q93,IF(RechtsformAngebot=L$13,L93*Q93,IF(RechtsformAngebot=N$13,N93*Q93,IF(RechtsformAngebot=F$13,F93*Q93,"")))))</f>
        <v>#N/A</v>
      </c>
      <c r="T93" s="351"/>
      <c r="U93" s="371" t="s">
        <v>3493</v>
      </c>
      <c r="V93" s="372">
        <v>0.7</v>
      </c>
      <c r="W93" s="358"/>
      <c r="X93" s="372">
        <v>0.7</v>
      </c>
      <c r="Y93" s="358"/>
      <c r="Z93" s="372">
        <v>0.7</v>
      </c>
      <c r="AA93" s="358"/>
      <c r="AB93" s="372">
        <v>0.7</v>
      </c>
      <c r="AC93" s="358"/>
      <c r="AD93" s="372">
        <v>0.7</v>
      </c>
      <c r="AE93" s="358"/>
      <c r="AF93" s="359"/>
      <c r="AG93" s="360">
        <v>1</v>
      </c>
      <c r="AH93" s="351" t="e">
        <f t="shared" ref="AH93:AH124" si="41">IF(RechtsformGI=X$13,X93*AG93,IF(RechtsformGI=Z$13,Z93*AG93,IF(RechtsformGI=AB$13,AB93*AG93,IF(RechtsformGI=AD$13,AD93*AG93,IF(RechtsformGI=V$13,V93*AG93,"")))))</f>
        <v>#N/A</v>
      </c>
      <c r="AI93" s="351" t="e">
        <f t="shared" ref="AI93:AI124" si="42">IF(RechtsformAngebot=X$13,X93*AG93,IF(RechtsformAngebot=Z$13,Z93*AG93,IF(RechtsformAngebot=AB$13,AB93*AG93,IF(RechtsformAngebot=AD$13,AD93*AG93,IF(RechtsformAngebot=V$13,V93*AG93,"")))))</f>
        <v>#N/A</v>
      </c>
      <c r="AJ93" s="351"/>
      <c r="AK93" s="371" t="s">
        <v>3493</v>
      </c>
      <c r="AL93" s="372">
        <v>0.7</v>
      </c>
      <c r="AM93" s="358"/>
      <c r="AN93" s="372">
        <v>0.7</v>
      </c>
      <c r="AO93" s="358"/>
      <c r="AP93" s="372">
        <v>0.7</v>
      </c>
      <c r="AQ93" s="358"/>
      <c r="AR93" s="372">
        <v>0.7</v>
      </c>
      <c r="AS93" s="358"/>
      <c r="AT93" s="372">
        <v>0.7</v>
      </c>
      <c r="AU93" s="358"/>
      <c r="AV93" s="359"/>
      <c r="AW93" s="360">
        <v>1</v>
      </c>
      <c r="AX93" s="351" t="e">
        <f t="shared" ref="AX93:AX124" si="43">IF(RechtsformGI=AN$13,AN93*AW93,IF(RechtsformGI=AP$13,AP93*AW93,IF(RechtsformGI=AR$13,AR93*AW93,IF(RechtsformGI=AT$13,AT93*AW93,IF(RechtsformGI=AL$13,AL93*AW93,"")))))</f>
        <v>#N/A</v>
      </c>
      <c r="AY93" s="351" t="e">
        <f t="shared" ref="AY93:AY124" si="44">IF(RechtsformAngebot=AN$13,AN93*AW93,IF(RechtsformAngebot=AP$13,AP93*AW93,IF(RechtsformAngebot=AR$13,AR93*AW93,IF(RechtsformAngebot=AT$13,AT93*AW93,IF(RechtsformAngebot=AL$13,AL93*AW93,"")))))</f>
        <v>#N/A</v>
      </c>
      <c r="AZ93" s="351"/>
      <c r="BA93" s="371" t="s">
        <v>3494</v>
      </c>
      <c r="BB93" s="372">
        <v>0.7</v>
      </c>
      <c r="BC93" s="358"/>
      <c r="BD93" s="372">
        <v>0.7</v>
      </c>
      <c r="BE93" s="358"/>
      <c r="BF93" s="372">
        <v>0.7</v>
      </c>
      <c r="BG93" s="358"/>
      <c r="BH93" s="372">
        <v>0.7</v>
      </c>
      <c r="BI93" s="358"/>
      <c r="BJ93" s="372">
        <v>0.7</v>
      </c>
      <c r="BK93" s="358"/>
      <c r="BL93" s="359"/>
      <c r="BM93" s="360">
        <v>1</v>
      </c>
      <c r="BN93" s="351" t="e">
        <f t="shared" ref="BN93:BN124" si="45">IF(RechtsformGI=BD$13,BD93*BM93,IF(RechtsformGI=BF$13,BF93*BM93,IF(RechtsformGI=BH$13,BH93*BM93,IF(RechtsformGI=BJ$13,BJ93*BM93,IF(RechtsformGI=BB$13,BB93*BM93,"")))))</f>
        <v>#N/A</v>
      </c>
      <c r="BO93" s="351" t="e">
        <f t="shared" ref="BO93:BO124" si="46">IF(RechtsformAngebot=BD$13,BD93*BM93,IF(RechtsformAngebot=BF$13,BF93*BM93,IF(RechtsformAngebot=BH$13,BH93*BM93,IF(RechtsformAngebot=BJ$13,BJ93*BM93,IF(RechtsformAngebot=BB$13,BB93*BM93,"")))))</f>
        <v>#N/A</v>
      </c>
      <c r="BP93" s="351"/>
      <c r="BQ93" s="371" t="s">
        <v>3494</v>
      </c>
      <c r="BR93" s="372">
        <v>0.7</v>
      </c>
      <c r="BS93" s="358"/>
      <c r="BT93" s="372">
        <v>0.7</v>
      </c>
      <c r="BU93" s="358"/>
      <c r="BV93" s="372">
        <v>0.7</v>
      </c>
      <c r="BW93" s="358"/>
      <c r="BX93" s="372">
        <v>0.7</v>
      </c>
      <c r="BY93" s="358"/>
      <c r="BZ93" s="372">
        <v>0.7</v>
      </c>
      <c r="CA93" s="358"/>
      <c r="CB93" s="359"/>
      <c r="CC93" s="360">
        <v>1</v>
      </c>
      <c r="CD93" s="351" t="e">
        <f t="shared" ref="CD93:CD124" si="47">IF(RechtsformGI=BT$13,BT93*CC93,IF(RechtsformGI=BV$13,BV93*CC93,IF(RechtsformGI=BX$13,BX93*CC93,IF(RechtsformGI=BZ$13,BZ93*CC93,IF(RechtsformGI=BR$13,BR93*CC93,"")))))</f>
        <v>#N/A</v>
      </c>
      <c r="CE93" s="351" t="e">
        <f t="shared" ref="CE93:CE124" si="48">IF(RechtsformAngebot=BT$13,BT93*CC93,IF(RechtsformAngebot=BV$13,BV93*CC93,IF(RechtsformAngebot=BX$13,BX93*CC93,IF(RechtsformAngebot=BZ$13,BZ93*CC93,IF(RechtsformAngebot=BR$13,BR93*CC93,"")))))</f>
        <v>#N/A</v>
      </c>
      <c r="CF93" s="351"/>
      <c r="CG93" s="371" t="s">
        <v>3494</v>
      </c>
      <c r="CH93" s="372">
        <v>0.7</v>
      </c>
      <c r="CI93" s="358"/>
      <c r="CJ93" s="372">
        <v>0.7</v>
      </c>
      <c r="CK93" s="358"/>
      <c r="CL93" s="372">
        <v>0.7</v>
      </c>
      <c r="CM93" s="358"/>
      <c r="CN93" s="372">
        <v>0.7</v>
      </c>
      <c r="CO93" s="358"/>
      <c r="CP93" s="372">
        <v>0.7</v>
      </c>
      <c r="CQ93" s="358"/>
      <c r="CR93" s="359"/>
      <c r="CS93" s="360">
        <v>1</v>
      </c>
      <c r="CT93" s="351" t="e">
        <f t="shared" ref="CT93:CT124" si="49">IF(RechtsformGI=CJ$13,CJ93*CS93,IF(RechtsformGI=CL$13,CL93*CS93,IF(RechtsformGI=CN$13,CN93*CS93,IF(RechtsformGI=CP$13,CP93*CS93,IF(RechtsformGI=CH$13,CH93*CS93,"")))))</f>
        <v>#N/A</v>
      </c>
      <c r="CU93" s="351" t="e">
        <f t="shared" ref="CU93:CU124" si="50">IF(RechtsformAngebot=CJ$13,CJ93*CS93,IF(RechtsformAngebot=CL$13,CL93*CS93,IF(RechtsformAngebot=CN$13,CN93*CS93,IF(RechtsformAngebot=CP$13,CP93*CS93,IF(RechtsformAngebot=CH$13,CH93*CS93,"")))))</f>
        <v>#N/A</v>
      </c>
      <c r="CV93" s="351"/>
      <c r="CW93" s="371" t="s">
        <v>3494</v>
      </c>
      <c r="CX93" s="372">
        <v>0.7</v>
      </c>
      <c r="CY93" s="358"/>
      <c r="CZ93" s="372">
        <v>0.7</v>
      </c>
      <c r="DA93" s="358"/>
      <c r="DB93" s="372">
        <v>0.7</v>
      </c>
      <c r="DC93" s="358"/>
      <c r="DD93" s="372">
        <v>0.7</v>
      </c>
      <c r="DE93" s="358"/>
      <c r="DF93" s="372">
        <v>0.7</v>
      </c>
      <c r="DG93" s="358"/>
      <c r="DH93" s="359"/>
      <c r="DI93" s="360">
        <v>1</v>
      </c>
      <c r="DJ93" s="351" t="e">
        <f t="shared" ref="DJ93:DJ124" si="51">IF(RechtsformGI=CZ$13,CZ93*DI93,IF(RechtsformGI=DB$13,DB93*DI93,IF(RechtsformGI=DD$13,DD93*DI93,IF(RechtsformGI=DF$13,DF93*DI93,IF(RechtsformGI=CX$13,CX93*DI93,"")))))</f>
        <v>#N/A</v>
      </c>
      <c r="DK93" s="351" t="e">
        <f t="shared" ref="DK93:DK124" si="52">IF(RechtsformAngebot=CZ$13,CZ93*DI93,IF(RechtsformAngebot=DB$13,DB93*DI93,IF(RechtsformAngebot=DD$13,DD93*DI93,IF(RechtsformAngebot=DF$13,DF93*DI93,IF(RechtsformAngebot=CX$13,CX93*DI93,"")))))</f>
        <v>#N/A</v>
      </c>
      <c r="DL93" s="351"/>
      <c r="DM93" s="371" t="s">
        <v>3495</v>
      </c>
      <c r="DN93" s="372">
        <v>0.7</v>
      </c>
      <c r="DO93" s="358"/>
      <c r="DP93" s="372">
        <v>0.7</v>
      </c>
      <c r="DQ93" s="358"/>
      <c r="DR93" s="372">
        <v>0.7</v>
      </c>
      <c r="DS93" s="358"/>
      <c r="DT93" s="372">
        <v>0.7</v>
      </c>
      <c r="DU93" s="358"/>
      <c r="DV93" s="372">
        <v>0.7</v>
      </c>
      <c r="DW93" s="358"/>
      <c r="DX93" s="359"/>
      <c r="DY93" s="360">
        <v>1</v>
      </c>
      <c r="DZ93" s="351" t="e">
        <f t="shared" ref="DZ93:DZ124" si="53">IF(RechtsformGI=DP$13,DP93*DY93,IF(RechtsformGI=DR$13,DR93*DY93,IF(RechtsformGI=DT$13,DT93*DY93,IF(RechtsformGI=DV$13,DV93*DY93,IF(RechtsformGI=DN$13,DN93*DY93,"")))))</f>
        <v>#N/A</v>
      </c>
      <c r="EA93" s="351" t="e">
        <f t="shared" ref="EA93:EA124" si="54">IF(RechtsformAngebot=DP$13,DP93*DY93,IF(RechtsformAngebot=DR$13,DR93*DY93,IF(RechtsformAngebot=DT$13,DT93*DY93,IF(RechtsformAngebot=DV$13,DV93*DY93,IF(RechtsformAngebot=DN$13,DN93*DY93,"")))))</f>
        <v>#N/A</v>
      </c>
      <c r="EB93" s="351"/>
      <c r="EC93" s="157">
        <f t="shared" si="17"/>
        <v>0.7</v>
      </c>
      <c r="ED93" s="157">
        <f t="shared" si="18"/>
        <v>0.7</v>
      </c>
      <c r="EE93" s="157">
        <f t="shared" si="19"/>
        <v>0.69999999999999951</v>
      </c>
      <c r="EF93" s="157">
        <f t="shared" si="20"/>
        <v>0.7</v>
      </c>
    </row>
    <row r="94" spans="1:136" ht="14.25" customHeight="1">
      <c r="A94" s="291" t="b">
        <f t="shared" si="38"/>
        <v>0</v>
      </c>
      <c r="B94" s="292"/>
      <c r="C94" s="355" t="s">
        <v>3496</v>
      </c>
      <c r="D94" s="345"/>
      <c r="E94" s="361" t="s">
        <v>3497</v>
      </c>
      <c r="F94" s="362">
        <v>0.7</v>
      </c>
      <c r="G94" s="365"/>
      <c r="H94" s="362">
        <v>0.7</v>
      </c>
      <c r="I94" s="365"/>
      <c r="J94" s="362">
        <v>0.3</v>
      </c>
      <c r="K94" s="365"/>
      <c r="L94" s="362">
        <v>0.2</v>
      </c>
      <c r="M94" s="365"/>
      <c r="N94" s="362">
        <v>0.1</v>
      </c>
      <c r="O94" s="365"/>
      <c r="P94" s="370" t="s">
        <v>3498</v>
      </c>
      <c r="Q94" s="360">
        <v>1</v>
      </c>
      <c r="R94" s="351" t="e">
        <f t="shared" si="39"/>
        <v>#N/A</v>
      </c>
      <c r="S94" s="351" t="e">
        <f t="shared" si="40"/>
        <v>#N/A</v>
      </c>
      <c r="T94" s="351"/>
      <c r="U94" s="361" t="s">
        <v>3499</v>
      </c>
      <c r="V94" s="362">
        <v>0.7</v>
      </c>
      <c r="W94" s="363"/>
      <c r="X94" s="364">
        <v>0.7</v>
      </c>
      <c r="Y94" s="363"/>
      <c r="Z94" s="364">
        <v>0.3</v>
      </c>
      <c r="AA94" s="363"/>
      <c r="AB94" s="364">
        <v>0.2</v>
      </c>
      <c r="AC94" s="363"/>
      <c r="AD94" s="364">
        <v>0.1</v>
      </c>
      <c r="AE94" s="363"/>
      <c r="AF94" s="365" t="s">
        <v>3498</v>
      </c>
      <c r="AG94" s="360">
        <v>1</v>
      </c>
      <c r="AH94" s="351" t="e">
        <f t="shared" si="41"/>
        <v>#N/A</v>
      </c>
      <c r="AI94" s="351" t="e">
        <f t="shared" si="42"/>
        <v>#N/A</v>
      </c>
      <c r="AJ94" s="351"/>
      <c r="AK94" s="371" t="s">
        <v>3500</v>
      </c>
      <c r="AL94" s="372">
        <v>0</v>
      </c>
      <c r="AM94" s="358"/>
      <c r="AN94" s="372">
        <v>0</v>
      </c>
      <c r="AO94" s="358"/>
      <c r="AP94" s="372">
        <v>0</v>
      </c>
      <c r="AQ94" s="358"/>
      <c r="AR94" s="372">
        <v>0</v>
      </c>
      <c r="AS94" s="358"/>
      <c r="AT94" s="372">
        <v>0</v>
      </c>
      <c r="AU94" s="358"/>
      <c r="AV94" s="358" t="s">
        <v>3498</v>
      </c>
      <c r="AW94" s="360">
        <v>1</v>
      </c>
      <c r="AX94" s="351" t="e">
        <f t="shared" si="43"/>
        <v>#N/A</v>
      </c>
      <c r="AY94" s="351" t="e">
        <f t="shared" si="44"/>
        <v>#N/A</v>
      </c>
      <c r="AZ94" s="351"/>
      <c r="BA94" s="361" t="s">
        <v>3499</v>
      </c>
      <c r="BB94" s="366">
        <v>0.7</v>
      </c>
      <c r="BC94" s="365"/>
      <c r="BD94" s="366">
        <v>0.7</v>
      </c>
      <c r="BE94" s="365"/>
      <c r="BF94" s="366">
        <v>0.3</v>
      </c>
      <c r="BG94" s="365"/>
      <c r="BH94" s="366">
        <v>0.2</v>
      </c>
      <c r="BI94" s="365"/>
      <c r="BJ94" s="366">
        <v>0.1</v>
      </c>
      <c r="BK94" s="365"/>
      <c r="BL94" s="368" t="s">
        <v>3498</v>
      </c>
      <c r="BM94" s="360">
        <v>1</v>
      </c>
      <c r="BN94" s="351" t="e">
        <f t="shared" si="45"/>
        <v>#N/A</v>
      </c>
      <c r="BO94" s="351" t="e">
        <f t="shared" si="46"/>
        <v>#N/A</v>
      </c>
      <c r="BP94" s="351"/>
      <c r="BQ94" s="361" t="s">
        <v>3501</v>
      </c>
      <c r="BR94" s="367">
        <v>0.7</v>
      </c>
      <c r="BS94" s="368"/>
      <c r="BT94" s="367">
        <v>0.7</v>
      </c>
      <c r="BU94" s="368"/>
      <c r="BV94" s="367">
        <v>0.3</v>
      </c>
      <c r="BW94" s="368"/>
      <c r="BX94" s="367">
        <v>0.2</v>
      </c>
      <c r="BY94" s="368"/>
      <c r="BZ94" s="367">
        <v>0.1</v>
      </c>
      <c r="CA94" s="368"/>
      <c r="CB94" s="368" t="s">
        <v>3498</v>
      </c>
      <c r="CC94" s="360">
        <v>1</v>
      </c>
      <c r="CD94" s="351" t="e">
        <f t="shared" si="47"/>
        <v>#N/A</v>
      </c>
      <c r="CE94" s="351" t="e">
        <f t="shared" si="48"/>
        <v>#N/A</v>
      </c>
      <c r="CF94" s="351"/>
      <c r="CG94" s="361" t="s">
        <v>3501</v>
      </c>
      <c r="CH94" s="367">
        <v>0</v>
      </c>
      <c r="CI94" s="368"/>
      <c r="CJ94" s="367">
        <v>0</v>
      </c>
      <c r="CK94" s="368"/>
      <c r="CL94" s="367">
        <v>0</v>
      </c>
      <c r="CM94" s="368"/>
      <c r="CN94" s="367">
        <v>0</v>
      </c>
      <c r="CO94" s="368"/>
      <c r="CP94" s="367">
        <v>0</v>
      </c>
      <c r="CQ94" s="368"/>
      <c r="CR94" s="368" t="s">
        <v>3498</v>
      </c>
      <c r="CS94" s="360">
        <v>1</v>
      </c>
      <c r="CT94" s="351" t="e">
        <f t="shared" si="49"/>
        <v>#N/A</v>
      </c>
      <c r="CU94" s="351" t="e">
        <f t="shared" si="50"/>
        <v>#N/A</v>
      </c>
      <c r="CV94" s="351"/>
      <c r="CW94" s="371" t="s">
        <v>3502</v>
      </c>
      <c r="CX94" s="385">
        <v>0.3</v>
      </c>
      <c r="CY94" s="377"/>
      <c r="CZ94" s="385">
        <v>0.3</v>
      </c>
      <c r="DA94" s="416"/>
      <c r="DB94" s="385">
        <v>0.1</v>
      </c>
      <c r="DC94" s="377"/>
      <c r="DD94" s="385">
        <v>0.1</v>
      </c>
      <c r="DE94" s="377"/>
      <c r="DF94" s="385">
        <v>0.1</v>
      </c>
      <c r="DG94" s="377"/>
      <c r="DH94" s="377" t="s">
        <v>3498</v>
      </c>
      <c r="DI94" s="360">
        <v>1</v>
      </c>
      <c r="DJ94" s="351" t="e">
        <f t="shared" si="51"/>
        <v>#N/A</v>
      </c>
      <c r="DK94" s="351" t="e">
        <f t="shared" si="52"/>
        <v>#N/A</v>
      </c>
      <c r="DL94" s="351"/>
      <c r="DM94" s="371" t="s">
        <v>3500</v>
      </c>
      <c r="DN94" s="385">
        <v>0.1</v>
      </c>
      <c r="DO94" s="377"/>
      <c r="DP94" s="385">
        <v>0.1</v>
      </c>
      <c r="DQ94" s="377"/>
      <c r="DR94" s="385">
        <v>0.1</v>
      </c>
      <c r="DS94" s="377"/>
      <c r="DT94" s="385">
        <v>0.1</v>
      </c>
      <c r="DU94" s="377"/>
      <c r="DV94" s="385">
        <v>0.1</v>
      </c>
      <c r="DW94" s="377"/>
      <c r="DX94" s="417" t="s">
        <v>3498</v>
      </c>
      <c r="DY94" s="360">
        <v>1</v>
      </c>
      <c r="DZ94" s="351" t="e">
        <f t="shared" si="53"/>
        <v>#N/A</v>
      </c>
      <c r="EA94" s="351" t="e">
        <f t="shared" si="54"/>
        <v>#N/A</v>
      </c>
      <c r="EB94" s="351"/>
      <c r="EC94" s="157">
        <f t="shared" si="17"/>
        <v>0</v>
      </c>
      <c r="ED94" s="157">
        <f t="shared" si="18"/>
        <v>0.7</v>
      </c>
      <c r="EE94" s="157">
        <f t="shared" si="19"/>
        <v>0.23499999999999996</v>
      </c>
      <c r="EF94" s="157">
        <f t="shared" si="20"/>
        <v>0.1</v>
      </c>
    </row>
    <row r="95" spans="1:136" ht="14.25" customHeight="1">
      <c r="A95" s="291" t="b">
        <f t="shared" si="38"/>
        <v>0</v>
      </c>
      <c r="B95" s="292"/>
      <c r="C95" s="355" t="s">
        <v>3503</v>
      </c>
      <c r="D95" s="345"/>
      <c r="E95" s="388" t="s">
        <v>3234</v>
      </c>
      <c r="F95" s="389">
        <v>1</v>
      </c>
      <c r="G95" s="365"/>
      <c r="H95" s="389">
        <v>1</v>
      </c>
      <c r="I95" s="365"/>
      <c r="J95" s="389">
        <v>1</v>
      </c>
      <c r="K95" s="365"/>
      <c r="L95" s="389">
        <v>1</v>
      </c>
      <c r="M95" s="365"/>
      <c r="N95" s="389">
        <v>1</v>
      </c>
      <c r="O95" s="365"/>
      <c r="P95" s="370" t="s">
        <v>3504</v>
      </c>
      <c r="Q95" s="360">
        <v>1</v>
      </c>
      <c r="R95" s="351" t="e">
        <f t="shared" si="39"/>
        <v>#N/A</v>
      </c>
      <c r="S95" s="351" t="e">
        <f t="shared" si="40"/>
        <v>#N/A</v>
      </c>
      <c r="T95" s="351"/>
      <c r="U95" s="371" t="s">
        <v>3505</v>
      </c>
      <c r="V95" s="372">
        <v>0</v>
      </c>
      <c r="W95" s="374"/>
      <c r="X95" s="380">
        <v>0</v>
      </c>
      <c r="Y95" s="374"/>
      <c r="Z95" s="380">
        <v>0</v>
      </c>
      <c r="AA95" s="374"/>
      <c r="AB95" s="380">
        <v>0</v>
      </c>
      <c r="AC95" s="374"/>
      <c r="AD95" s="380">
        <v>0</v>
      </c>
      <c r="AE95" s="374"/>
      <c r="AF95" s="358" t="s">
        <v>3504</v>
      </c>
      <c r="AG95" s="360">
        <v>1</v>
      </c>
      <c r="AH95" s="351" t="e">
        <f t="shared" si="41"/>
        <v>#N/A</v>
      </c>
      <c r="AI95" s="351" t="e">
        <f t="shared" si="42"/>
        <v>#N/A</v>
      </c>
      <c r="AJ95" s="351"/>
      <c r="AK95" s="388" t="s">
        <v>3234</v>
      </c>
      <c r="AL95" s="389">
        <v>0</v>
      </c>
      <c r="AM95" s="365"/>
      <c r="AN95" s="389">
        <v>0</v>
      </c>
      <c r="AO95" s="365"/>
      <c r="AP95" s="389">
        <v>0</v>
      </c>
      <c r="AQ95" s="365"/>
      <c r="AR95" s="389">
        <v>0</v>
      </c>
      <c r="AS95" s="365"/>
      <c r="AT95" s="389">
        <v>0</v>
      </c>
      <c r="AU95" s="365"/>
      <c r="AV95" s="365" t="s">
        <v>3504</v>
      </c>
      <c r="AW95" s="360">
        <v>1</v>
      </c>
      <c r="AX95" s="351" t="e">
        <f t="shared" si="43"/>
        <v>#N/A</v>
      </c>
      <c r="AY95" s="351" t="e">
        <f t="shared" si="44"/>
        <v>#N/A</v>
      </c>
      <c r="AZ95" s="351"/>
      <c r="BA95" s="388" t="s">
        <v>3234</v>
      </c>
      <c r="BB95" s="391">
        <v>0</v>
      </c>
      <c r="BC95" s="365"/>
      <c r="BD95" s="391">
        <v>0</v>
      </c>
      <c r="BE95" s="365"/>
      <c r="BF95" s="391">
        <v>0</v>
      </c>
      <c r="BG95" s="365"/>
      <c r="BH95" s="391">
        <v>0</v>
      </c>
      <c r="BI95" s="365"/>
      <c r="BJ95" s="391">
        <v>0</v>
      </c>
      <c r="BK95" s="365"/>
      <c r="BL95" s="368" t="s">
        <v>3504</v>
      </c>
      <c r="BM95" s="360">
        <v>1</v>
      </c>
      <c r="BN95" s="351" t="e">
        <f t="shared" si="45"/>
        <v>#N/A</v>
      </c>
      <c r="BO95" s="351" t="e">
        <f t="shared" si="46"/>
        <v>#N/A</v>
      </c>
      <c r="BP95" s="351"/>
      <c r="BQ95" s="388" t="s">
        <v>3234</v>
      </c>
      <c r="BR95" s="392">
        <v>0</v>
      </c>
      <c r="BS95" s="393"/>
      <c r="BT95" s="392">
        <v>0</v>
      </c>
      <c r="BU95" s="393"/>
      <c r="BV95" s="392">
        <v>0</v>
      </c>
      <c r="BW95" s="393"/>
      <c r="BX95" s="392">
        <v>0</v>
      </c>
      <c r="BY95" s="393"/>
      <c r="BZ95" s="392">
        <v>0</v>
      </c>
      <c r="CA95" s="393"/>
      <c r="CB95" s="368" t="s">
        <v>3504</v>
      </c>
      <c r="CC95" s="360">
        <v>1</v>
      </c>
      <c r="CD95" s="351" t="e">
        <f t="shared" si="47"/>
        <v>#N/A</v>
      </c>
      <c r="CE95" s="351" t="e">
        <f t="shared" si="48"/>
        <v>#N/A</v>
      </c>
      <c r="CF95" s="351"/>
      <c r="CG95" s="371" t="s">
        <v>3505</v>
      </c>
      <c r="CH95" s="385">
        <v>0</v>
      </c>
      <c r="CI95" s="377"/>
      <c r="CJ95" s="385">
        <v>0</v>
      </c>
      <c r="CK95" s="377"/>
      <c r="CL95" s="385">
        <v>0</v>
      </c>
      <c r="CM95" s="377"/>
      <c r="CN95" s="385">
        <v>0</v>
      </c>
      <c r="CO95" s="377"/>
      <c r="CP95" s="385">
        <v>0</v>
      </c>
      <c r="CQ95" s="377"/>
      <c r="CR95" s="377" t="s">
        <v>3504</v>
      </c>
      <c r="CS95" s="360">
        <v>1</v>
      </c>
      <c r="CT95" s="351" t="e">
        <f t="shared" si="49"/>
        <v>#N/A</v>
      </c>
      <c r="CU95" s="351" t="e">
        <f t="shared" si="50"/>
        <v>#N/A</v>
      </c>
      <c r="CV95" s="351"/>
      <c r="CW95" s="371" t="s">
        <v>3505</v>
      </c>
      <c r="CX95" s="385">
        <v>0</v>
      </c>
      <c r="CY95" s="377"/>
      <c r="CZ95" s="385">
        <v>0</v>
      </c>
      <c r="DA95" s="416"/>
      <c r="DB95" s="385">
        <v>0</v>
      </c>
      <c r="DC95" s="377"/>
      <c r="DD95" s="385">
        <v>0</v>
      </c>
      <c r="DE95" s="377"/>
      <c r="DF95" s="385">
        <v>0</v>
      </c>
      <c r="DG95" s="377"/>
      <c r="DH95" s="377" t="s">
        <v>3504</v>
      </c>
      <c r="DI95" s="360">
        <v>1</v>
      </c>
      <c r="DJ95" s="351" t="e">
        <f t="shared" si="51"/>
        <v>#N/A</v>
      </c>
      <c r="DK95" s="351" t="e">
        <f t="shared" si="52"/>
        <v>#N/A</v>
      </c>
      <c r="DL95" s="351"/>
      <c r="DM95" s="388" t="s">
        <v>3234</v>
      </c>
      <c r="DN95" s="392">
        <v>0</v>
      </c>
      <c r="DO95" s="368"/>
      <c r="DP95" s="392">
        <v>0</v>
      </c>
      <c r="DQ95" s="368"/>
      <c r="DR95" s="392">
        <v>0</v>
      </c>
      <c r="DS95" s="368"/>
      <c r="DT95" s="392">
        <v>0</v>
      </c>
      <c r="DU95" s="368"/>
      <c r="DV95" s="392">
        <v>0</v>
      </c>
      <c r="DW95" s="368"/>
      <c r="DX95" s="368" t="s">
        <v>3504</v>
      </c>
      <c r="DY95" s="360">
        <v>1</v>
      </c>
      <c r="DZ95" s="351" t="e">
        <f t="shared" si="53"/>
        <v>#N/A</v>
      </c>
      <c r="EA95" s="351" t="e">
        <f t="shared" si="54"/>
        <v>#N/A</v>
      </c>
      <c r="EB95" s="351"/>
      <c r="EC95" s="157">
        <f t="shared" si="17"/>
        <v>0</v>
      </c>
      <c r="ED95" s="157">
        <f t="shared" si="18"/>
        <v>1</v>
      </c>
      <c r="EE95" s="157">
        <f t="shared" si="19"/>
        <v>0.125</v>
      </c>
      <c r="EF95" s="157">
        <f t="shared" si="20"/>
        <v>0</v>
      </c>
    </row>
    <row r="96" spans="1:136" ht="14.25" customHeight="1">
      <c r="A96" s="291" t="b">
        <f t="shared" si="38"/>
        <v>0</v>
      </c>
      <c r="B96" s="292"/>
      <c r="C96" s="355" t="s">
        <v>3506</v>
      </c>
      <c r="D96" s="345"/>
      <c r="E96" s="371" t="s">
        <v>3507</v>
      </c>
      <c r="F96" s="372">
        <v>0.8</v>
      </c>
      <c r="G96" s="358"/>
      <c r="H96" s="372">
        <v>0.8</v>
      </c>
      <c r="I96" s="358"/>
      <c r="J96" s="372">
        <v>0.8</v>
      </c>
      <c r="K96" s="358"/>
      <c r="L96" s="372">
        <v>0.8</v>
      </c>
      <c r="M96" s="358"/>
      <c r="N96" s="372">
        <v>0.8</v>
      </c>
      <c r="O96" s="358"/>
      <c r="P96" s="358" t="s">
        <v>3508</v>
      </c>
      <c r="Q96" s="360">
        <v>1</v>
      </c>
      <c r="R96" s="351" t="e">
        <f t="shared" si="39"/>
        <v>#N/A</v>
      </c>
      <c r="S96" s="351" t="e">
        <f t="shared" si="40"/>
        <v>#N/A</v>
      </c>
      <c r="T96" s="351"/>
      <c r="U96" s="371" t="s">
        <v>3509</v>
      </c>
      <c r="V96" s="372">
        <v>0</v>
      </c>
      <c r="W96" s="374"/>
      <c r="X96" s="380">
        <v>0</v>
      </c>
      <c r="Y96" s="374"/>
      <c r="Z96" s="380">
        <v>0</v>
      </c>
      <c r="AA96" s="374"/>
      <c r="AB96" s="380">
        <v>0</v>
      </c>
      <c r="AC96" s="374"/>
      <c r="AD96" s="380">
        <v>0</v>
      </c>
      <c r="AE96" s="374"/>
      <c r="AF96" s="358" t="s">
        <v>3508</v>
      </c>
      <c r="AG96" s="360">
        <v>1</v>
      </c>
      <c r="AH96" s="351" t="e">
        <f t="shared" si="41"/>
        <v>#N/A</v>
      </c>
      <c r="AI96" s="351" t="e">
        <f t="shared" si="42"/>
        <v>#N/A</v>
      </c>
      <c r="AJ96" s="351"/>
      <c r="AK96" s="371" t="s">
        <v>3509</v>
      </c>
      <c r="AL96" s="372">
        <v>0.2</v>
      </c>
      <c r="AM96" s="358"/>
      <c r="AN96" s="372">
        <v>0.2</v>
      </c>
      <c r="AO96" s="358"/>
      <c r="AP96" s="372">
        <v>0.2</v>
      </c>
      <c r="AQ96" s="358"/>
      <c r="AR96" s="372">
        <v>0.2</v>
      </c>
      <c r="AS96" s="358"/>
      <c r="AT96" s="372">
        <v>0.2</v>
      </c>
      <c r="AU96" s="358"/>
      <c r="AV96" s="358" t="s">
        <v>3510</v>
      </c>
      <c r="AW96" s="360">
        <v>1</v>
      </c>
      <c r="AX96" s="351" t="e">
        <f t="shared" si="43"/>
        <v>#N/A</v>
      </c>
      <c r="AY96" s="351" t="e">
        <f t="shared" si="44"/>
        <v>#N/A</v>
      </c>
      <c r="AZ96" s="351"/>
      <c r="BA96" s="361" t="s">
        <v>3511</v>
      </c>
      <c r="BB96" s="366">
        <v>0.3</v>
      </c>
      <c r="BC96" s="365"/>
      <c r="BD96" s="366">
        <v>0.3</v>
      </c>
      <c r="BE96" s="365"/>
      <c r="BF96" s="366">
        <v>0.3</v>
      </c>
      <c r="BG96" s="365"/>
      <c r="BH96" s="366">
        <v>0.3</v>
      </c>
      <c r="BI96" s="365"/>
      <c r="BJ96" s="366">
        <v>0.3</v>
      </c>
      <c r="BK96" s="365"/>
      <c r="BL96" s="368" t="s">
        <v>3512</v>
      </c>
      <c r="BM96" s="360">
        <v>1</v>
      </c>
      <c r="BN96" s="351" t="e">
        <f t="shared" si="45"/>
        <v>#N/A</v>
      </c>
      <c r="BO96" s="351" t="e">
        <f t="shared" si="46"/>
        <v>#N/A</v>
      </c>
      <c r="BP96" s="351"/>
      <c r="BQ96" s="361" t="s">
        <v>3511</v>
      </c>
      <c r="BR96" s="367">
        <v>0.3</v>
      </c>
      <c r="BS96" s="368"/>
      <c r="BT96" s="367">
        <v>0.3</v>
      </c>
      <c r="BU96" s="368"/>
      <c r="BV96" s="367">
        <v>0.3</v>
      </c>
      <c r="BW96" s="368"/>
      <c r="BX96" s="367">
        <v>0.3</v>
      </c>
      <c r="BY96" s="368"/>
      <c r="BZ96" s="367">
        <v>0.3</v>
      </c>
      <c r="CA96" s="368"/>
      <c r="CB96" s="368" t="s">
        <v>3508</v>
      </c>
      <c r="CC96" s="360">
        <v>1</v>
      </c>
      <c r="CD96" s="351" t="e">
        <f t="shared" si="47"/>
        <v>#N/A</v>
      </c>
      <c r="CE96" s="351" t="e">
        <f t="shared" si="48"/>
        <v>#N/A</v>
      </c>
      <c r="CF96" s="351"/>
      <c r="CG96" s="371" t="s">
        <v>3513</v>
      </c>
      <c r="CH96" s="385">
        <v>0</v>
      </c>
      <c r="CI96" s="377"/>
      <c r="CJ96" s="385">
        <v>0</v>
      </c>
      <c r="CK96" s="377"/>
      <c r="CL96" s="385">
        <v>0</v>
      </c>
      <c r="CM96" s="377"/>
      <c r="CN96" s="385">
        <v>0</v>
      </c>
      <c r="CO96" s="377"/>
      <c r="CP96" s="385">
        <v>0</v>
      </c>
      <c r="CQ96" s="377"/>
      <c r="CR96" s="377" t="s">
        <v>3508</v>
      </c>
      <c r="CS96" s="360">
        <v>1</v>
      </c>
      <c r="CT96" s="351" t="e">
        <f t="shared" si="49"/>
        <v>#N/A</v>
      </c>
      <c r="CU96" s="351" t="e">
        <f t="shared" si="50"/>
        <v>#N/A</v>
      </c>
      <c r="CV96" s="351"/>
      <c r="CW96" s="371" t="s">
        <v>3513</v>
      </c>
      <c r="CX96" s="385">
        <v>0</v>
      </c>
      <c r="CY96" s="377"/>
      <c r="CZ96" s="385">
        <v>0</v>
      </c>
      <c r="DA96" s="416"/>
      <c r="DB96" s="385">
        <v>0</v>
      </c>
      <c r="DC96" s="377"/>
      <c r="DD96" s="385">
        <v>0</v>
      </c>
      <c r="DE96" s="377"/>
      <c r="DF96" s="385">
        <v>0</v>
      </c>
      <c r="DG96" s="377"/>
      <c r="DH96" s="377" t="s">
        <v>3508</v>
      </c>
      <c r="DI96" s="360">
        <v>1</v>
      </c>
      <c r="DJ96" s="351" t="e">
        <f t="shared" si="51"/>
        <v>#N/A</v>
      </c>
      <c r="DK96" s="351" t="e">
        <f t="shared" si="52"/>
        <v>#N/A</v>
      </c>
      <c r="DL96" s="351"/>
      <c r="DM96" s="361" t="s">
        <v>3514</v>
      </c>
      <c r="DN96" s="367">
        <v>0.3</v>
      </c>
      <c r="DO96" s="368"/>
      <c r="DP96" s="367">
        <v>0.3</v>
      </c>
      <c r="DQ96" s="368"/>
      <c r="DR96" s="367">
        <v>0.3</v>
      </c>
      <c r="DS96" s="368"/>
      <c r="DT96" s="367">
        <v>0.3</v>
      </c>
      <c r="DU96" s="368"/>
      <c r="DV96" s="367">
        <v>0.3</v>
      </c>
      <c r="DW96" s="368"/>
      <c r="DX96" s="368" t="s">
        <v>3508</v>
      </c>
      <c r="DY96" s="360">
        <v>1</v>
      </c>
      <c r="DZ96" s="351" t="e">
        <f t="shared" si="53"/>
        <v>#N/A</v>
      </c>
      <c r="EA96" s="351" t="e">
        <f t="shared" si="54"/>
        <v>#N/A</v>
      </c>
      <c r="EB96" s="351"/>
      <c r="EC96" s="157">
        <f t="shared" si="17"/>
        <v>0</v>
      </c>
      <c r="ED96" s="157">
        <f t="shared" si="18"/>
        <v>0.8</v>
      </c>
      <c r="EE96" s="157">
        <f t="shared" si="19"/>
        <v>0.23750000000000004</v>
      </c>
      <c r="EF96" s="157">
        <f t="shared" si="20"/>
        <v>0.25</v>
      </c>
    </row>
    <row r="97" spans="1:136" ht="14.25" customHeight="1">
      <c r="A97" s="395"/>
      <c r="B97" s="337" t="s">
        <v>3515</v>
      </c>
      <c r="C97" s="395"/>
      <c r="D97" s="396"/>
      <c r="E97" s="397"/>
      <c r="F97" s="398"/>
      <c r="G97" s="399"/>
      <c r="H97" s="398"/>
      <c r="I97" s="399"/>
      <c r="J97" s="398"/>
      <c r="K97" s="399"/>
      <c r="L97" s="398"/>
      <c r="M97" s="399"/>
      <c r="N97" s="398"/>
      <c r="O97" s="399"/>
      <c r="P97" s="400"/>
      <c r="Q97" s="401"/>
      <c r="R97" s="351" t="e">
        <f t="shared" si="39"/>
        <v>#N/A</v>
      </c>
      <c r="S97" s="351" t="e">
        <f t="shared" si="40"/>
        <v>#N/A</v>
      </c>
      <c r="T97" s="351"/>
      <c r="U97" s="397"/>
      <c r="V97" s="398"/>
      <c r="W97" s="402"/>
      <c r="X97" s="403"/>
      <c r="Y97" s="402"/>
      <c r="Z97" s="403"/>
      <c r="AA97" s="402"/>
      <c r="AB97" s="403"/>
      <c r="AC97" s="402"/>
      <c r="AD97" s="403"/>
      <c r="AE97" s="402"/>
      <c r="AF97" s="402"/>
      <c r="AG97" s="401"/>
      <c r="AH97" s="351" t="e">
        <f t="shared" si="41"/>
        <v>#N/A</v>
      </c>
      <c r="AI97" s="351" t="e">
        <f t="shared" si="42"/>
        <v>#N/A</v>
      </c>
      <c r="AJ97" s="351"/>
      <c r="AK97" s="397"/>
      <c r="AL97" s="398"/>
      <c r="AM97" s="399"/>
      <c r="AN97" s="398"/>
      <c r="AO97" s="399"/>
      <c r="AP97" s="398"/>
      <c r="AQ97" s="399"/>
      <c r="AR97" s="398"/>
      <c r="AS97" s="399"/>
      <c r="AT97" s="398"/>
      <c r="AU97" s="399"/>
      <c r="AV97" s="399"/>
      <c r="AW97" s="401"/>
      <c r="AX97" s="351" t="e">
        <f t="shared" si="43"/>
        <v>#N/A</v>
      </c>
      <c r="AY97" s="351" t="e">
        <f t="shared" si="44"/>
        <v>#N/A</v>
      </c>
      <c r="AZ97" s="351"/>
      <c r="BA97" s="397"/>
      <c r="BB97" s="404"/>
      <c r="BC97" s="399"/>
      <c r="BD97" s="404"/>
      <c r="BE97" s="399"/>
      <c r="BF97" s="404"/>
      <c r="BG97" s="399"/>
      <c r="BH97" s="404"/>
      <c r="BI97" s="399"/>
      <c r="BJ97" s="404"/>
      <c r="BK97" s="399"/>
      <c r="BL97" s="399" t="s">
        <v>2393</v>
      </c>
      <c r="BM97" s="401"/>
      <c r="BN97" s="351" t="e">
        <f t="shared" si="45"/>
        <v>#N/A</v>
      </c>
      <c r="BO97" s="351" t="e">
        <f t="shared" si="46"/>
        <v>#N/A</v>
      </c>
      <c r="BP97" s="351"/>
      <c r="BQ97" s="397"/>
      <c r="BR97" s="405"/>
      <c r="BS97" s="406"/>
      <c r="BT97" s="405"/>
      <c r="BU97" s="406"/>
      <c r="BV97" s="405"/>
      <c r="BW97" s="406"/>
      <c r="BX97" s="405"/>
      <c r="BY97" s="406"/>
      <c r="BZ97" s="405"/>
      <c r="CA97" s="406"/>
      <c r="CB97" s="406"/>
      <c r="CC97" s="401"/>
      <c r="CD97" s="351" t="e">
        <f t="shared" si="47"/>
        <v>#N/A</v>
      </c>
      <c r="CE97" s="351" t="e">
        <f t="shared" si="48"/>
        <v>#N/A</v>
      </c>
      <c r="CF97" s="351"/>
      <c r="CG97" s="397"/>
      <c r="CH97" s="405"/>
      <c r="CI97" s="407"/>
      <c r="CJ97" s="405"/>
      <c r="CK97" s="407"/>
      <c r="CL97" s="405"/>
      <c r="CM97" s="407"/>
      <c r="CN97" s="405"/>
      <c r="CO97" s="407"/>
      <c r="CP97" s="405"/>
      <c r="CQ97" s="407"/>
      <c r="CR97" s="407"/>
      <c r="CS97" s="401"/>
      <c r="CT97" s="351" t="e">
        <f t="shared" si="49"/>
        <v>#N/A</v>
      </c>
      <c r="CU97" s="351" t="e">
        <f t="shared" si="50"/>
        <v>#N/A</v>
      </c>
      <c r="CV97" s="351"/>
      <c r="CW97" s="397"/>
      <c r="CX97" s="405"/>
      <c r="CY97" s="407"/>
      <c r="CZ97" s="408"/>
      <c r="DA97" s="409"/>
      <c r="DB97" s="405"/>
      <c r="DC97" s="407"/>
      <c r="DD97" s="405"/>
      <c r="DE97" s="407"/>
      <c r="DF97" s="405"/>
      <c r="DG97" s="407"/>
      <c r="DH97" s="407"/>
      <c r="DI97" s="401"/>
      <c r="DJ97" s="351" t="e">
        <f t="shared" si="51"/>
        <v>#N/A</v>
      </c>
      <c r="DK97" s="351" t="e">
        <f t="shared" si="52"/>
        <v>#N/A</v>
      </c>
      <c r="DL97" s="351"/>
      <c r="DM97" s="397"/>
      <c r="DN97" s="405"/>
      <c r="DO97" s="407"/>
      <c r="DP97" s="405"/>
      <c r="DQ97" s="407"/>
      <c r="DR97" s="405"/>
      <c r="DS97" s="407"/>
      <c r="DT97" s="405"/>
      <c r="DU97" s="407"/>
      <c r="DV97" s="405"/>
      <c r="DW97" s="407"/>
      <c r="DX97" s="407"/>
      <c r="DY97" s="401"/>
      <c r="DZ97" s="351" t="e">
        <f t="shared" si="53"/>
        <v>#N/A</v>
      </c>
      <c r="EA97" s="351" t="e">
        <f t="shared" si="54"/>
        <v>#N/A</v>
      </c>
      <c r="EB97" s="351"/>
      <c r="EC97" s="157">
        <f t="shared" si="17"/>
        <v>0</v>
      </c>
      <c r="ED97" s="157">
        <f t="shared" si="18"/>
        <v>0</v>
      </c>
      <c r="EE97" s="157" t="e">
        <f t="shared" si="19"/>
        <v>#DIV/0!</v>
      </c>
      <c r="EF97" s="157" t="e">
        <f t="shared" si="20"/>
        <v>#NUM!</v>
      </c>
    </row>
    <row r="98" spans="1:136" ht="14.25" customHeight="1">
      <c r="A98" s="291" t="b">
        <f t="shared" ref="A98:A108" si="55">EXACT(MAX(F98,H98,J98,L98,N98,V98,X98,Z98,AB98,AD98,AL98,AN98,AP98,AR98,AT98,BB98,BD98,BF98,BH98,BJ98,BR98,BT98,BV98,BX98,BZ98,CH98,CJ98,CL98,CN98,CP98,CX98,CZ98,DB98,DD98,DF98),MIN(F98,H98,J98,L98,N98,V98,X98,Z98,AB98,AD98,AL98,AN98,AP98,AR98,AT98,BB98,BD98,BF98,BH98,BJ98,BR98,BT98,BV98,BX98,BZ98,CH98,CJ98,CL98,CN98,CP98,CX98,CZ98,DB98,DD98,DF98))</f>
        <v>0</v>
      </c>
      <c r="B98" s="292"/>
      <c r="C98" s="355" t="s">
        <v>3516</v>
      </c>
      <c r="D98" s="345"/>
      <c r="E98" s="361" t="s">
        <v>3517</v>
      </c>
      <c r="F98" s="362">
        <v>1</v>
      </c>
      <c r="G98" s="365"/>
      <c r="H98" s="362">
        <v>1</v>
      </c>
      <c r="I98" s="365"/>
      <c r="J98" s="362">
        <v>1</v>
      </c>
      <c r="K98" s="365"/>
      <c r="L98" s="362">
        <v>1</v>
      </c>
      <c r="M98" s="365"/>
      <c r="N98" s="362">
        <v>1</v>
      </c>
      <c r="O98" s="365"/>
      <c r="P98" s="370"/>
      <c r="Q98" s="360">
        <v>1</v>
      </c>
      <c r="R98" s="351" t="e">
        <f t="shared" si="39"/>
        <v>#N/A</v>
      </c>
      <c r="S98" s="351" t="e">
        <f t="shared" si="40"/>
        <v>#N/A</v>
      </c>
      <c r="T98" s="351"/>
      <c r="U98" s="361" t="s">
        <v>3517</v>
      </c>
      <c r="V98" s="362">
        <v>1</v>
      </c>
      <c r="W98" s="365"/>
      <c r="X98" s="362">
        <v>1</v>
      </c>
      <c r="Y98" s="365"/>
      <c r="Z98" s="362">
        <v>1</v>
      </c>
      <c r="AA98" s="365"/>
      <c r="AB98" s="362">
        <v>1</v>
      </c>
      <c r="AC98" s="365"/>
      <c r="AD98" s="362">
        <v>1</v>
      </c>
      <c r="AE98" s="365"/>
      <c r="AF98" s="370"/>
      <c r="AG98" s="360">
        <v>1</v>
      </c>
      <c r="AH98" s="351" t="e">
        <f t="shared" si="41"/>
        <v>#N/A</v>
      </c>
      <c r="AI98" s="351" t="e">
        <f t="shared" si="42"/>
        <v>#N/A</v>
      </c>
      <c r="AJ98" s="351"/>
      <c r="AK98" s="361" t="s">
        <v>3517</v>
      </c>
      <c r="AL98" s="362">
        <v>1</v>
      </c>
      <c r="AM98" s="365"/>
      <c r="AN98" s="362">
        <v>1</v>
      </c>
      <c r="AO98" s="365"/>
      <c r="AP98" s="362">
        <v>1</v>
      </c>
      <c r="AQ98" s="365"/>
      <c r="AR98" s="362">
        <v>1</v>
      </c>
      <c r="AS98" s="365"/>
      <c r="AT98" s="362">
        <v>1</v>
      </c>
      <c r="AU98" s="365"/>
      <c r="AV98" s="370"/>
      <c r="AW98" s="360">
        <v>1</v>
      </c>
      <c r="AX98" s="351" t="e">
        <f t="shared" si="43"/>
        <v>#N/A</v>
      </c>
      <c r="AY98" s="351" t="e">
        <f t="shared" si="44"/>
        <v>#N/A</v>
      </c>
      <c r="AZ98" s="351"/>
      <c r="BA98" s="361" t="s">
        <v>3517</v>
      </c>
      <c r="BB98" s="362">
        <v>1</v>
      </c>
      <c r="BC98" s="365"/>
      <c r="BD98" s="362">
        <v>1</v>
      </c>
      <c r="BE98" s="365"/>
      <c r="BF98" s="362">
        <v>1</v>
      </c>
      <c r="BG98" s="365"/>
      <c r="BH98" s="362">
        <v>1</v>
      </c>
      <c r="BI98" s="365"/>
      <c r="BJ98" s="362">
        <v>1</v>
      </c>
      <c r="BK98" s="365"/>
      <c r="BL98" s="370"/>
      <c r="BM98" s="360">
        <v>1</v>
      </c>
      <c r="BN98" s="351" t="e">
        <f t="shared" si="45"/>
        <v>#N/A</v>
      </c>
      <c r="BO98" s="351" t="e">
        <f t="shared" si="46"/>
        <v>#N/A</v>
      </c>
      <c r="BP98" s="351"/>
      <c r="BQ98" s="361" t="s">
        <v>3517</v>
      </c>
      <c r="BR98" s="362">
        <v>1</v>
      </c>
      <c r="BS98" s="365"/>
      <c r="BT98" s="362">
        <v>1</v>
      </c>
      <c r="BU98" s="365"/>
      <c r="BV98" s="362">
        <v>1</v>
      </c>
      <c r="BW98" s="365"/>
      <c r="BX98" s="362">
        <v>1</v>
      </c>
      <c r="BY98" s="365"/>
      <c r="BZ98" s="362">
        <v>1</v>
      </c>
      <c r="CA98" s="365"/>
      <c r="CB98" s="370"/>
      <c r="CC98" s="360">
        <v>1</v>
      </c>
      <c r="CD98" s="351" t="e">
        <f t="shared" si="47"/>
        <v>#N/A</v>
      </c>
      <c r="CE98" s="351" t="e">
        <f t="shared" si="48"/>
        <v>#N/A</v>
      </c>
      <c r="CF98" s="351"/>
      <c r="CG98" s="361" t="s">
        <v>3517</v>
      </c>
      <c r="CH98" s="362">
        <v>0.9</v>
      </c>
      <c r="CI98" s="365"/>
      <c r="CJ98" s="362">
        <v>0.9</v>
      </c>
      <c r="CK98" s="365"/>
      <c r="CL98" s="362">
        <v>0.9</v>
      </c>
      <c r="CM98" s="365"/>
      <c r="CN98" s="362">
        <v>0.9</v>
      </c>
      <c r="CO98" s="365"/>
      <c r="CP98" s="362">
        <v>0.9</v>
      </c>
      <c r="CQ98" s="365"/>
      <c r="CR98" s="370"/>
      <c r="CS98" s="360">
        <v>1</v>
      </c>
      <c r="CT98" s="351" t="e">
        <f t="shared" si="49"/>
        <v>#N/A</v>
      </c>
      <c r="CU98" s="351" t="e">
        <f t="shared" si="50"/>
        <v>#N/A</v>
      </c>
      <c r="CV98" s="351"/>
      <c r="CW98" s="361" t="s">
        <v>3517</v>
      </c>
      <c r="CX98" s="362">
        <v>1</v>
      </c>
      <c r="CY98" s="365"/>
      <c r="CZ98" s="362">
        <v>1</v>
      </c>
      <c r="DA98" s="365"/>
      <c r="DB98" s="362">
        <v>1</v>
      </c>
      <c r="DC98" s="365"/>
      <c r="DD98" s="362">
        <v>1</v>
      </c>
      <c r="DE98" s="365"/>
      <c r="DF98" s="362">
        <v>1</v>
      </c>
      <c r="DG98" s="365"/>
      <c r="DH98" s="370"/>
      <c r="DI98" s="360">
        <v>1</v>
      </c>
      <c r="DJ98" s="351" t="e">
        <f t="shared" si="51"/>
        <v>#N/A</v>
      </c>
      <c r="DK98" s="351" t="e">
        <f t="shared" si="52"/>
        <v>#N/A</v>
      </c>
      <c r="DL98" s="351"/>
      <c r="DM98" s="361" t="s">
        <v>3517</v>
      </c>
      <c r="DN98" s="362">
        <v>1</v>
      </c>
      <c r="DO98" s="365"/>
      <c r="DP98" s="362">
        <v>1</v>
      </c>
      <c r="DQ98" s="365"/>
      <c r="DR98" s="362">
        <v>1</v>
      </c>
      <c r="DS98" s="365"/>
      <c r="DT98" s="362">
        <v>1</v>
      </c>
      <c r="DU98" s="365"/>
      <c r="DV98" s="362">
        <v>1</v>
      </c>
      <c r="DW98" s="365"/>
      <c r="DX98" s="370"/>
      <c r="DY98" s="360">
        <v>1</v>
      </c>
      <c r="DZ98" s="351" t="e">
        <f t="shared" si="53"/>
        <v>#N/A</v>
      </c>
      <c r="EA98" s="351" t="e">
        <f t="shared" si="54"/>
        <v>#N/A</v>
      </c>
      <c r="EB98" s="351"/>
      <c r="EC98" s="157">
        <f t="shared" si="17"/>
        <v>0.9</v>
      </c>
      <c r="ED98" s="157">
        <f t="shared" si="18"/>
        <v>1</v>
      </c>
      <c r="EE98" s="157">
        <f t="shared" si="19"/>
        <v>0.98749999999999982</v>
      </c>
      <c r="EF98" s="157">
        <f t="shared" si="20"/>
        <v>1</v>
      </c>
    </row>
    <row r="99" spans="1:136" ht="14.25" customHeight="1">
      <c r="A99" s="291" t="b">
        <f t="shared" si="55"/>
        <v>0</v>
      </c>
      <c r="B99" s="292"/>
      <c r="C99" s="355" t="s">
        <v>3518</v>
      </c>
      <c r="D99" s="345"/>
      <c r="E99" s="361" t="s">
        <v>3234</v>
      </c>
      <c r="F99" s="362">
        <v>0</v>
      </c>
      <c r="G99" s="365"/>
      <c r="H99" s="362">
        <v>0</v>
      </c>
      <c r="I99" s="365"/>
      <c r="J99" s="362">
        <v>0</v>
      </c>
      <c r="K99" s="365"/>
      <c r="L99" s="362">
        <v>0</v>
      </c>
      <c r="M99" s="365"/>
      <c r="N99" s="362">
        <v>0</v>
      </c>
      <c r="O99" s="365"/>
      <c r="P99" s="370"/>
      <c r="Q99" s="360">
        <v>1</v>
      </c>
      <c r="R99" s="351" t="e">
        <f t="shared" si="39"/>
        <v>#N/A</v>
      </c>
      <c r="S99" s="351" t="e">
        <f t="shared" si="40"/>
        <v>#N/A</v>
      </c>
      <c r="T99" s="351"/>
      <c r="U99" s="361" t="s">
        <v>3519</v>
      </c>
      <c r="V99" s="362">
        <v>1</v>
      </c>
      <c r="W99" s="365"/>
      <c r="X99" s="362">
        <v>1</v>
      </c>
      <c r="Y99" s="365"/>
      <c r="Z99" s="362">
        <v>1</v>
      </c>
      <c r="AA99" s="365"/>
      <c r="AB99" s="362">
        <v>1</v>
      </c>
      <c r="AC99" s="365"/>
      <c r="AD99" s="362">
        <v>1</v>
      </c>
      <c r="AE99" s="365"/>
      <c r="AF99" s="370"/>
      <c r="AG99" s="360">
        <v>1</v>
      </c>
      <c r="AH99" s="351" t="e">
        <f t="shared" si="41"/>
        <v>#N/A</v>
      </c>
      <c r="AI99" s="351" t="e">
        <f t="shared" si="42"/>
        <v>#N/A</v>
      </c>
      <c r="AJ99" s="351"/>
      <c r="AK99" s="361" t="s">
        <v>3519</v>
      </c>
      <c r="AL99" s="362">
        <v>1</v>
      </c>
      <c r="AM99" s="365"/>
      <c r="AN99" s="362">
        <v>1</v>
      </c>
      <c r="AO99" s="365"/>
      <c r="AP99" s="362">
        <v>1</v>
      </c>
      <c r="AQ99" s="365"/>
      <c r="AR99" s="362">
        <v>1</v>
      </c>
      <c r="AS99" s="365"/>
      <c r="AT99" s="362">
        <v>1</v>
      </c>
      <c r="AU99" s="365"/>
      <c r="AV99" s="370"/>
      <c r="AW99" s="360">
        <v>1</v>
      </c>
      <c r="AX99" s="351" t="e">
        <f t="shared" si="43"/>
        <v>#N/A</v>
      </c>
      <c r="AY99" s="351" t="e">
        <f t="shared" si="44"/>
        <v>#N/A</v>
      </c>
      <c r="AZ99" s="351"/>
      <c r="BA99" s="361" t="s">
        <v>3519</v>
      </c>
      <c r="BB99" s="362">
        <v>1</v>
      </c>
      <c r="BC99" s="365"/>
      <c r="BD99" s="362">
        <v>1</v>
      </c>
      <c r="BE99" s="365"/>
      <c r="BF99" s="362">
        <v>1</v>
      </c>
      <c r="BG99" s="365"/>
      <c r="BH99" s="362">
        <v>1</v>
      </c>
      <c r="BI99" s="365"/>
      <c r="BJ99" s="362">
        <v>1</v>
      </c>
      <c r="BK99" s="365"/>
      <c r="BL99" s="370"/>
      <c r="BM99" s="360">
        <v>1</v>
      </c>
      <c r="BN99" s="351" t="e">
        <f t="shared" si="45"/>
        <v>#N/A</v>
      </c>
      <c r="BO99" s="351" t="e">
        <f t="shared" si="46"/>
        <v>#N/A</v>
      </c>
      <c r="BP99" s="351"/>
      <c r="BQ99" s="361" t="s">
        <v>3519</v>
      </c>
      <c r="BR99" s="362">
        <v>1</v>
      </c>
      <c r="BS99" s="365"/>
      <c r="BT99" s="362">
        <v>1</v>
      </c>
      <c r="BU99" s="365"/>
      <c r="BV99" s="362">
        <v>1</v>
      </c>
      <c r="BW99" s="365"/>
      <c r="BX99" s="362">
        <v>1</v>
      </c>
      <c r="BY99" s="365"/>
      <c r="BZ99" s="362">
        <v>1</v>
      </c>
      <c r="CA99" s="365"/>
      <c r="CB99" s="370"/>
      <c r="CC99" s="360">
        <v>1</v>
      </c>
      <c r="CD99" s="351" t="e">
        <f t="shared" si="47"/>
        <v>#N/A</v>
      </c>
      <c r="CE99" s="351" t="e">
        <f t="shared" si="48"/>
        <v>#N/A</v>
      </c>
      <c r="CF99" s="351"/>
      <c r="CG99" s="356" t="s">
        <v>3234</v>
      </c>
      <c r="CH99" s="376">
        <v>0</v>
      </c>
      <c r="CI99" s="377"/>
      <c r="CJ99" s="376">
        <v>0</v>
      </c>
      <c r="CK99" s="377"/>
      <c r="CL99" s="376">
        <v>0</v>
      </c>
      <c r="CM99" s="377"/>
      <c r="CN99" s="376">
        <v>0</v>
      </c>
      <c r="CO99" s="377"/>
      <c r="CP99" s="376">
        <v>0</v>
      </c>
      <c r="CQ99" s="377"/>
      <c r="CR99" s="377"/>
      <c r="CS99" s="360">
        <v>1</v>
      </c>
      <c r="CT99" s="351" t="e">
        <f t="shared" si="49"/>
        <v>#N/A</v>
      </c>
      <c r="CU99" s="351" t="e">
        <f t="shared" si="50"/>
        <v>#N/A</v>
      </c>
      <c r="CV99" s="351"/>
      <c r="CW99" s="361" t="s">
        <v>3519</v>
      </c>
      <c r="CX99" s="362">
        <v>1</v>
      </c>
      <c r="CY99" s="365"/>
      <c r="CZ99" s="362">
        <v>1</v>
      </c>
      <c r="DA99" s="365"/>
      <c r="DB99" s="362">
        <v>1</v>
      </c>
      <c r="DC99" s="365"/>
      <c r="DD99" s="362">
        <v>1</v>
      </c>
      <c r="DE99" s="365"/>
      <c r="DF99" s="362">
        <v>1</v>
      </c>
      <c r="DG99" s="365"/>
      <c r="DH99" s="370"/>
      <c r="DI99" s="360">
        <v>1</v>
      </c>
      <c r="DJ99" s="351" t="e">
        <f t="shared" si="51"/>
        <v>#N/A</v>
      </c>
      <c r="DK99" s="351" t="e">
        <f t="shared" si="52"/>
        <v>#N/A</v>
      </c>
      <c r="DL99" s="351"/>
      <c r="DM99" s="361" t="s">
        <v>3519</v>
      </c>
      <c r="DN99" s="362">
        <v>1</v>
      </c>
      <c r="DO99" s="365"/>
      <c r="DP99" s="362">
        <v>1</v>
      </c>
      <c r="DQ99" s="365"/>
      <c r="DR99" s="362">
        <v>1</v>
      </c>
      <c r="DS99" s="365"/>
      <c r="DT99" s="362">
        <v>1</v>
      </c>
      <c r="DU99" s="365"/>
      <c r="DV99" s="362">
        <v>1</v>
      </c>
      <c r="DW99" s="365"/>
      <c r="DX99" s="370"/>
      <c r="DY99" s="360">
        <v>1</v>
      </c>
      <c r="DZ99" s="351" t="e">
        <f t="shared" si="53"/>
        <v>#N/A</v>
      </c>
      <c r="EA99" s="351" t="e">
        <f t="shared" si="54"/>
        <v>#N/A</v>
      </c>
      <c r="EB99" s="351"/>
      <c r="EC99" s="157">
        <f t="shared" si="17"/>
        <v>0</v>
      </c>
      <c r="ED99" s="157">
        <f t="shared" si="18"/>
        <v>1</v>
      </c>
      <c r="EE99" s="157">
        <f t="shared" si="19"/>
        <v>0.75</v>
      </c>
      <c r="EF99" s="157">
        <f t="shared" si="20"/>
        <v>1</v>
      </c>
    </row>
    <row r="100" spans="1:136" ht="14.25" customHeight="1">
      <c r="A100" s="291" t="b">
        <f t="shared" si="55"/>
        <v>0</v>
      </c>
      <c r="B100" s="292"/>
      <c r="C100" s="355" t="s">
        <v>3520</v>
      </c>
      <c r="D100" s="345"/>
      <c r="E100" s="356" t="s">
        <v>3234</v>
      </c>
      <c r="F100" s="357">
        <v>0</v>
      </c>
      <c r="G100" s="358"/>
      <c r="H100" s="357">
        <v>0</v>
      </c>
      <c r="I100" s="358"/>
      <c r="J100" s="357">
        <v>0</v>
      </c>
      <c r="K100" s="358"/>
      <c r="L100" s="357">
        <v>0</v>
      </c>
      <c r="M100" s="358"/>
      <c r="N100" s="357">
        <v>0</v>
      </c>
      <c r="O100" s="358"/>
      <c r="P100" s="359"/>
      <c r="Q100" s="373">
        <v>1</v>
      </c>
      <c r="R100" s="351" t="e">
        <f t="shared" si="39"/>
        <v>#N/A</v>
      </c>
      <c r="S100" s="351" t="e">
        <f t="shared" si="40"/>
        <v>#N/A</v>
      </c>
      <c r="T100" s="351"/>
      <c r="U100" s="356" t="s">
        <v>3234</v>
      </c>
      <c r="V100" s="357">
        <v>0</v>
      </c>
      <c r="W100" s="374"/>
      <c r="X100" s="375">
        <v>0</v>
      </c>
      <c r="Y100" s="374"/>
      <c r="Z100" s="375">
        <v>0</v>
      </c>
      <c r="AA100" s="374"/>
      <c r="AB100" s="375">
        <v>0</v>
      </c>
      <c r="AC100" s="374"/>
      <c r="AD100" s="375">
        <v>0</v>
      </c>
      <c r="AE100" s="374"/>
      <c r="AF100" s="374"/>
      <c r="AG100" s="373">
        <v>1</v>
      </c>
      <c r="AH100" s="351" t="e">
        <f t="shared" si="41"/>
        <v>#N/A</v>
      </c>
      <c r="AI100" s="351" t="e">
        <f t="shared" si="42"/>
        <v>#N/A</v>
      </c>
      <c r="AJ100" s="351"/>
      <c r="AK100" s="356" t="s">
        <v>3234</v>
      </c>
      <c r="AL100" s="357">
        <v>0</v>
      </c>
      <c r="AM100" s="358"/>
      <c r="AN100" s="357">
        <v>0</v>
      </c>
      <c r="AO100" s="358"/>
      <c r="AP100" s="357">
        <v>0</v>
      </c>
      <c r="AQ100" s="358"/>
      <c r="AR100" s="357">
        <v>0</v>
      </c>
      <c r="AS100" s="358"/>
      <c r="AT100" s="357">
        <v>0</v>
      </c>
      <c r="AU100" s="358"/>
      <c r="AV100" s="358"/>
      <c r="AW100" s="373">
        <v>1</v>
      </c>
      <c r="AX100" s="351" t="e">
        <f t="shared" si="43"/>
        <v>#N/A</v>
      </c>
      <c r="AY100" s="351" t="e">
        <f t="shared" si="44"/>
        <v>#N/A</v>
      </c>
      <c r="AZ100" s="351"/>
      <c r="BA100" s="361" t="s">
        <v>3521</v>
      </c>
      <c r="BB100" s="366">
        <v>1</v>
      </c>
      <c r="BC100" s="365"/>
      <c r="BD100" s="366">
        <v>1</v>
      </c>
      <c r="BE100" s="365"/>
      <c r="BF100" s="366">
        <v>1</v>
      </c>
      <c r="BG100" s="365"/>
      <c r="BH100" s="366">
        <v>1</v>
      </c>
      <c r="BI100" s="365"/>
      <c r="BJ100" s="366">
        <v>1</v>
      </c>
      <c r="BK100" s="365"/>
      <c r="BL100" s="365"/>
      <c r="BM100" s="373">
        <v>1</v>
      </c>
      <c r="BN100" s="351" t="e">
        <f t="shared" si="45"/>
        <v>#N/A</v>
      </c>
      <c r="BO100" s="351" t="e">
        <f t="shared" si="46"/>
        <v>#N/A</v>
      </c>
      <c r="BP100" s="351"/>
      <c r="BQ100" s="361" t="s">
        <v>3521</v>
      </c>
      <c r="BR100" s="367">
        <v>1</v>
      </c>
      <c r="BS100" s="368"/>
      <c r="BT100" s="367">
        <v>1</v>
      </c>
      <c r="BU100" s="368"/>
      <c r="BV100" s="367">
        <v>1</v>
      </c>
      <c r="BW100" s="368"/>
      <c r="BX100" s="367">
        <v>1</v>
      </c>
      <c r="BY100" s="368"/>
      <c r="BZ100" s="367">
        <v>1</v>
      </c>
      <c r="CA100" s="368"/>
      <c r="CB100" s="368"/>
      <c r="CC100" s="373">
        <v>1</v>
      </c>
      <c r="CD100" s="351" t="e">
        <f t="shared" si="47"/>
        <v>#N/A</v>
      </c>
      <c r="CE100" s="351" t="e">
        <f t="shared" si="48"/>
        <v>#N/A</v>
      </c>
      <c r="CF100" s="351"/>
      <c r="CG100" s="356" t="s">
        <v>3234</v>
      </c>
      <c r="CH100" s="376">
        <v>0</v>
      </c>
      <c r="CI100" s="377"/>
      <c r="CJ100" s="376">
        <v>0</v>
      </c>
      <c r="CK100" s="377"/>
      <c r="CL100" s="376">
        <v>0</v>
      </c>
      <c r="CM100" s="377"/>
      <c r="CN100" s="376">
        <v>0</v>
      </c>
      <c r="CO100" s="377"/>
      <c r="CP100" s="376">
        <v>0</v>
      </c>
      <c r="CQ100" s="377"/>
      <c r="CR100" s="377"/>
      <c r="CS100" s="373">
        <v>1</v>
      </c>
      <c r="CT100" s="351" t="e">
        <f t="shared" si="49"/>
        <v>#N/A</v>
      </c>
      <c r="CU100" s="351" t="e">
        <f t="shared" si="50"/>
        <v>#N/A</v>
      </c>
      <c r="CV100" s="351"/>
      <c r="CW100" s="356" t="s">
        <v>3234</v>
      </c>
      <c r="CX100" s="376">
        <v>0</v>
      </c>
      <c r="CY100" s="377"/>
      <c r="CZ100" s="376">
        <v>0</v>
      </c>
      <c r="DA100" s="379"/>
      <c r="DB100" s="376">
        <v>0</v>
      </c>
      <c r="DC100" s="377"/>
      <c r="DD100" s="376">
        <v>0</v>
      </c>
      <c r="DE100" s="377"/>
      <c r="DF100" s="376">
        <v>0</v>
      </c>
      <c r="DG100" s="377"/>
      <c r="DH100" s="377"/>
      <c r="DI100" s="373">
        <v>1</v>
      </c>
      <c r="DJ100" s="351" t="e">
        <f t="shared" si="51"/>
        <v>#N/A</v>
      </c>
      <c r="DK100" s="351" t="e">
        <f t="shared" si="52"/>
        <v>#N/A</v>
      </c>
      <c r="DL100" s="351"/>
      <c r="DM100" s="361" t="s">
        <v>3521</v>
      </c>
      <c r="DN100" s="367">
        <v>1</v>
      </c>
      <c r="DO100" s="368"/>
      <c r="DP100" s="367">
        <v>1</v>
      </c>
      <c r="DQ100" s="368"/>
      <c r="DR100" s="367">
        <v>1</v>
      </c>
      <c r="DS100" s="368"/>
      <c r="DT100" s="367">
        <v>1</v>
      </c>
      <c r="DU100" s="368"/>
      <c r="DV100" s="367">
        <v>1</v>
      </c>
      <c r="DW100" s="368"/>
      <c r="DX100" s="368"/>
      <c r="DY100" s="373">
        <v>1</v>
      </c>
      <c r="DZ100" s="351" t="e">
        <f t="shared" si="53"/>
        <v>#N/A</v>
      </c>
      <c r="EA100" s="351" t="e">
        <f t="shared" si="54"/>
        <v>#N/A</v>
      </c>
      <c r="EB100" s="351"/>
      <c r="EC100" s="157">
        <f t="shared" si="17"/>
        <v>0</v>
      </c>
      <c r="ED100" s="157">
        <f t="shared" si="18"/>
        <v>1</v>
      </c>
      <c r="EE100" s="157">
        <f t="shared" si="19"/>
        <v>0.375</v>
      </c>
      <c r="EF100" s="157">
        <f t="shared" si="20"/>
        <v>0</v>
      </c>
    </row>
    <row r="101" spans="1:136" ht="14.25" customHeight="1">
      <c r="A101" s="291" t="b">
        <f t="shared" si="55"/>
        <v>0</v>
      </c>
      <c r="B101" s="292"/>
      <c r="C101" s="355" t="s">
        <v>3522</v>
      </c>
      <c r="D101" s="345" t="s">
        <v>3523</v>
      </c>
      <c r="E101" s="371" t="s">
        <v>3524</v>
      </c>
      <c r="F101" s="372">
        <v>1</v>
      </c>
      <c r="G101" s="377"/>
      <c r="H101" s="372">
        <v>1</v>
      </c>
      <c r="I101" s="358"/>
      <c r="J101" s="372">
        <v>1</v>
      </c>
      <c r="K101" s="358"/>
      <c r="L101" s="372">
        <v>1</v>
      </c>
      <c r="M101" s="358"/>
      <c r="N101" s="372">
        <v>1</v>
      </c>
      <c r="O101" s="358"/>
      <c r="P101" s="359" t="s">
        <v>3525</v>
      </c>
      <c r="Q101" s="360">
        <v>1</v>
      </c>
      <c r="R101" s="351" t="e">
        <f t="shared" si="39"/>
        <v>#N/A</v>
      </c>
      <c r="S101" s="351" t="e">
        <f t="shared" si="40"/>
        <v>#N/A</v>
      </c>
      <c r="T101" s="351"/>
      <c r="U101" s="371" t="s">
        <v>3526</v>
      </c>
      <c r="V101" s="372">
        <v>0.5</v>
      </c>
      <c r="W101" s="377" t="s">
        <v>3525</v>
      </c>
      <c r="X101" s="380">
        <v>0.8</v>
      </c>
      <c r="Y101" s="374"/>
      <c r="Z101" s="380">
        <v>0.8</v>
      </c>
      <c r="AA101" s="374"/>
      <c r="AB101" s="380">
        <v>0.8</v>
      </c>
      <c r="AC101" s="374"/>
      <c r="AD101" s="380">
        <v>0.8</v>
      </c>
      <c r="AE101" s="374"/>
      <c r="AF101" s="374" t="s">
        <v>3525</v>
      </c>
      <c r="AG101" s="360">
        <v>1</v>
      </c>
      <c r="AH101" s="351" t="e">
        <f t="shared" si="41"/>
        <v>#N/A</v>
      </c>
      <c r="AI101" s="351" t="e">
        <f t="shared" si="42"/>
        <v>#N/A</v>
      </c>
      <c r="AJ101" s="351"/>
      <c r="AK101" s="361" t="s">
        <v>3527</v>
      </c>
      <c r="AL101" s="362">
        <v>1</v>
      </c>
      <c r="AM101" s="365" t="s">
        <v>3525</v>
      </c>
      <c r="AN101" s="362">
        <v>1</v>
      </c>
      <c r="AO101" s="365"/>
      <c r="AP101" s="362">
        <v>1</v>
      </c>
      <c r="AQ101" s="365"/>
      <c r="AR101" s="362">
        <v>1</v>
      </c>
      <c r="AS101" s="365"/>
      <c r="AT101" s="362">
        <v>1</v>
      </c>
      <c r="AU101" s="365"/>
      <c r="AV101" s="365"/>
      <c r="AW101" s="360">
        <v>1</v>
      </c>
      <c r="AX101" s="351" t="e">
        <f t="shared" si="43"/>
        <v>#N/A</v>
      </c>
      <c r="AY101" s="351" t="e">
        <f t="shared" si="44"/>
        <v>#N/A</v>
      </c>
      <c r="AZ101" s="351"/>
      <c r="BA101" s="371" t="s">
        <v>3528</v>
      </c>
      <c r="BB101" s="384">
        <v>0.3</v>
      </c>
      <c r="BC101" s="377" t="s">
        <v>3525</v>
      </c>
      <c r="BD101" s="384">
        <v>0.7</v>
      </c>
      <c r="BE101" s="358"/>
      <c r="BF101" s="384">
        <v>0.7</v>
      </c>
      <c r="BG101" s="358"/>
      <c r="BH101" s="384">
        <v>0.7</v>
      </c>
      <c r="BI101" s="358"/>
      <c r="BJ101" s="384">
        <v>0.7</v>
      </c>
      <c r="BK101" s="358"/>
      <c r="BL101" s="358"/>
      <c r="BM101" s="360">
        <v>1</v>
      </c>
      <c r="BN101" s="351" t="e">
        <f t="shared" si="45"/>
        <v>#N/A</v>
      </c>
      <c r="BO101" s="351" t="e">
        <f t="shared" si="46"/>
        <v>#N/A</v>
      </c>
      <c r="BP101" s="351"/>
      <c r="BQ101" s="371" t="s">
        <v>3529</v>
      </c>
      <c r="BR101" s="385">
        <v>0.3</v>
      </c>
      <c r="BS101" s="377" t="s">
        <v>3525</v>
      </c>
      <c r="BT101" s="385">
        <v>0.7</v>
      </c>
      <c r="BU101" s="377"/>
      <c r="BV101" s="385">
        <v>0.7</v>
      </c>
      <c r="BW101" s="377"/>
      <c r="BX101" s="385">
        <v>0.7</v>
      </c>
      <c r="BY101" s="377"/>
      <c r="BZ101" s="385">
        <v>0.7</v>
      </c>
      <c r="CA101" s="377"/>
      <c r="CB101" s="377"/>
      <c r="CC101" s="360">
        <v>1</v>
      </c>
      <c r="CD101" s="351" t="e">
        <f t="shared" si="47"/>
        <v>#N/A</v>
      </c>
      <c r="CE101" s="351" t="e">
        <f t="shared" si="48"/>
        <v>#N/A</v>
      </c>
      <c r="CF101" s="351"/>
      <c r="CG101" s="371" t="s">
        <v>3530</v>
      </c>
      <c r="CH101" s="385">
        <v>0.5</v>
      </c>
      <c r="CI101" s="377" t="s">
        <v>3525</v>
      </c>
      <c r="CJ101" s="385">
        <v>0.8</v>
      </c>
      <c r="CK101" s="377"/>
      <c r="CL101" s="385">
        <v>0.8</v>
      </c>
      <c r="CM101" s="377"/>
      <c r="CN101" s="385">
        <v>0.8</v>
      </c>
      <c r="CO101" s="377"/>
      <c r="CP101" s="385">
        <v>0.8</v>
      </c>
      <c r="CQ101" s="377"/>
      <c r="CR101" s="377"/>
      <c r="CS101" s="360">
        <v>1</v>
      </c>
      <c r="CT101" s="351" t="e">
        <f t="shared" si="49"/>
        <v>#N/A</v>
      </c>
      <c r="CU101" s="351" t="e">
        <f t="shared" si="50"/>
        <v>#N/A</v>
      </c>
      <c r="CV101" s="351"/>
      <c r="CW101" s="371" t="s">
        <v>3531</v>
      </c>
      <c r="CX101" s="385">
        <v>0.3</v>
      </c>
      <c r="CY101" s="377" t="s">
        <v>3525</v>
      </c>
      <c r="CZ101" s="385">
        <v>0.7</v>
      </c>
      <c r="DA101" s="416"/>
      <c r="DB101" s="385">
        <v>0.7</v>
      </c>
      <c r="DC101" s="377"/>
      <c r="DD101" s="385">
        <v>0.7</v>
      </c>
      <c r="DE101" s="377"/>
      <c r="DF101" s="385">
        <v>0.7</v>
      </c>
      <c r="DG101" s="377"/>
      <c r="DH101" s="377"/>
      <c r="DI101" s="360">
        <v>1</v>
      </c>
      <c r="DJ101" s="351" t="e">
        <f t="shared" si="51"/>
        <v>#N/A</v>
      </c>
      <c r="DK101" s="351" t="e">
        <f t="shared" si="52"/>
        <v>#N/A</v>
      </c>
      <c r="DL101" s="351"/>
      <c r="DM101" s="371" t="s">
        <v>3532</v>
      </c>
      <c r="DN101" s="385">
        <v>1</v>
      </c>
      <c r="DO101" s="377" t="s">
        <v>3525</v>
      </c>
      <c r="DP101" s="385">
        <v>1</v>
      </c>
      <c r="DQ101" s="377"/>
      <c r="DR101" s="385">
        <v>1</v>
      </c>
      <c r="DS101" s="377"/>
      <c r="DT101" s="385">
        <v>1</v>
      </c>
      <c r="DU101" s="377"/>
      <c r="DV101" s="385">
        <v>1</v>
      </c>
      <c r="DW101" s="377"/>
      <c r="DX101" s="377"/>
      <c r="DY101" s="360">
        <v>1</v>
      </c>
      <c r="DZ101" s="351" t="e">
        <f t="shared" si="53"/>
        <v>#N/A</v>
      </c>
      <c r="EA101" s="351" t="e">
        <f t="shared" si="54"/>
        <v>#N/A</v>
      </c>
      <c r="EB101" s="351"/>
      <c r="EC101" s="157">
        <f t="shared" si="17"/>
        <v>0.3</v>
      </c>
      <c r="ED101" s="157">
        <f t="shared" si="18"/>
        <v>1</v>
      </c>
      <c r="EE101" s="157">
        <f t="shared" si="19"/>
        <v>0.79249999999999987</v>
      </c>
      <c r="EF101" s="157">
        <f t="shared" si="20"/>
        <v>0.8</v>
      </c>
    </row>
    <row r="102" spans="1:136" ht="14.25" customHeight="1">
      <c r="A102" s="291" t="b">
        <f t="shared" si="55"/>
        <v>0</v>
      </c>
      <c r="B102" s="292"/>
      <c r="C102" s="355" t="s">
        <v>3533</v>
      </c>
      <c r="D102" s="345"/>
      <c r="E102" s="356" t="s">
        <v>3534</v>
      </c>
      <c r="F102" s="357">
        <v>0.7</v>
      </c>
      <c r="G102" s="358"/>
      <c r="H102" s="357">
        <v>0.7</v>
      </c>
      <c r="I102" s="358"/>
      <c r="J102" s="357">
        <v>0.7</v>
      </c>
      <c r="K102" s="358"/>
      <c r="L102" s="357">
        <v>0.7</v>
      </c>
      <c r="M102" s="358"/>
      <c r="N102" s="357">
        <v>0.7</v>
      </c>
      <c r="O102" s="358"/>
      <c r="P102" s="359"/>
      <c r="Q102" s="360">
        <v>1</v>
      </c>
      <c r="R102" s="351" t="e">
        <f t="shared" si="39"/>
        <v>#N/A</v>
      </c>
      <c r="S102" s="351" t="e">
        <f t="shared" si="40"/>
        <v>#N/A</v>
      </c>
      <c r="T102" s="351"/>
      <c r="U102" s="361" t="s">
        <v>3535</v>
      </c>
      <c r="V102" s="362">
        <v>0.8</v>
      </c>
      <c r="W102" s="363"/>
      <c r="X102" s="364">
        <v>0.8</v>
      </c>
      <c r="Y102" s="363"/>
      <c r="Z102" s="364">
        <v>0.8</v>
      </c>
      <c r="AA102" s="363"/>
      <c r="AB102" s="364">
        <v>0.8</v>
      </c>
      <c r="AC102" s="363"/>
      <c r="AD102" s="364">
        <v>0.8</v>
      </c>
      <c r="AE102" s="363"/>
      <c r="AF102" s="363"/>
      <c r="AG102" s="360">
        <v>1</v>
      </c>
      <c r="AH102" s="351" t="e">
        <f t="shared" si="41"/>
        <v>#N/A</v>
      </c>
      <c r="AI102" s="351" t="e">
        <f t="shared" si="42"/>
        <v>#N/A</v>
      </c>
      <c r="AJ102" s="351"/>
      <c r="AK102" s="361" t="s">
        <v>3536</v>
      </c>
      <c r="AL102" s="362">
        <v>0.8</v>
      </c>
      <c r="AM102" s="365"/>
      <c r="AN102" s="362">
        <v>0.8</v>
      </c>
      <c r="AO102" s="365"/>
      <c r="AP102" s="362">
        <v>0.8</v>
      </c>
      <c r="AQ102" s="365"/>
      <c r="AR102" s="362">
        <v>0.8</v>
      </c>
      <c r="AS102" s="365"/>
      <c r="AT102" s="362">
        <v>0.8</v>
      </c>
      <c r="AU102" s="365"/>
      <c r="AV102" s="365"/>
      <c r="AW102" s="360">
        <v>1</v>
      </c>
      <c r="AX102" s="351" t="e">
        <f t="shared" si="43"/>
        <v>#N/A</v>
      </c>
      <c r="AY102" s="351" t="e">
        <f t="shared" si="44"/>
        <v>#N/A</v>
      </c>
      <c r="AZ102" s="351"/>
      <c r="BA102" s="361" t="s">
        <v>3537</v>
      </c>
      <c r="BB102" s="366">
        <v>0.8</v>
      </c>
      <c r="BC102" s="365"/>
      <c r="BD102" s="366">
        <v>0.8</v>
      </c>
      <c r="BE102" s="365"/>
      <c r="BF102" s="366">
        <v>0.8</v>
      </c>
      <c r="BG102" s="365"/>
      <c r="BH102" s="366">
        <v>0.8</v>
      </c>
      <c r="BI102" s="365"/>
      <c r="BJ102" s="366">
        <v>0.8</v>
      </c>
      <c r="BK102" s="365"/>
      <c r="BL102" s="365"/>
      <c r="BM102" s="360">
        <v>1</v>
      </c>
      <c r="BN102" s="351" t="e">
        <f t="shared" si="45"/>
        <v>#N/A</v>
      </c>
      <c r="BO102" s="351" t="e">
        <f t="shared" si="46"/>
        <v>#N/A</v>
      </c>
      <c r="BP102" s="351"/>
      <c r="BQ102" s="361" t="s">
        <v>3535</v>
      </c>
      <c r="BR102" s="367">
        <v>0.8</v>
      </c>
      <c r="BS102" s="368"/>
      <c r="BT102" s="367">
        <v>0.8</v>
      </c>
      <c r="BU102" s="368"/>
      <c r="BV102" s="367">
        <v>0.8</v>
      </c>
      <c r="BW102" s="368"/>
      <c r="BX102" s="367">
        <v>0.8</v>
      </c>
      <c r="BY102" s="368"/>
      <c r="BZ102" s="367">
        <v>0.8</v>
      </c>
      <c r="CA102" s="368"/>
      <c r="CB102" s="368"/>
      <c r="CC102" s="360">
        <v>1</v>
      </c>
      <c r="CD102" s="351" t="e">
        <f t="shared" si="47"/>
        <v>#N/A</v>
      </c>
      <c r="CE102" s="351" t="e">
        <f t="shared" si="48"/>
        <v>#N/A</v>
      </c>
      <c r="CF102" s="351"/>
      <c r="CG102" s="356" t="s">
        <v>3234</v>
      </c>
      <c r="CH102" s="376">
        <v>0</v>
      </c>
      <c r="CI102" s="377"/>
      <c r="CJ102" s="376">
        <v>0</v>
      </c>
      <c r="CK102" s="377"/>
      <c r="CL102" s="376">
        <v>0</v>
      </c>
      <c r="CM102" s="377"/>
      <c r="CN102" s="376">
        <v>0</v>
      </c>
      <c r="CO102" s="377"/>
      <c r="CP102" s="376">
        <v>0</v>
      </c>
      <c r="CQ102" s="377"/>
      <c r="CR102" s="377"/>
      <c r="CS102" s="360">
        <v>1</v>
      </c>
      <c r="CT102" s="351" t="e">
        <f t="shared" si="49"/>
        <v>#N/A</v>
      </c>
      <c r="CU102" s="351" t="e">
        <f t="shared" si="50"/>
        <v>#N/A</v>
      </c>
      <c r="CV102" s="351"/>
      <c r="CW102" s="356" t="s">
        <v>3234</v>
      </c>
      <c r="CX102" s="376">
        <v>0</v>
      </c>
      <c r="CY102" s="377"/>
      <c r="CZ102" s="376">
        <v>0</v>
      </c>
      <c r="DA102" s="379"/>
      <c r="DB102" s="376">
        <v>0</v>
      </c>
      <c r="DC102" s="377"/>
      <c r="DD102" s="376">
        <v>0</v>
      </c>
      <c r="DE102" s="377"/>
      <c r="DF102" s="376">
        <v>0</v>
      </c>
      <c r="DG102" s="377"/>
      <c r="DH102" s="377"/>
      <c r="DI102" s="360">
        <v>1</v>
      </c>
      <c r="DJ102" s="351" t="e">
        <f t="shared" si="51"/>
        <v>#N/A</v>
      </c>
      <c r="DK102" s="351" t="e">
        <f t="shared" si="52"/>
        <v>#N/A</v>
      </c>
      <c r="DL102" s="351"/>
      <c r="DM102" s="371" t="s">
        <v>3538</v>
      </c>
      <c r="DN102" s="385">
        <v>0.9</v>
      </c>
      <c r="DO102" s="377"/>
      <c r="DP102" s="385">
        <v>0.9</v>
      </c>
      <c r="DQ102" s="377"/>
      <c r="DR102" s="385">
        <v>0.9</v>
      </c>
      <c r="DS102" s="377"/>
      <c r="DT102" s="385">
        <v>0.9</v>
      </c>
      <c r="DU102" s="377"/>
      <c r="DV102" s="385">
        <v>0.9</v>
      </c>
      <c r="DW102" s="377"/>
      <c r="DX102" s="377"/>
      <c r="DY102" s="360">
        <v>1</v>
      </c>
      <c r="DZ102" s="351" t="e">
        <f t="shared" si="53"/>
        <v>#N/A</v>
      </c>
      <c r="EA102" s="351" t="e">
        <f t="shared" si="54"/>
        <v>#N/A</v>
      </c>
      <c r="EB102" s="351"/>
      <c r="EC102" s="157">
        <f t="shared" si="17"/>
        <v>0</v>
      </c>
      <c r="ED102" s="157">
        <f t="shared" si="18"/>
        <v>0.9</v>
      </c>
      <c r="EE102" s="157">
        <f t="shared" si="19"/>
        <v>0.6</v>
      </c>
      <c r="EF102" s="157">
        <f t="shared" si="20"/>
        <v>0.8</v>
      </c>
    </row>
    <row r="103" spans="1:136" ht="14.25" customHeight="1">
      <c r="A103" s="291" t="b">
        <f t="shared" si="55"/>
        <v>0</v>
      </c>
      <c r="B103" s="292"/>
      <c r="C103" s="355" t="s">
        <v>3539</v>
      </c>
      <c r="D103" s="345"/>
      <c r="E103" s="361" t="s">
        <v>3540</v>
      </c>
      <c r="F103" s="362">
        <v>1</v>
      </c>
      <c r="G103" s="365"/>
      <c r="H103" s="362">
        <v>1</v>
      </c>
      <c r="I103" s="365"/>
      <c r="J103" s="362">
        <v>1</v>
      </c>
      <c r="K103" s="365"/>
      <c r="L103" s="362">
        <v>1</v>
      </c>
      <c r="M103" s="365"/>
      <c r="N103" s="362">
        <v>1</v>
      </c>
      <c r="O103" s="365"/>
      <c r="P103" s="370"/>
      <c r="Q103" s="360">
        <v>1</v>
      </c>
      <c r="R103" s="351" t="e">
        <f t="shared" si="39"/>
        <v>#N/A</v>
      </c>
      <c r="S103" s="351" t="e">
        <f t="shared" si="40"/>
        <v>#N/A</v>
      </c>
      <c r="T103" s="351"/>
      <c r="U103" s="361" t="s">
        <v>3540</v>
      </c>
      <c r="V103" s="362">
        <v>1</v>
      </c>
      <c r="W103" s="365"/>
      <c r="X103" s="362">
        <v>1</v>
      </c>
      <c r="Y103" s="365"/>
      <c r="Z103" s="362">
        <v>1</v>
      </c>
      <c r="AA103" s="365"/>
      <c r="AB103" s="362">
        <v>1</v>
      </c>
      <c r="AC103" s="365"/>
      <c r="AD103" s="362">
        <v>1</v>
      </c>
      <c r="AE103" s="365"/>
      <c r="AF103" s="370"/>
      <c r="AG103" s="360">
        <v>1</v>
      </c>
      <c r="AH103" s="351" t="e">
        <f t="shared" si="41"/>
        <v>#N/A</v>
      </c>
      <c r="AI103" s="351" t="e">
        <f t="shared" si="42"/>
        <v>#N/A</v>
      </c>
      <c r="AJ103" s="351"/>
      <c r="AK103" s="361" t="s">
        <v>3541</v>
      </c>
      <c r="AL103" s="362">
        <v>1</v>
      </c>
      <c r="AM103" s="365"/>
      <c r="AN103" s="362">
        <v>1</v>
      </c>
      <c r="AO103" s="365"/>
      <c r="AP103" s="362">
        <v>1</v>
      </c>
      <c r="AQ103" s="365"/>
      <c r="AR103" s="362">
        <v>1</v>
      </c>
      <c r="AS103" s="365"/>
      <c r="AT103" s="362">
        <v>1</v>
      </c>
      <c r="AU103" s="365"/>
      <c r="AV103" s="370"/>
      <c r="AW103" s="360">
        <v>1</v>
      </c>
      <c r="AX103" s="351" t="e">
        <f t="shared" si="43"/>
        <v>#N/A</v>
      </c>
      <c r="AY103" s="351" t="e">
        <f t="shared" si="44"/>
        <v>#N/A</v>
      </c>
      <c r="AZ103" s="351"/>
      <c r="BA103" s="361" t="s">
        <v>3540</v>
      </c>
      <c r="BB103" s="362">
        <v>1</v>
      </c>
      <c r="BC103" s="365"/>
      <c r="BD103" s="362">
        <v>1</v>
      </c>
      <c r="BE103" s="365"/>
      <c r="BF103" s="362">
        <v>1</v>
      </c>
      <c r="BG103" s="365"/>
      <c r="BH103" s="362">
        <v>1</v>
      </c>
      <c r="BI103" s="365"/>
      <c r="BJ103" s="362">
        <v>1</v>
      </c>
      <c r="BK103" s="365"/>
      <c r="BL103" s="370"/>
      <c r="BM103" s="360">
        <v>1</v>
      </c>
      <c r="BN103" s="351" t="e">
        <f t="shared" si="45"/>
        <v>#N/A</v>
      </c>
      <c r="BO103" s="351" t="e">
        <f t="shared" si="46"/>
        <v>#N/A</v>
      </c>
      <c r="BP103" s="351"/>
      <c r="BQ103" s="361" t="s">
        <v>3540</v>
      </c>
      <c r="BR103" s="362">
        <v>1</v>
      </c>
      <c r="BS103" s="365"/>
      <c r="BT103" s="362">
        <v>1</v>
      </c>
      <c r="BU103" s="365"/>
      <c r="BV103" s="362">
        <v>1</v>
      </c>
      <c r="BW103" s="365"/>
      <c r="BX103" s="362">
        <v>1</v>
      </c>
      <c r="BY103" s="365"/>
      <c r="BZ103" s="362">
        <v>1</v>
      </c>
      <c r="CA103" s="365"/>
      <c r="CB103" s="370"/>
      <c r="CC103" s="360">
        <v>1</v>
      </c>
      <c r="CD103" s="351" t="e">
        <f t="shared" si="47"/>
        <v>#N/A</v>
      </c>
      <c r="CE103" s="351" t="e">
        <f t="shared" si="48"/>
        <v>#N/A</v>
      </c>
      <c r="CF103" s="351"/>
      <c r="CG103" s="361" t="s">
        <v>3542</v>
      </c>
      <c r="CH103" s="362">
        <v>0.9</v>
      </c>
      <c r="CI103" s="365"/>
      <c r="CJ103" s="362">
        <v>0.9</v>
      </c>
      <c r="CK103" s="365"/>
      <c r="CL103" s="362">
        <v>0.9</v>
      </c>
      <c r="CM103" s="365"/>
      <c r="CN103" s="362">
        <v>0.9</v>
      </c>
      <c r="CO103" s="365"/>
      <c r="CP103" s="362">
        <v>0.9</v>
      </c>
      <c r="CQ103" s="365"/>
      <c r="CR103" s="370"/>
      <c r="CS103" s="360">
        <v>1</v>
      </c>
      <c r="CT103" s="351" t="e">
        <f t="shared" si="49"/>
        <v>#N/A</v>
      </c>
      <c r="CU103" s="351" t="e">
        <f t="shared" si="50"/>
        <v>#N/A</v>
      </c>
      <c r="CV103" s="351"/>
      <c r="CW103" s="361" t="s">
        <v>3540</v>
      </c>
      <c r="CX103" s="362">
        <v>1</v>
      </c>
      <c r="CY103" s="365"/>
      <c r="CZ103" s="362">
        <v>1</v>
      </c>
      <c r="DA103" s="365"/>
      <c r="DB103" s="362">
        <v>1</v>
      </c>
      <c r="DC103" s="365"/>
      <c r="DD103" s="362">
        <v>1</v>
      </c>
      <c r="DE103" s="365"/>
      <c r="DF103" s="362">
        <v>1</v>
      </c>
      <c r="DG103" s="365"/>
      <c r="DH103" s="370"/>
      <c r="DI103" s="360">
        <v>1</v>
      </c>
      <c r="DJ103" s="351" t="e">
        <f t="shared" si="51"/>
        <v>#N/A</v>
      </c>
      <c r="DK103" s="351" t="e">
        <f t="shared" si="52"/>
        <v>#N/A</v>
      </c>
      <c r="DL103" s="351"/>
      <c r="DM103" s="361" t="s">
        <v>3543</v>
      </c>
      <c r="DN103" s="362">
        <v>1</v>
      </c>
      <c r="DO103" s="365"/>
      <c r="DP103" s="362">
        <v>1</v>
      </c>
      <c r="DQ103" s="365"/>
      <c r="DR103" s="362">
        <v>1</v>
      </c>
      <c r="DS103" s="365"/>
      <c r="DT103" s="362">
        <v>1</v>
      </c>
      <c r="DU103" s="365"/>
      <c r="DV103" s="362">
        <v>1</v>
      </c>
      <c r="DW103" s="365"/>
      <c r="DX103" s="370"/>
      <c r="DY103" s="360">
        <v>1</v>
      </c>
      <c r="DZ103" s="351" t="e">
        <f t="shared" si="53"/>
        <v>#N/A</v>
      </c>
      <c r="EA103" s="351" t="e">
        <f t="shared" si="54"/>
        <v>#N/A</v>
      </c>
      <c r="EB103" s="351"/>
      <c r="EC103" s="157">
        <f t="shared" si="17"/>
        <v>0.9</v>
      </c>
      <c r="ED103" s="157">
        <f t="shared" si="18"/>
        <v>1</v>
      </c>
      <c r="EE103" s="157">
        <f t="shared" si="19"/>
        <v>0.98749999999999982</v>
      </c>
      <c r="EF103" s="157">
        <f t="shared" si="20"/>
        <v>1</v>
      </c>
    </row>
    <row r="104" spans="1:136" ht="14.25" customHeight="1">
      <c r="A104" s="291" t="b">
        <f t="shared" si="55"/>
        <v>0</v>
      </c>
      <c r="B104" s="292"/>
      <c r="C104" s="355" t="s">
        <v>3544</v>
      </c>
      <c r="D104" s="345"/>
      <c r="E104" s="356" t="s">
        <v>3234</v>
      </c>
      <c r="F104" s="357">
        <v>0</v>
      </c>
      <c r="G104" s="358"/>
      <c r="H104" s="357">
        <v>0</v>
      </c>
      <c r="I104" s="358"/>
      <c r="J104" s="357">
        <v>0</v>
      </c>
      <c r="K104" s="358"/>
      <c r="L104" s="357">
        <v>0</v>
      </c>
      <c r="M104" s="358"/>
      <c r="N104" s="357">
        <v>0</v>
      </c>
      <c r="O104" s="358"/>
      <c r="P104" s="359"/>
      <c r="Q104" s="373">
        <v>1</v>
      </c>
      <c r="R104" s="351" t="e">
        <f t="shared" si="39"/>
        <v>#N/A</v>
      </c>
      <c r="S104" s="351" t="e">
        <f t="shared" si="40"/>
        <v>#N/A</v>
      </c>
      <c r="T104" s="351"/>
      <c r="U104" s="356" t="s">
        <v>3234</v>
      </c>
      <c r="V104" s="357">
        <v>0</v>
      </c>
      <c r="W104" s="374"/>
      <c r="X104" s="375">
        <v>0</v>
      </c>
      <c r="Y104" s="374"/>
      <c r="Z104" s="375">
        <v>0</v>
      </c>
      <c r="AA104" s="374"/>
      <c r="AB104" s="375">
        <v>0</v>
      </c>
      <c r="AC104" s="374"/>
      <c r="AD104" s="375">
        <v>0</v>
      </c>
      <c r="AE104" s="374"/>
      <c r="AF104" s="374"/>
      <c r="AG104" s="373">
        <v>1</v>
      </c>
      <c r="AH104" s="351" t="e">
        <f t="shared" si="41"/>
        <v>#N/A</v>
      </c>
      <c r="AI104" s="351" t="e">
        <f t="shared" si="42"/>
        <v>#N/A</v>
      </c>
      <c r="AJ104" s="351"/>
      <c r="AK104" s="361" t="s">
        <v>3545</v>
      </c>
      <c r="AL104" s="362">
        <v>1</v>
      </c>
      <c r="AM104" s="365"/>
      <c r="AN104" s="362">
        <v>1</v>
      </c>
      <c r="AO104" s="365"/>
      <c r="AP104" s="362">
        <v>1</v>
      </c>
      <c r="AQ104" s="365"/>
      <c r="AR104" s="362">
        <v>1</v>
      </c>
      <c r="AS104" s="365"/>
      <c r="AT104" s="362">
        <v>1</v>
      </c>
      <c r="AU104" s="365"/>
      <c r="AV104" s="365"/>
      <c r="AW104" s="373">
        <v>1</v>
      </c>
      <c r="AX104" s="351" t="e">
        <f t="shared" si="43"/>
        <v>#N/A</v>
      </c>
      <c r="AY104" s="351" t="e">
        <f t="shared" si="44"/>
        <v>#N/A</v>
      </c>
      <c r="AZ104" s="351"/>
      <c r="BA104" s="361" t="s">
        <v>3546</v>
      </c>
      <c r="BB104" s="366">
        <v>1</v>
      </c>
      <c r="BC104" s="365"/>
      <c r="BD104" s="366">
        <v>1</v>
      </c>
      <c r="BE104" s="365"/>
      <c r="BF104" s="366">
        <v>1</v>
      </c>
      <c r="BG104" s="365"/>
      <c r="BH104" s="366">
        <v>1</v>
      </c>
      <c r="BI104" s="365"/>
      <c r="BJ104" s="366">
        <v>1</v>
      </c>
      <c r="BK104" s="365"/>
      <c r="BL104" s="365"/>
      <c r="BM104" s="373">
        <v>1</v>
      </c>
      <c r="BN104" s="351" t="e">
        <f t="shared" si="45"/>
        <v>#N/A</v>
      </c>
      <c r="BO104" s="351" t="e">
        <f t="shared" si="46"/>
        <v>#N/A</v>
      </c>
      <c r="BP104" s="351"/>
      <c r="BQ104" s="361" t="s">
        <v>3546</v>
      </c>
      <c r="BR104" s="367">
        <v>1</v>
      </c>
      <c r="BS104" s="368"/>
      <c r="BT104" s="367">
        <v>1</v>
      </c>
      <c r="BU104" s="368"/>
      <c r="BV104" s="367">
        <v>1</v>
      </c>
      <c r="BW104" s="368"/>
      <c r="BX104" s="367">
        <v>1</v>
      </c>
      <c r="BY104" s="368"/>
      <c r="BZ104" s="367">
        <v>1</v>
      </c>
      <c r="CA104" s="368"/>
      <c r="CB104" s="368"/>
      <c r="CC104" s="373">
        <v>1</v>
      </c>
      <c r="CD104" s="351" t="e">
        <f t="shared" si="47"/>
        <v>#N/A</v>
      </c>
      <c r="CE104" s="351" t="e">
        <f t="shared" si="48"/>
        <v>#N/A</v>
      </c>
      <c r="CF104" s="351"/>
      <c r="CG104" s="361" t="s">
        <v>3540</v>
      </c>
      <c r="CH104" s="367">
        <v>1</v>
      </c>
      <c r="CI104" s="368"/>
      <c r="CJ104" s="367">
        <v>1</v>
      </c>
      <c r="CK104" s="368"/>
      <c r="CL104" s="367">
        <v>1</v>
      </c>
      <c r="CM104" s="368"/>
      <c r="CN104" s="367">
        <v>1</v>
      </c>
      <c r="CO104" s="368"/>
      <c r="CP104" s="367">
        <v>1</v>
      </c>
      <c r="CQ104" s="368"/>
      <c r="CR104" s="368"/>
      <c r="CS104" s="373">
        <v>1</v>
      </c>
      <c r="CT104" s="351" t="e">
        <f t="shared" si="49"/>
        <v>#N/A</v>
      </c>
      <c r="CU104" s="351" t="e">
        <f t="shared" si="50"/>
        <v>#N/A</v>
      </c>
      <c r="CV104" s="351"/>
      <c r="CW104" s="361" t="s">
        <v>3545</v>
      </c>
      <c r="CX104" s="367">
        <v>1</v>
      </c>
      <c r="CY104" s="368"/>
      <c r="CZ104" s="367">
        <v>1</v>
      </c>
      <c r="DA104" s="369"/>
      <c r="DB104" s="367">
        <v>1</v>
      </c>
      <c r="DC104" s="368"/>
      <c r="DD104" s="367">
        <v>1</v>
      </c>
      <c r="DE104" s="368"/>
      <c r="DF104" s="367">
        <v>1</v>
      </c>
      <c r="DG104" s="368"/>
      <c r="DH104" s="368"/>
      <c r="DI104" s="373">
        <v>1</v>
      </c>
      <c r="DJ104" s="351" t="e">
        <f t="shared" si="51"/>
        <v>#N/A</v>
      </c>
      <c r="DK104" s="351" t="e">
        <f t="shared" si="52"/>
        <v>#N/A</v>
      </c>
      <c r="DL104" s="351"/>
      <c r="DM104" s="361" t="s">
        <v>3545</v>
      </c>
      <c r="DN104" s="367">
        <v>1</v>
      </c>
      <c r="DO104" s="368"/>
      <c r="DP104" s="367">
        <v>1</v>
      </c>
      <c r="DQ104" s="368"/>
      <c r="DR104" s="367">
        <v>1</v>
      </c>
      <c r="DS104" s="368"/>
      <c r="DT104" s="367">
        <v>1</v>
      </c>
      <c r="DU104" s="368"/>
      <c r="DV104" s="367">
        <v>1</v>
      </c>
      <c r="DW104" s="368"/>
      <c r="DX104" s="368"/>
      <c r="DY104" s="373">
        <v>1</v>
      </c>
      <c r="DZ104" s="351" t="e">
        <f t="shared" si="53"/>
        <v>#N/A</v>
      </c>
      <c r="EA104" s="351" t="e">
        <f t="shared" si="54"/>
        <v>#N/A</v>
      </c>
      <c r="EB104" s="351"/>
      <c r="EC104" s="157">
        <f t="shared" si="17"/>
        <v>0</v>
      </c>
      <c r="ED104" s="157">
        <f t="shared" si="18"/>
        <v>1</v>
      </c>
      <c r="EE104" s="157">
        <f t="shared" si="19"/>
        <v>0.75</v>
      </c>
      <c r="EF104" s="157">
        <f t="shared" si="20"/>
        <v>1</v>
      </c>
    </row>
    <row r="105" spans="1:136" ht="14.25" customHeight="1">
      <c r="A105" s="291" t="b">
        <f t="shared" si="55"/>
        <v>0</v>
      </c>
      <c r="B105" s="292"/>
      <c r="C105" s="355" t="s">
        <v>3547</v>
      </c>
      <c r="D105" s="345"/>
      <c r="E105" s="361" t="s">
        <v>3232</v>
      </c>
      <c r="F105" s="362">
        <v>0</v>
      </c>
      <c r="G105" s="365"/>
      <c r="H105" s="362">
        <v>0</v>
      </c>
      <c r="I105" s="365"/>
      <c r="J105" s="362">
        <v>0</v>
      </c>
      <c r="K105" s="365"/>
      <c r="L105" s="362">
        <v>0</v>
      </c>
      <c r="M105" s="365"/>
      <c r="N105" s="362">
        <v>0</v>
      </c>
      <c r="O105" s="365"/>
      <c r="P105" s="370"/>
      <c r="Q105" s="360">
        <v>1</v>
      </c>
      <c r="R105" s="351" t="e">
        <f t="shared" si="39"/>
        <v>#N/A</v>
      </c>
      <c r="S105" s="351" t="e">
        <f t="shared" si="40"/>
        <v>#N/A</v>
      </c>
      <c r="T105" s="351"/>
      <c r="U105" s="361" t="s">
        <v>3540</v>
      </c>
      <c r="V105" s="362">
        <v>1</v>
      </c>
      <c r="W105" s="365"/>
      <c r="X105" s="362">
        <v>1</v>
      </c>
      <c r="Y105" s="365"/>
      <c r="Z105" s="362">
        <v>1</v>
      </c>
      <c r="AA105" s="365"/>
      <c r="AB105" s="362">
        <v>1</v>
      </c>
      <c r="AC105" s="365"/>
      <c r="AD105" s="362">
        <v>1</v>
      </c>
      <c r="AE105" s="365"/>
      <c r="AF105" s="370"/>
      <c r="AG105" s="360">
        <v>1</v>
      </c>
      <c r="AH105" s="351" t="e">
        <f t="shared" si="41"/>
        <v>#N/A</v>
      </c>
      <c r="AI105" s="351" t="e">
        <f t="shared" si="42"/>
        <v>#N/A</v>
      </c>
      <c r="AJ105" s="351"/>
      <c r="AK105" s="361" t="s">
        <v>3541</v>
      </c>
      <c r="AL105" s="362">
        <v>1</v>
      </c>
      <c r="AM105" s="365"/>
      <c r="AN105" s="362">
        <v>1</v>
      </c>
      <c r="AO105" s="365"/>
      <c r="AP105" s="362">
        <v>1</v>
      </c>
      <c r="AQ105" s="365"/>
      <c r="AR105" s="362">
        <v>1</v>
      </c>
      <c r="AS105" s="365"/>
      <c r="AT105" s="362">
        <v>1</v>
      </c>
      <c r="AU105" s="365"/>
      <c r="AV105" s="370"/>
      <c r="AW105" s="360">
        <v>1</v>
      </c>
      <c r="AX105" s="351" t="e">
        <f t="shared" si="43"/>
        <v>#N/A</v>
      </c>
      <c r="AY105" s="351" t="e">
        <f t="shared" si="44"/>
        <v>#N/A</v>
      </c>
      <c r="AZ105" s="351"/>
      <c r="BA105" s="361" t="s">
        <v>3540</v>
      </c>
      <c r="BB105" s="362">
        <v>1</v>
      </c>
      <c r="BC105" s="365"/>
      <c r="BD105" s="362">
        <v>1</v>
      </c>
      <c r="BE105" s="365"/>
      <c r="BF105" s="362">
        <v>1</v>
      </c>
      <c r="BG105" s="365"/>
      <c r="BH105" s="362">
        <v>1</v>
      </c>
      <c r="BI105" s="365"/>
      <c r="BJ105" s="362">
        <v>1</v>
      </c>
      <c r="BK105" s="365"/>
      <c r="BL105" s="370"/>
      <c r="BM105" s="360">
        <v>1</v>
      </c>
      <c r="BN105" s="351" t="e">
        <f t="shared" si="45"/>
        <v>#N/A</v>
      </c>
      <c r="BO105" s="351" t="e">
        <f t="shared" si="46"/>
        <v>#N/A</v>
      </c>
      <c r="BP105" s="351"/>
      <c r="BQ105" s="361" t="s">
        <v>3540</v>
      </c>
      <c r="BR105" s="362">
        <v>1</v>
      </c>
      <c r="BS105" s="365"/>
      <c r="BT105" s="362">
        <v>1</v>
      </c>
      <c r="BU105" s="365"/>
      <c r="BV105" s="362">
        <v>1</v>
      </c>
      <c r="BW105" s="365"/>
      <c r="BX105" s="362">
        <v>1</v>
      </c>
      <c r="BY105" s="365"/>
      <c r="BZ105" s="362">
        <v>1</v>
      </c>
      <c r="CA105" s="365"/>
      <c r="CB105" s="370"/>
      <c r="CC105" s="360">
        <v>1</v>
      </c>
      <c r="CD105" s="351" t="e">
        <f t="shared" si="47"/>
        <v>#N/A</v>
      </c>
      <c r="CE105" s="351" t="e">
        <f t="shared" si="48"/>
        <v>#N/A</v>
      </c>
      <c r="CF105" s="351"/>
      <c r="CG105" s="356" t="s">
        <v>3234</v>
      </c>
      <c r="CH105" s="376">
        <v>0</v>
      </c>
      <c r="CI105" s="377"/>
      <c r="CJ105" s="376">
        <v>0</v>
      </c>
      <c r="CK105" s="377"/>
      <c r="CL105" s="376">
        <v>0</v>
      </c>
      <c r="CM105" s="377"/>
      <c r="CN105" s="376">
        <v>0</v>
      </c>
      <c r="CO105" s="377"/>
      <c r="CP105" s="376">
        <v>0</v>
      </c>
      <c r="CQ105" s="377"/>
      <c r="CR105" s="377"/>
      <c r="CS105" s="360">
        <v>1</v>
      </c>
      <c r="CT105" s="351" t="e">
        <f t="shared" si="49"/>
        <v>#N/A</v>
      </c>
      <c r="CU105" s="351" t="e">
        <f t="shared" si="50"/>
        <v>#N/A</v>
      </c>
      <c r="CV105" s="351"/>
      <c r="CW105" s="361" t="s">
        <v>3540</v>
      </c>
      <c r="CX105" s="362">
        <v>1</v>
      </c>
      <c r="CY105" s="365"/>
      <c r="CZ105" s="362">
        <v>1</v>
      </c>
      <c r="DA105" s="365"/>
      <c r="DB105" s="362">
        <v>1</v>
      </c>
      <c r="DC105" s="365"/>
      <c r="DD105" s="362">
        <v>1</v>
      </c>
      <c r="DE105" s="365"/>
      <c r="DF105" s="362">
        <v>1</v>
      </c>
      <c r="DG105" s="365"/>
      <c r="DH105" s="370"/>
      <c r="DI105" s="360">
        <v>1</v>
      </c>
      <c r="DJ105" s="351" t="e">
        <f t="shared" si="51"/>
        <v>#N/A</v>
      </c>
      <c r="DK105" s="351" t="e">
        <f t="shared" si="52"/>
        <v>#N/A</v>
      </c>
      <c r="DL105" s="351"/>
      <c r="DM105" s="361" t="s">
        <v>3543</v>
      </c>
      <c r="DN105" s="362">
        <v>1</v>
      </c>
      <c r="DO105" s="365"/>
      <c r="DP105" s="362">
        <v>1</v>
      </c>
      <c r="DQ105" s="365"/>
      <c r="DR105" s="362">
        <v>1</v>
      </c>
      <c r="DS105" s="365"/>
      <c r="DT105" s="362">
        <v>1</v>
      </c>
      <c r="DU105" s="365"/>
      <c r="DV105" s="362">
        <v>1</v>
      </c>
      <c r="DW105" s="365"/>
      <c r="DX105" s="370"/>
      <c r="DY105" s="360">
        <v>1</v>
      </c>
      <c r="DZ105" s="351" t="e">
        <f t="shared" si="53"/>
        <v>#N/A</v>
      </c>
      <c r="EA105" s="351" t="e">
        <f t="shared" si="54"/>
        <v>#N/A</v>
      </c>
      <c r="EB105" s="351"/>
      <c r="EC105" s="157">
        <f t="shared" si="17"/>
        <v>0</v>
      </c>
      <c r="ED105" s="157">
        <f t="shared" si="18"/>
        <v>1</v>
      </c>
      <c r="EE105" s="157">
        <f t="shared" si="19"/>
        <v>0.75</v>
      </c>
      <c r="EF105" s="157">
        <f t="shared" si="20"/>
        <v>1</v>
      </c>
    </row>
    <row r="106" spans="1:136" ht="14.25" customHeight="1">
      <c r="A106" s="291" t="b">
        <f t="shared" si="55"/>
        <v>1</v>
      </c>
      <c r="B106" s="292"/>
      <c r="C106" s="355" t="s">
        <v>3548</v>
      </c>
      <c r="D106" s="345"/>
      <c r="E106" s="371" t="s">
        <v>3549</v>
      </c>
      <c r="F106" s="372">
        <v>0.5</v>
      </c>
      <c r="G106" s="358"/>
      <c r="H106" s="372">
        <v>0.5</v>
      </c>
      <c r="I106" s="358"/>
      <c r="J106" s="372">
        <v>0.5</v>
      </c>
      <c r="K106" s="358"/>
      <c r="L106" s="372">
        <v>0.5</v>
      </c>
      <c r="M106" s="358"/>
      <c r="N106" s="372">
        <v>0.5</v>
      </c>
      <c r="O106" s="358"/>
      <c r="P106" s="359"/>
      <c r="Q106" s="360">
        <v>1</v>
      </c>
      <c r="R106" s="351" t="e">
        <f t="shared" si="39"/>
        <v>#N/A</v>
      </c>
      <c r="S106" s="351" t="e">
        <f t="shared" si="40"/>
        <v>#N/A</v>
      </c>
      <c r="T106" s="351"/>
      <c r="U106" s="371" t="s">
        <v>3550</v>
      </c>
      <c r="V106" s="372">
        <v>0.5</v>
      </c>
      <c r="W106" s="358"/>
      <c r="X106" s="372">
        <v>0.5</v>
      </c>
      <c r="Y106" s="358"/>
      <c r="Z106" s="372">
        <v>0.5</v>
      </c>
      <c r="AA106" s="358"/>
      <c r="AB106" s="372">
        <v>0.5</v>
      </c>
      <c r="AC106" s="358"/>
      <c r="AD106" s="372">
        <v>0.5</v>
      </c>
      <c r="AE106" s="358"/>
      <c r="AF106" s="359"/>
      <c r="AG106" s="360">
        <v>1</v>
      </c>
      <c r="AH106" s="351" t="e">
        <f t="shared" si="41"/>
        <v>#N/A</v>
      </c>
      <c r="AI106" s="351" t="e">
        <f t="shared" si="42"/>
        <v>#N/A</v>
      </c>
      <c r="AJ106" s="351"/>
      <c r="AK106" s="361" t="s">
        <v>3551</v>
      </c>
      <c r="AL106" s="372">
        <v>0.5</v>
      </c>
      <c r="AM106" s="358"/>
      <c r="AN106" s="372">
        <v>0.5</v>
      </c>
      <c r="AO106" s="358"/>
      <c r="AP106" s="372">
        <v>0.5</v>
      </c>
      <c r="AQ106" s="358"/>
      <c r="AR106" s="372">
        <v>0.5</v>
      </c>
      <c r="AS106" s="358"/>
      <c r="AT106" s="372">
        <v>0.5</v>
      </c>
      <c r="AU106" s="358"/>
      <c r="AV106" s="359"/>
      <c r="AW106" s="360">
        <v>1</v>
      </c>
      <c r="AX106" s="351" t="e">
        <f t="shared" si="43"/>
        <v>#N/A</v>
      </c>
      <c r="AY106" s="351" t="e">
        <f t="shared" si="44"/>
        <v>#N/A</v>
      </c>
      <c r="AZ106" s="351"/>
      <c r="BA106" s="371" t="s">
        <v>3552</v>
      </c>
      <c r="BB106" s="372">
        <v>0.5</v>
      </c>
      <c r="BC106" s="358"/>
      <c r="BD106" s="372">
        <v>0.5</v>
      </c>
      <c r="BE106" s="358"/>
      <c r="BF106" s="372">
        <v>0.5</v>
      </c>
      <c r="BG106" s="358"/>
      <c r="BH106" s="372">
        <v>0.5</v>
      </c>
      <c r="BI106" s="358"/>
      <c r="BJ106" s="372">
        <v>0.5</v>
      </c>
      <c r="BK106" s="358"/>
      <c r="BL106" s="359"/>
      <c r="BM106" s="360">
        <v>1</v>
      </c>
      <c r="BN106" s="351" t="e">
        <f t="shared" si="45"/>
        <v>#N/A</v>
      </c>
      <c r="BO106" s="351" t="e">
        <f t="shared" si="46"/>
        <v>#N/A</v>
      </c>
      <c r="BP106" s="351"/>
      <c r="BQ106" s="371" t="s">
        <v>3553</v>
      </c>
      <c r="BR106" s="372">
        <v>0.5</v>
      </c>
      <c r="BS106" s="358"/>
      <c r="BT106" s="372">
        <v>0.5</v>
      </c>
      <c r="BU106" s="358"/>
      <c r="BV106" s="372">
        <v>0.5</v>
      </c>
      <c r="BW106" s="358"/>
      <c r="BX106" s="372">
        <v>0.5</v>
      </c>
      <c r="BY106" s="358"/>
      <c r="BZ106" s="372">
        <v>0.5</v>
      </c>
      <c r="CA106" s="358"/>
      <c r="CB106" s="359"/>
      <c r="CC106" s="360">
        <v>1</v>
      </c>
      <c r="CD106" s="351" t="e">
        <f t="shared" si="47"/>
        <v>#N/A</v>
      </c>
      <c r="CE106" s="351" t="e">
        <f t="shared" si="48"/>
        <v>#N/A</v>
      </c>
      <c r="CF106" s="351"/>
      <c r="CG106" s="371" t="s">
        <v>3554</v>
      </c>
      <c r="CH106" s="372">
        <v>0.5</v>
      </c>
      <c r="CI106" s="358"/>
      <c r="CJ106" s="372">
        <v>0.5</v>
      </c>
      <c r="CK106" s="358"/>
      <c r="CL106" s="372">
        <v>0.5</v>
      </c>
      <c r="CM106" s="358"/>
      <c r="CN106" s="372">
        <v>0.5</v>
      </c>
      <c r="CO106" s="358"/>
      <c r="CP106" s="372">
        <v>0.5</v>
      </c>
      <c r="CQ106" s="358"/>
      <c r="CR106" s="359"/>
      <c r="CS106" s="360">
        <v>1</v>
      </c>
      <c r="CT106" s="351" t="e">
        <f t="shared" si="49"/>
        <v>#N/A</v>
      </c>
      <c r="CU106" s="351" t="e">
        <f t="shared" si="50"/>
        <v>#N/A</v>
      </c>
      <c r="CV106" s="351"/>
      <c r="CW106" s="371" t="s">
        <v>3554</v>
      </c>
      <c r="CX106" s="372">
        <v>0.5</v>
      </c>
      <c r="CY106" s="358"/>
      <c r="CZ106" s="372">
        <v>0.5</v>
      </c>
      <c r="DA106" s="358"/>
      <c r="DB106" s="372">
        <v>0.5</v>
      </c>
      <c r="DC106" s="358"/>
      <c r="DD106" s="372">
        <v>0.5</v>
      </c>
      <c r="DE106" s="358"/>
      <c r="DF106" s="372">
        <v>0.5</v>
      </c>
      <c r="DG106" s="358"/>
      <c r="DH106" s="359"/>
      <c r="DI106" s="360">
        <v>1</v>
      </c>
      <c r="DJ106" s="351" t="e">
        <f t="shared" si="51"/>
        <v>#N/A</v>
      </c>
      <c r="DK106" s="351" t="e">
        <f t="shared" si="52"/>
        <v>#N/A</v>
      </c>
      <c r="DL106" s="351"/>
      <c r="DM106" s="361" t="s">
        <v>3555</v>
      </c>
      <c r="DN106" s="372">
        <v>0.5</v>
      </c>
      <c r="DO106" s="358"/>
      <c r="DP106" s="372">
        <v>0.5</v>
      </c>
      <c r="DQ106" s="358"/>
      <c r="DR106" s="372">
        <v>0.5</v>
      </c>
      <c r="DS106" s="358"/>
      <c r="DT106" s="372">
        <v>0.5</v>
      </c>
      <c r="DU106" s="358"/>
      <c r="DV106" s="372">
        <v>0.5</v>
      </c>
      <c r="DW106" s="358"/>
      <c r="DX106" s="359"/>
      <c r="DY106" s="360">
        <v>1</v>
      </c>
      <c r="DZ106" s="351" t="e">
        <f t="shared" si="53"/>
        <v>#N/A</v>
      </c>
      <c r="EA106" s="351" t="e">
        <f t="shared" si="54"/>
        <v>#N/A</v>
      </c>
      <c r="EB106" s="351"/>
      <c r="EC106" s="157">
        <f t="shared" si="17"/>
        <v>0.5</v>
      </c>
      <c r="ED106" s="157">
        <f t="shared" si="18"/>
        <v>0.5</v>
      </c>
      <c r="EE106" s="157">
        <f t="shared" si="19"/>
        <v>0.5</v>
      </c>
      <c r="EF106" s="157">
        <f t="shared" si="20"/>
        <v>0.5</v>
      </c>
    </row>
    <row r="107" spans="1:136" ht="14.25" customHeight="1">
      <c r="A107" s="291" t="b">
        <f t="shared" si="55"/>
        <v>1</v>
      </c>
      <c r="B107" s="292"/>
      <c r="C107" s="355" t="s">
        <v>3556</v>
      </c>
      <c r="D107" s="345"/>
      <c r="E107" s="371" t="s">
        <v>3557</v>
      </c>
      <c r="F107" s="372">
        <v>0.5</v>
      </c>
      <c r="G107" s="358"/>
      <c r="H107" s="372">
        <v>0.5</v>
      </c>
      <c r="I107" s="358"/>
      <c r="J107" s="372">
        <v>0.5</v>
      </c>
      <c r="K107" s="358"/>
      <c r="L107" s="372">
        <v>0.5</v>
      </c>
      <c r="M107" s="358"/>
      <c r="N107" s="372">
        <v>0.5</v>
      </c>
      <c r="O107" s="358"/>
      <c r="P107" s="359"/>
      <c r="Q107" s="360">
        <v>1</v>
      </c>
      <c r="R107" s="351" t="e">
        <f t="shared" si="39"/>
        <v>#N/A</v>
      </c>
      <c r="S107" s="351" t="e">
        <f t="shared" si="40"/>
        <v>#N/A</v>
      </c>
      <c r="T107" s="351"/>
      <c r="U107" s="371" t="s">
        <v>3558</v>
      </c>
      <c r="V107" s="372">
        <v>0.5</v>
      </c>
      <c r="W107" s="358"/>
      <c r="X107" s="372">
        <v>0.5</v>
      </c>
      <c r="Y107" s="358"/>
      <c r="Z107" s="372">
        <v>0.5</v>
      </c>
      <c r="AA107" s="358"/>
      <c r="AB107" s="372">
        <v>0.5</v>
      </c>
      <c r="AC107" s="358"/>
      <c r="AD107" s="372">
        <v>0.5</v>
      </c>
      <c r="AE107" s="358"/>
      <c r="AF107" s="359"/>
      <c r="AG107" s="360">
        <v>1</v>
      </c>
      <c r="AH107" s="351" t="e">
        <f t="shared" si="41"/>
        <v>#N/A</v>
      </c>
      <c r="AI107" s="351" t="e">
        <f t="shared" si="42"/>
        <v>#N/A</v>
      </c>
      <c r="AJ107" s="351"/>
      <c r="AK107" s="371" t="s">
        <v>3559</v>
      </c>
      <c r="AL107" s="372">
        <v>0.5</v>
      </c>
      <c r="AM107" s="358"/>
      <c r="AN107" s="372">
        <v>0.5</v>
      </c>
      <c r="AO107" s="358"/>
      <c r="AP107" s="372">
        <v>0.5</v>
      </c>
      <c r="AQ107" s="358"/>
      <c r="AR107" s="372">
        <v>0.5</v>
      </c>
      <c r="AS107" s="358"/>
      <c r="AT107" s="372">
        <v>0.5</v>
      </c>
      <c r="AU107" s="358"/>
      <c r="AV107" s="359"/>
      <c r="AW107" s="360">
        <v>1</v>
      </c>
      <c r="AX107" s="351" t="e">
        <f t="shared" si="43"/>
        <v>#N/A</v>
      </c>
      <c r="AY107" s="351" t="e">
        <f t="shared" si="44"/>
        <v>#N/A</v>
      </c>
      <c r="AZ107" s="351"/>
      <c r="BA107" s="361" t="s">
        <v>3560</v>
      </c>
      <c r="BB107" s="372">
        <v>0.5</v>
      </c>
      <c r="BC107" s="358"/>
      <c r="BD107" s="372">
        <v>0.5</v>
      </c>
      <c r="BE107" s="358"/>
      <c r="BF107" s="372">
        <v>0.5</v>
      </c>
      <c r="BG107" s="358"/>
      <c r="BH107" s="372">
        <v>0.5</v>
      </c>
      <c r="BI107" s="358"/>
      <c r="BJ107" s="372">
        <v>0.5</v>
      </c>
      <c r="BK107" s="358"/>
      <c r="BL107" s="359"/>
      <c r="BM107" s="360">
        <v>1</v>
      </c>
      <c r="BN107" s="351" t="e">
        <f t="shared" si="45"/>
        <v>#N/A</v>
      </c>
      <c r="BO107" s="351" t="e">
        <f t="shared" si="46"/>
        <v>#N/A</v>
      </c>
      <c r="BP107" s="351"/>
      <c r="BQ107" s="361" t="s">
        <v>3560</v>
      </c>
      <c r="BR107" s="372">
        <v>0.5</v>
      </c>
      <c r="BS107" s="358"/>
      <c r="BT107" s="372">
        <v>0.5</v>
      </c>
      <c r="BU107" s="358"/>
      <c r="BV107" s="372">
        <v>0.5</v>
      </c>
      <c r="BW107" s="358"/>
      <c r="BX107" s="372">
        <v>0.5</v>
      </c>
      <c r="BY107" s="358"/>
      <c r="BZ107" s="372">
        <v>0.5</v>
      </c>
      <c r="CA107" s="358"/>
      <c r="CB107" s="359"/>
      <c r="CC107" s="360">
        <v>1</v>
      </c>
      <c r="CD107" s="351" t="e">
        <f t="shared" si="47"/>
        <v>#N/A</v>
      </c>
      <c r="CE107" s="351" t="e">
        <f t="shared" si="48"/>
        <v>#N/A</v>
      </c>
      <c r="CF107" s="351"/>
      <c r="CG107" s="371" t="s">
        <v>3557</v>
      </c>
      <c r="CH107" s="372">
        <v>0.5</v>
      </c>
      <c r="CI107" s="358"/>
      <c r="CJ107" s="372">
        <v>0.5</v>
      </c>
      <c r="CK107" s="358"/>
      <c r="CL107" s="372">
        <v>0.5</v>
      </c>
      <c r="CM107" s="358"/>
      <c r="CN107" s="372">
        <v>0.5</v>
      </c>
      <c r="CO107" s="358"/>
      <c r="CP107" s="372">
        <v>0.5</v>
      </c>
      <c r="CQ107" s="358"/>
      <c r="CR107" s="359"/>
      <c r="CS107" s="360">
        <v>1</v>
      </c>
      <c r="CT107" s="351" t="e">
        <f t="shared" si="49"/>
        <v>#N/A</v>
      </c>
      <c r="CU107" s="351" t="e">
        <f t="shared" si="50"/>
        <v>#N/A</v>
      </c>
      <c r="CV107" s="351"/>
      <c r="CW107" s="371" t="s">
        <v>3557</v>
      </c>
      <c r="CX107" s="372">
        <v>0.5</v>
      </c>
      <c r="CY107" s="358"/>
      <c r="CZ107" s="372">
        <v>0.5</v>
      </c>
      <c r="DA107" s="358"/>
      <c r="DB107" s="372">
        <v>0.5</v>
      </c>
      <c r="DC107" s="358"/>
      <c r="DD107" s="372">
        <v>0.5</v>
      </c>
      <c r="DE107" s="358"/>
      <c r="DF107" s="372">
        <v>0.5</v>
      </c>
      <c r="DG107" s="358"/>
      <c r="DH107" s="359"/>
      <c r="DI107" s="360">
        <v>1</v>
      </c>
      <c r="DJ107" s="351" t="e">
        <f t="shared" si="51"/>
        <v>#N/A</v>
      </c>
      <c r="DK107" s="351" t="e">
        <f t="shared" si="52"/>
        <v>#N/A</v>
      </c>
      <c r="DL107" s="351"/>
      <c r="DM107" s="361" t="s">
        <v>3561</v>
      </c>
      <c r="DN107" s="372">
        <v>0.5</v>
      </c>
      <c r="DO107" s="358"/>
      <c r="DP107" s="372">
        <v>0.5</v>
      </c>
      <c r="DQ107" s="358"/>
      <c r="DR107" s="372">
        <v>0.5</v>
      </c>
      <c r="DS107" s="358"/>
      <c r="DT107" s="372">
        <v>0.5</v>
      </c>
      <c r="DU107" s="358"/>
      <c r="DV107" s="372">
        <v>0.5</v>
      </c>
      <c r="DW107" s="358"/>
      <c r="DX107" s="359"/>
      <c r="DY107" s="360">
        <v>1</v>
      </c>
      <c r="DZ107" s="351" t="e">
        <f t="shared" si="53"/>
        <v>#N/A</v>
      </c>
      <c r="EA107" s="351" t="e">
        <f t="shared" si="54"/>
        <v>#N/A</v>
      </c>
      <c r="EB107" s="351"/>
      <c r="EC107" s="157">
        <f t="shared" si="17"/>
        <v>0.5</v>
      </c>
      <c r="ED107" s="157">
        <f t="shared" si="18"/>
        <v>0.5</v>
      </c>
      <c r="EE107" s="157">
        <f t="shared" si="19"/>
        <v>0.5</v>
      </c>
      <c r="EF107" s="157">
        <f t="shared" si="20"/>
        <v>0.5</v>
      </c>
    </row>
    <row r="108" spans="1:136" ht="14.25" customHeight="1">
      <c r="A108" s="291" t="b">
        <f t="shared" si="55"/>
        <v>0</v>
      </c>
      <c r="B108" s="292"/>
      <c r="C108" s="355" t="s">
        <v>3562</v>
      </c>
      <c r="D108" s="345"/>
      <c r="E108" s="371" t="s">
        <v>3232</v>
      </c>
      <c r="F108" s="372">
        <v>0</v>
      </c>
      <c r="G108" s="358"/>
      <c r="H108" s="372">
        <v>0</v>
      </c>
      <c r="I108" s="358"/>
      <c r="J108" s="372">
        <v>0</v>
      </c>
      <c r="K108" s="358"/>
      <c r="L108" s="372">
        <v>0</v>
      </c>
      <c r="M108" s="358"/>
      <c r="N108" s="372">
        <v>0</v>
      </c>
      <c r="O108" s="358"/>
      <c r="P108" s="359"/>
      <c r="Q108" s="373">
        <v>1</v>
      </c>
      <c r="R108" s="351" t="e">
        <f t="shared" si="39"/>
        <v>#N/A</v>
      </c>
      <c r="S108" s="351" t="e">
        <f t="shared" si="40"/>
        <v>#N/A</v>
      </c>
      <c r="T108" s="351"/>
      <c r="U108" s="356" t="s">
        <v>3234</v>
      </c>
      <c r="V108" s="357">
        <v>0</v>
      </c>
      <c r="W108" s="374"/>
      <c r="X108" s="375">
        <v>0</v>
      </c>
      <c r="Y108" s="374"/>
      <c r="Z108" s="375">
        <v>0</v>
      </c>
      <c r="AA108" s="374"/>
      <c r="AB108" s="375">
        <v>0</v>
      </c>
      <c r="AC108" s="374"/>
      <c r="AD108" s="375">
        <v>0</v>
      </c>
      <c r="AE108" s="374"/>
      <c r="AF108" s="374"/>
      <c r="AG108" s="373">
        <v>1</v>
      </c>
      <c r="AH108" s="351" t="e">
        <f t="shared" si="41"/>
        <v>#N/A</v>
      </c>
      <c r="AI108" s="351" t="e">
        <f t="shared" si="42"/>
        <v>#N/A</v>
      </c>
      <c r="AJ108" s="351"/>
      <c r="AK108" s="361" t="s">
        <v>3563</v>
      </c>
      <c r="AL108" s="372">
        <v>0.5</v>
      </c>
      <c r="AM108" s="358"/>
      <c r="AN108" s="372">
        <v>0.5</v>
      </c>
      <c r="AO108" s="358"/>
      <c r="AP108" s="372">
        <v>0.5</v>
      </c>
      <c r="AQ108" s="358"/>
      <c r="AR108" s="372">
        <v>0.5</v>
      </c>
      <c r="AS108" s="358"/>
      <c r="AT108" s="372">
        <v>0.5</v>
      </c>
      <c r="AU108" s="358"/>
      <c r="AV108" s="359"/>
      <c r="AW108" s="373">
        <v>1</v>
      </c>
      <c r="AX108" s="351" t="e">
        <f t="shared" si="43"/>
        <v>#N/A</v>
      </c>
      <c r="AY108" s="351" t="e">
        <f t="shared" si="44"/>
        <v>#N/A</v>
      </c>
      <c r="AZ108" s="351"/>
      <c r="BA108" s="361" t="s">
        <v>3564</v>
      </c>
      <c r="BB108" s="372">
        <v>0.5</v>
      </c>
      <c r="BC108" s="358"/>
      <c r="BD108" s="372">
        <v>0.5</v>
      </c>
      <c r="BE108" s="358"/>
      <c r="BF108" s="372">
        <v>0.5</v>
      </c>
      <c r="BG108" s="358"/>
      <c r="BH108" s="372">
        <v>0.5</v>
      </c>
      <c r="BI108" s="358"/>
      <c r="BJ108" s="372">
        <v>0.5</v>
      </c>
      <c r="BK108" s="358"/>
      <c r="BL108" s="359"/>
      <c r="BM108" s="373">
        <v>1</v>
      </c>
      <c r="BN108" s="351" t="e">
        <f t="shared" si="45"/>
        <v>#N/A</v>
      </c>
      <c r="BO108" s="351" t="e">
        <f t="shared" si="46"/>
        <v>#N/A</v>
      </c>
      <c r="BP108" s="351"/>
      <c r="BQ108" s="361" t="s">
        <v>3564</v>
      </c>
      <c r="BR108" s="372">
        <v>0.5</v>
      </c>
      <c r="BS108" s="358"/>
      <c r="BT108" s="372">
        <v>0.5</v>
      </c>
      <c r="BU108" s="358"/>
      <c r="BV108" s="372">
        <v>0.5</v>
      </c>
      <c r="BW108" s="358"/>
      <c r="BX108" s="372">
        <v>0.5</v>
      </c>
      <c r="BY108" s="358"/>
      <c r="BZ108" s="372">
        <v>0.5</v>
      </c>
      <c r="CA108" s="358"/>
      <c r="CB108" s="359"/>
      <c r="CC108" s="373">
        <v>1</v>
      </c>
      <c r="CD108" s="351" t="e">
        <f t="shared" si="47"/>
        <v>#N/A</v>
      </c>
      <c r="CE108" s="351" t="e">
        <f t="shared" si="48"/>
        <v>#N/A</v>
      </c>
      <c r="CF108" s="351"/>
      <c r="CG108" s="371" t="s">
        <v>3565</v>
      </c>
      <c r="CH108" s="372">
        <v>0.5</v>
      </c>
      <c r="CI108" s="358"/>
      <c r="CJ108" s="372">
        <v>0.5</v>
      </c>
      <c r="CK108" s="358"/>
      <c r="CL108" s="372">
        <v>0.5</v>
      </c>
      <c r="CM108" s="358"/>
      <c r="CN108" s="372">
        <v>0.5</v>
      </c>
      <c r="CO108" s="358"/>
      <c r="CP108" s="372">
        <v>0.5</v>
      </c>
      <c r="CQ108" s="358"/>
      <c r="CR108" s="359"/>
      <c r="CS108" s="373">
        <v>1</v>
      </c>
      <c r="CT108" s="351" t="e">
        <f t="shared" si="49"/>
        <v>#N/A</v>
      </c>
      <c r="CU108" s="351" t="e">
        <f t="shared" si="50"/>
        <v>#N/A</v>
      </c>
      <c r="CV108" s="351"/>
      <c r="CW108" s="361" t="s">
        <v>3564</v>
      </c>
      <c r="CX108" s="372">
        <v>0.5</v>
      </c>
      <c r="CY108" s="358"/>
      <c r="CZ108" s="372">
        <v>0.5</v>
      </c>
      <c r="DA108" s="358"/>
      <c r="DB108" s="372">
        <v>0.5</v>
      </c>
      <c r="DC108" s="358"/>
      <c r="DD108" s="372">
        <v>0.5</v>
      </c>
      <c r="DE108" s="358"/>
      <c r="DF108" s="372">
        <v>0.5</v>
      </c>
      <c r="DG108" s="358"/>
      <c r="DH108" s="359"/>
      <c r="DI108" s="373">
        <v>1</v>
      </c>
      <c r="DJ108" s="351" t="e">
        <f t="shared" si="51"/>
        <v>#N/A</v>
      </c>
      <c r="DK108" s="351" t="e">
        <f t="shared" si="52"/>
        <v>#N/A</v>
      </c>
      <c r="DL108" s="351"/>
      <c r="DM108" s="361" t="s">
        <v>3566</v>
      </c>
      <c r="DN108" s="372">
        <v>0.5</v>
      </c>
      <c r="DO108" s="358"/>
      <c r="DP108" s="372">
        <v>0.5</v>
      </c>
      <c r="DQ108" s="358"/>
      <c r="DR108" s="372">
        <v>0.5</v>
      </c>
      <c r="DS108" s="358"/>
      <c r="DT108" s="372">
        <v>0.5</v>
      </c>
      <c r="DU108" s="358"/>
      <c r="DV108" s="372">
        <v>0.5</v>
      </c>
      <c r="DW108" s="358"/>
      <c r="DX108" s="359"/>
      <c r="DY108" s="373">
        <v>1</v>
      </c>
      <c r="DZ108" s="351" t="e">
        <f t="shared" si="53"/>
        <v>#N/A</v>
      </c>
      <c r="EA108" s="351" t="e">
        <f t="shared" si="54"/>
        <v>#N/A</v>
      </c>
      <c r="EB108" s="351"/>
      <c r="EC108" s="157">
        <f t="shared" si="17"/>
        <v>0</v>
      </c>
      <c r="ED108" s="157">
        <f t="shared" si="18"/>
        <v>0.5</v>
      </c>
      <c r="EE108" s="157">
        <f t="shared" si="19"/>
        <v>0.375</v>
      </c>
      <c r="EF108" s="157">
        <f t="shared" si="20"/>
        <v>0.5</v>
      </c>
    </row>
    <row r="109" spans="1:136" ht="14.25" customHeight="1">
      <c r="A109" s="395"/>
      <c r="B109" s="337" t="s">
        <v>3567</v>
      </c>
      <c r="C109" s="395"/>
      <c r="D109" s="396"/>
      <c r="E109" s="397"/>
      <c r="F109" s="398"/>
      <c r="G109" s="399"/>
      <c r="H109" s="398"/>
      <c r="I109" s="399"/>
      <c r="J109" s="398"/>
      <c r="K109" s="399"/>
      <c r="L109" s="398"/>
      <c r="M109" s="399"/>
      <c r="N109" s="398"/>
      <c r="O109" s="399"/>
      <c r="P109" s="400"/>
      <c r="Q109" s="401"/>
      <c r="R109" s="351" t="e">
        <f t="shared" si="39"/>
        <v>#N/A</v>
      </c>
      <c r="S109" s="351" t="e">
        <f t="shared" si="40"/>
        <v>#N/A</v>
      </c>
      <c r="T109" s="351"/>
      <c r="U109" s="397"/>
      <c r="V109" s="398"/>
      <c r="W109" s="402"/>
      <c r="X109" s="403"/>
      <c r="Y109" s="402"/>
      <c r="Z109" s="403"/>
      <c r="AA109" s="402"/>
      <c r="AB109" s="403"/>
      <c r="AC109" s="402"/>
      <c r="AD109" s="403"/>
      <c r="AE109" s="402"/>
      <c r="AF109" s="402"/>
      <c r="AG109" s="401"/>
      <c r="AH109" s="351" t="e">
        <f t="shared" si="41"/>
        <v>#N/A</v>
      </c>
      <c r="AI109" s="351" t="e">
        <f t="shared" si="42"/>
        <v>#N/A</v>
      </c>
      <c r="AJ109" s="351"/>
      <c r="AK109" s="397"/>
      <c r="AL109" s="398"/>
      <c r="AM109" s="399"/>
      <c r="AN109" s="398"/>
      <c r="AO109" s="399"/>
      <c r="AP109" s="398"/>
      <c r="AQ109" s="399"/>
      <c r="AR109" s="398"/>
      <c r="AS109" s="399"/>
      <c r="AT109" s="398"/>
      <c r="AU109" s="399"/>
      <c r="AV109" s="399"/>
      <c r="AW109" s="401"/>
      <c r="AX109" s="351" t="e">
        <f t="shared" si="43"/>
        <v>#N/A</v>
      </c>
      <c r="AY109" s="351" t="e">
        <f t="shared" si="44"/>
        <v>#N/A</v>
      </c>
      <c r="AZ109" s="351"/>
      <c r="BA109" s="397"/>
      <c r="BB109" s="404"/>
      <c r="BC109" s="399"/>
      <c r="BD109" s="404"/>
      <c r="BE109" s="399"/>
      <c r="BF109" s="404"/>
      <c r="BG109" s="399"/>
      <c r="BH109" s="404"/>
      <c r="BI109" s="399"/>
      <c r="BJ109" s="404"/>
      <c r="BK109" s="399"/>
      <c r="BL109" s="399"/>
      <c r="BM109" s="401"/>
      <c r="BN109" s="351" t="e">
        <f t="shared" si="45"/>
        <v>#N/A</v>
      </c>
      <c r="BO109" s="351" t="e">
        <f t="shared" si="46"/>
        <v>#N/A</v>
      </c>
      <c r="BP109" s="351"/>
      <c r="BQ109" s="397"/>
      <c r="BR109" s="405"/>
      <c r="BS109" s="406"/>
      <c r="BT109" s="405"/>
      <c r="BU109" s="406"/>
      <c r="BV109" s="405"/>
      <c r="BW109" s="406"/>
      <c r="BX109" s="405"/>
      <c r="BY109" s="406"/>
      <c r="BZ109" s="405"/>
      <c r="CA109" s="406"/>
      <c r="CB109" s="406"/>
      <c r="CC109" s="401"/>
      <c r="CD109" s="351" t="e">
        <f t="shared" si="47"/>
        <v>#N/A</v>
      </c>
      <c r="CE109" s="351" t="e">
        <f t="shared" si="48"/>
        <v>#N/A</v>
      </c>
      <c r="CF109" s="351"/>
      <c r="CG109" s="397"/>
      <c r="CH109" s="405"/>
      <c r="CI109" s="407"/>
      <c r="CJ109" s="405"/>
      <c r="CK109" s="407"/>
      <c r="CL109" s="405"/>
      <c r="CM109" s="407"/>
      <c r="CN109" s="405"/>
      <c r="CO109" s="407"/>
      <c r="CP109" s="405"/>
      <c r="CQ109" s="407"/>
      <c r="CR109" s="407"/>
      <c r="CS109" s="401"/>
      <c r="CT109" s="351" t="e">
        <f t="shared" si="49"/>
        <v>#N/A</v>
      </c>
      <c r="CU109" s="351" t="e">
        <f t="shared" si="50"/>
        <v>#N/A</v>
      </c>
      <c r="CV109" s="351"/>
      <c r="CW109" s="397"/>
      <c r="CX109" s="405"/>
      <c r="CY109" s="407"/>
      <c r="CZ109" s="408"/>
      <c r="DA109" s="409"/>
      <c r="DB109" s="405"/>
      <c r="DC109" s="407"/>
      <c r="DD109" s="405"/>
      <c r="DE109" s="407"/>
      <c r="DF109" s="405"/>
      <c r="DG109" s="407"/>
      <c r="DH109" s="407"/>
      <c r="DI109" s="401"/>
      <c r="DJ109" s="351" t="e">
        <f t="shared" si="51"/>
        <v>#N/A</v>
      </c>
      <c r="DK109" s="351" t="e">
        <f t="shared" si="52"/>
        <v>#N/A</v>
      </c>
      <c r="DL109" s="351"/>
      <c r="DM109" s="397"/>
      <c r="DN109" s="405"/>
      <c r="DO109" s="407"/>
      <c r="DP109" s="405"/>
      <c r="DQ109" s="407"/>
      <c r="DR109" s="405"/>
      <c r="DS109" s="407"/>
      <c r="DT109" s="405"/>
      <c r="DU109" s="407"/>
      <c r="DV109" s="405"/>
      <c r="DW109" s="407"/>
      <c r="DX109" s="407"/>
      <c r="DY109" s="401"/>
      <c r="DZ109" s="351" t="e">
        <f t="shared" si="53"/>
        <v>#N/A</v>
      </c>
      <c r="EA109" s="351" t="e">
        <f t="shared" si="54"/>
        <v>#N/A</v>
      </c>
      <c r="EB109" s="351"/>
      <c r="EC109" s="157">
        <f t="shared" si="17"/>
        <v>0</v>
      </c>
      <c r="ED109" s="157">
        <f t="shared" si="18"/>
        <v>0</v>
      </c>
      <c r="EE109" s="157" t="e">
        <f t="shared" si="19"/>
        <v>#DIV/0!</v>
      </c>
      <c r="EF109" s="157" t="e">
        <f t="shared" si="20"/>
        <v>#NUM!</v>
      </c>
    </row>
    <row r="110" spans="1:136" ht="14.25" customHeight="1">
      <c r="A110" s="291" t="b">
        <f t="shared" ref="A110:A115" si="56">EXACT(MAX(F110,H110,J110,L110,N110,V110,X110,Z110,AB110,AD110,AL110,AN110,AP110,AR110,AT110,BB110,BD110,BF110,BH110,BJ110,BR110,BT110,BV110,BX110,BZ110,CH110,CJ110,CL110,CN110,CP110,CX110,CZ110,DB110,DD110,DF110),MIN(F110,H110,J110,L110,N110,V110,X110,Z110,AB110,AD110,AL110,AN110,AP110,AR110,AT110,BB110,BD110,BF110,BH110,BJ110,BR110,BT110,BV110,BX110,BZ110,CH110,CJ110,CL110,CN110,CP110,CX110,CZ110,DB110,DD110,DF110))</f>
        <v>0</v>
      </c>
      <c r="B110" s="292"/>
      <c r="C110" s="355" t="s">
        <v>3568</v>
      </c>
      <c r="D110" s="345"/>
      <c r="E110" s="361" t="s">
        <v>3569</v>
      </c>
      <c r="F110" s="362">
        <v>1</v>
      </c>
      <c r="G110" s="365"/>
      <c r="H110" s="362">
        <v>1</v>
      </c>
      <c r="I110" s="365"/>
      <c r="J110" s="362">
        <v>1</v>
      </c>
      <c r="K110" s="365"/>
      <c r="L110" s="362">
        <v>1</v>
      </c>
      <c r="M110" s="365"/>
      <c r="N110" s="362">
        <v>1</v>
      </c>
      <c r="O110" s="365"/>
      <c r="P110" s="370"/>
      <c r="Q110" s="360">
        <v>1</v>
      </c>
      <c r="R110" s="351" t="e">
        <f t="shared" si="39"/>
        <v>#N/A</v>
      </c>
      <c r="S110" s="351" t="e">
        <f t="shared" si="40"/>
        <v>#N/A</v>
      </c>
      <c r="T110" s="351"/>
      <c r="U110" s="361" t="s">
        <v>3570</v>
      </c>
      <c r="V110" s="362">
        <v>1</v>
      </c>
      <c r="W110" s="365"/>
      <c r="X110" s="362">
        <v>1</v>
      </c>
      <c r="Y110" s="365"/>
      <c r="Z110" s="362">
        <v>1</v>
      </c>
      <c r="AA110" s="365"/>
      <c r="AB110" s="362">
        <v>1</v>
      </c>
      <c r="AC110" s="365"/>
      <c r="AD110" s="362">
        <v>1</v>
      </c>
      <c r="AE110" s="365"/>
      <c r="AF110" s="370"/>
      <c r="AG110" s="360">
        <v>1</v>
      </c>
      <c r="AH110" s="351" t="e">
        <f t="shared" si="41"/>
        <v>#N/A</v>
      </c>
      <c r="AI110" s="351" t="e">
        <f t="shared" si="42"/>
        <v>#N/A</v>
      </c>
      <c r="AJ110" s="351"/>
      <c r="AK110" s="361" t="s">
        <v>3571</v>
      </c>
      <c r="AL110" s="362">
        <v>1</v>
      </c>
      <c r="AM110" s="365"/>
      <c r="AN110" s="362">
        <v>1</v>
      </c>
      <c r="AO110" s="365"/>
      <c r="AP110" s="362">
        <v>1</v>
      </c>
      <c r="AQ110" s="365"/>
      <c r="AR110" s="362">
        <v>1</v>
      </c>
      <c r="AS110" s="365"/>
      <c r="AT110" s="362">
        <v>1</v>
      </c>
      <c r="AU110" s="365"/>
      <c r="AV110" s="370"/>
      <c r="AW110" s="360">
        <v>1</v>
      </c>
      <c r="AX110" s="351" t="e">
        <f t="shared" si="43"/>
        <v>#N/A</v>
      </c>
      <c r="AY110" s="351" t="e">
        <f t="shared" si="44"/>
        <v>#N/A</v>
      </c>
      <c r="AZ110" s="351"/>
      <c r="BA110" s="361" t="s">
        <v>3571</v>
      </c>
      <c r="BB110" s="362">
        <v>1</v>
      </c>
      <c r="BC110" s="365"/>
      <c r="BD110" s="362">
        <v>1</v>
      </c>
      <c r="BE110" s="365"/>
      <c r="BF110" s="362">
        <v>1</v>
      </c>
      <c r="BG110" s="365"/>
      <c r="BH110" s="362">
        <v>1</v>
      </c>
      <c r="BI110" s="365"/>
      <c r="BJ110" s="362">
        <v>1</v>
      </c>
      <c r="BK110" s="365"/>
      <c r="BL110" s="370"/>
      <c r="BM110" s="360">
        <v>1</v>
      </c>
      <c r="BN110" s="351" t="e">
        <f t="shared" si="45"/>
        <v>#N/A</v>
      </c>
      <c r="BO110" s="351" t="e">
        <f t="shared" si="46"/>
        <v>#N/A</v>
      </c>
      <c r="BP110" s="351"/>
      <c r="BQ110" s="361" t="s">
        <v>3570</v>
      </c>
      <c r="BR110" s="362">
        <v>1</v>
      </c>
      <c r="BS110" s="365"/>
      <c r="BT110" s="362">
        <v>1</v>
      </c>
      <c r="BU110" s="365"/>
      <c r="BV110" s="362">
        <v>1</v>
      </c>
      <c r="BW110" s="365"/>
      <c r="BX110" s="362">
        <v>1</v>
      </c>
      <c r="BY110" s="365"/>
      <c r="BZ110" s="362">
        <v>1</v>
      </c>
      <c r="CA110" s="365"/>
      <c r="CB110" s="370"/>
      <c r="CC110" s="360">
        <v>1</v>
      </c>
      <c r="CD110" s="351" t="e">
        <f t="shared" si="47"/>
        <v>#N/A</v>
      </c>
      <c r="CE110" s="351" t="e">
        <f t="shared" si="48"/>
        <v>#N/A</v>
      </c>
      <c r="CF110" s="351"/>
      <c r="CG110" s="361" t="s">
        <v>3571</v>
      </c>
      <c r="CH110" s="362">
        <v>0.9</v>
      </c>
      <c r="CI110" s="365"/>
      <c r="CJ110" s="362">
        <v>0.9</v>
      </c>
      <c r="CK110" s="365"/>
      <c r="CL110" s="362">
        <v>0.9</v>
      </c>
      <c r="CM110" s="365"/>
      <c r="CN110" s="362">
        <v>0.9</v>
      </c>
      <c r="CO110" s="365"/>
      <c r="CP110" s="362">
        <v>0.9</v>
      </c>
      <c r="CQ110" s="365"/>
      <c r="CR110" s="370"/>
      <c r="CS110" s="360">
        <v>1</v>
      </c>
      <c r="CT110" s="351" t="e">
        <f t="shared" si="49"/>
        <v>#N/A</v>
      </c>
      <c r="CU110" s="351" t="e">
        <f t="shared" si="50"/>
        <v>#N/A</v>
      </c>
      <c r="CV110" s="351"/>
      <c r="CW110" s="361" t="s">
        <v>3571</v>
      </c>
      <c r="CX110" s="362">
        <v>1</v>
      </c>
      <c r="CY110" s="365"/>
      <c r="CZ110" s="362">
        <v>1</v>
      </c>
      <c r="DA110" s="365"/>
      <c r="DB110" s="362">
        <v>1</v>
      </c>
      <c r="DC110" s="365"/>
      <c r="DD110" s="362">
        <v>1</v>
      </c>
      <c r="DE110" s="365"/>
      <c r="DF110" s="362">
        <v>1</v>
      </c>
      <c r="DG110" s="365"/>
      <c r="DH110" s="370"/>
      <c r="DI110" s="360">
        <v>1</v>
      </c>
      <c r="DJ110" s="351" t="e">
        <f t="shared" si="51"/>
        <v>#N/A</v>
      </c>
      <c r="DK110" s="351" t="e">
        <f t="shared" si="52"/>
        <v>#N/A</v>
      </c>
      <c r="DL110" s="351"/>
      <c r="DM110" s="361" t="s">
        <v>3571</v>
      </c>
      <c r="DN110" s="362">
        <v>1</v>
      </c>
      <c r="DO110" s="365"/>
      <c r="DP110" s="362">
        <v>1</v>
      </c>
      <c r="DQ110" s="365"/>
      <c r="DR110" s="362">
        <v>1</v>
      </c>
      <c r="DS110" s="365"/>
      <c r="DT110" s="362">
        <v>1</v>
      </c>
      <c r="DU110" s="365"/>
      <c r="DV110" s="362">
        <v>1</v>
      </c>
      <c r="DW110" s="365"/>
      <c r="DX110" s="370"/>
      <c r="DY110" s="360">
        <v>1</v>
      </c>
      <c r="DZ110" s="351" t="e">
        <f t="shared" si="53"/>
        <v>#N/A</v>
      </c>
      <c r="EA110" s="351" t="e">
        <f t="shared" si="54"/>
        <v>#N/A</v>
      </c>
      <c r="EB110" s="351"/>
      <c r="EC110" s="157">
        <f t="shared" si="17"/>
        <v>0.9</v>
      </c>
      <c r="ED110" s="157">
        <f t="shared" si="18"/>
        <v>1</v>
      </c>
      <c r="EE110" s="157">
        <f t="shared" si="19"/>
        <v>0.98749999999999982</v>
      </c>
      <c r="EF110" s="157">
        <f t="shared" si="20"/>
        <v>1</v>
      </c>
    </row>
    <row r="111" spans="1:136" ht="14.25" customHeight="1">
      <c r="A111" s="291" t="b">
        <f t="shared" si="56"/>
        <v>0</v>
      </c>
      <c r="B111" s="292"/>
      <c r="C111" s="355" t="s">
        <v>3572</v>
      </c>
      <c r="D111" s="345"/>
      <c r="E111" s="371" t="s">
        <v>3573</v>
      </c>
      <c r="F111" s="372">
        <v>1</v>
      </c>
      <c r="G111" s="358"/>
      <c r="H111" s="372">
        <v>1</v>
      </c>
      <c r="I111" s="358"/>
      <c r="J111" s="372">
        <v>1</v>
      </c>
      <c r="K111" s="358"/>
      <c r="L111" s="372">
        <v>1</v>
      </c>
      <c r="M111" s="358"/>
      <c r="N111" s="372">
        <v>1</v>
      </c>
      <c r="O111" s="358"/>
      <c r="P111" s="359"/>
      <c r="Q111" s="360">
        <v>1</v>
      </c>
      <c r="R111" s="351" t="e">
        <f t="shared" si="39"/>
        <v>#N/A</v>
      </c>
      <c r="S111" s="351" t="e">
        <f t="shared" si="40"/>
        <v>#N/A</v>
      </c>
      <c r="T111" s="351"/>
      <c r="U111" s="371" t="s">
        <v>3573</v>
      </c>
      <c r="V111" s="372">
        <v>1</v>
      </c>
      <c r="W111" s="358"/>
      <c r="X111" s="372">
        <v>1</v>
      </c>
      <c r="Y111" s="358"/>
      <c r="Z111" s="372">
        <v>1</v>
      </c>
      <c r="AA111" s="358"/>
      <c r="AB111" s="372">
        <v>1</v>
      </c>
      <c r="AC111" s="358"/>
      <c r="AD111" s="372">
        <v>1</v>
      </c>
      <c r="AE111" s="358"/>
      <c r="AF111" s="359"/>
      <c r="AG111" s="360">
        <v>1</v>
      </c>
      <c r="AH111" s="351" t="e">
        <f t="shared" si="41"/>
        <v>#N/A</v>
      </c>
      <c r="AI111" s="351" t="e">
        <f t="shared" si="42"/>
        <v>#N/A</v>
      </c>
      <c r="AJ111" s="351"/>
      <c r="AK111" s="371" t="s">
        <v>3573</v>
      </c>
      <c r="AL111" s="372">
        <v>1</v>
      </c>
      <c r="AM111" s="358"/>
      <c r="AN111" s="372">
        <v>1</v>
      </c>
      <c r="AO111" s="358"/>
      <c r="AP111" s="372">
        <v>1</v>
      </c>
      <c r="AQ111" s="358"/>
      <c r="AR111" s="372">
        <v>1</v>
      </c>
      <c r="AS111" s="358"/>
      <c r="AT111" s="372">
        <v>1</v>
      </c>
      <c r="AU111" s="358"/>
      <c r="AV111" s="359"/>
      <c r="AW111" s="360">
        <v>1</v>
      </c>
      <c r="AX111" s="351" t="e">
        <f t="shared" si="43"/>
        <v>#N/A</v>
      </c>
      <c r="AY111" s="351" t="e">
        <f t="shared" si="44"/>
        <v>#N/A</v>
      </c>
      <c r="AZ111" s="351"/>
      <c r="BA111" s="371" t="s">
        <v>3573</v>
      </c>
      <c r="BB111" s="372">
        <v>1</v>
      </c>
      <c r="BC111" s="358"/>
      <c r="BD111" s="372">
        <v>1</v>
      </c>
      <c r="BE111" s="358"/>
      <c r="BF111" s="372">
        <v>1</v>
      </c>
      <c r="BG111" s="358"/>
      <c r="BH111" s="372">
        <v>1</v>
      </c>
      <c r="BI111" s="358"/>
      <c r="BJ111" s="372">
        <v>1</v>
      </c>
      <c r="BK111" s="358"/>
      <c r="BL111" s="359"/>
      <c r="BM111" s="360">
        <v>1</v>
      </c>
      <c r="BN111" s="351" t="e">
        <f t="shared" si="45"/>
        <v>#N/A</v>
      </c>
      <c r="BO111" s="351" t="e">
        <f t="shared" si="46"/>
        <v>#N/A</v>
      </c>
      <c r="BP111" s="351"/>
      <c r="BQ111" s="371" t="s">
        <v>3573</v>
      </c>
      <c r="BR111" s="372">
        <v>1</v>
      </c>
      <c r="BS111" s="358"/>
      <c r="BT111" s="372">
        <v>1</v>
      </c>
      <c r="BU111" s="358"/>
      <c r="BV111" s="372">
        <v>1</v>
      </c>
      <c r="BW111" s="358"/>
      <c r="BX111" s="372">
        <v>1</v>
      </c>
      <c r="BY111" s="358"/>
      <c r="BZ111" s="372">
        <v>1</v>
      </c>
      <c r="CA111" s="358"/>
      <c r="CB111" s="359"/>
      <c r="CC111" s="360">
        <v>1</v>
      </c>
      <c r="CD111" s="351" t="e">
        <f t="shared" si="47"/>
        <v>#N/A</v>
      </c>
      <c r="CE111" s="351" t="e">
        <f t="shared" si="48"/>
        <v>#N/A</v>
      </c>
      <c r="CF111" s="351"/>
      <c r="CG111" s="371" t="s">
        <v>3573</v>
      </c>
      <c r="CH111" s="372">
        <v>0.9</v>
      </c>
      <c r="CI111" s="358"/>
      <c r="CJ111" s="372">
        <v>0.9</v>
      </c>
      <c r="CK111" s="358"/>
      <c r="CL111" s="372">
        <v>0.9</v>
      </c>
      <c r="CM111" s="358"/>
      <c r="CN111" s="372">
        <v>0.9</v>
      </c>
      <c r="CO111" s="358"/>
      <c r="CP111" s="372">
        <v>0.9</v>
      </c>
      <c r="CQ111" s="358"/>
      <c r="CR111" s="359"/>
      <c r="CS111" s="360">
        <v>1</v>
      </c>
      <c r="CT111" s="351" t="e">
        <f t="shared" si="49"/>
        <v>#N/A</v>
      </c>
      <c r="CU111" s="351" t="e">
        <f t="shared" si="50"/>
        <v>#N/A</v>
      </c>
      <c r="CV111" s="351"/>
      <c r="CW111" s="371" t="s">
        <v>3574</v>
      </c>
      <c r="CX111" s="372">
        <v>1</v>
      </c>
      <c r="CY111" s="358"/>
      <c r="CZ111" s="372">
        <v>1</v>
      </c>
      <c r="DA111" s="358"/>
      <c r="DB111" s="372">
        <v>1</v>
      </c>
      <c r="DC111" s="358"/>
      <c r="DD111" s="372">
        <v>1</v>
      </c>
      <c r="DE111" s="358"/>
      <c r="DF111" s="372">
        <v>1</v>
      </c>
      <c r="DG111" s="358"/>
      <c r="DH111" s="359"/>
      <c r="DI111" s="360">
        <v>1</v>
      </c>
      <c r="DJ111" s="351" t="e">
        <f t="shared" si="51"/>
        <v>#N/A</v>
      </c>
      <c r="DK111" s="351" t="e">
        <f t="shared" si="52"/>
        <v>#N/A</v>
      </c>
      <c r="DL111" s="351"/>
      <c r="DM111" s="371" t="s">
        <v>3573</v>
      </c>
      <c r="DN111" s="372">
        <v>1</v>
      </c>
      <c r="DO111" s="358"/>
      <c r="DP111" s="372">
        <v>1</v>
      </c>
      <c r="DQ111" s="358"/>
      <c r="DR111" s="372">
        <v>1</v>
      </c>
      <c r="DS111" s="358"/>
      <c r="DT111" s="372">
        <v>1</v>
      </c>
      <c r="DU111" s="358"/>
      <c r="DV111" s="372">
        <v>1</v>
      </c>
      <c r="DW111" s="358"/>
      <c r="DX111" s="359"/>
      <c r="DY111" s="360">
        <v>1</v>
      </c>
      <c r="DZ111" s="351" t="e">
        <f t="shared" si="53"/>
        <v>#N/A</v>
      </c>
      <c r="EA111" s="351" t="e">
        <f t="shared" si="54"/>
        <v>#N/A</v>
      </c>
      <c r="EB111" s="351"/>
      <c r="EC111" s="157">
        <f t="shared" si="17"/>
        <v>0.9</v>
      </c>
      <c r="ED111" s="157">
        <f t="shared" si="18"/>
        <v>1</v>
      </c>
      <c r="EE111" s="157">
        <f t="shared" si="19"/>
        <v>0.98749999999999982</v>
      </c>
      <c r="EF111" s="157">
        <f t="shared" si="20"/>
        <v>1</v>
      </c>
    </row>
    <row r="112" spans="1:136" ht="14.25" customHeight="1">
      <c r="A112" s="291" t="b">
        <f t="shared" si="56"/>
        <v>0</v>
      </c>
      <c r="B112" s="292"/>
      <c r="C112" s="355" t="s">
        <v>3575</v>
      </c>
      <c r="D112" s="345"/>
      <c r="E112" s="361" t="s">
        <v>3576</v>
      </c>
      <c r="F112" s="362">
        <v>0.7</v>
      </c>
      <c r="G112" s="365"/>
      <c r="H112" s="362">
        <v>0.7</v>
      </c>
      <c r="I112" s="365"/>
      <c r="J112" s="362">
        <v>0.7</v>
      </c>
      <c r="K112" s="365"/>
      <c r="L112" s="362">
        <v>0.7</v>
      </c>
      <c r="M112" s="365"/>
      <c r="N112" s="362">
        <v>0.7</v>
      </c>
      <c r="O112" s="365"/>
      <c r="P112" s="370"/>
      <c r="Q112" s="360">
        <v>1</v>
      </c>
      <c r="R112" s="351" t="e">
        <f t="shared" si="39"/>
        <v>#N/A</v>
      </c>
      <c r="S112" s="351" t="e">
        <f t="shared" si="40"/>
        <v>#N/A</v>
      </c>
      <c r="T112" s="351"/>
      <c r="U112" s="361" t="s">
        <v>3577</v>
      </c>
      <c r="V112" s="362">
        <v>0.8</v>
      </c>
      <c r="W112" s="365"/>
      <c r="X112" s="362">
        <v>0.8</v>
      </c>
      <c r="Y112" s="365"/>
      <c r="Z112" s="362">
        <v>0.8</v>
      </c>
      <c r="AA112" s="365"/>
      <c r="AB112" s="362">
        <v>0.8</v>
      </c>
      <c r="AC112" s="365"/>
      <c r="AD112" s="362">
        <v>0.8</v>
      </c>
      <c r="AE112" s="365"/>
      <c r="AF112" s="370"/>
      <c r="AG112" s="360">
        <v>1</v>
      </c>
      <c r="AH112" s="351" t="e">
        <f t="shared" si="41"/>
        <v>#N/A</v>
      </c>
      <c r="AI112" s="351" t="e">
        <f t="shared" si="42"/>
        <v>#N/A</v>
      </c>
      <c r="AJ112" s="351"/>
      <c r="AK112" s="361" t="s">
        <v>3577</v>
      </c>
      <c r="AL112" s="362">
        <v>0.8</v>
      </c>
      <c r="AM112" s="365"/>
      <c r="AN112" s="362">
        <v>0.8</v>
      </c>
      <c r="AO112" s="365"/>
      <c r="AP112" s="362">
        <v>0.8</v>
      </c>
      <c r="AQ112" s="365"/>
      <c r="AR112" s="362">
        <v>0.8</v>
      </c>
      <c r="AS112" s="365"/>
      <c r="AT112" s="362">
        <v>0.8</v>
      </c>
      <c r="AU112" s="365"/>
      <c r="AV112" s="370"/>
      <c r="AW112" s="360">
        <v>1</v>
      </c>
      <c r="AX112" s="351" t="e">
        <f t="shared" si="43"/>
        <v>#N/A</v>
      </c>
      <c r="AY112" s="351" t="e">
        <f t="shared" si="44"/>
        <v>#N/A</v>
      </c>
      <c r="AZ112" s="351"/>
      <c r="BA112" s="361" t="s">
        <v>3577</v>
      </c>
      <c r="BB112" s="362">
        <v>0.8</v>
      </c>
      <c r="BC112" s="365"/>
      <c r="BD112" s="362">
        <v>0.8</v>
      </c>
      <c r="BE112" s="365"/>
      <c r="BF112" s="362">
        <v>0.8</v>
      </c>
      <c r="BG112" s="365"/>
      <c r="BH112" s="362">
        <v>0.8</v>
      </c>
      <c r="BI112" s="365"/>
      <c r="BJ112" s="362">
        <v>0.8</v>
      </c>
      <c r="BK112" s="365"/>
      <c r="BL112" s="370"/>
      <c r="BM112" s="360">
        <v>1</v>
      </c>
      <c r="BN112" s="351" t="e">
        <f t="shared" si="45"/>
        <v>#N/A</v>
      </c>
      <c r="BO112" s="351" t="e">
        <f t="shared" si="46"/>
        <v>#N/A</v>
      </c>
      <c r="BP112" s="351"/>
      <c r="BQ112" s="361" t="s">
        <v>3577</v>
      </c>
      <c r="BR112" s="362">
        <v>0.8</v>
      </c>
      <c r="BS112" s="365"/>
      <c r="BT112" s="362">
        <v>0.8</v>
      </c>
      <c r="BU112" s="365"/>
      <c r="BV112" s="362">
        <v>0.8</v>
      </c>
      <c r="BW112" s="365"/>
      <c r="BX112" s="362">
        <v>0.8</v>
      </c>
      <c r="BY112" s="365"/>
      <c r="BZ112" s="362">
        <v>0.8</v>
      </c>
      <c r="CA112" s="365"/>
      <c r="CB112" s="370"/>
      <c r="CC112" s="360">
        <v>1</v>
      </c>
      <c r="CD112" s="351" t="e">
        <f t="shared" si="47"/>
        <v>#N/A</v>
      </c>
      <c r="CE112" s="351" t="e">
        <f t="shared" si="48"/>
        <v>#N/A</v>
      </c>
      <c r="CF112" s="351"/>
      <c r="CG112" s="371" t="s">
        <v>3578</v>
      </c>
      <c r="CH112" s="362">
        <v>0.7</v>
      </c>
      <c r="CI112" s="365"/>
      <c r="CJ112" s="362">
        <v>0.7</v>
      </c>
      <c r="CK112" s="365"/>
      <c r="CL112" s="362">
        <v>0.7</v>
      </c>
      <c r="CM112" s="365"/>
      <c r="CN112" s="362">
        <v>0.7</v>
      </c>
      <c r="CO112" s="365"/>
      <c r="CP112" s="362">
        <v>0.7</v>
      </c>
      <c r="CQ112" s="365"/>
      <c r="CR112" s="370"/>
      <c r="CS112" s="360">
        <v>1</v>
      </c>
      <c r="CT112" s="351" t="e">
        <f t="shared" si="49"/>
        <v>#N/A</v>
      </c>
      <c r="CU112" s="351" t="e">
        <f t="shared" si="50"/>
        <v>#N/A</v>
      </c>
      <c r="CV112" s="351"/>
      <c r="CW112" s="371" t="s">
        <v>3578</v>
      </c>
      <c r="CX112" s="362">
        <v>0.8</v>
      </c>
      <c r="CY112" s="365"/>
      <c r="CZ112" s="362">
        <v>0.8</v>
      </c>
      <c r="DA112" s="365"/>
      <c r="DB112" s="362">
        <v>0.8</v>
      </c>
      <c r="DC112" s="365"/>
      <c r="DD112" s="362">
        <v>0.8</v>
      </c>
      <c r="DE112" s="365"/>
      <c r="DF112" s="362">
        <v>0.8</v>
      </c>
      <c r="DG112" s="365"/>
      <c r="DH112" s="370"/>
      <c r="DI112" s="360">
        <v>1</v>
      </c>
      <c r="DJ112" s="351" t="e">
        <f t="shared" si="51"/>
        <v>#N/A</v>
      </c>
      <c r="DK112" s="351" t="e">
        <f t="shared" si="52"/>
        <v>#N/A</v>
      </c>
      <c r="DL112" s="351"/>
      <c r="DM112" s="361" t="s">
        <v>3577</v>
      </c>
      <c r="DN112" s="362">
        <v>0.8</v>
      </c>
      <c r="DO112" s="365"/>
      <c r="DP112" s="362">
        <v>0.8</v>
      </c>
      <c r="DQ112" s="365"/>
      <c r="DR112" s="362">
        <v>0.8</v>
      </c>
      <c r="DS112" s="365"/>
      <c r="DT112" s="362">
        <v>0.8</v>
      </c>
      <c r="DU112" s="365"/>
      <c r="DV112" s="362">
        <v>0.8</v>
      </c>
      <c r="DW112" s="365"/>
      <c r="DX112" s="370"/>
      <c r="DY112" s="360">
        <v>1</v>
      </c>
      <c r="DZ112" s="351" t="e">
        <f t="shared" si="53"/>
        <v>#N/A</v>
      </c>
      <c r="EA112" s="351" t="e">
        <f t="shared" si="54"/>
        <v>#N/A</v>
      </c>
      <c r="EB112" s="351"/>
      <c r="EC112" s="157">
        <f t="shared" si="17"/>
        <v>0.7</v>
      </c>
      <c r="ED112" s="157">
        <f t="shared" si="18"/>
        <v>0.8</v>
      </c>
      <c r="EE112" s="157">
        <f t="shared" si="19"/>
        <v>0.77500000000000024</v>
      </c>
      <c r="EF112" s="157">
        <f t="shared" si="20"/>
        <v>0.8</v>
      </c>
    </row>
    <row r="113" spans="1:136" ht="14.25" customHeight="1">
      <c r="A113" s="291" t="b">
        <f t="shared" si="56"/>
        <v>0</v>
      </c>
      <c r="B113" s="292"/>
      <c r="C113" s="355" t="s">
        <v>3579</v>
      </c>
      <c r="D113" s="345"/>
      <c r="E113" s="371" t="s">
        <v>3580</v>
      </c>
      <c r="F113" s="372">
        <v>0</v>
      </c>
      <c r="G113" s="358"/>
      <c r="H113" s="372">
        <v>0</v>
      </c>
      <c r="I113" s="358"/>
      <c r="J113" s="372">
        <v>0</v>
      </c>
      <c r="K113" s="358"/>
      <c r="L113" s="372">
        <v>0</v>
      </c>
      <c r="M113" s="358"/>
      <c r="N113" s="372">
        <v>0</v>
      </c>
      <c r="O113" s="358"/>
      <c r="P113" s="359"/>
      <c r="Q113" s="360">
        <v>1</v>
      </c>
      <c r="R113" s="351" t="e">
        <f t="shared" si="39"/>
        <v>#N/A</v>
      </c>
      <c r="S113" s="351" t="e">
        <f t="shared" si="40"/>
        <v>#N/A</v>
      </c>
      <c r="T113" s="351"/>
      <c r="U113" s="371" t="s">
        <v>3580</v>
      </c>
      <c r="V113" s="372">
        <v>0</v>
      </c>
      <c r="W113" s="358"/>
      <c r="X113" s="372">
        <v>0</v>
      </c>
      <c r="Y113" s="358"/>
      <c r="Z113" s="372">
        <v>0</v>
      </c>
      <c r="AA113" s="358"/>
      <c r="AB113" s="372">
        <v>0</v>
      </c>
      <c r="AC113" s="358"/>
      <c r="AD113" s="372">
        <v>0</v>
      </c>
      <c r="AE113" s="358"/>
      <c r="AF113" s="359"/>
      <c r="AG113" s="360">
        <v>1</v>
      </c>
      <c r="AH113" s="351" t="e">
        <f t="shared" si="41"/>
        <v>#N/A</v>
      </c>
      <c r="AI113" s="351" t="e">
        <f t="shared" si="42"/>
        <v>#N/A</v>
      </c>
      <c r="AJ113" s="351"/>
      <c r="AK113" s="371" t="s">
        <v>3580</v>
      </c>
      <c r="AL113" s="372">
        <v>0</v>
      </c>
      <c r="AM113" s="358"/>
      <c r="AN113" s="372">
        <v>0</v>
      </c>
      <c r="AO113" s="358"/>
      <c r="AP113" s="372">
        <v>0</v>
      </c>
      <c r="AQ113" s="358"/>
      <c r="AR113" s="372">
        <v>0</v>
      </c>
      <c r="AS113" s="358"/>
      <c r="AT113" s="372">
        <v>0</v>
      </c>
      <c r="AU113" s="358"/>
      <c r="AV113" s="359"/>
      <c r="AW113" s="360">
        <v>1</v>
      </c>
      <c r="AX113" s="351" t="e">
        <f t="shared" si="43"/>
        <v>#N/A</v>
      </c>
      <c r="AY113" s="351" t="e">
        <f t="shared" si="44"/>
        <v>#N/A</v>
      </c>
      <c r="AZ113" s="351"/>
      <c r="BA113" s="361" t="s">
        <v>3581</v>
      </c>
      <c r="BB113" s="366">
        <v>0.7</v>
      </c>
      <c r="BC113" s="365"/>
      <c r="BD113" s="366">
        <v>0.7</v>
      </c>
      <c r="BE113" s="365"/>
      <c r="BF113" s="366">
        <v>0.7</v>
      </c>
      <c r="BG113" s="365"/>
      <c r="BH113" s="366">
        <v>0.7</v>
      </c>
      <c r="BI113" s="365"/>
      <c r="BJ113" s="366">
        <v>0.7</v>
      </c>
      <c r="BK113" s="365"/>
      <c r="BL113" s="365"/>
      <c r="BM113" s="360">
        <v>1</v>
      </c>
      <c r="BN113" s="351" t="e">
        <f t="shared" si="45"/>
        <v>#N/A</v>
      </c>
      <c r="BO113" s="351" t="e">
        <f t="shared" si="46"/>
        <v>#N/A</v>
      </c>
      <c r="BP113" s="351"/>
      <c r="BQ113" s="361" t="s">
        <v>3581</v>
      </c>
      <c r="BR113" s="367">
        <v>0.7</v>
      </c>
      <c r="BS113" s="368"/>
      <c r="BT113" s="367">
        <v>0.7</v>
      </c>
      <c r="BU113" s="368"/>
      <c r="BV113" s="367">
        <v>0.7</v>
      </c>
      <c r="BW113" s="368"/>
      <c r="BX113" s="367">
        <v>0.7</v>
      </c>
      <c r="BY113" s="368"/>
      <c r="BZ113" s="367">
        <v>0.7</v>
      </c>
      <c r="CA113" s="368"/>
      <c r="CB113" s="368"/>
      <c r="CC113" s="360">
        <v>1</v>
      </c>
      <c r="CD113" s="351" t="e">
        <f t="shared" si="47"/>
        <v>#N/A</v>
      </c>
      <c r="CE113" s="351" t="e">
        <f t="shared" si="48"/>
        <v>#N/A</v>
      </c>
      <c r="CF113" s="351"/>
      <c r="CG113" s="371" t="s">
        <v>3580</v>
      </c>
      <c r="CH113" s="372">
        <v>0</v>
      </c>
      <c r="CI113" s="358"/>
      <c r="CJ113" s="372">
        <v>0</v>
      </c>
      <c r="CK113" s="358"/>
      <c r="CL113" s="372">
        <v>0</v>
      </c>
      <c r="CM113" s="358"/>
      <c r="CN113" s="372">
        <v>0</v>
      </c>
      <c r="CO113" s="358"/>
      <c r="CP113" s="372">
        <v>0</v>
      </c>
      <c r="CQ113" s="358"/>
      <c r="CR113" s="359"/>
      <c r="CS113" s="360">
        <v>1</v>
      </c>
      <c r="CT113" s="351" t="e">
        <f t="shared" si="49"/>
        <v>#N/A</v>
      </c>
      <c r="CU113" s="351" t="e">
        <f t="shared" si="50"/>
        <v>#N/A</v>
      </c>
      <c r="CV113" s="351"/>
      <c r="CW113" s="371" t="s">
        <v>3580</v>
      </c>
      <c r="CX113" s="372">
        <v>0</v>
      </c>
      <c r="CY113" s="358"/>
      <c r="CZ113" s="372">
        <v>0</v>
      </c>
      <c r="DA113" s="358"/>
      <c r="DB113" s="372">
        <v>0</v>
      </c>
      <c r="DC113" s="358"/>
      <c r="DD113" s="372">
        <v>0</v>
      </c>
      <c r="DE113" s="358"/>
      <c r="DF113" s="372">
        <v>0</v>
      </c>
      <c r="DG113" s="358"/>
      <c r="DH113" s="359"/>
      <c r="DI113" s="360">
        <v>1</v>
      </c>
      <c r="DJ113" s="351" t="e">
        <f t="shared" si="51"/>
        <v>#N/A</v>
      </c>
      <c r="DK113" s="351" t="e">
        <f t="shared" si="52"/>
        <v>#N/A</v>
      </c>
      <c r="DL113" s="351"/>
      <c r="DM113" s="361" t="s">
        <v>3581</v>
      </c>
      <c r="DN113" s="367">
        <v>0.7</v>
      </c>
      <c r="DO113" s="368"/>
      <c r="DP113" s="367">
        <v>0.7</v>
      </c>
      <c r="DQ113" s="368"/>
      <c r="DR113" s="367">
        <v>0.7</v>
      </c>
      <c r="DS113" s="368"/>
      <c r="DT113" s="367">
        <v>0.7</v>
      </c>
      <c r="DU113" s="368"/>
      <c r="DV113" s="367">
        <v>0.7</v>
      </c>
      <c r="DW113" s="368"/>
      <c r="DX113" s="368"/>
      <c r="DY113" s="360">
        <v>1</v>
      </c>
      <c r="DZ113" s="351" t="e">
        <f t="shared" si="53"/>
        <v>#N/A</v>
      </c>
      <c r="EA113" s="351" t="e">
        <f t="shared" si="54"/>
        <v>#N/A</v>
      </c>
      <c r="EB113" s="351"/>
      <c r="EC113" s="157">
        <f t="shared" si="17"/>
        <v>0</v>
      </c>
      <c r="ED113" s="157">
        <f t="shared" si="18"/>
        <v>0.7</v>
      </c>
      <c r="EE113" s="157">
        <f t="shared" si="19"/>
        <v>0.26249999999999996</v>
      </c>
      <c r="EF113" s="157">
        <f t="shared" si="20"/>
        <v>0</v>
      </c>
    </row>
    <row r="114" spans="1:136" ht="14.25" customHeight="1">
      <c r="A114" s="291" t="b">
        <f t="shared" si="56"/>
        <v>0</v>
      </c>
      <c r="B114" s="292"/>
      <c r="C114" s="355" t="s">
        <v>3582</v>
      </c>
      <c r="D114" s="345"/>
      <c r="E114" s="361" t="s">
        <v>3583</v>
      </c>
      <c r="F114" s="362">
        <v>0</v>
      </c>
      <c r="G114" s="365"/>
      <c r="H114" s="362">
        <v>0</v>
      </c>
      <c r="I114" s="365"/>
      <c r="J114" s="362">
        <v>0</v>
      </c>
      <c r="K114" s="365"/>
      <c r="L114" s="362">
        <v>0</v>
      </c>
      <c r="M114" s="365"/>
      <c r="N114" s="362">
        <v>0</v>
      </c>
      <c r="O114" s="365"/>
      <c r="P114" s="370"/>
      <c r="Q114" s="373">
        <v>1</v>
      </c>
      <c r="R114" s="351" t="e">
        <f t="shared" si="39"/>
        <v>#N/A</v>
      </c>
      <c r="S114" s="351" t="e">
        <f t="shared" si="40"/>
        <v>#N/A</v>
      </c>
      <c r="T114" s="351"/>
      <c r="U114" s="356" t="s">
        <v>3489</v>
      </c>
      <c r="V114" s="357">
        <v>0</v>
      </c>
      <c r="W114" s="374"/>
      <c r="X114" s="375">
        <v>0</v>
      </c>
      <c r="Y114" s="374"/>
      <c r="Z114" s="375">
        <v>0</v>
      </c>
      <c r="AA114" s="374"/>
      <c r="AB114" s="375">
        <v>0</v>
      </c>
      <c r="AC114" s="374"/>
      <c r="AD114" s="375">
        <v>0</v>
      </c>
      <c r="AE114" s="374"/>
      <c r="AF114" s="374"/>
      <c r="AG114" s="373">
        <v>1</v>
      </c>
      <c r="AH114" s="351" t="e">
        <f t="shared" si="41"/>
        <v>#N/A</v>
      </c>
      <c r="AI114" s="351" t="e">
        <f t="shared" si="42"/>
        <v>#N/A</v>
      </c>
      <c r="AJ114" s="351"/>
      <c r="AK114" s="361" t="s">
        <v>3584</v>
      </c>
      <c r="AL114" s="362">
        <v>1</v>
      </c>
      <c r="AM114" s="365"/>
      <c r="AN114" s="362">
        <v>1</v>
      </c>
      <c r="AO114" s="365"/>
      <c r="AP114" s="362">
        <v>1</v>
      </c>
      <c r="AQ114" s="365"/>
      <c r="AR114" s="362">
        <v>1</v>
      </c>
      <c r="AS114" s="365"/>
      <c r="AT114" s="362">
        <v>1</v>
      </c>
      <c r="AU114" s="365"/>
      <c r="AV114" s="365"/>
      <c r="AW114" s="373">
        <v>1</v>
      </c>
      <c r="AX114" s="351" t="e">
        <f t="shared" si="43"/>
        <v>#N/A</v>
      </c>
      <c r="AY114" s="351" t="e">
        <f t="shared" si="44"/>
        <v>#N/A</v>
      </c>
      <c r="AZ114" s="351"/>
      <c r="BA114" s="361" t="s">
        <v>3584</v>
      </c>
      <c r="BB114" s="366">
        <v>1</v>
      </c>
      <c r="BC114" s="365"/>
      <c r="BD114" s="366">
        <v>1</v>
      </c>
      <c r="BE114" s="365"/>
      <c r="BF114" s="366">
        <v>1</v>
      </c>
      <c r="BG114" s="365"/>
      <c r="BH114" s="366">
        <v>1</v>
      </c>
      <c r="BI114" s="365"/>
      <c r="BJ114" s="366">
        <v>1</v>
      </c>
      <c r="BK114" s="365"/>
      <c r="BL114" s="365"/>
      <c r="BM114" s="373">
        <v>1</v>
      </c>
      <c r="BN114" s="351" t="e">
        <f t="shared" si="45"/>
        <v>#N/A</v>
      </c>
      <c r="BO114" s="351" t="e">
        <f t="shared" si="46"/>
        <v>#N/A</v>
      </c>
      <c r="BP114" s="351"/>
      <c r="BQ114" s="361" t="s">
        <v>3584</v>
      </c>
      <c r="BR114" s="367">
        <v>1</v>
      </c>
      <c r="BS114" s="368"/>
      <c r="BT114" s="367">
        <v>1</v>
      </c>
      <c r="BU114" s="368"/>
      <c r="BV114" s="367">
        <v>1</v>
      </c>
      <c r="BW114" s="368"/>
      <c r="BX114" s="367">
        <v>1</v>
      </c>
      <c r="BY114" s="368"/>
      <c r="BZ114" s="367">
        <v>1</v>
      </c>
      <c r="CA114" s="368"/>
      <c r="CB114" s="368"/>
      <c r="CC114" s="373">
        <v>1</v>
      </c>
      <c r="CD114" s="351" t="e">
        <f t="shared" si="47"/>
        <v>#N/A</v>
      </c>
      <c r="CE114" s="351" t="e">
        <f t="shared" si="48"/>
        <v>#N/A</v>
      </c>
      <c r="CF114" s="351"/>
      <c r="CG114" s="361" t="s">
        <v>3584</v>
      </c>
      <c r="CH114" s="367">
        <v>0.9</v>
      </c>
      <c r="CI114" s="368"/>
      <c r="CJ114" s="367">
        <v>0.9</v>
      </c>
      <c r="CK114" s="368"/>
      <c r="CL114" s="367">
        <v>0.9</v>
      </c>
      <c r="CM114" s="368"/>
      <c r="CN114" s="367">
        <v>0.9</v>
      </c>
      <c r="CO114" s="368"/>
      <c r="CP114" s="367">
        <v>0.9</v>
      </c>
      <c r="CQ114" s="368"/>
      <c r="CR114" s="368"/>
      <c r="CS114" s="373">
        <v>1</v>
      </c>
      <c r="CT114" s="351" t="e">
        <f t="shared" si="49"/>
        <v>#N/A</v>
      </c>
      <c r="CU114" s="351" t="e">
        <f t="shared" si="50"/>
        <v>#N/A</v>
      </c>
      <c r="CV114" s="351"/>
      <c r="CW114" s="356" t="s">
        <v>3489</v>
      </c>
      <c r="CX114" s="376">
        <v>0</v>
      </c>
      <c r="CY114" s="377"/>
      <c r="CZ114" s="376">
        <v>0</v>
      </c>
      <c r="DA114" s="379"/>
      <c r="DB114" s="376">
        <v>0</v>
      </c>
      <c r="DC114" s="377"/>
      <c r="DD114" s="376">
        <v>0</v>
      </c>
      <c r="DE114" s="377"/>
      <c r="DF114" s="376">
        <v>0</v>
      </c>
      <c r="DG114" s="377"/>
      <c r="DH114" s="377"/>
      <c r="DI114" s="373">
        <v>1</v>
      </c>
      <c r="DJ114" s="351" t="e">
        <f t="shared" si="51"/>
        <v>#N/A</v>
      </c>
      <c r="DK114" s="351" t="e">
        <f t="shared" si="52"/>
        <v>#N/A</v>
      </c>
      <c r="DL114" s="351"/>
      <c r="DM114" s="361" t="s">
        <v>3584</v>
      </c>
      <c r="DN114" s="367">
        <v>1</v>
      </c>
      <c r="DO114" s="368"/>
      <c r="DP114" s="367">
        <v>1</v>
      </c>
      <c r="DQ114" s="368"/>
      <c r="DR114" s="367">
        <v>1</v>
      </c>
      <c r="DS114" s="368"/>
      <c r="DT114" s="367">
        <v>1</v>
      </c>
      <c r="DU114" s="368"/>
      <c r="DV114" s="367">
        <v>1</v>
      </c>
      <c r="DW114" s="368"/>
      <c r="DX114" s="368"/>
      <c r="DY114" s="373">
        <v>1</v>
      </c>
      <c r="DZ114" s="351" t="e">
        <f t="shared" si="53"/>
        <v>#N/A</v>
      </c>
      <c r="EA114" s="351" t="e">
        <f t="shared" si="54"/>
        <v>#N/A</v>
      </c>
      <c r="EB114" s="351"/>
      <c r="EC114" s="157">
        <f t="shared" si="17"/>
        <v>0</v>
      </c>
      <c r="ED114" s="157">
        <f t="shared" si="18"/>
        <v>1</v>
      </c>
      <c r="EE114" s="157">
        <f t="shared" si="19"/>
        <v>0.61249999999999993</v>
      </c>
      <c r="EF114" s="157">
        <f t="shared" si="20"/>
        <v>0.95</v>
      </c>
    </row>
    <row r="115" spans="1:136" ht="14.25" customHeight="1">
      <c r="A115" s="291" t="b">
        <f t="shared" si="56"/>
        <v>0</v>
      </c>
      <c r="B115" s="292"/>
      <c r="C115" s="355" t="s">
        <v>3585</v>
      </c>
      <c r="D115" s="345"/>
      <c r="E115" s="361" t="s">
        <v>3586</v>
      </c>
      <c r="F115" s="362">
        <v>1</v>
      </c>
      <c r="G115" s="365"/>
      <c r="H115" s="362">
        <v>1</v>
      </c>
      <c r="I115" s="365"/>
      <c r="J115" s="362">
        <v>1</v>
      </c>
      <c r="K115" s="365"/>
      <c r="L115" s="362">
        <v>1</v>
      </c>
      <c r="M115" s="365"/>
      <c r="N115" s="362">
        <v>1</v>
      </c>
      <c r="O115" s="365"/>
      <c r="P115" s="370"/>
      <c r="Q115" s="360">
        <v>1</v>
      </c>
      <c r="R115" s="351" t="e">
        <f t="shared" si="39"/>
        <v>#N/A</v>
      </c>
      <c r="S115" s="351" t="e">
        <f t="shared" si="40"/>
        <v>#N/A</v>
      </c>
      <c r="T115" s="351"/>
      <c r="U115" s="371" t="s">
        <v>3587</v>
      </c>
      <c r="V115" s="362">
        <v>1</v>
      </c>
      <c r="W115" s="365"/>
      <c r="X115" s="362">
        <v>1</v>
      </c>
      <c r="Y115" s="365"/>
      <c r="Z115" s="362">
        <v>1</v>
      </c>
      <c r="AA115" s="365"/>
      <c r="AB115" s="362">
        <v>1</v>
      </c>
      <c r="AC115" s="365"/>
      <c r="AD115" s="362">
        <v>1</v>
      </c>
      <c r="AE115" s="365"/>
      <c r="AF115" s="370"/>
      <c r="AG115" s="360">
        <v>1</v>
      </c>
      <c r="AH115" s="351" t="e">
        <f t="shared" si="41"/>
        <v>#N/A</v>
      </c>
      <c r="AI115" s="351" t="e">
        <f t="shared" si="42"/>
        <v>#N/A</v>
      </c>
      <c r="AJ115" s="351"/>
      <c r="AK115" s="361" t="s">
        <v>3586</v>
      </c>
      <c r="AL115" s="362">
        <v>1</v>
      </c>
      <c r="AM115" s="365"/>
      <c r="AN115" s="362">
        <v>1</v>
      </c>
      <c r="AO115" s="365"/>
      <c r="AP115" s="362">
        <v>1</v>
      </c>
      <c r="AQ115" s="365"/>
      <c r="AR115" s="362">
        <v>1</v>
      </c>
      <c r="AS115" s="365"/>
      <c r="AT115" s="362">
        <v>1</v>
      </c>
      <c r="AU115" s="365"/>
      <c r="AV115" s="370"/>
      <c r="AW115" s="360">
        <v>1</v>
      </c>
      <c r="AX115" s="351" t="e">
        <f t="shared" si="43"/>
        <v>#N/A</v>
      </c>
      <c r="AY115" s="351" t="e">
        <f t="shared" si="44"/>
        <v>#N/A</v>
      </c>
      <c r="AZ115" s="351"/>
      <c r="BA115" s="361" t="s">
        <v>3586</v>
      </c>
      <c r="BB115" s="362">
        <v>1</v>
      </c>
      <c r="BC115" s="365"/>
      <c r="BD115" s="362">
        <v>1</v>
      </c>
      <c r="BE115" s="365"/>
      <c r="BF115" s="362">
        <v>1</v>
      </c>
      <c r="BG115" s="365"/>
      <c r="BH115" s="362">
        <v>1</v>
      </c>
      <c r="BI115" s="365"/>
      <c r="BJ115" s="362">
        <v>1</v>
      </c>
      <c r="BK115" s="365"/>
      <c r="BL115" s="370"/>
      <c r="BM115" s="360">
        <v>1</v>
      </c>
      <c r="BN115" s="351" t="e">
        <f t="shared" si="45"/>
        <v>#N/A</v>
      </c>
      <c r="BO115" s="351" t="e">
        <f t="shared" si="46"/>
        <v>#N/A</v>
      </c>
      <c r="BP115" s="351"/>
      <c r="BQ115" s="361" t="s">
        <v>3586</v>
      </c>
      <c r="BR115" s="362">
        <v>1</v>
      </c>
      <c r="BS115" s="365"/>
      <c r="BT115" s="362">
        <v>1</v>
      </c>
      <c r="BU115" s="365"/>
      <c r="BV115" s="362">
        <v>1</v>
      </c>
      <c r="BW115" s="365"/>
      <c r="BX115" s="362">
        <v>1</v>
      </c>
      <c r="BY115" s="365"/>
      <c r="BZ115" s="362">
        <v>1</v>
      </c>
      <c r="CA115" s="365"/>
      <c r="CB115" s="370"/>
      <c r="CC115" s="360">
        <v>1</v>
      </c>
      <c r="CD115" s="351" t="e">
        <f t="shared" si="47"/>
        <v>#N/A</v>
      </c>
      <c r="CE115" s="351" t="e">
        <f t="shared" si="48"/>
        <v>#N/A</v>
      </c>
      <c r="CF115" s="351"/>
      <c r="CG115" s="361" t="s">
        <v>3586</v>
      </c>
      <c r="CH115" s="362">
        <v>0.9</v>
      </c>
      <c r="CI115" s="365"/>
      <c r="CJ115" s="362">
        <v>0.9</v>
      </c>
      <c r="CK115" s="365"/>
      <c r="CL115" s="362">
        <v>0.9</v>
      </c>
      <c r="CM115" s="365"/>
      <c r="CN115" s="362">
        <v>0.9</v>
      </c>
      <c r="CO115" s="365"/>
      <c r="CP115" s="362">
        <v>0.9</v>
      </c>
      <c r="CQ115" s="365"/>
      <c r="CR115" s="370"/>
      <c r="CS115" s="360">
        <v>1</v>
      </c>
      <c r="CT115" s="351" t="e">
        <f t="shared" si="49"/>
        <v>#N/A</v>
      </c>
      <c r="CU115" s="351" t="e">
        <f t="shared" si="50"/>
        <v>#N/A</v>
      </c>
      <c r="CV115" s="351"/>
      <c r="CW115" s="361" t="s">
        <v>3586</v>
      </c>
      <c r="CX115" s="362">
        <v>1</v>
      </c>
      <c r="CY115" s="365"/>
      <c r="CZ115" s="362">
        <v>1</v>
      </c>
      <c r="DA115" s="365"/>
      <c r="DB115" s="362">
        <v>1</v>
      </c>
      <c r="DC115" s="365"/>
      <c r="DD115" s="362">
        <v>1</v>
      </c>
      <c r="DE115" s="365"/>
      <c r="DF115" s="362">
        <v>1</v>
      </c>
      <c r="DG115" s="365"/>
      <c r="DH115" s="370"/>
      <c r="DI115" s="360">
        <v>1</v>
      </c>
      <c r="DJ115" s="351" t="e">
        <f t="shared" si="51"/>
        <v>#N/A</v>
      </c>
      <c r="DK115" s="351" t="e">
        <f t="shared" si="52"/>
        <v>#N/A</v>
      </c>
      <c r="DL115" s="351"/>
      <c r="DM115" s="361" t="s">
        <v>3586</v>
      </c>
      <c r="DN115" s="362">
        <v>1</v>
      </c>
      <c r="DO115" s="365"/>
      <c r="DP115" s="362">
        <v>1</v>
      </c>
      <c r="DQ115" s="365"/>
      <c r="DR115" s="362">
        <v>1</v>
      </c>
      <c r="DS115" s="365"/>
      <c r="DT115" s="362">
        <v>1</v>
      </c>
      <c r="DU115" s="365"/>
      <c r="DV115" s="362">
        <v>1</v>
      </c>
      <c r="DW115" s="365"/>
      <c r="DX115" s="370"/>
      <c r="DY115" s="360">
        <v>1</v>
      </c>
      <c r="DZ115" s="351" t="e">
        <f t="shared" si="53"/>
        <v>#N/A</v>
      </c>
      <c r="EA115" s="351" t="e">
        <f t="shared" si="54"/>
        <v>#N/A</v>
      </c>
      <c r="EB115" s="351"/>
      <c r="EC115" s="157">
        <f t="shared" si="17"/>
        <v>0.9</v>
      </c>
      <c r="ED115" s="157">
        <f t="shared" si="18"/>
        <v>1</v>
      </c>
      <c r="EE115" s="157">
        <f t="shared" si="19"/>
        <v>0.98749999999999982</v>
      </c>
      <c r="EF115" s="157">
        <f t="shared" si="20"/>
        <v>1</v>
      </c>
    </row>
    <row r="116" spans="1:136" ht="14.25" customHeight="1">
      <c r="A116" s="395"/>
      <c r="B116" s="337" t="s">
        <v>3588</v>
      </c>
      <c r="C116" s="395"/>
      <c r="D116" s="396"/>
      <c r="E116" s="397"/>
      <c r="F116" s="398"/>
      <c r="G116" s="399"/>
      <c r="H116" s="398"/>
      <c r="I116" s="399"/>
      <c r="J116" s="398"/>
      <c r="K116" s="399"/>
      <c r="L116" s="398"/>
      <c r="M116" s="399"/>
      <c r="N116" s="398"/>
      <c r="O116" s="399"/>
      <c r="P116" s="400"/>
      <c r="Q116" s="401"/>
      <c r="R116" s="351" t="e">
        <f t="shared" si="39"/>
        <v>#N/A</v>
      </c>
      <c r="S116" s="351" t="e">
        <f t="shared" si="40"/>
        <v>#N/A</v>
      </c>
      <c r="T116" s="351"/>
      <c r="U116" s="397"/>
      <c r="V116" s="398"/>
      <c r="W116" s="402"/>
      <c r="X116" s="403"/>
      <c r="Y116" s="402"/>
      <c r="Z116" s="403"/>
      <c r="AA116" s="402"/>
      <c r="AB116" s="403"/>
      <c r="AC116" s="402"/>
      <c r="AD116" s="403"/>
      <c r="AE116" s="402"/>
      <c r="AF116" s="402"/>
      <c r="AG116" s="401"/>
      <c r="AH116" s="351" t="e">
        <f t="shared" si="41"/>
        <v>#N/A</v>
      </c>
      <c r="AI116" s="351" t="e">
        <f t="shared" si="42"/>
        <v>#N/A</v>
      </c>
      <c r="AJ116" s="351"/>
      <c r="AK116" s="397"/>
      <c r="AL116" s="398"/>
      <c r="AM116" s="399"/>
      <c r="AN116" s="398"/>
      <c r="AO116" s="399"/>
      <c r="AP116" s="398"/>
      <c r="AQ116" s="399"/>
      <c r="AR116" s="398"/>
      <c r="AS116" s="399"/>
      <c r="AT116" s="398"/>
      <c r="AU116" s="399"/>
      <c r="AV116" s="399"/>
      <c r="AW116" s="401"/>
      <c r="AX116" s="351" t="e">
        <f t="shared" si="43"/>
        <v>#N/A</v>
      </c>
      <c r="AY116" s="351" t="e">
        <f t="shared" si="44"/>
        <v>#N/A</v>
      </c>
      <c r="AZ116" s="351"/>
      <c r="BA116" s="397"/>
      <c r="BB116" s="404"/>
      <c r="BC116" s="399"/>
      <c r="BD116" s="404"/>
      <c r="BE116" s="399"/>
      <c r="BF116" s="404"/>
      <c r="BG116" s="399"/>
      <c r="BH116" s="404"/>
      <c r="BI116" s="399"/>
      <c r="BJ116" s="404"/>
      <c r="BK116" s="399"/>
      <c r="BL116" s="399"/>
      <c r="BM116" s="401"/>
      <c r="BN116" s="351" t="e">
        <f t="shared" si="45"/>
        <v>#N/A</v>
      </c>
      <c r="BO116" s="351" t="e">
        <f t="shared" si="46"/>
        <v>#N/A</v>
      </c>
      <c r="BP116" s="351"/>
      <c r="BQ116" s="397"/>
      <c r="BR116" s="405"/>
      <c r="BS116" s="406"/>
      <c r="BT116" s="405"/>
      <c r="BU116" s="406"/>
      <c r="BV116" s="405"/>
      <c r="BW116" s="406"/>
      <c r="BX116" s="405"/>
      <c r="BY116" s="406"/>
      <c r="BZ116" s="405"/>
      <c r="CA116" s="406"/>
      <c r="CB116" s="406"/>
      <c r="CC116" s="401"/>
      <c r="CD116" s="351" t="e">
        <f t="shared" si="47"/>
        <v>#N/A</v>
      </c>
      <c r="CE116" s="351" t="e">
        <f t="shared" si="48"/>
        <v>#N/A</v>
      </c>
      <c r="CF116" s="351"/>
      <c r="CG116" s="397"/>
      <c r="CH116" s="405"/>
      <c r="CI116" s="407"/>
      <c r="CJ116" s="405"/>
      <c r="CK116" s="407"/>
      <c r="CL116" s="405"/>
      <c r="CM116" s="407"/>
      <c r="CN116" s="405"/>
      <c r="CO116" s="407"/>
      <c r="CP116" s="405"/>
      <c r="CQ116" s="407"/>
      <c r="CR116" s="407"/>
      <c r="CS116" s="401"/>
      <c r="CT116" s="351" t="e">
        <f t="shared" si="49"/>
        <v>#N/A</v>
      </c>
      <c r="CU116" s="351" t="e">
        <f t="shared" si="50"/>
        <v>#N/A</v>
      </c>
      <c r="CV116" s="351"/>
      <c r="CW116" s="397"/>
      <c r="CX116" s="405"/>
      <c r="CY116" s="407"/>
      <c r="CZ116" s="408"/>
      <c r="DA116" s="409"/>
      <c r="DB116" s="405"/>
      <c r="DC116" s="407"/>
      <c r="DD116" s="405"/>
      <c r="DE116" s="407"/>
      <c r="DF116" s="405"/>
      <c r="DG116" s="407"/>
      <c r="DH116" s="407"/>
      <c r="DI116" s="401"/>
      <c r="DJ116" s="351" t="e">
        <f t="shared" si="51"/>
        <v>#N/A</v>
      </c>
      <c r="DK116" s="351" t="e">
        <f t="shared" si="52"/>
        <v>#N/A</v>
      </c>
      <c r="DL116" s="351"/>
      <c r="DM116" s="397"/>
      <c r="DN116" s="405"/>
      <c r="DO116" s="407"/>
      <c r="DP116" s="405"/>
      <c r="DQ116" s="407"/>
      <c r="DR116" s="405"/>
      <c r="DS116" s="407"/>
      <c r="DT116" s="405"/>
      <c r="DU116" s="407"/>
      <c r="DV116" s="405"/>
      <c r="DW116" s="407"/>
      <c r="DX116" s="407"/>
      <c r="DY116" s="401"/>
      <c r="DZ116" s="351" t="e">
        <f t="shared" si="53"/>
        <v>#N/A</v>
      </c>
      <c r="EA116" s="351" t="e">
        <f t="shared" si="54"/>
        <v>#N/A</v>
      </c>
      <c r="EB116" s="351"/>
      <c r="EC116" s="157">
        <f t="shared" si="17"/>
        <v>0</v>
      </c>
      <c r="ED116" s="157">
        <f t="shared" si="18"/>
        <v>0</v>
      </c>
      <c r="EE116" s="157" t="e">
        <f t="shared" si="19"/>
        <v>#DIV/0!</v>
      </c>
      <c r="EF116" s="157" t="e">
        <f t="shared" si="20"/>
        <v>#NUM!</v>
      </c>
    </row>
    <row r="117" spans="1:136" ht="14.25" customHeight="1">
      <c r="A117" s="291" t="b">
        <f>EXACT(MAX(F117,H117,J117,L117,N117,V117,X117,Z117,AB117,AD117,AL117,AN117,AP117,AR117,AT117,BB117,BD117,BF117,BH117,BJ117,BR117,BT117,BV117,BX117,BZ117,CH117,CJ117,CL117,CN117,CP117,CX117,CZ117,DB117,DD117,DF117),MIN(F117,H117,J117,L117,N117,V117,X117,Z117,AB117,AD117,AL117,AN117,AP117,AR117,AT117,BB117,BD117,BF117,BH117,BJ117,BR117,BT117,BV117,BX117,BZ117,CH117,CJ117,CL117,CN117,CP117,CX117,CZ117,DB117,DD117,DF117))</f>
        <v>0</v>
      </c>
      <c r="B117" s="292"/>
      <c r="C117" s="355" t="s">
        <v>3589</v>
      </c>
      <c r="D117" s="345"/>
      <c r="E117" s="361" t="s">
        <v>3590</v>
      </c>
      <c r="F117" s="362">
        <v>1</v>
      </c>
      <c r="G117" s="365"/>
      <c r="H117" s="362">
        <v>1</v>
      </c>
      <c r="I117" s="365"/>
      <c r="J117" s="362">
        <v>1</v>
      </c>
      <c r="K117" s="365"/>
      <c r="L117" s="362">
        <v>1</v>
      </c>
      <c r="M117" s="365"/>
      <c r="N117" s="362">
        <v>1</v>
      </c>
      <c r="O117" s="365"/>
      <c r="P117" s="370"/>
      <c r="Q117" s="360">
        <v>1</v>
      </c>
      <c r="R117" s="351" t="e">
        <f t="shared" si="39"/>
        <v>#N/A</v>
      </c>
      <c r="S117" s="351" t="e">
        <f t="shared" si="40"/>
        <v>#N/A</v>
      </c>
      <c r="T117" s="351"/>
      <c r="U117" s="361" t="s">
        <v>3590</v>
      </c>
      <c r="V117" s="362">
        <v>1</v>
      </c>
      <c r="W117" s="365"/>
      <c r="X117" s="362">
        <v>1</v>
      </c>
      <c r="Y117" s="365"/>
      <c r="Z117" s="362">
        <v>1</v>
      </c>
      <c r="AA117" s="365"/>
      <c r="AB117" s="362">
        <v>1</v>
      </c>
      <c r="AC117" s="365"/>
      <c r="AD117" s="362">
        <v>1</v>
      </c>
      <c r="AE117" s="365"/>
      <c r="AF117" s="370"/>
      <c r="AG117" s="360">
        <v>1</v>
      </c>
      <c r="AH117" s="351" t="e">
        <f t="shared" si="41"/>
        <v>#N/A</v>
      </c>
      <c r="AI117" s="351" t="e">
        <f t="shared" si="42"/>
        <v>#N/A</v>
      </c>
      <c r="AJ117" s="351"/>
      <c r="AK117" s="361" t="s">
        <v>3590</v>
      </c>
      <c r="AL117" s="362">
        <v>1</v>
      </c>
      <c r="AM117" s="365"/>
      <c r="AN117" s="362">
        <v>1</v>
      </c>
      <c r="AO117" s="365"/>
      <c r="AP117" s="362">
        <v>1</v>
      </c>
      <c r="AQ117" s="365"/>
      <c r="AR117" s="362">
        <v>1</v>
      </c>
      <c r="AS117" s="365"/>
      <c r="AT117" s="362">
        <v>1</v>
      </c>
      <c r="AU117" s="365"/>
      <c r="AV117" s="370"/>
      <c r="AW117" s="360">
        <v>1</v>
      </c>
      <c r="AX117" s="351" t="e">
        <f t="shared" si="43"/>
        <v>#N/A</v>
      </c>
      <c r="AY117" s="351" t="e">
        <f t="shared" si="44"/>
        <v>#N/A</v>
      </c>
      <c r="AZ117" s="351"/>
      <c r="BA117" s="361" t="s">
        <v>3590</v>
      </c>
      <c r="BB117" s="362">
        <v>1</v>
      </c>
      <c r="BC117" s="365"/>
      <c r="BD117" s="362">
        <v>1</v>
      </c>
      <c r="BE117" s="365"/>
      <c r="BF117" s="362">
        <v>1</v>
      </c>
      <c r="BG117" s="365"/>
      <c r="BH117" s="362">
        <v>1</v>
      </c>
      <c r="BI117" s="365"/>
      <c r="BJ117" s="362">
        <v>1</v>
      </c>
      <c r="BK117" s="365"/>
      <c r="BL117" s="370"/>
      <c r="BM117" s="360">
        <v>1</v>
      </c>
      <c r="BN117" s="351" t="e">
        <f t="shared" si="45"/>
        <v>#N/A</v>
      </c>
      <c r="BO117" s="351" t="e">
        <f t="shared" si="46"/>
        <v>#N/A</v>
      </c>
      <c r="BP117" s="351"/>
      <c r="BQ117" s="361" t="s">
        <v>3590</v>
      </c>
      <c r="BR117" s="362">
        <v>1</v>
      </c>
      <c r="BS117" s="365"/>
      <c r="BT117" s="362">
        <v>1</v>
      </c>
      <c r="BU117" s="365"/>
      <c r="BV117" s="362">
        <v>1</v>
      </c>
      <c r="BW117" s="365"/>
      <c r="BX117" s="362">
        <v>1</v>
      </c>
      <c r="BY117" s="365"/>
      <c r="BZ117" s="362">
        <v>1</v>
      </c>
      <c r="CA117" s="365"/>
      <c r="CB117" s="370"/>
      <c r="CC117" s="360">
        <v>1</v>
      </c>
      <c r="CD117" s="351" t="e">
        <f t="shared" si="47"/>
        <v>#N/A</v>
      </c>
      <c r="CE117" s="351" t="e">
        <f t="shared" si="48"/>
        <v>#N/A</v>
      </c>
      <c r="CF117" s="351"/>
      <c r="CG117" s="361" t="s">
        <v>3590</v>
      </c>
      <c r="CH117" s="362">
        <v>0.9</v>
      </c>
      <c r="CI117" s="365"/>
      <c r="CJ117" s="362">
        <v>0.9</v>
      </c>
      <c r="CK117" s="365"/>
      <c r="CL117" s="362">
        <v>0.9</v>
      </c>
      <c r="CM117" s="365"/>
      <c r="CN117" s="362">
        <v>0.9</v>
      </c>
      <c r="CO117" s="365"/>
      <c r="CP117" s="362">
        <v>0.9</v>
      </c>
      <c r="CQ117" s="365"/>
      <c r="CR117" s="370"/>
      <c r="CS117" s="360">
        <v>1</v>
      </c>
      <c r="CT117" s="351" t="e">
        <f t="shared" si="49"/>
        <v>#N/A</v>
      </c>
      <c r="CU117" s="351" t="e">
        <f t="shared" si="50"/>
        <v>#N/A</v>
      </c>
      <c r="CV117" s="351"/>
      <c r="CW117" s="361" t="s">
        <v>3590</v>
      </c>
      <c r="CX117" s="362">
        <v>1</v>
      </c>
      <c r="CY117" s="365"/>
      <c r="CZ117" s="362">
        <v>1</v>
      </c>
      <c r="DA117" s="365"/>
      <c r="DB117" s="362">
        <v>1</v>
      </c>
      <c r="DC117" s="365"/>
      <c r="DD117" s="362">
        <v>1</v>
      </c>
      <c r="DE117" s="365"/>
      <c r="DF117" s="362">
        <v>1</v>
      </c>
      <c r="DG117" s="365"/>
      <c r="DH117" s="370"/>
      <c r="DI117" s="360">
        <v>1</v>
      </c>
      <c r="DJ117" s="351" t="e">
        <f t="shared" si="51"/>
        <v>#N/A</v>
      </c>
      <c r="DK117" s="351" t="e">
        <f t="shared" si="52"/>
        <v>#N/A</v>
      </c>
      <c r="DL117" s="351"/>
      <c r="DM117" s="361" t="s">
        <v>3590</v>
      </c>
      <c r="DN117" s="362">
        <v>1</v>
      </c>
      <c r="DO117" s="365"/>
      <c r="DP117" s="362">
        <v>1</v>
      </c>
      <c r="DQ117" s="365"/>
      <c r="DR117" s="362">
        <v>1</v>
      </c>
      <c r="DS117" s="365"/>
      <c r="DT117" s="362">
        <v>1</v>
      </c>
      <c r="DU117" s="365"/>
      <c r="DV117" s="362">
        <v>1</v>
      </c>
      <c r="DW117" s="365"/>
      <c r="DX117" s="370"/>
      <c r="DY117" s="360">
        <v>1</v>
      </c>
      <c r="DZ117" s="351" t="e">
        <f t="shared" si="53"/>
        <v>#N/A</v>
      </c>
      <c r="EA117" s="351" t="e">
        <f t="shared" si="54"/>
        <v>#N/A</v>
      </c>
      <c r="EB117" s="351"/>
      <c r="EC117" s="157">
        <f t="shared" si="17"/>
        <v>0.9</v>
      </c>
      <c r="ED117" s="157">
        <f t="shared" si="18"/>
        <v>1</v>
      </c>
      <c r="EE117" s="157">
        <f t="shared" si="19"/>
        <v>0.98749999999999982</v>
      </c>
      <c r="EF117" s="157">
        <f t="shared" si="20"/>
        <v>1</v>
      </c>
    </row>
    <row r="118" spans="1:136" ht="14.25" customHeight="1">
      <c r="A118" s="291" t="b">
        <f>EXACT(MAX(F118,H118,J118,L118,N118,V118,X118,Z118,AB118,AD118,AL118,AN118,AP118,AR118,AT118,BB118,BD118,BF118,BH118,BJ118,BR118,BT118,BV118,BX118,BZ118,CH118,CJ118,CL118,CN118,CP118,CX118,CZ118,DB118,DD118,DF118),MIN(F118,H118,J118,L118,N118,V118,X118,Z118,AB118,AD118,AL118,AN118,AP118,AR118,AT118,BB118,BD118,BF118,BH118,BJ118,BR118,BT118,BV118,BX118,BZ118,CH118,CJ118,CL118,CN118,CP118,CX118,CZ118,DB118,DD118,DF118))</f>
        <v>0</v>
      </c>
      <c r="B118" s="292"/>
      <c r="C118" s="355" t="s">
        <v>3591</v>
      </c>
      <c r="D118" s="345"/>
      <c r="E118" s="356" t="s">
        <v>3234</v>
      </c>
      <c r="F118" s="357">
        <v>0</v>
      </c>
      <c r="G118" s="358"/>
      <c r="H118" s="357">
        <v>0</v>
      </c>
      <c r="I118" s="358"/>
      <c r="J118" s="357">
        <v>0</v>
      </c>
      <c r="K118" s="358"/>
      <c r="L118" s="357">
        <v>0</v>
      </c>
      <c r="M118" s="358"/>
      <c r="N118" s="357">
        <v>0</v>
      </c>
      <c r="O118" s="358"/>
      <c r="P118" s="359"/>
      <c r="Q118" s="360">
        <v>1</v>
      </c>
      <c r="R118" s="351" t="e">
        <f t="shared" si="39"/>
        <v>#N/A</v>
      </c>
      <c r="S118" s="351" t="e">
        <f t="shared" si="40"/>
        <v>#N/A</v>
      </c>
      <c r="T118" s="351"/>
      <c r="U118" s="361" t="s">
        <v>3590</v>
      </c>
      <c r="V118" s="362">
        <v>1</v>
      </c>
      <c r="W118" s="363"/>
      <c r="X118" s="364">
        <v>1</v>
      </c>
      <c r="Y118" s="363"/>
      <c r="Z118" s="364">
        <v>1</v>
      </c>
      <c r="AA118" s="363"/>
      <c r="AB118" s="364">
        <v>1</v>
      </c>
      <c r="AC118" s="363"/>
      <c r="AD118" s="364">
        <v>1</v>
      </c>
      <c r="AE118" s="363"/>
      <c r="AF118" s="363"/>
      <c r="AG118" s="360">
        <v>1</v>
      </c>
      <c r="AH118" s="351" t="e">
        <f t="shared" si="41"/>
        <v>#N/A</v>
      </c>
      <c r="AI118" s="351" t="e">
        <f t="shared" si="42"/>
        <v>#N/A</v>
      </c>
      <c r="AJ118" s="351"/>
      <c r="AK118" s="361" t="s">
        <v>3590</v>
      </c>
      <c r="AL118" s="362">
        <v>1</v>
      </c>
      <c r="AM118" s="365"/>
      <c r="AN118" s="362">
        <v>1</v>
      </c>
      <c r="AO118" s="365"/>
      <c r="AP118" s="362">
        <v>1</v>
      </c>
      <c r="AQ118" s="365"/>
      <c r="AR118" s="362">
        <v>1</v>
      </c>
      <c r="AS118" s="365"/>
      <c r="AT118" s="362">
        <v>1</v>
      </c>
      <c r="AU118" s="365"/>
      <c r="AV118" s="365"/>
      <c r="AW118" s="360">
        <v>1</v>
      </c>
      <c r="AX118" s="351" t="e">
        <f t="shared" si="43"/>
        <v>#N/A</v>
      </c>
      <c r="AY118" s="351" t="e">
        <f t="shared" si="44"/>
        <v>#N/A</v>
      </c>
      <c r="AZ118" s="351"/>
      <c r="BA118" s="361" t="s">
        <v>3590</v>
      </c>
      <c r="BB118" s="366">
        <v>0.8</v>
      </c>
      <c r="BC118" s="365"/>
      <c r="BD118" s="366">
        <v>0.8</v>
      </c>
      <c r="BE118" s="365"/>
      <c r="BF118" s="366">
        <v>0.8</v>
      </c>
      <c r="BG118" s="365"/>
      <c r="BH118" s="366">
        <v>0.8</v>
      </c>
      <c r="BI118" s="365"/>
      <c r="BJ118" s="366">
        <v>0.8</v>
      </c>
      <c r="BK118" s="365"/>
      <c r="BL118" s="365" t="s">
        <v>3592</v>
      </c>
      <c r="BM118" s="360">
        <v>1</v>
      </c>
      <c r="BN118" s="351" t="e">
        <f t="shared" si="45"/>
        <v>#N/A</v>
      </c>
      <c r="BO118" s="351" t="e">
        <f t="shared" si="46"/>
        <v>#N/A</v>
      </c>
      <c r="BP118" s="351"/>
      <c r="BQ118" s="361" t="s">
        <v>3590</v>
      </c>
      <c r="BR118" s="367">
        <v>0.8</v>
      </c>
      <c r="BS118" s="368"/>
      <c r="BT118" s="367">
        <v>0.8</v>
      </c>
      <c r="BU118" s="368"/>
      <c r="BV118" s="367">
        <v>0.8</v>
      </c>
      <c r="BW118" s="368"/>
      <c r="BX118" s="367">
        <v>0.8</v>
      </c>
      <c r="BY118" s="368"/>
      <c r="BZ118" s="367">
        <v>0.8</v>
      </c>
      <c r="CA118" s="368"/>
      <c r="CB118" s="368"/>
      <c r="CC118" s="360">
        <v>1</v>
      </c>
      <c r="CD118" s="351" t="e">
        <f t="shared" si="47"/>
        <v>#N/A</v>
      </c>
      <c r="CE118" s="351" t="e">
        <f t="shared" si="48"/>
        <v>#N/A</v>
      </c>
      <c r="CF118" s="351"/>
      <c r="CG118" s="356" t="s">
        <v>3234</v>
      </c>
      <c r="CH118" s="376">
        <v>0</v>
      </c>
      <c r="CI118" s="377"/>
      <c r="CJ118" s="376">
        <v>0</v>
      </c>
      <c r="CK118" s="377"/>
      <c r="CL118" s="376">
        <v>0</v>
      </c>
      <c r="CM118" s="377"/>
      <c r="CN118" s="376">
        <v>0</v>
      </c>
      <c r="CO118" s="377"/>
      <c r="CP118" s="376">
        <v>0</v>
      </c>
      <c r="CQ118" s="377"/>
      <c r="CR118" s="377"/>
      <c r="CS118" s="360">
        <v>1</v>
      </c>
      <c r="CT118" s="351" t="e">
        <f t="shared" si="49"/>
        <v>#N/A</v>
      </c>
      <c r="CU118" s="351" t="e">
        <f t="shared" si="50"/>
        <v>#N/A</v>
      </c>
      <c r="CV118" s="351"/>
      <c r="CW118" s="361" t="s">
        <v>3590</v>
      </c>
      <c r="CX118" s="367">
        <v>1</v>
      </c>
      <c r="CY118" s="368"/>
      <c r="CZ118" s="367">
        <v>1</v>
      </c>
      <c r="DA118" s="369"/>
      <c r="DB118" s="367">
        <v>1</v>
      </c>
      <c r="DC118" s="368"/>
      <c r="DD118" s="367">
        <v>1</v>
      </c>
      <c r="DE118" s="368"/>
      <c r="DF118" s="367">
        <v>1</v>
      </c>
      <c r="DG118" s="368"/>
      <c r="DH118" s="368"/>
      <c r="DI118" s="360">
        <v>1</v>
      </c>
      <c r="DJ118" s="351" t="e">
        <f t="shared" si="51"/>
        <v>#N/A</v>
      </c>
      <c r="DK118" s="351" t="e">
        <f t="shared" si="52"/>
        <v>#N/A</v>
      </c>
      <c r="DL118" s="351"/>
      <c r="DM118" s="361" t="s">
        <v>3590</v>
      </c>
      <c r="DN118" s="367">
        <v>1</v>
      </c>
      <c r="DO118" s="368"/>
      <c r="DP118" s="367">
        <v>1</v>
      </c>
      <c r="DQ118" s="368"/>
      <c r="DR118" s="367">
        <v>1</v>
      </c>
      <c r="DS118" s="368"/>
      <c r="DT118" s="367">
        <v>1</v>
      </c>
      <c r="DU118" s="368"/>
      <c r="DV118" s="367">
        <v>1</v>
      </c>
      <c r="DW118" s="368"/>
      <c r="DX118" s="368"/>
      <c r="DY118" s="360">
        <v>1</v>
      </c>
      <c r="DZ118" s="351" t="e">
        <f t="shared" si="53"/>
        <v>#N/A</v>
      </c>
      <c r="EA118" s="351" t="e">
        <f t="shared" si="54"/>
        <v>#N/A</v>
      </c>
      <c r="EB118" s="351"/>
      <c r="EC118" s="157">
        <f t="shared" si="17"/>
        <v>0</v>
      </c>
      <c r="ED118" s="157">
        <f t="shared" si="18"/>
        <v>1</v>
      </c>
      <c r="EE118" s="157">
        <f t="shared" si="19"/>
        <v>0.70000000000000018</v>
      </c>
      <c r="EF118" s="157">
        <f t="shared" si="20"/>
        <v>0.9</v>
      </c>
    </row>
    <row r="119" spans="1:136" ht="14.25" customHeight="1">
      <c r="A119" s="395"/>
      <c r="B119" s="396" t="s">
        <v>3593</v>
      </c>
      <c r="C119" s="395"/>
      <c r="D119" s="396"/>
      <c r="E119" s="397"/>
      <c r="F119" s="398"/>
      <c r="G119" s="399"/>
      <c r="H119" s="398"/>
      <c r="I119" s="399"/>
      <c r="J119" s="398"/>
      <c r="K119" s="399"/>
      <c r="L119" s="398"/>
      <c r="M119" s="399"/>
      <c r="N119" s="398"/>
      <c r="O119" s="399"/>
      <c r="P119" s="400"/>
      <c r="Q119" s="401"/>
      <c r="R119" s="351" t="e">
        <f t="shared" si="39"/>
        <v>#N/A</v>
      </c>
      <c r="S119" s="351" t="e">
        <f t="shared" si="40"/>
        <v>#N/A</v>
      </c>
      <c r="T119" s="351"/>
      <c r="U119" s="397"/>
      <c r="V119" s="398"/>
      <c r="W119" s="402"/>
      <c r="X119" s="403"/>
      <c r="Y119" s="402"/>
      <c r="Z119" s="403"/>
      <c r="AA119" s="402"/>
      <c r="AB119" s="403"/>
      <c r="AC119" s="402"/>
      <c r="AD119" s="403"/>
      <c r="AE119" s="402"/>
      <c r="AF119" s="402"/>
      <c r="AG119" s="401"/>
      <c r="AH119" s="351" t="e">
        <f t="shared" si="41"/>
        <v>#N/A</v>
      </c>
      <c r="AI119" s="351" t="e">
        <f t="shared" si="42"/>
        <v>#N/A</v>
      </c>
      <c r="AJ119" s="351"/>
      <c r="AK119" s="397"/>
      <c r="AL119" s="398"/>
      <c r="AM119" s="399"/>
      <c r="AN119" s="398"/>
      <c r="AO119" s="399"/>
      <c r="AP119" s="398"/>
      <c r="AQ119" s="399"/>
      <c r="AR119" s="398"/>
      <c r="AS119" s="399"/>
      <c r="AT119" s="398"/>
      <c r="AU119" s="399"/>
      <c r="AV119" s="399"/>
      <c r="AW119" s="401"/>
      <c r="AX119" s="351" t="e">
        <f t="shared" si="43"/>
        <v>#N/A</v>
      </c>
      <c r="AY119" s="351" t="e">
        <f t="shared" si="44"/>
        <v>#N/A</v>
      </c>
      <c r="AZ119" s="351"/>
      <c r="BA119" s="397"/>
      <c r="BB119" s="404"/>
      <c r="BC119" s="399"/>
      <c r="BD119" s="404"/>
      <c r="BE119" s="399"/>
      <c r="BF119" s="404"/>
      <c r="BG119" s="399"/>
      <c r="BH119" s="404"/>
      <c r="BI119" s="399"/>
      <c r="BJ119" s="404"/>
      <c r="BK119" s="399"/>
      <c r="BL119" s="399"/>
      <c r="BM119" s="401"/>
      <c r="BN119" s="351" t="e">
        <f t="shared" si="45"/>
        <v>#N/A</v>
      </c>
      <c r="BO119" s="351" t="e">
        <f t="shared" si="46"/>
        <v>#N/A</v>
      </c>
      <c r="BP119" s="351"/>
      <c r="BQ119" s="397"/>
      <c r="BR119" s="405"/>
      <c r="BS119" s="406"/>
      <c r="BT119" s="405"/>
      <c r="BU119" s="406"/>
      <c r="BV119" s="405"/>
      <c r="BW119" s="406"/>
      <c r="BX119" s="405"/>
      <c r="BY119" s="406"/>
      <c r="BZ119" s="405"/>
      <c r="CA119" s="406"/>
      <c r="CB119" s="406"/>
      <c r="CC119" s="401"/>
      <c r="CD119" s="351" t="e">
        <f t="shared" si="47"/>
        <v>#N/A</v>
      </c>
      <c r="CE119" s="351" t="e">
        <f t="shared" si="48"/>
        <v>#N/A</v>
      </c>
      <c r="CF119" s="351"/>
      <c r="CG119" s="397"/>
      <c r="CH119" s="405"/>
      <c r="CI119" s="407"/>
      <c r="CJ119" s="405"/>
      <c r="CK119" s="407"/>
      <c r="CL119" s="405"/>
      <c r="CM119" s="407"/>
      <c r="CN119" s="405"/>
      <c r="CO119" s="407"/>
      <c r="CP119" s="405"/>
      <c r="CQ119" s="407"/>
      <c r="CR119" s="407"/>
      <c r="CS119" s="401"/>
      <c r="CT119" s="351" t="e">
        <f t="shared" si="49"/>
        <v>#N/A</v>
      </c>
      <c r="CU119" s="351" t="e">
        <f t="shared" si="50"/>
        <v>#N/A</v>
      </c>
      <c r="CV119" s="351"/>
      <c r="CW119" s="397"/>
      <c r="CX119" s="405"/>
      <c r="CY119" s="407"/>
      <c r="CZ119" s="408"/>
      <c r="DA119" s="409"/>
      <c r="DB119" s="405"/>
      <c r="DC119" s="407"/>
      <c r="DD119" s="405"/>
      <c r="DE119" s="407"/>
      <c r="DF119" s="405"/>
      <c r="DG119" s="407"/>
      <c r="DH119" s="407"/>
      <c r="DI119" s="401"/>
      <c r="DJ119" s="351" t="e">
        <f t="shared" si="51"/>
        <v>#N/A</v>
      </c>
      <c r="DK119" s="351" t="e">
        <f t="shared" si="52"/>
        <v>#N/A</v>
      </c>
      <c r="DL119" s="351"/>
      <c r="DM119" s="397"/>
      <c r="DN119" s="405"/>
      <c r="DO119" s="407"/>
      <c r="DP119" s="405"/>
      <c r="DQ119" s="407"/>
      <c r="DR119" s="405"/>
      <c r="DS119" s="407"/>
      <c r="DT119" s="405"/>
      <c r="DU119" s="407"/>
      <c r="DV119" s="405"/>
      <c r="DW119" s="407"/>
      <c r="DX119" s="407"/>
      <c r="DY119" s="401"/>
      <c r="DZ119" s="351" t="e">
        <f t="shared" si="53"/>
        <v>#N/A</v>
      </c>
      <c r="EA119" s="351" t="e">
        <f t="shared" si="54"/>
        <v>#N/A</v>
      </c>
      <c r="EB119" s="351"/>
      <c r="EC119" s="157">
        <f t="shared" si="17"/>
        <v>0</v>
      </c>
      <c r="ED119" s="157">
        <f t="shared" si="18"/>
        <v>0</v>
      </c>
      <c r="EE119" s="157" t="e">
        <f t="shared" si="19"/>
        <v>#DIV/0!</v>
      </c>
      <c r="EF119" s="157" t="e">
        <f t="shared" si="20"/>
        <v>#NUM!</v>
      </c>
    </row>
    <row r="120" spans="1:136" ht="14.25" customHeight="1">
      <c r="A120" s="291" t="b">
        <f>EXACT(MAX(F120,H120,J120,L120,N120,V120,X120,Z120,AB120,AD120,AL120,AN120,AP120,AR120,AT120,BB120,BD120,BF120,BH120,BJ120,BR120,BT120,BV120,BX120,BZ120,CH120,CJ120,CL120,CN120,CP120,CX120,CZ120,DB120,DD120,DF120),MIN(F120,H120,J120,L120,N120,V120,X120,Z120,AB120,AD120,AL120,AN120,AP120,AR120,AT120,BB120,BD120,BF120,BH120,BJ120,BR120,BT120,BV120,BX120,BZ120,CH120,CJ120,CL120,CN120,CP120,CX120,CZ120,DB120,DD120,DF120))</f>
        <v>0</v>
      </c>
      <c r="B120" s="292"/>
      <c r="C120" s="355" t="s">
        <v>3594</v>
      </c>
      <c r="D120" s="345"/>
      <c r="E120" s="361" t="s">
        <v>3595</v>
      </c>
      <c r="F120" s="362">
        <v>0.5</v>
      </c>
      <c r="G120" s="365"/>
      <c r="H120" s="362">
        <v>0.5</v>
      </c>
      <c r="I120" s="365"/>
      <c r="J120" s="362">
        <v>0.4</v>
      </c>
      <c r="K120" s="365"/>
      <c r="L120" s="362">
        <v>0</v>
      </c>
      <c r="M120" s="365"/>
      <c r="N120" s="362">
        <v>0</v>
      </c>
      <c r="O120" s="365"/>
      <c r="P120" s="368" t="s">
        <v>3479</v>
      </c>
      <c r="Q120" s="360">
        <v>1</v>
      </c>
      <c r="R120" s="351" t="e">
        <f t="shared" si="39"/>
        <v>#N/A</v>
      </c>
      <c r="S120" s="351" t="e">
        <f t="shared" si="40"/>
        <v>#N/A</v>
      </c>
      <c r="T120" s="351"/>
      <c r="U120" s="371" t="s">
        <v>3596</v>
      </c>
      <c r="V120" s="362">
        <v>0.5</v>
      </c>
      <c r="W120" s="365"/>
      <c r="X120" s="362">
        <v>0.5</v>
      </c>
      <c r="Y120" s="365"/>
      <c r="Z120" s="362">
        <v>0.4</v>
      </c>
      <c r="AA120" s="365"/>
      <c r="AB120" s="362">
        <v>0</v>
      </c>
      <c r="AC120" s="365"/>
      <c r="AD120" s="362">
        <v>0</v>
      </c>
      <c r="AE120" s="365"/>
      <c r="AF120" s="368" t="s">
        <v>3479</v>
      </c>
      <c r="AG120" s="360">
        <v>1</v>
      </c>
      <c r="AH120" s="351" t="e">
        <f t="shared" si="41"/>
        <v>#N/A</v>
      </c>
      <c r="AI120" s="351" t="e">
        <f t="shared" si="42"/>
        <v>#N/A</v>
      </c>
      <c r="AJ120" s="351"/>
      <c r="AK120" s="361" t="s">
        <v>3595</v>
      </c>
      <c r="AL120" s="362">
        <v>0.5</v>
      </c>
      <c r="AM120" s="365"/>
      <c r="AN120" s="362">
        <v>0.5</v>
      </c>
      <c r="AO120" s="365"/>
      <c r="AP120" s="362">
        <v>0.4</v>
      </c>
      <c r="AQ120" s="365"/>
      <c r="AR120" s="362">
        <v>0</v>
      </c>
      <c r="AS120" s="365"/>
      <c r="AT120" s="362">
        <v>0</v>
      </c>
      <c r="AU120" s="365"/>
      <c r="AV120" s="368" t="s">
        <v>3479</v>
      </c>
      <c r="AW120" s="360">
        <v>1</v>
      </c>
      <c r="AX120" s="351" t="e">
        <f t="shared" si="43"/>
        <v>#N/A</v>
      </c>
      <c r="AY120" s="351" t="e">
        <f t="shared" si="44"/>
        <v>#N/A</v>
      </c>
      <c r="AZ120" s="351"/>
      <c r="BA120" s="361" t="s">
        <v>3595</v>
      </c>
      <c r="BB120" s="362">
        <v>0.5</v>
      </c>
      <c r="BC120" s="365"/>
      <c r="BD120" s="362">
        <v>0.5</v>
      </c>
      <c r="BE120" s="365"/>
      <c r="BF120" s="362">
        <v>0.4</v>
      </c>
      <c r="BG120" s="365"/>
      <c r="BH120" s="362">
        <v>0</v>
      </c>
      <c r="BI120" s="365"/>
      <c r="BJ120" s="362">
        <v>0</v>
      </c>
      <c r="BK120" s="365"/>
      <c r="BL120" s="368" t="s">
        <v>3479</v>
      </c>
      <c r="BM120" s="360">
        <v>1</v>
      </c>
      <c r="BN120" s="351" t="e">
        <f t="shared" si="45"/>
        <v>#N/A</v>
      </c>
      <c r="BO120" s="351" t="e">
        <f t="shared" si="46"/>
        <v>#N/A</v>
      </c>
      <c r="BP120" s="351"/>
      <c r="BQ120" s="361" t="s">
        <v>3595</v>
      </c>
      <c r="BR120" s="362">
        <v>0.5</v>
      </c>
      <c r="BS120" s="365"/>
      <c r="BT120" s="362">
        <v>0.5</v>
      </c>
      <c r="BU120" s="365"/>
      <c r="BV120" s="362">
        <v>0.4</v>
      </c>
      <c r="BW120" s="365"/>
      <c r="BX120" s="362">
        <v>0</v>
      </c>
      <c r="BY120" s="365"/>
      <c r="BZ120" s="362">
        <v>0</v>
      </c>
      <c r="CA120" s="365"/>
      <c r="CB120" s="368" t="s">
        <v>3479</v>
      </c>
      <c r="CC120" s="360">
        <v>1</v>
      </c>
      <c r="CD120" s="351" t="e">
        <f t="shared" si="47"/>
        <v>#N/A</v>
      </c>
      <c r="CE120" s="351" t="e">
        <f t="shared" si="48"/>
        <v>#N/A</v>
      </c>
      <c r="CF120" s="351"/>
      <c r="CG120" s="361" t="s">
        <v>3595</v>
      </c>
      <c r="CH120" s="362">
        <v>0</v>
      </c>
      <c r="CI120" s="365"/>
      <c r="CJ120" s="362">
        <v>0</v>
      </c>
      <c r="CK120" s="365"/>
      <c r="CL120" s="362">
        <v>0</v>
      </c>
      <c r="CM120" s="365"/>
      <c r="CN120" s="362">
        <v>0</v>
      </c>
      <c r="CO120" s="365"/>
      <c r="CP120" s="362">
        <v>0</v>
      </c>
      <c r="CQ120" s="365"/>
      <c r="CR120" s="368" t="s">
        <v>3479</v>
      </c>
      <c r="CS120" s="360">
        <v>1</v>
      </c>
      <c r="CT120" s="351" t="e">
        <f t="shared" si="49"/>
        <v>#N/A</v>
      </c>
      <c r="CU120" s="351" t="e">
        <f t="shared" si="50"/>
        <v>#N/A</v>
      </c>
      <c r="CV120" s="351"/>
      <c r="CW120" s="361" t="s">
        <v>3595</v>
      </c>
      <c r="CX120" s="362">
        <v>0.5</v>
      </c>
      <c r="CY120" s="365"/>
      <c r="CZ120" s="362">
        <v>0.5</v>
      </c>
      <c r="DA120" s="365"/>
      <c r="DB120" s="362">
        <v>0.4</v>
      </c>
      <c r="DC120" s="365"/>
      <c r="DD120" s="362">
        <v>0</v>
      </c>
      <c r="DE120" s="365"/>
      <c r="DF120" s="362">
        <v>0</v>
      </c>
      <c r="DG120" s="365"/>
      <c r="DH120" s="368" t="s">
        <v>3479</v>
      </c>
      <c r="DI120" s="360">
        <v>1</v>
      </c>
      <c r="DJ120" s="351" t="e">
        <f t="shared" si="51"/>
        <v>#N/A</v>
      </c>
      <c r="DK120" s="351" t="e">
        <f t="shared" si="52"/>
        <v>#N/A</v>
      </c>
      <c r="DL120" s="351"/>
      <c r="DM120" s="361" t="s">
        <v>3595</v>
      </c>
      <c r="DN120" s="362">
        <v>0.5</v>
      </c>
      <c r="DO120" s="365"/>
      <c r="DP120" s="362">
        <v>0.5</v>
      </c>
      <c r="DQ120" s="365"/>
      <c r="DR120" s="362">
        <v>0.4</v>
      </c>
      <c r="DS120" s="365"/>
      <c r="DT120" s="362">
        <v>0</v>
      </c>
      <c r="DU120" s="365"/>
      <c r="DV120" s="362">
        <v>0</v>
      </c>
      <c r="DW120" s="365"/>
      <c r="DX120" s="368" t="s">
        <v>3479</v>
      </c>
      <c r="DY120" s="360">
        <v>1</v>
      </c>
      <c r="DZ120" s="351" t="e">
        <f t="shared" si="53"/>
        <v>#N/A</v>
      </c>
      <c r="EA120" s="351" t="e">
        <f t="shared" si="54"/>
        <v>#N/A</v>
      </c>
      <c r="EB120" s="351"/>
      <c r="EC120" s="157">
        <f t="shared" si="17"/>
        <v>0</v>
      </c>
      <c r="ED120" s="157">
        <f t="shared" si="18"/>
        <v>0.5</v>
      </c>
      <c r="EE120" s="157">
        <f t="shared" si="19"/>
        <v>0.24500000000000002</v>
      </c>
      <c r="EF120" s="157">
        <f t="shared" si="20"/>
        <v>0.4</v>
      </c>
    </row>
    <row r="121" spans="1:136" ht="14.25" customHeight="1">
      <c r="A121" s="395"/>
      <c r="B121" s="418" t="s">
        <v>3111</v>
      </c>
      <c r="C121" s="395"/>
      <c r="D121" s="396"/>
      <c r="E121" s="397"/>
      <c r="F121" s="398"/>
      <c r="G121" s="399"/>
      <c r="H121" s="398"/>
      <c r="I121" s="399"/>
      <c r="J121" s="398"/>
      <c r="K121" s="399"/>
      <c r="L121" s="398"/>
      <c r="M121" s="399"/>
      <c r="N121" s="398"/>
      <c r="O121" s="399"/>
      <c r="P121" s="400"/>
      <c r="Q121" s="401"/>
      <c r="R121" s="351" t="e">
        <f t="shared" si="39"/>
        <v>#N/A</v>
      </c>
      <c r="S121" s="351" t="e">
        <f t="shared" si="40"/>
        <v>#N/A</v>
      </c>
      <c r="T121" s="351"/>
      <c r="U121" s="397"/>
      <c r="V121" s="398"/>
      <c r="W121" s="402"/>
      <c r="X121" s="403"/>
      <c r="Y121" s="402"/>
      <c r="Z121" s="403"/>
      <c r="AA121" s="402"/>
      <c r="AB121" s="403"/>
      <c r="AC121" s="402"/>
      <c r="AD121" s="403"/>
      <c r="AE121" s="402"/>
      <c r="AF121" s="402"/>
      <c r="AG121" s="401"/>
      <c r="AH121" s="351" t="e">
        <f t="shared" si="41"/>
        <v>#N/A</v>
      </c>
      <c r="AI121" s="351" t="e">
        <f t="shared" si="42"/>
        <v>#N/A</v>
      </c>
      <c r="AJ121" s="351"/>
      <c r="AK121" s="397"/>
      <c r="AL121" s="398"/>
      <c r="AM121" s="399"/>
      <c r="AN121" s="398"/>
      <c r="AO121" s="399"/>
      <c r="AP121" s="398"/>
      <c r="AQ121" s="399"/>
      <c r="AR121" s="398"/>
      <c r="AS121" s="399"/>
      <c r="AT121" s="398"/>
      <c r="AU121" s="399"/>
      <c r="AV121" s="399"/>
      <c r="AW121" s="401"/>
      <c r="AX121" s="351" t="e">
        <f t="shared" si="43"/>
        <v>#N/A</v>
      </c>
      <c r="AY121" s="351" t="e">
        <f t="shared" si="44"/>
        <v>#N/A</v>
      </c>
      <c r="AZ121" s="351"/>
      <c r="BA121" s="397"/>
      <c r="BB121" s="404"/>
      <c r="BC121" s="399"/>
      <c r="BD121" s="404"/>
      <c r="BE121" s="399"/>
      <c r="BF121" s="404"/>
      <c r="BG121" s="399"/>
      <c r="BH121" s="404"/>
      <c r="BI121" s="399"/>
      <c r="BJ121" s="404"/>
      <c r="BK121" s="399"/>
      <c r="BL121" s="399"/>
      <c r="BM121" s="401"/>
      <c r="BN121" s="351" t="e">
        <f t="shared" si="45"/>
        <v>#N/A</v>
      </c>
      <c r="BO121" s="351" t="e">
        <f t="shared" si="46"/>
        <v>#N/A</v>
      </c>
      <c r="BP121" s="351"/>
      <c r="BQ121" s="397"/>
      <c r="BR121" s="405"/>
      <c r="BS121" s="406"/>
      <c r="BT121" s="405"/>
      <c r="BU121" s="406"/>
      <c r="BV121" s="405"/>
      <c r="BW121" s="406"/>
      <c r="BX121" s="405"/>
      <c r="BY121" s="406"/>
      <c r="BZ121" s="405"/>
      <c r="CA121" s="406"/>
      <c r="CB121" s="406"/>
      <c r="CC121" s="401"/>
      <c r="CD121" s="351" t="e">
        <f t="shared" si="47"/>
        <v>#N/A</v>
      </c>
      <c r="CE121" s="351" t="e">
        <f t="shared" si="48"/>
        <v>#N/A</v>
      </c>
      <c r="CF121" s="351"/>
      <c r="CG121" s="397"/>
      <c r="CH121" s="405"/>
      <c r="CI121" s="407"/>
      <c r="CJ121" s="405"/>
      <c r="CK121" s="407"/>
      <c r="CL121" s="405"/>
      <c r="CM121" s="407"/>
      <c r="CN121" s="405"/>
      <c r="CO121" s="407"/>
      <c r="CP121" s="405"/>
      <c r="CQ121" s="407"/>
      <c r="CR121" s="407"/>
      <c r="CS121" s="401"/>
      <c r="CT121" s="351" t="e">
        <f t="shared" si="49"/>
        <v>#N/A</v>
      </c>
      <c r="CU121" s="351" t="e">
        <f t="shared" si="50"/>
        <v>#N/A</v>
      </c>
      <c r="CV121" s="351"/>
      <c r="CW121" s="397"/>
      <c r="CX121" s="405"/>
      <c r="CY121" s="407"/>
      <c r="CZ121" s="408"/>
      <c r="DA121" s="409"/>
      <c r="DB121" s="405"/>
      <c r="DC121" s="407"/>
      <c r="DD121" s="405"/>
      <c r="DE121" s="407"/>
      <c r="DF121" s="405"/>
      <c r="DG121" s="407"/>
      <c r="DH121" s="407"/>
      <c r="DI121" s="401"/>
      <c r="DJ121" s="351" t="e">
        <f t="shared" si="51"/>
        <v>#N/A</v>
      </c>
      <c r="DK121" s="351" t="e">
        <f t="shared" si="52"/>
        <v>#N/A</v>
      </c>
      <c r="DL121" s="351"/>
      <c r="DM121" s="397"/>
      <c r="DN121" s="405"/>
      <c r="DO121" s="407"/>
      <c r="DP121" s="405"/>
      <c r="DQ121" s="407"/>
      <c r="DR121" s="405"/>
      <c r="DS121" s="407"/>
      <c r="DT121" s="405"/>
      <c r="DU121" s="407"/>
      <c r="DV121" s="405"/>
      <c r="DW121" s="407"/>
      <c r="DX121" s="407"/>
      <c r="DY121" s="401"/>
      <c r="DZ121" s="351" t="e">
        <f t="shared" si="53"/>
        <v>#N/A</v>
      </c>
      <c r="EA121" s="351" t="e">
        <f t="shared" si="54"/>
        <v>#N/A</v>
      </c>
      <c r="EB121" s="351"/>
      <c r="EC121" s="157">
        <f t="shared" si="17"/>
        <v>0</v>
      </c>
      <c r="ED121" s="157">
        <f t="shared" si="18"/>
        <v>0</v>
      </c>
      <c r="EE121" s="157" t="e">
        <f t="shared" si="19"/>
        <v>#DIV/0!</v>
      </c>
      <c r="EF121" s="157" t="e">
        <f t="shared" si="20"/>
        <v>#NUM!</v>
      </c>
    </row>
    <row r="122" spans="1:136" ht="14.25" customHeight="1">
      <c r="A122" s="291" t="b">
        <f>EXACT(MAX(F122,H122,J122,L122,N122,V122,X122,Z122,AB122,AD122,AL122,AN122,AP122,AR122,AT122,BB122,BD122,BF122,BH122,BJ122,BR122,BT122,BV122,BX122,BZ122,CH122,CJ122,CL122,CN122,CP122,CX122,CZ122,DB122,DD122,DF122),MIN(F122,H122,J122,L122,N122,V122,X122,Z122,AB122,AD122,AL122,AN122,AP122,AR122,AT122,BB122,BD122,BF122,BH122,BJ122,BR122,BT122,BV122,BX122,BZ122,CH122,CJ122,CL122,CN122,CP122,CX122,CZ122,DB122,DD122,DF122))</f>
        <v>1</v>
      </c>
      <c r="B122" s="292"/>
      <c r="C122" s="355" t="s">
        <v>3597</v>
      </c>
      <c r="D122" s="345"/>
      <c r="E122" s="419"/>
      <c r="F122" s="420"/>
      <c r="G122" s="421"/>
      <c r="H122" s="420"/>
      <c r="I122" s="421"/>
      <c r="J122" s="420"/>
      <c r="K122" s="421"/>
      <c r="L122" s="420"/>
      <c r="M122" s="421"/>
      <c r="N122" s="420"/>
      <c r="O122" s="421"/>
      <c r="P122" s="422"/>
      <c r="Q122" s="373"/>
      <c r="R122" s="351" t="e">
        <f t="shared" si="39"/>
        <v>#N/A</v>
      </c>
      <c r="S122" s="351" t="e">
        <f t="shared" si="40"/>
        <v>#N/A</v>
      </c>
      <c r="T122" s="351"/>
      <c r="U122" s="419"/>
      <c r="V122" s="420"/>
      <c r="W122" s="423"/>
      <c r="X122" s="424"/>
      <c r="Y122" s="423"/>
      <c r="Z122" s="424"/>
      <c r="AA122" s="423"/>
      <c r="AB122" s="424"/>
      <c r="AC122" s="423"/>
      <c r="AD122" s="424"/>
      <c r="AE122" s="423"/>
      <c r="AF122" s="423"/>
      <c r="AG122" s="373"/>
      <c r="AH122" s="351" t="e">
        <f t="shared" si="41"/>
        <v>#N/A</v>
      </c>
      <c r="AI122" s="351" t="e">
        <f t="shared" si="42"/>
        <v>#N/A</v>
      </c>
      <c r="AJ122" s="351"/>
      <c r="AK122" s="419"/>
      <c r="AL122" s="420"/>
      <c r="AM122" s="421"/>
      <c r="AN122" s="420"/>
      <c r="AO122" s="421"/>
      <c r="AP122" s="420"/>
      <c r="AQ122" s="421"/>
      <c r="AR122" s="420"/>
      <c r="AS122" s="421"/>
      <c r="AT122" s="420"/>
      <c r="AU122" s="421"/>
      <c r="AV122" s="421"/>
      <c r="AW122" s="373"/>
      <c r="AX122" s="351" t="e">
        <f t="shared" si="43"/>
        <v>#N/A</v>
      </c>
      <c r="AY122" s="351" t="e">
        <f t="shared" si="44"/>
        <v>#N/A</v>
      </c>
      <c r="AZ122" s="351"/>
      <c r="BA122" s="419"/>
      <c r="BB122" s="425"/>
      <c r="BC122" s="421"/>
      <c r="BD122" s="425"/>
      <c r="BE122" s="421"/>
      <c r="BF122" s="425"/>
      <c r="BG122" s="421"/>
      <c r="BH122" s="425"/>
      <c r="BI122" s="421"/>
      <c r="BJ122" s="425"/>
      <c r="BK122" s="421"/>
      <c r="BL122" s="421"/>
      <c r="BM122" s="373"/>
      <c r="BN122" s="351" t="e">
        <f t="shared" si="45"/>
        <v>#N/A</v>
      </c>
      <c r="BO122" s="351" t="e">
        <f t="shared" si="46"/>
        <v>#N/A</v>
      </c>
      <c r="BP122" s="351"/>
      <c r="BQ122" s="419"/>
      <c r="BR122" s="426"/>
      <c r="BS122" s="427"/>
      <c r="BT122" s="426"/>
      <c r="BU122" s="427"/>
      <c r="BV122" s="426"/>
      <c r="BW122" s="427"/>
      <c r="BX122" s="426"/>
      <c r="BY122" s="427"/>
      <c r="BZ122" s="426"/>
      <c r="CA122" s="427"/>
      <c r="CB122" s="427"/>
      <c r="CC122" s="373"/>
      <c r="CD122" s="351" t="e">
        <f t="shared" si="47"/>
        <v>#N/A</v>
      </c>
      <c r="CE122" s="351" t="e">
        <f t="shared" si="48"/>
        <v>#N/A</v>
      </c>
      <c r="CF122" s="351"/>
      <c r="CG122" s="419"/>
      <c r="CH122" s="426"/>
      <c r="CI122" s="428"/>
      <c r="CJ122" s="426"/>
      <c r="CK122" s="428"/>
      <c r="CL122" s="426"/>
      <c r="CM122" s="428"/>
      <c r="CN122" s="426"/>
      <c r="CO122" s="428"/>
      <c r="CP122" s="426"/>
      <c r="CQ122" s="428"/>
      <c r="CR122" s="428"/>
      <c r="CS122" s="373"/>
      <c r="CT122" s="351" t="e">
        <f t="shared" si="49"/>
        <v>#N/A</v>
      </c>
      <c r="CU122" s="351" t="e">
        <f t="shared" si="50"/>
        <v>#N/A</v>
      </c>
      <c r="CV122" s="351"/>
      <c r="CW122" s="419"/>
      <c r="CX122" s="426"/>
      <c r="CY122" s="428"/>
      <c r="CZ122" s="429"/>
      <c r="DA122" s="430"/>
      <c r="DB122" s="426"/>
      <c r="DC122" s="428"/>
      <c r="DD122" s="426"/>
      <c r="DE122" s="428"/>
      <c r="DF122" s="426"/>
      <c r="DG122" s="428"/>
      <c r="DH122" s="428"/>
      <c r="DI122" s="373"/>
      <c r="DJ122" s="351" t="e">
        <f t="shared" si="51"/>
        <v>#N/A</v>
      </c>
      <c r="DK122" s="351" t="e">
        <f t="shared" si="52"/>
        <v>#N/A</v>
      </c>
      <c r="DL122" s="351"/>
      <c r="DM122" s="419"/>
      <c r="DN122" s="426"/>
      <c r="DO122" s="428"/>
      <c r="DP122" s="426"/>
      <c r="DQ122" s="428"/>
      <c r="DR122" s="426"/>
      <c r="DS122" s="428"/>
      <c r="DT122" s="426"/>
      <c r="DU122" s="428"/>
      <c r="DV122" s="426"/>
      <c r="DW122" s="428"/>
      <c r="DX122" s="428"/>
      <c r="DY122" s="373"/>
      <c r="DZ122" s="351" t="e">
        <f t="shared" si="53"/>
        <v>#N/A</v>
      </c>
      <c r="EA122" s="351" t="e">
        <f t="shared" si="54"/>
        <v>#N/A</v>
      </c>
      <c r="EB122" s="351"/>
      <c r="EC122" s="157">
        <f t="shared" si="17"/>
        <v>0</v>
      </c>
      <c r="ED122" s="157">
        <f t="shared" si="18"/>
        <v>0</v>
      </c>
      <c r="EE122" s="157" t="e">
        <f t="shared" si="19"/>
        <v>#DIV/0!</v>
      </c>
      <c r="EF122" s="157" t="e">
        <f t="shared" si="20"/>
        <v>#NUM!</v>
      </c>
    </row>
    <row r="123" spans="1:136" ht="14.25" customHeight="1">
      <c r="A123" s="291" t="b">
        <f>EXACT(MAX(F123,H123,J123,L123,N123,V123,X123,Z123,AB123,AD123,AL123,AN123,AP123,AR123,AT123,BB123,BD123,BF123,BH123,BJ123,BR123,BT123,BV123,BX123,BZ123,CH123,CJ123,CL123,CN123,CP123,CX123,CZ123,DB123,DD123,DF123),MIN(F123,H123,J123,L123,N123,V123,X123,Z123,AB123,AD123,AL123,AN123,AP123,AR123,AT123,BB123,BD123,BF123,BH123,BJ123,BR123,BT123,BV123,BX123,BZ123,CH123,CJ123,CL123,CN123,CP123,CX123,CZ123,DB123,DD123,DF123))</f>
        <v>1</v>
      </c>
      <c r="B123" s="292"/>
      <c r="C123" s="355" t="s">
        <v>3598</v>
      </c>
      <c r="D123" s="345"/>
      <c r="E123" s="419"/>
      <c r="F123" s="431"/>
      <c r="G123" s="421"/>
      <c r="H123" s="431"/>
      <c r="I123" s="421"/>
      <c r="J123" s="431"/>
      <c r="K123" s="421"/>
      <c r="L123" s="431"/>
      <c r="M123" s="421"/>
      <c r="N123" s="431"/>
      <c r="O123" s="421"/>
      <c r="P123" s="422"/>
      <c r="Q123" s="373"/>
      <c r="R123" s="351" t="e">
        <f t="shared" si="39"/>
        <v>#N/A</v>
      </c>
      <c r="S123" s="351" t="e">
        <f t="shared" si="40"/>
        <v>#N/A</v>
      </c>
      <c r="T123" s="351"/>
      <c r="U123" s="419"/>
      <c r="V123" s="420"/>
      <c r="W123" s="423"/>
      <c r="X123" s="424"/>
      <c r="Y123" s="423"/>
      <c r="Z123" s="424"/>
      <c r="AA123" s="423"/>
      <c r="AB123" s="424"/>
      <c r="AC123" s="423"/>
      <c r="AD123" s="424"/>
      <c r="AE123" s="423"/>
      <c r="AF123" s="423"/>
      <c r="AG123" s="373"/>
      <c r="AH123" s="351" t="e">
        <f t="shared" si="41"/>
        <v>#N/A</v>
      </c>
      <c r="AI123" s="351" t="e">
        <f t="shared" si="42"/>
        <v>#N/A</v>
      </c>
      <c r="AJ123" s="351"/>
      <c r="AK123" s="419"/>
      <c r="AL123" s="420"/>
      <c r="AM123" s="421"/>
      <c r="AN123" s="420"/>
      <c r="AO123" s="421"/>
      <c r="AP123" s="420"/>
      <c r="AQ123" s="421"/>
      <c r="AR123" s="420"/>
      <c r="AS123" s="421"/>
      <c r="AT123" s="420"/>
      <c r="AU123" s="421"/>
      <c r="AV123" s="421"/>
      <c r="AW123" s="373"/>
      <c r="AX123" s="351" t="e">
        <f t="shared" si="43"/>
        <v>#N/A</v>
      </c>
      <c r="AY123" s="351" t="e">
        <f t="shared" si="44"/>
        <v>#N/A</v>
      </c>
      <c r="AZ123" s="351"/>
      <c r="BA123" s="419"/>
      <c r="BB123" s="425"/>
      <c r="BC123" s="421"/>
      <c r="BD123" s="425"/>
      <c r="BE123" s="421"/>
      <c r="BF123" s="425"/>
      <c r="BG123" s="421"/>
      <c r="BH123" s="425"/>
      <c r="BI123" s="421"/>
      <c r="BJ123" s="425"/>
      <c r="BK123" s="421"/>
      <c r="BL123" s="421"/>
      <c r="BM123" s="373"/>
      <c r="BN123" s="351" t="e">
        <f t="shared" si="45"/>
        <v>#N/A</v>
      </c>
      <c r="BO123" s="351" t="e">
        <f t="shared" si="46"/>
        <v>#N/A</v>
      </c>
      <c r="BP123" s="351"/>
      <c r="BQ123" s="419"/>
      <c r="BR123" s="426"/>
      <c r="BS123" s="427"/>
      <c r="BT123" s="426"/>
      <c r="BU123" s="427"/>
      <c r="BV123" s="426"/>
      <c r="BW123" s="427"/>
      <c r="BX123" s="426"/>
      <c r="BY123" s="427"/>
      <c r="BZ123" s="426"/>
      <c r="CA123" s="427"/>
      <c r="CB123" s="427"/>
      <c r="CC123" s="373"/>
      <c r="CD123" s="351" t="e">
        <f t="shared" si="47"/>
        <v>#N/A</v>
      </c>
      <c r="CE123" s="351" t="e">
        <f t="shared" si="48"/>
        <v>#N/A</v>
      </c>
      <c r="CF123" s="351"/>
      <c r="CG123" s="419"/>
      <c r="CH123" s="426"/>
      <c r="CI123" s="428"/>
      <c r="CJ123" s="426"/>
      <c r="CK123" s="428"/>
      <c r="CL123" s="426"/>
      <c r="CM123" s="428"/>
      <c r="CN123" s="426"/>
      <c r="CO123" s="428"/>
      <c r="CP123" s="426"/>
      <c r="CQ123" s="428"/>
      <c r="CR123" s="428"/>
      <c r="CS123" s="373"/>
      <c r="CT123" s="351" t="e">
        <f t="shared" si="49"/>
        <v>#N/A</v>
      </c>
      <c r="CU123" s="351" t="e">
        <f t="shared" si="50"/>
        <v>#N/A</v>
      </c>
      <c r="CV123" s="351"/>
      <c r="CW123" s="419"/>
      <c r="CX123" s="426"/>
      <c r="CY123" s="428"/>
      <c r="CZ123" s="429"/>
      <c r="DA123" s="430"/>
      <c r="DB123" s="426"/>
      <c r="DC123" s="428"/>
      <c r="DD123" s="426"/>
      <c r="DE123" s="428"/>
      <c r="DF123" s="426"/>
      <c r="DG123" s="428"/>
      <c r="DH123" s="428"/>
      <c r="DI123" s="373"/>
      <c r="DJ123" s="351" t="e">
        <f t="shared" si="51"/>
        <v>#N/A</v>
      </c>
      <c r="DK123" s="351" t="e">
        <f t="shared" si="52"/>
        <v>#N/A</v>
      </c>
      <c r="DL123" s="351"/>
      <c r="DM123" s="419"/>
      <c r="DN123" s="426"/>
      <c r="DO123" s="428"/>
      <c r="DP123" s="426"/>
      <c r="DQ123" s="428"/>
      <c r="DR123" s="426"/>
      <c r="DS123" s="428"/>
      <c r="DT123" s="426"/>
      <c r="DU123" s="428"/>
      <c r="DV123" s="426"/>
      <c r="DW123" s="428"/>
      <c r="DX123" s="428"/>
      <c r="DY123" s="373"/>
      <c r="DZ123" s="351" t="e">
        <f t="shared" si="53"/>
        <v>#N/A</v>
      </c>
      <c r="EA123" s="351" t="e">
        <f t="shared" si="54"/>
        <v>#N/A</v>
      </c>
      <c r="EB123" s="351"/>
      <c r="EC123" s="157">
        <f t="shared" si="17"/>
        <v>0</v>
      </c>
      <c r="ED123" s="157">
        <f t="shared" si="18"/>
        <v>0</v>
      </c>
      <c r="EE123" s="157" t="e">
        <f t="shared" si="19"/>
        <v>#DIV/0!</v>
      </c>
      <c r="EF123" s="157" t="e">
        <f t="shared" si="20"/>
        <v>#NUM!</v>
      </c>
    </row>
    <row r="124" spans="1:136" ht="14.25" customHeight="1">
      <c r="A124" s="291" t="b">
        <f>EXACT(MAX(F124,H124,J124,L124,N124,V124,X124,Z124,AB124,AD124,AL124,AN124,AP124,AR124,AT124,BB124,BD124,BF124,BH124,BJ124,BR124,BT124,BV124,BX124,BZ124,CH124,CJ124,CL124,CN124,CP124,CX124,CZ124,DB124,DD124,DF124),MIN(F124,H124,J124,L124,N124,V124,X124,Z124,AB124,AD124,AL124,AN124,AP124,AR124,AT124,BB124,BD124,BF124,BH124,BJ124,BR124,BT124,BV124,BX124,BZ124,CH124,CJ124,CL124,CN124,CP124,CX124,CZ124,DB124,DD124,DF124))</f>
        <v>1</v>
      </c>
      <c r="B124" s="292"/>
      <c r="C124" s="355" t="s">
        <v>3599</v>
      </c>
      <c r="D124" s="345"/>
      <c r="E124" s="419"/>
      <c r="F124" s="431"/>
      <c r="G124" s="421"/>
      <c r="H124" s="431"/>
      <c r="I124" s="421"/>
      <c r="J124" s="431"/>
      <c r="K124" s="421"/>
      <c r="L124" s="431"/>
      <c r="M124" s="421"/>
      <c r="N124" s="431"/>
      <c r="O124" s="421"/>
      <c r="P124" s="422"/>
      <c r="Q124" s="373"/>
      <c r="R124" s="351" t="e">
        <f t="shared" si="39"/>
        <v>#N/A</v>
      </c>
      <c r="S124" s="351" t="e">
        <f t="shared" si="40"/>
        <v>#N/A</v>
      </c>
      <c r="T124" s="351"/>
      <c r="U124" s="419"/>
      <c r="V124" s="420"/>
      <c r="W124" s="423"/>
      <c r="X124" s="424"/>
      <c r="Y124" s="423"/>
      <c r="Z124" s="424"/>
      <c r="AA124" s="423"/>
      <c r="AB124" s="424"/>
      <c r="AC124" s="423"/>
      <c r="AD124" s="424"/>
      <c r="AE124" s="423"/>
      <c r="AF124" s="423"/>
      <c r="AG124" s="373"/>
      <c r="AH124" s="351" t="e">
        <f t="shared" si="41"/>
        <v>#N/A</v>
      </c>
      <c r="AI124" s="351" t="e">
        <f t="shared" si="42"/>
        <v>#N/A</v>
      </c>
      <c r="AJ124" s="351"/>
      <c r="AK124" s="419"/>
      <c r="AL124" s="420"/>
      <c r="AM124" s="421"/>
      <c r="AN124" s="420"/>
      <c r="AO124" s="421"/>
      <c r="AP124" s="420"/>
      <c r="AQ124" s="421"/>
      <c r="AR124" s="420"/>
      <c r="AS124" s="421"/>
      <c r="AT124" s="420"/>
      <c r="AU124" s="421"/>
      <c r="AV124" s="421"/>
      <c r="AW124" s="373"/>
      <c r="AX124" s="351" t="e">
        <f t="shared" si="43"/>
        <v>#N/A</v>
      </c>
      <c r="AY124" s="351" t="e">
        <f t="shared" si="44"/>
        <v>#N/A</v>
      </c>
      <c r="AZ124" s="351"/>
      <c r="BA124" s="419"/>
      <c r="BB124" s="425"/>
      <c r="BC124" s="421"/>
      <c r="BD124" s="425"/>
      <c r="BE124" s="421"/>
      <c r="BF124" s="425"/>
      <c r="BG124" s="421"/>
      <c r="BH124" s="425"/>
      <c r="BI124" s="421"/>
      <c r="BJ124" s="425"/>
      <c r="BK124" s="421"/>
      <c r="BL124" s="421"/>
      <c r="BM124" s="373"/>
      <c r="BN124" s="351" t="e">
        <f t="shared" si="45"/>
        <v>#N/A</v>
      </c>
      <c r="BO124" s="351" t="e">
        <f t="shared" si="46"/>
        <v>#N/A</v>
      </c>
      <c r="BP124" s="351"/>
      <c r="BQ124" s="419"/>
      <c r="BR124" s="426"/>
      <c r="BS124" s="427"/>
      <c r="BT124" s="426"/>
      <c r="BU124" s="427"/>
      <c r="BV124" s="426"/>
      <c r="BW124" s="427"/>
      <c r="BX124" s="426"/>
      <c r="BY124" s="427"/>
      <c r="BZ124" s="426"/>
      <c r="CA124" s="427"/>
      <c r="CB124" s="427"/>
      <c r="CC124" s="373"/>
      <c r="CD124" s="351" t="e">
        <f t="shared" si="47"/>
        <v>#N/A</v>
      </c>
      <c r="CE124" s="351" t="e">
        <f t="shared" si="48"/>
        <v>#N/A</v>
      </c>
      <c r="CF124" s="351"/>
      <c r="CG124" s="419"/>
      <c r="CH124" s="426"/>
      <c r="CI124" s="428"/>
      <c r="CJ124" s="426"/>
      <c r="CK124" s="428"/>
      <c r="CL124" s="426"/>
      <c r="CM124" s="428"/>
      <c r="CN124" s="426"/>
      <c r="CO124" s="428"/>
      <c r="CP124" s="426"/>
      <c r="CQ124" s="428"/>
      <c r="CR124" s="428"/>
      <c r="CS124" s="373"/>
      <c r="CT124" s="351" t="e">
        <f t="shared" si="49"/>
        <v>#N/A</v>
      </c>
      <c r="CU124" s="351" t="e">
        <f t="shared" si="50"/>
        <v>#N/A</v>
      </c>
      <c r="CV124" s="351"/>
      <c r="CW124" s="419"/>
      <c r="CX124" s="426"/>
      <c r="CY124" s="428"/>
      <c r="CZ124" s="429"/>
      <c r="DA124" s="430"/>
      <c r="DB124" s="426"/>
      <c r="DC124" s="428"/>
      <c r="DD124" s="426"/>
      <c r="DE124" s="428"/>
      <c r="DF124" s="426"/>
      <c r="DG124" s="428"/>
      <c r="DH124" s="428"/>
      <c r="DI124" s="373"/>
      <c r="DJ124" s="351" t="e">
        <f t="shared" si="51"/>
        <v>#N/A</v>
      </c>
      <c r="DK124" s="351" t="e">
        <f t="shared" si="52"/>
        <v>#N/A</v>
      </c>
      <c r="DL124" s="351"/>
      <c r="DM124" s="419"/>
      <c r="DN124" s="426"/>
      <c r="DO124" s="428"/>
      <c r="DP124" s="426"/>
      <c r="DQ124" s="428"/>
      <c r="DR124" s="426"/>
      <c r="DS124" s="428"/>
      <c r="DT124" s="426"/>
      <c r="DU124" s="428"/>
      <c r="DV124" s="426"/>
      <c r="DW124" s="428"/>
      <c r="DX124" s="428"/>
      <c r="DY124" s="373"/>
      <c r="DZ124" s="351" t="e">
        <f t="shared" si="53"/>
        <v>#N/A</v>
      </c>
      <c r="EA124" s="351" t="e">
        <f t="shared" si="54"/>
        <v>#N/A</v>
      </c>
      <c r="EB124" s="351"/>
      <c r="EC124" s="157">
        <f t="shared" si="17"/>
        <v>0</v>
      </c>
      <c r="ED124" s="157">
        <f t="shared" si="18"/>
        <v>0</v>
      </c>
      <c r="EE124" s="157" t="e">
        <f t="shared" si="19"/>
        <v>#DIV/0!</v>
      </c>
      <c r="EF124" s="157" t="e">
        <f t="shared" si="20"/>
        <v>#NUM!</v>
      </c>
    </row>
    <row r="125" spans="1:136" ht="14.25" customHeight="1">
      <c r="A125" s="291"/>
      <c r="B125" s="292"/>
      <c r="C125" s="432"/>
      <c r="D125" s="293"/>
      <c r="E125" s="419"/>
      <c r="F125" s="431"/>
      <c r="G125" s="421"/>
      <c r="H125" s="431"/>
      <c r="I125" s="421"/>
      <c r="J125" s="431"/>
      <c r="K125" s="421"/>
      <c r="L125" s="431"/>
      <c r="M125" s="421"/>
      <c r="N125" s="431"/>
      <c r="O125" s="421"/>
      <c r="P125" s="422"/>
      <c r="Q125" s="373"/>
      <c r="R125" s="433"/>
      <c r="S125" s="433"/>
      <c r="T125" s="433"/>
      <c r="U125" s="419"/>
      <c r="V125" s="420"/>
      <c r="W125" s="423"/>
      <c r="X125" s="424"/>
      <c r="Y125" s="423"/>
      <c r="Z125" s="424"/>
      <c r="AA125" s="423"/>
      <c r="AB125" s="424"/>
      <c r="AC125" s="423"/>
      <c r="AD125" s="424"/>
      <c r="AE125" s="423"/>
      <c r="AF125" s="423"/>
      <c r="AG125" s="373"/>
      <c r="AH125" s="433"/>
      <c r="AI125" s="433"/>
      <c r="AJ125" s="433"/>
      <c r="AK125" s="419"/>
      <c r="AL125" s="434"/>
      <c r="AM125" s="422"/>
      <c r="AN125" s="435"/>
      <c r="AO125" s="435"/>
      <c r="AP125" s="435"/>
      <c r="AQ125" s="435"/>
      <c r="AR125" s="435"/>
      <c r="AS125" s="435"/>
      <c r="AT125" s="435"/>
      <c r="AU125" s="435"/>
      <c r="AV125" s="434"/>
      <c r="AW125" s="373"/>
      <c r="AX125" s="433"/>
      <c r="AY125" s="433"/>
      <c r="AZ125" s="433"/>
      <c r="BA125" s="419"/>
      <c r="BB125" s="434"/>
      <c r="BC125" s="435"/>
      <c r="BD125" s="435"/>
      <c r="BE125" s="435"/>
      <c r="BF125" s="435"/>
      <c r="BG125" s="435"/>
      <c r="BH125" s="435"/>
      <c r="BI125" s="435"/>
      <c r="BJ125" s="435"/>
      <c r="BK125" s="435"/>
      <c r="BL125" s="434"/>
      <c r="BM125" s="373"/>
      <c r="BN125" s="433"/>
      <c r="BO125" s="433"/>
      <c r="BP125" s="433"/>
      <c r="BQ125" s="419"/>
      <c r="BR125" s="434"/>
      <c r="BS125" s="435"/>
      <c r="BT125" s="435"/>
      <c r="BU125" s="435"/>
      <c r="BV125" s="435"/>
      <c r="BW125" s="435"/>
      <c r="BX125" s="435"/>
      <c r="BY125" s="435"/>
      <c r="BZ125" s="435"/>
      <c r="CA125" s="435"/>
      <c r="CB125" s="434"/>
      <c r="CC125" s="373"/>
      <c r="CD125" s="433"/>
      <c r="CE125" s="433"/>
      <c r="CF125" s="433"/>
      <c r="CG125" s="419"/>
      <c r="CH125" s="434"/>
      <c r="CI125" s="435"/>
      <c r="CJ125" s="435"/>
      <c r="CK125" s="435"/>
      <c r="CL125" s="435"/>
      <c r="CM125" s="435"/>
      <c r="CN125" s="435"/>
      <c r="CO125" s="435"/>
      <c r="CP125" s="435"/>
      <c r="CQ125" s="435"/>
      <c r="CR125" s="434"/>
      <c r="CS125" s="373"/>
      <c r="CT125" s="433"/>
      <c r="CU125" s="433"/>
      <c r="CV125" s="433"/>
      <c r="CW125" s="419"/>
      <c r="CX125" s="434"/>
      <c r="CY125" s="435"/>
      <c r="CZ125" s="435"/>
      <c r="DA125" s="435"/>
      <c r="DB125" s="435"/>
      <c r="DC125" s="435"/>
      <c r="DD125" s="435"/>
      <c r="DE125" s="435"/>
      <c r="DF125" s="435"/>
      <c r="DG125" s="435"/>
      <c r="DH125" s="434"/>
      <c r="DI125" s="373"/>
      <c r="DJ125" s="433"/>
      <c r="DK125" s="433"/>
      <c r="DL125" s="433"/>
      <c r="DM125" s="419"/>
      <c r="DN125" s="434"/>
      <c r="DO125" s="435"/>
      <c r="DP125" s="435"/>
      <c r="DQ125" s="435"/>
      <c r="DR125" s="435"/>
      <c r="DS125" s="435"/>
      <c r="DT125" s="435"/>
      <c r="DU125" s="435"/>
      <c r="DV125" s="435"/>
      <c r="DW125" s="435"/>
      <c r="DX125" s="435"/>
      <c r="DY125" s="373"/>
      <c r="DZ125" s="433"/>
      <c r="EA125" s="433"/>
      <c r="EB125" s="433"/>
    </row>
    <row r="126" spans="1:136" ht="14.25" customHeight="1">
      <c r="A126" s="291"/>
      <c r="B126" s="292"/>
      <c r="C126" s="432"/>
      <c r="D126" s="293"/>
      <c r="E126" s="419"/>
      <c r="F126" s="435"/>
      <c r="G126" s="435"/>
      <c r="H126" s="435"/>
      <c r="I126" s="435"/>
      <c r="J126" s="435"/>
      <c r="K126" s="435"/>
      <c r="L126" s="435"/>
      <c r="M126" s="434"/>
      <c r="N126" s="435"/>
      <c r="O126" s="435"/>
      <c r="P126" s="434"/>
      <c r="Q126" s="373"/>
      <c r="R126" s="433"/>
      <c r="S126" s="433"/>
      <c r="T126" s="433"/>
      <c r="U126" s="419"/>
      <c r="V126" s="434"/>
      <c r="W126" s="435"/>
      <c r="X126" s="435"/>
      <c r="Y126" s="435"/>
      <c r="Z126" s="435"/>
      <c r="AA126" s="435"/>
      <c r="AB126" s="435"/>
      <c r="AC126" s="435"/>
      <c r="AD126" s="435"/>
      <c r="AE126" s="435"/>
      <c r="AF126" s="434"/>
      <c r="AG126" s="373"/>
      <c r="AH126" s="433"/>
      <c r="AI126" s="433"/>
      <c r="AJ126" s="433"/>
      <c r="AK126" s="419"/>
      <c r="AL126" s="434"/>
      <c r="AM126" s="435"/>
      <c r="AN126" s="435"/>
      <c r="AO126" s="435"/>
      <c r="AP126" s="435"/>
      <c r="AQ126" s="435"/>
      <c r="AR126" s="435"/>
      <c r="AS126" s="435"/>
      <c r="AT126" s="435"/>
      <c r="AU126" s="435"/>
      <c r="AV126" s="434"/>
      <c r="AW126" s="373"/>
      <c r="AX126" s="433"/>
      <c r="AY126" s="433"/>
      <c r="AZ126" s="433"/>
      <c r="BA126" s="419"/>
      <c r="BB126" s="434"/>
      <c r="BC126" s="435"/>
      <c r="BD126" s="435"/>
      <c r="BE126" s="435"/>
      <c r="BF126" s="435"/>
      <c r="BG126" s="435"/>
      <c r="BH126" s="435"/>
      <c r="BI126" s="435"/>
      <c r="BJ126" s="435"/>
      <c r="BK126" s="435"/>
      <c r="BL126" s="434"/>
      <c r="BM126" s="373"/>
      <c r="BN126" s="433"/>
      <c r="BO126" s="433"/>
      <c r="BP126" s="433"/>
      <c r="BQ126" s="419"/>
      <c r="BR126" s="434"/>
      <c r="BS126" s="435"/>
      <c r="BT126" s="435"/>
      <c r="BU126" s="435"/>
      <c r="BV126" s="435"/>
      <c r="BW126" s="435"/>
      <c r="BX126" s="435"/>
      <c r="BY126" s="435"/>
      <c r="BZ126" s="435"/>
      <c r="CA126" s="435"/>
      <c r="CB126" s="434"/>
      <c r="CC126" s="373"/>
      <c r="CD126" s="433"/>
      <c r="CE126" s="433"/>
      <c r="CF126" s="433"/>
      <c r="CG126" s="419"/>
      <c r="CH126" s="434"/>
      <c r="CI126" s="435"/>
      <c r="CJ126" s="435"/>
      <c r="CK126" s="435"/>
      <c r="CL126" s="435"/>
      <c r="CM126" s="435"/>
      <c r="CN126" s="435"/>
      <c r="CO126" s="435"/>
      <c r="CP126" s="435"/>
      <c r="CQ126" s="435"/>
      <c r="CR126" s="434"/>
      <c r="CS126" s="373"/>
      <c r="CT126" s="433"/>
      <c r="CU126" s="433"/>
      <c r="CV126" s="433"/>
      <c r="CW126" s="419"/>
      <c r="CX126" s="434"/>
      <c r="CY126" s="435"/>
      <c r="CZ126" s="435"/>
      <c r="DA126" s="435"/>
      <c r="DB126" s="435"/>
      <c r="DC126" s="435"/>
      <c r="DD126" s="435"/>
      <c r="DE126" s="435"/>
      <c r="DF126" s="435"/>
      <c r="DG126" s="435"/>
      <c r="DH126" s="434"/>
      <c r="DI126" s="373"/>
      <c r="DJ126" s="433"/>
      <c r="DK126" s="433"/>
      <c r="DL126" s="433"/>
      <c r="DM126" s="419"/>
      <c r="DN126" s="434"/>
      <c r="DO126" s="435"/>
      <c r="DP126" s="435"/>
      <c r="DQ126" s="435"/>
      <c r="DR126" s="435"/>
      <c r="DS126" s="435"/>
      <c r="DT126" s="435"/>
      <c r="DU126" s="435"/>
      <c r="DV126" s="435"/>
      <c r="DW126" s="435"/>
      <c r="DX126" s="434"/>
      <c r="DY126" s="373"/>
      <c r="DZ126" s="433"/>
      <c r="EA126" s="433"/>
      <c r="EB126" s="433"/>
    </row>
    <row r="127" spans="1:136" ht="14.25" customHeight="1">
      <c r="A127" s="291"/>
      <c r="B127" s="292"/>
      <c r="C127" s="432"/>
      <c r="D127" s="293"/>
      <c r="E127" s="419"/>
      <c r="F127" s="435"/>
      <c r="G127" s="435"/>
      <c r="H127" s="435"/>
      <c r="I127" s="435"/>
      <c r="J127" s="435"/>
      <c r="K127" s="435"/>
      <c r="L127" s="435"/>
      <c r="M127" s="434"/>
      <c r="N127" s="435"/>
      <c r="O127" s="435"/>
      <c r="P127" s="434"/>
      <c r="Q127" s="373"/>
      <c r="R127" s="433"/>
      <c r="S127" s="433"/>
      <c r="T127" s="433"/>
      <c r="U127" s="419"/>
      <c r="V127" s="434"/>
      <c r="W127" s="435"/>
      <c r="X127" s="435"/>
      <c r="Y127" s="435"/>
      <c r="Z127" s="435"/>
      <c r="AA127" s="435"/>
      <c r="AB127" s="435"/>
      <c r="AC127" s="435"/>
      <c r="AD127" s="435"/>
      <c r="AE127" s="435"/>
      <c r="AF127" s="434"/>
      <c r="AG127" s="373"/>
      <c r="AH127" s="433"/>
      <c r="AI127" s="433"/>
      <c r="AJ127" s="433"/>
      <c r="AK127" s="419"/>
      <c r="AL127" s="434"/>
      <c r="AM127" s="435"/>
      <c r="AN127" s="435"/>
      <c r="AO127" s="435"/>
      <c r="AP127" s="435"/>
      <c r="AQ127" s="435"/>
      <c r="AR127" s="435"/>
      <c r="AS127" s="435"/>
      <c r="AT127" s="435"/>
      <c r="AU127" s="435"/>
      <c r="AV127" s="434"/>
      <c r="AW127" s="373"/>
      <c r="AX127" s="433"/>
      <c r="AY127" s="433"/>
      <c r="AZ127" s="433"/>
      <c r="BA127" s="419"/>
      <c r="BB127" s="434"/>
      <c r="BC127" s="435"/>
      <c r="BD127" s="435"/>
      <c r="BE127" s="435"/>
      <c r="BF127" s="435"/>
      <c r="BG127" s="435"/>
      <c r="BH127" s="435"/>
      <c r="BI127" s="435"/>
      <c r="BJ127" s="435"/>
      <c r="BK127" s="435"/>
      <c r="BL127" s="434"/>
      <c r="BM127" s="373"/>
      <c r="BN127" s="433"/>
      <c r="BO127" s="433"/>
      <c r="BP127" s="433"/>
      <c r="BQ127" s="419"/>
      <c r="BR127" s="434"/>
      <c r="BS127" s="435"/>
      <c r="BT127" s="435"/>
      <c r="BU127" s="435"/>
      <c r="BV127" s="435"/>
      <c r="BW127" s="435"/>
      <c r="BX127" s="435"/>
      <c r="BY127" s="435"/>
      <c r="BZ127" s="435"/>
      <c r="CA127" s="435"/>
      <c r="CB127" s="434"/>
      <c r="CC127" s="373"/>
      <c r="CD127" s="433"/>
      <c r="CE127" s="433"/>
      <c r="CF127" s="433"/>
      <c r="CG127" s="419"/>
      <c r="CH127" s="434"/>
      <c r="CI127" s="435"/>
      <c r="CJ127" s="435"/>
      <c r="CK127" s="435"/>
      <c r="CL127" s="435"/>
      <c r="CM127" s="435"/>
      <c r="CN127" s="435"/>
      <c r="CO127" s="435"/>
      <c r="CP127" s="435"/>
      <c r="CQ127" s="435"/>
      <c r="CR127" s="434"/>
      <c r="CS127" s="373"/>
      <c r="CT127" s="433"/>
      <c r="CU127" s="433"/>
      <c r="CV127" s="433"/>
      <c r="CW127" s="419"/>
      <c r="CX127" s="434"/>
      <c r="CY127" s="435"/>
      <c r="CZ127" s="435"/>
      <c r="DA127" s="435"/>
      <c r="DB127" s="435"/>
      <c r="DC127" s="435"/>
      <c r="DD127" s="435"/>
      <c r="DE127" s="435"/>
      <c r="DF127" s="435"/>
      <c r="DG127" s="435"/>
      <c r="DH127" s="434"/>
      <c r="DI127" s="373"/>
      <c r="DJ127" s="433"/>
      <c r="DK127" s="433"/>
      <c r="DL127" s="433"/>
      <c r="DM127" s="419"/>
      <c r="DN127" s="434"/>
      <c r="DO127" s="435"/>
      <c r="DP127" s="435"/>
      <c r="DQ127" s="435"/>
      <c r="DR127" s="435"/>
      <c r="DS127" s="435"/>
      <c r="DT127" s="435"/>
      <c r="DU127" s="435"/>
      <c r="DV127" s="435"/>
      <c r="DW127" s="435"/>
      <c r="DX127" s="434"/>
      <c r="DY127" s="373"/>
      <c r="DZ127" s="433"/>
      <c r="EA127" s="433"/>
      <c r="EB127" s="433"/>
    </row>
    <row r="128" spans="1:136" ht="14.25" customHeight="1">
      <c r="A128" s="152"/>
      <c r="C128" s="289"/>
      <c r="D128" s="289"/>
      <c r="E128" s="189"/>
      <c r="P128" s="436"/>
      <c r="Q128" s="437"/>
      <c r="R128" s="108"/>
      <c r="S128" s="108"/>
      <c r="T128" s="108"/>
      <c r="U128" s="189"/>
      <c r="AF128" s="436"/>
      <c r="AG128" s="437"/>
      <c r="AH128" s="108"/>
      <c r="AI128" s="108"/>
      <c r="AJ128" s="108"/>
      <c r="AK128" s="189"/>
      <c r="AV128" s="436"/>
      <c r="AW128" s="437"/>
      <c r="AX128" s="108"/>
      <c r="AY128" s="108"/>
      <c r="AZ128" s="108"/>
      <c r="BA128" s="189"/>
      <c r="BL128" s="436"/>
      <c r="BM128" s="437"/>
      <c r="BN128" s="108"/>
      <c r="BO128" s="108"/>
      <c r="BP128" s="108"/>
      <c r="BQ128" s="189"/>
      <c r="CB128" s="436"/>
      <c r="CC128" s="437"/>
      <c r="CD128" s="108"/>
      <c r="CE128" s="108"/>
      <c r="CF128" s="108"/>
      <c r="CG128" s="189"/>
      <c r="CR128" s="436"/>
      <c r="CS128" s="437"/>
      <c r="CT128" s="108"/>
      <c r="CU128" s="108"/>
      <c r="CV128" s="108"/>
      <c r="CW128" s="189"/>
      <c r="DH128" s="436"/>
      <c r="DI128" s="437"/>
      <c r="DJ128" s="108"/>
      <c r="DK128" s="108"/>
      <c r="DL128" s="108"/>
      <c r="DM128" s="189"/>
      <c r="DN128" s="436"/>
      <c r="DX128" s="436"/>
      <c r="DY128" s="437"/>
      <c r="DZ128" s="108"/>
      <c r="EA128" s="108"/>
      <c r="EB128" s="108"/>
    </row>
    <row r="129" spans="1:132" ht="14.25" customHeight="1">
      <c r="A129" s="152"/>
      <c r="C129" s="289"/>
      <c r="D129" s="289"/>
      <c r="E129" s="189"/>
      <c r="P129" s="436"/>
      <c r="Q129" s="437"/>
      <c r="R129" s="108"/>
      <c r="S129" s="108"/>
      <c r="T129" s="108"/>
      <c r="U129" s="189"/>
      <c r="AF129" s="436"/>
      <c r="AG129" s="437"/>
      <c r="AH129" s="108"/>
      <c r="AI129" s="108"/>
      <c r="AJ129" s="108"/>
      <c r="AK129" s="189"/>
      <c r="AV129" s="436"/>
      <c r="AW129" s="437"/>
      <c r="AX129" s="108"/>
      <c r="AY129" s="108"/>
      <c r="AZ129" s="108"/>
      <c r="BA129" s="189"/>
      <c r="BL129" s="436"/>
      <c r="BM129" s="437"/>
      <c r="BN129" s="108"/>
      <c r="BO129" s="108"/>
      <c r="BP129" s="108"/>
      <c r="BQ129" s="189"/>
      <c r="CB129" s="436"/>
      <c r="CC129" s="437"/>
      <c r="CD129" s="108"/>
      <c r="CE129" s="108"/>
      <c r="CF129" s="108"/>
      <c r="CG129" s="189"/>
      <c r="CR129" s="436"/>
      <c r="CS129" s="437"/>
      <c r="CT129" s="108"/>
      <c r="CU129" s="108"/>
      <c r="CV129" s="108"/>
      <c r="CW129" s="189"/>
      <c r="DH129" s="436"/>
      <c r="DI129" s="437"/>
      <c r="DJ129" s="108"/>
      <c r="DK129" s="108"/>
      <c r="DL129" s="108"/>
      <c r="DM129" s="189"/>
      <c r="DN129" s="436"/>
      <c r="DX129" s="436"/>
      <c r="DY129" s="437"/>
      <c r="DZ129" s="108"/>
      <c r="EA129" s="108"/>
      <c r="EB129" s="108"/>
    </row>
    <row r="130" spans="1:132" ht="14.25" customHeight="1">
      <c r="A130" s="152"/>
      <c r="C130" s="289"/>
      <c r="D130" s="289"/>
      <c r="E130" s="189"/>
      <c r="P130" s="436"/>
      <c r="Q130" s="437"/>
      <c r="R130" s="108"/>
      <c r="S130" s="108"/>
      <c r="T130" s="108"/>
      <c r="U130" s="189"/>
      <c r="AF130" s="436"/>
      <c r="AG130" s="437"/>
      <c r="AH130" s="108"/>
      <c r="AI130" s="108"/>
      <c r="AJ130" s="108"/>
      <c r="AK130" s="189"/>
      <c r="AV130" s="436"/>
      <c r="AW130" s="437"/>
      <c r="AX130" s="108"/>
      <c r="AY130" s="108"/>
      <c r="AZ130" s="108"/>
      <c r="BA130" s="189"/>
      <c r="BL130" s="436"/>
      <c r="BM130" s="437"/>
      <c r="BN130" s="108"/>
      <c r="BO130" s="108"/>
      <c r="BP130" s="108"/>
      <c r="BQ130" s="189"/>
      <c r="CB130" s="436"/>
      <c r="CC130" s="437"/>
      <c r="CD130" s="108"/>
      <c r="CE130" s="108"/>
      <c r="CF130" s="108"/>
      <c r="CG130" s="189"/>
      <c r="CR130" s="436"/>
      <c r="CS130" s="437"/>
      <c r="CT130" s="108"/>
      <c r="CU130" s="108"/>
      <c r="CV130" s="108"/>
      <c r="CW130" s="189"/>
      <c r="DH130" s="436"/>
      <c r="DI130" s="437"/>
      <c r="DJ130" s="108"/>
      <c r="DK130" s="108"/>
      <c r="DL130" s="108"/>
      <c r="DM130" s="189"/>
      <c r="DN130" s="436"/>
      <c r="DX130" s="436"/>
      <c r="DY130" s="437"/>
      <c r="DZ130" s="108"/>
      <c r="EA130" s="108"/>
      <c r="EB130" s="108"/>
    </row>
    <row r="131" spans="1:132" ht="14.25" customHeight="1">
      <c r="A131" s="152"/>
      <c r="C131" s="289"/>
      <c r="D131" s="289"/>
      <c r="E131" s="189"/>
      <c r="P131" s="436"/>
      <c r="Q131" s="437"/>
      <c r="R131" s="108"/>
      <c r="S131" s="108"/>
      <c r="T131" s="108"/>
      <c r="U131" s="189"/>
      <c r="AF131" s="436"/>
      <c r="AG131" s="437"/>
      <c r="AH131" s="108"/>
      <c r="AI131" s="108"/>
      <c r="AJ131" s="108"/>
      <c r="AK131" s="189"/>
      <c r="AV131" s="436"/>
      <c r="AW131" s="437"/>
      <c r="AX131" s="108"/>
      <c r="AY131" s="108"/>
      <c r="AZ131" s="108"/>
      <c r="BA131" s="189"/>
      <c r="BL131" s="436"/>
      <c r="BM131" s="437"/>
      <c r="BN131" s="108"/>
      <c r="BO131" s="108"/>
      <c r="BP131" s="108"/>
      <c r="BQ131" s="189"/>
      <c r="CB131" s="436"/>
      <c r="CC131" s="437"/>
      <c r="CD131" s="108"/>
      <c r="CE131" s="108"/>
      <c r="CF131" s="108"/>
      <c r="CG131" s="189"/>
      <c r="CR131" s="436"/>
      <c r="CS131" s="437"/>
      <c r="CT131" s="108"/>
      <c r="CU131" s="108"/>
      <c r="CV131" s="108"/>
      <c r="CW131" s="189"/>
      <c r="DH131" s="436"/>
      <c r="DI131" s="437"/>
      <c r="DJ131" s="108"/>
      <c r="DK131" s="108"/>
      <c r="DL131" s="108"/>
      <c r="DM131" s="189"/>
      <c r="DN131" s="436"/>
      <c r="DX131" s="436"/>
      <c r="DY131" s="437"/>
      <c r="DZ131" s="108"/>
      <c r="EA131" s="108"/>
      <c r="EB131" s="108"/>
    </row>
    <row r="132" spans="1:132" ht="14.25" customHeight="1">
      <c r="A132" s="152"/>
      <c r="C132" s="289"/>
      <c r="D132" s="289"/>
      <c r="E132" s="189"/>
      <c r="P132" s="436"/>
      <c r="Q132" s="437"/>
      <c r="R132" s="108"/>
      <c r="S132" s="108"/>
      <c r="T132" s="108"/>
      <c r="U132" s="189"/>
      <c r="AF132" s="436"/>
      <c r="AG132" s="437"/>
      <c r="AH132" s="108"/>
      <c r="AI132" s="108"/>
      <c r="AJ132" s="108"/>
      <c r="AK132" s="189"/>
      <c r="AV132" s="436"/>
      <c r="AW132" s="437"/>
      <c r="AX132" s="108"/>
      <c r="AY132" s="108"/>
      <c r="AZ132" s="108"/>
      <c r="BA132" s="189"/>
      <c r="BL132" s="436"/>
      <c r="BM132" s="437"/>
      <c r="BN132" s="108"/>
      <c r="BO132" s="108"/>
      <c r="BP132" s="108"/>
      <c r="BQ132" s="189"/>
      <c r="CB132" s="436"/>
      <c r="CC132" s="437"/>
      <c r="CD132" s="108"/>
      <c r="CE132" s="108"/>
      <c r="CF132" s="108"/>
      <c r="CG132" s="189"/>
      <c r="CR132" s="436"/>
      <c r="CS132" s="437"/>
      <c r="CT132" s="108"/>
      <c r="CU132" s="108"/>
      <c r="CV132" s="108"/>
      <c r="CW132" s="189"/>
      <c r="DH132" s="436"/>
      <c r="DI132" s="437"/>
      <c r="DJ132" s="108"/>
      <c r="DK132" s="108"/>
      <c r="DL132" s="108"/>
      <c r="DM132" s="189"/>
      <c r="DN132" s="436"/>
      <c r="DX132" s="436"/>
      <c r="DY132" s="437"/>
      <c r="DZ132" s="108"/>
      <c r="EA132" s="108"/>
      <c r="EB132" s="108"/>
    </row>
    <row r="133" spans="1:132" ht="14.25" customHeight="1">
      <c r="A133" s="152"/>
      <c r="C133" s="289"/>
      <c r="D133" s="289"/>
      <c r="E133" s="189"/>
      <c r="P133" s="436"/>
      <c r="Q133" s="437"/>
      <c r="R133" s="108"/>
      <c r="S133" s="108"/>
      <c r="T133" s="108"/>
      <c r="U133" s="189"/>
      <c r="AF133" s="436"/>
      <c r="AG133" s="437"/>
      <c r="AH133" s="108"/>
      <c r="AI133" s="108"/>
      <c r="AJ133" s="108"/>
      <c r="AK133" s="189"/>
      <c r="AV133" s="436"/>
      <c r="AW133" s="437"/>
      <c r="AX133" s="108"/>
      <c r="AY133" s="108"/>
      <c r="AZ133" s="108"/>
      <c r="BA133" s="189"/>
      <c r="BL133" s="436"/>
      <c r="BM133" s="437"/>
      <c r="BN133" s="108"/>
      <c r="BO133" s="108"/>
      <c r="BP133" s="108"/>
      <c r="BQ133" s="189"/>
      <c r="CB133" s="436"/>
      <c r="CC133" s="437"/>
      <c r="CD133" s="108"/>
      <c r="CE133" s="108"/>
      <c r="CF133" s="108"/>
      <c r="CG133" s="189"/>
      <c r="CR133" s="436"/>
      <c r="CS133" s="437"/>
      <c r="CT133" s="108"/>
      <c r="CU133" s="108"/>
      <c r="CV133" s="108"/>
      <c r="CW133" s="189"/>
      <c r="DH133" s="436"/>
      <c r="DI133" s="437"/>
      <c r="DJ133" s="108"/>
      <c r="DK133" s="108"/>
      <c r="DL133" s="108"/>
      <c r="DM133" s="189"/>
      <c r="DN133" s="436"/>
      <c r="DX133" s="436"/>
      <c r="DY133" s="437"/>
      <c r="DZ133" s="108"/>
      <c r="EA133" s="108"/>
      <c r="EB133" s="108"/>
    </row>
    <row r="134" spans="1:132" ht="14.25" customHeight="1">
      <c r="A134" s="152"/>
      <c r="C134" s="289"/>
      <c r="D134" s="289"/>
      <c r="E134" s="189"/>
      <c r="P134" s="436"/>
      <c r="Q134" s="437"/>
      <c r="R134" s="108"/>
      <c r="S134" s="108"/>
      <c r="T134" s="108"/>
      <c r="U134" s="189"/>
      <c r="AF134" s="436"/>
      <c r="AG134" s="437"/>
      <c r="AH134" s="108"/>
      <c r="AI134" s="108"/>
      <c r="AJ134" s="108"/>
      <c r="AK134" s="189"/>
      <c r="AV134" s="436"/>
      <c r="AW134" s="437"/>
      <c r="AX134" s="108"/>
      <c r="AY134" s="108"/>
      <c r="AZ134" s="108"/>
      <c r="BA134" s="189"/>
      <c r="BL134" s="436"/>
      <c r="BM134" s="437"/>
      <c r="BN134" s="108"/>
      <c r="BO134" s="108"/>
      <c r="BP134" s="108"/>
      <c r="BQ134" s="189"/>
      <c r="CB134" s="436"/>
      <c r="CC134" s="437"/>
      <c r="CD134" s="108"/>
      <c r="CE134" s="108"/>
      <c r="CF134" s="108"/>
      <c r="CG134" s="189"/>
      <c r="CR134" s="436"/>
      <c r="CS134" s="437"/>
      <c r="CT134" s="108"/>
      <c r="CU134" s="108"/>
      <c r="CV134" s="108"/>
      <c r="CW134" s="189"/>
      <c r="DH134" s="436"/>
      <c r="DI134" s="437"/>
      <c r="DJ134" s="108"/>
      <c r="DK134" s="108"/>
      <c r="DL134" s="108"/>
      <c r="DM134" s="189"/>
      <c r="DN134" s="436"/>
      <c r="DX134" s="436"/>
      <c r="DY134" s="437"/>
      <c r="DZ134" s="108"/>
      <c r="EA134" s="108"/>
      <c r="EB134" s="108"/>
    </row>
    <row r="135" spans="1:132" ht="14.25" customHeight="1">
      <c r="A135" s="152"/>
      <c r="C135" s="289"/>
      <c r="D135" s="289"/>
      <c r="E135" s="189"/>
      <c r="P135" s="436"/>
      <c r="Q135" s="437"/>
      <c r="R135" s="108"/>
      <c r="S135" s="108"/>
      <c r="T135" s="108"/>
      <c r="U135" s="189"/>
      <c r="AF135" s="436"/>
      <c r="AG135" s="437"/>
      <c r="AH135" s="108"/>
      <c r="AI135" s="108"/>
      <c r="AJ135" s="108"/>
      <c r="AK135" s="189"/>
      <c r="AV135" s="436"/>
      <c r="AW135" s="437"/>
      <c r="AX135" s="108"/>
      <c r="AY135" s="108"/>
      <c r="AZ135" s="108"/>
      <c r="BA135" s="189"/>
      <c r="BL135" s="436"/>
      <c r="BM135" s="437"/>
      <c r="BN135" s="108"/>
      <c r="BO135" s="108"/>
      <c r="BP135" s="108"/>
      <c r="BQ135" s="189"/>
      <c r="CB135" s="436"/>
      <c r="CC135" s="437"/>
      <c r="CD135" s="108"/>
      <c r="CE135" s="108"/>
      <c r="CF135" s="108"/>
      <c r="CG135" s="189"/>
      <c r="CR135" s="436"/>
      <c r="CS135" s="437"/>
      <c r="CT135" s="108"/>
      <c r="CU135" s="108"/>
      <c r="CV135" s="108"/>
      <c r="CW135" s="189"/>
      <c r="DH135" s="436"/>
      <c r="DI135" s="437"/>
      <c r="DJ135" s="108"/>
      <c r="DK135" s="108"/>
      <c r="DL135" s="108"/>
      <c r="DM135" s="189"/>
      <c r="DN135" s="436"/>
      <c r="DX135" s="436"/>
      <c r="DY135" s="437"/>
      <c r="DZ135" s="108"/>
      <c r="EA135" s="108"/>
      <c r="EB135" s="108"/>
    </row>
    <row r="136" spans="1:132" ht="14.25" customHeight="1">
      <c r="A136" s="152"/>
      <c r="C136" s="289"/>
      <c r="D136" s="289"/>
      <c r="E136" s="189"/>
      <c r="P136" s="436"/>
      <c r="Q136" s="437"/>
      <c r="R136" s="108"/>
      <c r="S136" s="108"/>
      <c r="T136" s="108"/>
      <c r="U136" s="189"/>
      <c r="AF136" s="436"/>
      <c r="AG136" s="437"/>
      <c r="AH136" s="108"/>
      <c r="AI136" s="108"/>
      <c r="AJ136" s="108"/>
      <c r="AK136" s="189"/>
      <c r="AV136" s="436"/>
      <c r="AW136" s="437"/>
      <c r="AX136" s="108"/>
      <c r="AY136" s="108"/>
      <c r="AZ136" s="108"/>
      <c r="BA136" s="189"/>
      <c r="BL136" s="436"/>
      <c r="BM136" s="437"/>
      <c r="BN136" s="108"/>
      <c r="BO136" s="108"/>
      <c r="BP136" s="108"/>
      <c r="BQ136" s="189"/>
      <c r="CB136" s="436"/>
      <c r="CC136" s="437"/>
      <c r="CD136" s="108"/>
      <c r="CE136" s="108"/>
      <c r="CF136" s="108"/>
      <c r="CG136" s="189"/>
      <c r="CR136" s="436"/>
      <c r="CS136" s="437"/>
      <c r="CT136" s="108"/>
      <c r="CU136" s="108"/>
      <c r="CV136" s="108"/>
      <c r="CW136" s="189"/>
      <c r="DH136" s="436"/>
      <c r="DI136" s="437"/>
      <c r="DJ136" s="108"/>
      <c r="DK136" s="108"/>
      <c r="DL136" s="108"/>
      <c r="DM136" s="189"/>
      <c r="DN136" s="436"/>
      <c r="DX136" s="436"/>
      <c r="DY136" s="437"/>
      <c r="DZ136" s="108"/>
      <c r="EA136" s="108"/>
      <c r="EB136" s="108"/>
    </row>
    <row r="137" spans="1:132" ht="14.25" customHeight="1">
      <c r="A137" s="152"/>
      <c r="C137" s="289"/>
      <c r="D137" s="289"/>
      <c r="E137" s="189"/>
      <c r="P137" s="436"/>
      <c r="Q137" s="437"/>
      <c r="R137" s="108"/>
      <c r="S137" s="108"/>
      <c r="T137" s="108"/>
      <c r="U137" s="189"/>
      <c r="AF137" s="436"/>
      <c r="AG137" s="437"/>
      <c r="AH137" s="108"/>
      <c r="AI137" s="108"/>
      <c r="AJ137" s="108"/>
      <c r="AK137" s="189"/>
      <c r="AV137" s="436"/>
      <c r="AW137" s="437"/>
      <c r="AX137" s="108"/>
      <c r="AY137" s="108"/>
      <c r="AZ137" s="108"/>
      <c r="BA137" s="189"/>
      <c r="BL137" s="436"/>
      <c r="BM137" s="437"/>
      <c r="BN137" s="108"/>
      <c r="BO137" s="108"/>
      <c r="BP137" s="108"/>
      <c r="BQ137" s="189"/>
      <c r="CB137" s="436"/>
      <c r="CC137" s="437"/>
      <c r="CD137" s="108"/>
      <c r="CE137" s="108"/>
      <c r="CF137" s="108"/>
      <c r="CG137" s="189"/>
      <c r="CR137" s="436"/>
      <c r="CS137" s="437"/>
      <c r="CT137" s="108"/>
      <c r="CU137" s="108"/>
      <c r="CV137" s="108"/>
      <c r="CW137" s="189"/>
      <c r="DH137" s="436"/>
      <c r="DI137" s="437"/>
      <c r="DJ137" s="108"/>
      <c r="DK137" s="108"/>
      <c r="DL137" s="108"/>
      <c r="DM137" s="189"/>
      <c r="DN137" s="436"/>
      <c r="DX137" s="436"/>
      <c r="DY137" s="437"/>
      <c r="DZ137" s="108"/>
      <c r="EA137" s="108"/>
      <c r="EB137" s="108"/>
    </row>
    <row r="138" spans="1:132" ht="14.25" customHeight="1">
      <c r="A138" s="152"/>
      <c r="C138" s="289"/>
      <c r="D138" s="289"/>
      <c r="E138" s="189"/>
      <c r="P138" s="436"/>
      <c r="Q138" s="437"/>
      <c r="R138" s="108"/>
      <c r="S138" s="108"/>
      <c r="T138" s="108"/>
      <c r="U138" s="189"/>
      <c r="AF138" s="436"/>
      <c r="AG138" s="437"/>
      <c r="AH138" s="108"/>
      <c r="AI138" s="108"/>
      <c r="AJ138" s="108"/>
      <c r="AK138" s="189"/>
      <c r="AV138" s="436"/>
      <c r="AW138" s="437"/>
      <c r="AX138" s="108"/>
      <c r="AY138" s="108"/>
      <c r="AZ138" s="108"/>
      <c r="BA138" s="189"/>
      <c r="BL138" s="436"/>
      <c r="BM138" s="437"/>
      <c r="BN138" s="108"/>
      <c r="BO138" s="108"/>
      <c r="BP138" s="108"/>
      <c r="BQ138" s="189"/>
      <c r="CB138" s="436"/>
      <c r="CC138" s="437"/>
      <c r="CD138" s="108"/>
      <c r="CE138" s="108"/>
      <c r="CF138" s="108"/>
      <c r="CG138" s="189"/>
      <c r="CR138" s="436"/>
      <c r="CS138" s="437"/>
      <c r="CT138" s="108"/>
      <c r="CU138" s="108"/>
      <c r="CV138" s="108"/>
      <c r="CW138" s="189"/>
      <c r="DH138" s="436"/>
      <c r="DI138" s="437"/>
      <c r="DJ138" s="108"/>
      <c r="DK138" s="108"/>
      <c r="DL138" s="108"/>
      <c r="DM138" s="189"/>
      <c r="DN138" s="436"/>
      <c r="DX138" s="436"/>
      <c r="DY138" s="437"/>
      <c r="DZ138" s="108"/>
      <c r="EA138" s="108"/>
      <c r="EB138" s="108"/>
    </row>
    <row r="139" spans="1:132" ht="14.25" customHeight="1">
      <c r="A139" s="152"/>
      <c r="C139" s="289"/>
      <c r="D139" s="289"/>
      <c r="E139" s="189"/>
      <c r="P139" s="436"/>
      <c r="Q139" s="437"/>
      <c r="R139" s="108"/>
      <c r="S139" s="108"/>
      <c r="T139" s="108"/>
      <c r="U139" s="189"/>
      <c r="AF139" s="436"/>
      <c r="AG139" s="437"/>
      <c r="AH139" s="108"/>
      <c r="AI139" s="108"/>
      <c r="AJ139" s="108"/>
      <c r="AK139" s="189"/>
      <c r="AV139" s="436"/>
      <c r="AW139" s="437"/>
      <c r="AX139" s="108"/>
      <c r="AY139" s="108"/>
      <c r="AZ139" s="108"/>
      <c r="BA139" s="189"/>
      <c r="BL139" s="436"/>
      <c r="BM139" s="437"/>
      <c r="BN139" s="108"/>
      <c r="BO139" s="108"/>
      <c r="BP139" s="108"/>
      <c r="BQ139" s="189"/>
      <c r="CB139" s="436"/>
      <c r="CC139" s="437"/>
      <c r="CD139" s="108"/>
      <c r="CE139" s="108"/>
      <c r="CF139" s="108"/>
      <c r="CG139" s="189"/>
      <c r="CR139" s="436"/>
      <c r="CS139" s="437"/>
      <c r="CT139" s="108"/>
      <c r="CU139" s="108"/>
      <c r="CV139" s="108"/>
      <c r="CW139" s="189"/>
      <c r="DH139" s="436"/>
      <c r="DI139" s="437"/>
      <c r="DJ139" s="108"/>
      <c r="DK139" s="108"/>
      <c r="DL139" s="108"/>
      <c r="DM139" s="189"/>
      <c r="DN139" s="436"/>
      <c r="DX139" s="436"/>
      <c r="DY139" s="437"/>
      <c r="DZ139" s="108"/>
      <c r="EA139" s="108"/>
      <c r="EB139" s="108"/>
    </row>
    <row r="140" spans="1:132" ht="14.25" customHeight="1">
      <c r="A140" s="152"/>
      <c r="C140" s="289"/>
      <c r="D140" s="289"/>
      <c r="E140" s="189"/>
      <c r="P140" s="436"/>
      <c r="Q140" s="437"/>
      <c r="R140" s="108"/>
      <c r="S140" s="108"/>
      <c r="T140" s="108"/>
      <c r="U140" s="189"/>
      <c r="AF140" s="436"/>
      <c r="AG140" s="437"/>
      <c r="AH140" s="108"/>
      <c r="AI140" s="108"/>
      <c r="AJ140" s="108"/>
      <c r="AK140" s="189"/>
      <c r="AV140" s="436"/>
      <c r="AW140" s="437"/>
      <c r="AX140" s="108"/>
      <c r="AY140" s="108"/>
      <c r="AZ140" s="108"/>
      <c r="BA140" s="189"/>
      <c r="BL140" s="436"/>
      <c r="BM140" s="437"/>
      <c r="BN140" s="108"/>
      <c r="BO140" s="108"/>
      <c r="BP140" s="108"/>
      <c r="BQ140" s="189"/>
      <c r="CB140" s="436"/>
      <c r="CC140" s="437"/>
      <c r="CD140" s="108"/>
      <c r="CE140" s="108"/>
      <c r="CF140" s="108"/>
      <c r="CG140" s="189"/>
      <c r="CR140" s="436"/>
      <c r="CS140" s="437"/>
      <c r="CT140" s="108"/>
      <c r="CU140" s="108"/>
      <c r="CV140" s="108"/>
      <c r="CW140" s="189"/>
      <c r="DH140" s="436"/>
      <c r="DI140" s="437"/>
      <c r="DJ140" s="108"/>
      <c r="DK140" s="108"/>
      <c r="DL140" s="108"/>
      <c r="DM140" s="189"/>
      <c r="DN140" s="436"/>
      <c r="DX140" s="436"/>
      <c r="DY140" s="437"/>
      <c r="DZ140" s="108"/>
      <c r="EA140" s="108"/>
      <c r="EB140" s="108"/>
    </row>
    <row r="141" spans="1:132" ht="14.25" customHeight="1">
      <c r="A141" s="152"/>
      <c r="C141" s="289"/>
      <c r="D141" s="289"/>
      <c r="E141" s="189"/>
      <c r="P141" s="436"/>
      <c r="Q141" s="437"/>
      <c r="R141" s="108"/>
      <c r="S141" s="108"/>
      <c r="T141" s="108"/>
      <c r="U141" s="189"/>
      <c r="AF141" s="436"/>
      <c r="AG141" s="437"/>
      <c r="AH141" s="108"/>
      <c r="AI141" s="108"/>
      <c r="AJ141" s="108"/>
      <c r="AK141" s="189"/>
      <c r="AV141" s="436"/>
      <c r="AW141" s="437"/>
      <c r="AX141" s="108"/>
      <c r="AY141" s="108"/>
      <c r="AZ141" s="108"/>
      <c r="BA141" s="189"/>
      <c r="BL141" s="436"/>
      <c r="BM141" s="437"/>
      <c r="BN141" s="108"/>
      <c r="BO141" s="108"/>
      <c r="BP141" s="108"/>
      <c r="BQ141" s="189"/>
      <c r="CB141" s="436"/>
      <c r="CC141" s="437"/>
      <c r="CD141" s="108"/>
      <c r="CE141" s="108"/>
      <c r="CF141" s="108"/>
      <c r="CG141" s="189"/>
      <c r="CR141" s="436"/>
      <c r="CS141" s="437"/>
      <c r="CT141" s="108"/>
      <c r="CU141" s="108"/>
      <c r="CV141" s="108"/>
      <c r="CW141" s="189"/>
      <c r="DH141" s="436"/>
      <c r="DI141" s="437"/>
      <c r="DJ141" s="108"/>
      <c r="DK141" s="108"/>
      <c r="DL141" s="108"/>
      <c r="DM141" s="189"/>
      <c r="DN141" s="436"/>
      <c r="DX141" s="436"/>
      <c r="DY141" s="437"/>
      <c r="DZ141" s="108"/>
      <c r="EA141" s="108"/>
      <c r="EB141" s="108"/>
    </row>
    <row r="142" spans="1:132" ht="14.25" customHeight="1">
      <c r="A142" s="152"/>
      <c r="C142" s="289"/>
      <c r="D142" s="289"/>
      <c r="E142" s="189"/>
      <c r="P142" s="436"/>
      <c r="Q142" s="437"/>
      <c r="R142" s="108"/>
      <c r="S142" s="108"/>
      <c r="T142" s="108"/>
      <c r="U142" s="189"/>
      <c r="AF142" s="436"/>
      <c r="AG142" s="437"/>
      <c r="AH142" s="108"/>
      <c r="AI142" s="108"/>
      <c r="AJ142" s="108"/>
      <c r="AK142" s="189"/>
      <c r="AV142" s="436"/>
      <c r="AW142" s="437"/>
      <c r="AX142" s="108"/>
      <c r="AY142" s="108"/>
      <c r="AZ142" s="108"/>
      <c r="BA142" s="189"/>
      <c r="BL142" s="436"/>
      <c r="BM142" s="437"/>
      <c r="BN142" s="108"/>
      <c r="BO142" s="108"/>
      <c r="BP142" s="108"/>
      <c r="BQ142" s="189"/>
      <c r="CB142" s="436"/>
      <c r="CC142" s="437"/>
      <c r="CD142" s="108"/>
      <c r="CE142" s="108"/>
      <c r="CF142" s="108"/>
      <c r="CG142" s="189"/>
      <c r="CR142" s="436"/>
      <c r="CS142" s="437"/>
      <c r="CT142" s="108"/>
      <c r="CU142" s="108"/>
      <c r="CV142" s="108"/>
      <c r="CW142" s="189"/>
      <c r="DH142" s="436"/>
      <c r="DI142" s="437"/>
      <c r="DJ142" s="108"/>
      <c r="DK142" s="108"/>
      <c r="DL142" s="108"/>
      <c r="DM142" s="189"/>
      <c r="DN142" s="436"/>
      <c r="DX142" s="436"/>
      <c r="DY142" s="437"/>
      <c r="DZ142" s="108"/>
      <c r="EA142" s="108"/>
      <c r="EB142" s="108"/>
    </row>
    <row r="143" spans="1:132" ht="14.25" customHeight="1">
      <c r="A143" s="152"/>
      <c r="C143" s="289"/>
      <c r="D143" s="289"/>
      <c r="E143" s="189"/>
      <c r="P143" s="436"/>
      <c r="Q143" s="437"/>
      <c r="R143" s="108"/>
      <c r="S143" s="108"/>
      <c r="T143" s="108"/>
      <c r="U143" s="189"/>
      <c r="AF143" s="436"/>
      <c r="AG143" s="437"/>
      <c r="AH143" s="108"/>
      <c r="AI143" s="108"/>
      <c r="AJ143" s="108"/>
      <c r="AK143" s="189"/>
      <c r="AV143" s="436"/>
      <c r="AW143" s="437"/>
      <c r="AX143" s="108"/>
      <c r="AY143" s="108"/>
      <c r="AZ143" s="108"/>
      <c r="BA143" s="189"/>
      <c r="BL143" s="436"/>
      <c r="BM143" s="437"/>
      <c r="BN143" s="108"/>
      <c r="BO143" s="108"/>
      <c r="BP143" s="108"/>
      <c r="BQ143" s="189"/>
      <c r="CB143" s="436"/>
      <c r="CC143" s="437"/>
      <c r="CD143" s="108"/>
      <c r="CE143" s="108"/>
      <c r="CF143" s="108"/>
      <c r="CG143" s="189"/>
      <c r="CR143" s="436"/>
      <c r="CS143" s="437"/>
      <c r="CT143" s="108"/>
      <c r="CU143" s="108"/>
      <c r="CV143" s="108"/>
      <c r="CW143" s="189"/>
      <c r="DH143" s="436"/>
      <c r="DI143" s="437"/>
      <c r="DJ143" s="108"/>
      <c r="DK143" s="108"/>
      <c r="DL143" s="108"/>
      <c r="DM143" s="189"/>
      <c r="DN143" s="436"/>
      <c r="DX143" s="436"/>
      <c r="DY143" s="437"/>
      <c r="DZ143" s="108"/>
      <c r="EA143" s="108"/>
      <c r="EB143" s="108"/>
    </row>
    <row r="144" spans="1:132" ht="14.25" customHeight="1">
      <c r="A144" s="152"/>
      <c r="C144" s="289"/>
      <c r="D144" s="289"/>
      <c r="E144" s="189"/>
      <c r="P144" s="436"/>
      <c r="Q144" s="437"/>
      <c r="R144" s="108"/>
      <c r="S144" s="108"/>
      <c r="T144" s="108"/>
      <c r="U144" s="189"/>
      <c r="AF144" s="436"/>
      <c r="AG144" s="437"/>
      <c r="AH144" s="108"/>
      <c r="AI144" s="108"/>
      <c r="AJ144" s="108"/>
      <c r="AK144" s="189"/>
      <c r="AV144" s="436"/>
      <c r="AW144" s="437"/>
      <c r="AX144" s="108"/>
      <c r="AY144" s="108"/>
      <c r="AZ144" s="108"/>
      <c r="BA144" s="189"/>
      <c r="BL144" s="436"/>
      <c r="BM144" s="437"/>
      <c r="BN144" s="108"/>
      <c r="BO144" s="108"/>
      <c r="BP144" s="108"/>
      <c r="BQ144" s="189"/>
      <c r="CB144" s="436"/>
      <c r="CC144" s="437"/>
      <c r="CD144" s="108"/>
      <c r="CE144" s="108"/>
      <c r="CF144" s="108"/>
      <c r="CG144" s="189"/>
      <c r="CR144" s="436"/>
      <c r="CS144" s="437"/>
      <c r="CT144" s="108"/>
      <c r="CU144" s="108"/>
      <c r="CV144" s="108"/>
      <c r="CW144" s="189"/>
      <c r="DH144" s="436"/>
      <c r="DI144" s="437"/>
      <c r="DJ144" s="108"/>
      <c r="DK144" s="108"/>
      <c r="DL144" s="108"/>
      <c r="DM144" s="189"/>
      <c r="DN144" s="436"/>
      <c r="DX144" s="436"/>
      <c r="DY144" s="437"/>
      <c r="DZ144" s="108"/>
      <c r="EA144" s="108"/>
      <c r="EB144" s="108"/>
    </row>
    <row r="145" spans="1:132" ht="14.25" customHeight="1">
      <c r="A145" s="152"/>
      <c r="C145" s="289"/>
      <c r="D145" s="289"/>
      <c r="E145" s="189"/>
      <c r="P145" s="436"/>
      <c r="Q145" s="437"/>
      <c r="R145" s="108"/>
      <c r="S145" s="108"/>
      <c r="T145" s="108"/>
      <c r="U145" s="189"/>
      <c r="AF145" s="436"/>
      <c r="AG145" s="437"/>
      <c r="AH145" s="108"/>
      <c r="AI145" s="108"/>
      <c r="AJ145" s="108"/>
      <c r="AK145" s="189"/>
      <c r="AV145" s="436"/>
      <c r="AW145" s="437"/>
      <c r="AX145" s="108"/>
      <c r="AY145" s="108"/>
      <c r="AZ145" s="108"/>
      <c r="BA145" s="189"/>
      <c r="BL145" s="436"/>
      <c r="BM145" s="437"/>
      <c r="BN145" s="108"/>
      <c r="BO145" s="108"/>
      <c r="BP145" s="108"/>
      <c r="BQ145" s="189"/>
      <c r="CB145" s="436"/>
      <c r="CC145" s="437"/>
      <c r="CD145" s="108"/>
      <c r="CE145" s="108"/>
      <c r="CF145" s="108"/>
      <c r="CG145" s="189"/>
      <c r="CR145" s="436"/>
      <c r="CS145" s="437"/>
      <c r="CT145" s="108"/>
      <c r="CU145" s="108"/>
      <c r="CV145" s="108"/>
      <c r="CW145" s="189"/>
      <c r="DH145" s="436"/>
      <c r="DI145" s="437"/>
      <c r="DJ145" s="108"/>
      <c r="DK145" s="108"/>
      <c r="DL145" s="108"/>
      <c r="DM145" s="189"/>
      <c r="DN145" s="436"/>
      <c r="DX145" s="436"/>
      <c r="DY145" s="437"/>
      <c r="DZ145" s="108"/>
      <c r="EA145" s="108"/>
      <c r="EB145" s="108"/>
    </row>
    <row r="146" spans="1:132" ht="14.25" customHeight="1">
      <c r="A146" s="152"/>
      <c r="C146" s="289"/>
      <c r="D146" s="289"/>
      <c r="E146" s="189"/>
      <c r="P146" s="436"/>
      <c r="Q146" s="437"/>
      <c r="R146" s="108"/>
      <c r="S146" s="108"/>
      <c r="T146" s="108"/>
      <c r="U146" s="189"/>
      <c r="AF146" s="436"/>
      <c r="AG146" s="437"/>
      <c r="AH146" s="108"/>
      <c r="AI146" s="108"/>
      <c r="AJ146" s="108"/>
      <c r="AK146" s="189"/>
      <c r="AV146" s="436"/>
      <c r="AW146" s="437"/>
      <c r="AX146" s="108"/>
      <c r="AY146" s="108"/>
      <c r="AZ146" s="108"/>
      <c r="BA146" s="189"/>
      <c r="BL146" s="436"/>
      <c r="BM146" s="437"/>
      <c r="BN146" s="108"/>
      <c r="BO146" s="108"/>
      <c r="BP146" s="108"/>
      <c r="BQ146" s="189"/>
      <c r="CB146" s="436"/>
      <c r="CC146" s="437"/>
      <c r="CD146" s="108"/>
      <c r="CE146" s="108"/>
      <c r="CF146" s="108"/>
      <c r="CG146" s="189"/>
      <c r="CR146" s="436"/>
      <c r="CS146" s="437"/>
      <c r="CT146" s="108"/>
      <c r="CU146" s="108"/>
      <c r="CV146" s="108"/>
      <c r="CW146" s="189"/>
      <c r="DH146" s="436"/>
      <c r="DI146" s="437"/>
      <c r="DJ146" s="108"/>
      <c r="DK146" s="108"/>
      <c r="DL146" s="108"/>
      <c r="DM146" s="189"/>
      <c r="DN146" s="436"/>
      <c r="DX146" s="436"/>
      <c r="DY146" s="437"/>
      <c r="DZ146" s="108"/>
      <c r="EA146" s="108"/>
      <c r="EB146" s="108"/>
    </row>
    <row r="147" spans="1:132" ht="14.25" customHeight="1">
      <c r="A147" s="152"/>
      <c r="C147" s="289"/>
      <c r="D147" s="289"/>
      <c r="E147" s="189"/>
      <c r="P147" s="436"/>
      <c r="Q147" s="437"/>
      <c r="R147" s="108"/>
      <c r="S147" s="108"/>
      <c r="T147" s="108"/>
      <c r="U147" s="189"/>
      <c r="AF147" s="436"/>
      <c r="AG147" s="437"/>
      <c r="AH147" s="108"/>
      <c r="AI147" s="108"/>
      <c r="AJ147" s="108"/>
      <c r="AK147" s="189"/>
      <c r="AV147" s="436"/>
      <c r="AW147" s="437"/>
      <c r="AX147" s="108"/>
      <c r="AY147" s="108"/>
      <c r="AZ147" s="108"/>
      <c r="BA147" s="189"/>
      <c r="BL147" s="436"/>
      <c r="BM147" s="437"/>
      <c r="BN147" s="108"/>
      <c r="BO147" s="108"/>
      <c r="BP147" s="108"/>
      <c r="BQ147" s="189"/>
      <c r="CB147" s="436"/>
      <c r="CC147" s="437"/>
      <c r="CD147" s="108"/>
      <c r="CE147" s="108"/>
      <c r="CF147" s="108"/>
      <c r="CG147" s="189"/>
      <c r="CR147" s="436"/>
      <c r="CS147" s="437"/>
      <c r="CT147" s="108"/>
      <c r="CU147" s="108"/>
      <c r="CV147" s="108"/>
      <c r="CW147" s="189"/>
      <c r="DH147" s="436"/>
      <c r="DI147" s="437"/>
      <c r="DJ147" s="108"/>
      <c r="DK147" s="108"/>
      <c r="DL147" s="108"/>
      <c r="DM147" s="189"/>
      <c r="DN147" s="436"/>
      <c r="DX147" s="436"/>
      <c r="DY147" s="437"/>
      <c r="DZ147" s="108"/>
      <c r="EA147" s="108"/>
      <c r="EB147" s="108"/>
    </row>
    <row r="148" spans="1:132" ht="14.25" customHeight="1">
      <c r="A148" s="152"/>
      <c r="C148" s="289"/>
      <c r="D148" s="289"/>
      <c r="E148" s="189"/>
      <c r="P148" s="436"/>
      <c r="Q148" s="437"/>
      <c r="R148" s="108"/>
      <c r="S148" s="108"/>
      <c r="T148" s="108"/>
      <c r="U148" s="189"/>
      <c r="AF148" s="436"/>
      <c r="AG148" s="437"/>
      <c r="AH148" s="108"/>
      <c r="AI148" s="108"/>
      <c r="AJ148" s="108"/>
      <c r="AK148" s="189"/>
      <c r="AV148" s="436"/>
      <c r="AW148" s="437"/>
      <c r="AX148" s="108"/>
      <c r="AY148" s="108"/>
      <c r="AZ148" s="108"/>
      <c r="BA148" s="189"/>
      <c r="BL148" s="436"/>
      <c r="BM148" s="437"/>
      <c r="BN148" s="108"/>
      <c r="BO148" s="108"/>
      <c r="BP148" s="108"/>
      <c r="BQ148" s="189"/>
      <c r="CB148" s="436"/>
      <c r="CC148" s="437"/>
      <c r="CD148" s="108"/>
      <c r="CE148" s="108"/>
      <c r="CF148" s="108"/>
      <c r="CG148" s="189"/>
      <c r="CR148" s="436"/>
      <c r="CS148" s="437"/>
      <c r="CT148" s="108"/>
      <c r="CU148" s="108"/>
      <c r="CV148" s="108"/>
      <c r="CW148" s="189"/>
      <c r="DH148" s="436"/>
      <c r="DI148" s="437"/>
      <c r="DJ148" s="108"/>
      <c r="DK148" s="108"/>
      <c r="DL148" s="108"/>
      <c r="DM148" s="189"/>
      <c r="DN148" s="436"/>
      <c r="DX148" s="436"/>
      <c r="DY148" s="437"/>
      <c r="DZ148" s="108"/>
      <c r="EA148" s="108"/>
      <c r="EB148" s="108"/>
    </row>
    <row r="149" spans="1:132" ht="14.25" customHeight="1">
      <c r="A149" s="152"/>
      <c r="C149" s="289"/>
      <c r="D149" s="289"/>
      <c r="E149" s="189"/>
      <c r="P149" s="436"/>
      <c r="Q149" s="437"/>
      <c r="R149" s="108"/>
      <c r="S149" s="108"/>
      <c r="T149" s="108"/>
      <c r="U149" s="189"/>
      <c r="AF149" s="436"/>
      <c r="AG149" s="437"/>
      <c r="AH149" s="108"/>
      <c r="AI149" s="108"/>
      <c r="AJ149" s="108"/>
      <c r="AK149" s="189"/>
      <c r="AV149" s="436"/>
      <c r="AW149" s="437"/>
      <c r="AX149" s="108"/>
      <c r="AY149" s="108"/>
      <c r="AZ149" s="108"/>
      <c r="BA149" s="189"/>
      <c r="BL149" s="436"/>
      <c r="BM149" s="437"/>
      <c r="BN149" s="108"/>
      <c r="BO149" s="108"/>
      <c r="BP149" s="108"/>
      <c r="BQ149" s="189"/>
      <c r="CB149" s="436"/>
      <c r="CC149" s="437"/>
      <c r="CD149" s="108"/>
      <c r="CE149" s="108"/>
      <c r="CF149" s="108"/>
      <c r="CG149" s="189"/>
      <c r="CR149" s="436"/>
      <c r="CS149" s="437"/>
      <c r="CT149" s="108"/>
      <c r="CU149" s="108"/>
      <c r="CV149" s="108"/>
      <c r="CW149" s="189"/>
      <c r="DH149" s="436"/>
      <c r="DI149" s="437"/>
      <c r="DJ149" s="108"/>
      <c r="DK149" s="108"/>
      <c r="DL149" s="108"/>
      <c r="DM149" s="189"/>
      <c r="DN149" s="436"/>
      <c r="DX149" s="436"/>
      <c r="DY149" s="437"/>
      <c r="DZ149" s="108"/>
      <c r="EA149" s="108"/>
      <c r="EB149" s="108"/>
    </row>
    <row r="150" spans="1:132" ht="14.25" customHeight="1">
      <c r="A150" s="152"/>
      <c r="C150" s="289"/>
      <c r="D150" s="289"/>
      <c r="E150" s="189"/>
      <c r="P150" s="436"/>
      <c r="Q150" s="437"/>
      <c r="R150" s="108"/>
      <c r="S150" s="108"/>
      <c r="T150" s="108"/>
      <c r="U150" s="189"/>
      <c r="AF150" s="436"/>
      <c r="AG150" s="437"/>
      <c r="AH150" s="108"/>
      <c r="AI150" s="108"/>
      <c r="AJ150" s="108"/>
      <c r="AK150" s="189"/>
      <c r="AV150" s="436"/>
      <c r="AW150" s="437"/>
      <c r="AX150" s="108"/>
      <c r="AY150" s="108"/>
      <c r="AZ150" s="108"/>
      <c r="BA150" s="189"/>
      <c r="BL150" s="436"/>
      <c r="BM150" s="437"/>
      <c r="BN150" s="108"/>
      <c r="BO150" s="108"/>
      <c r="BP150" s="108"/>
      <c r="BQ150" s="189"/>
      <c r="CB150" s="436"/>
      <c r="CC150" s="437"/>
      <c r="CD150" s="108"/>
      <c r="CE150" s="108"/>
      <c r="CF150" s="108"/>
      <c r="CG150" s="189"/>
      <c r="CR150" s="436"/>
      <c r="CS150" s="437"/>
      <c r="CT150" s="108"/>
      <c r="CU150" s="108"/>
      <c r="CV150" s="108"/>
      <c r="CW150" s="189"/>
      <c r="DH150" s="436"/>
      <c r="DI150" s="437"/>
      <c r="DJ150" s="108"/>
      <c r="DK150" s="108"/>
      <c r="DL150" s="108"/>
      <c r="DM150" s="189"/>
      <c r="DN150" s="436"/>
      <c r="DX150" s="436"/>
      <c r="DY150" s="437"/>
      <c r="DZ150" s="108"/>
      <c r="EA150" s="108"/>
      <c r="EB150" s="108"/>
    </row>
    <row r="151" spans="1:132" ht="14.25" customHeight="1">
      <c r="A151" s="152"/>
      <c r="C151" s="289"/>
      <c r="D151" s="289"/>
      <c r="E151" s="189"/>
      <c r="P151" s="436"/>
      <c r="Q151" s="437"/>
      <c r="R151" s="108"/>
      <c r="S151" s="108"/>
      <c r="T151" s="108"/>
      <c r="U151" s="189"/>
      <c r="AF151" s="436"/>
      <c r="AG151" s="437"/>
      <c r="AH151" s="108"/>
      <c r="AI151" s="108"/>
      <c r="AJ151" s="108"/>
      <c r="AK151" s="189"/>
      <c r="AV151" s="436"/>
      <c r="AW151" s="437"/>
      <c r="AX151" s="108"/>
      <c r="AY151" s="108"/>
      <c r="AZ151" s="108"/>
      <c r="BA151" s="189"/>
      <c r="BL151" s="436"/>
      <c r="BM151" s="437"/>
      <c r="BN151" s="108"/>
      <c r="BO151" s="108"/>
      <c r="BP151" s="108"/>
      <c r="BQ151" s="189"/>
      <c r="CB151" s="436"/>
      <c r="CC151" s="437"/>
      <c r="CD151" s="108"/>
      <c r="CE151" s="108"/>
      <c r="CF151" s="108"/>
      <c r="CG151" s="189"/>
      <c r="CR151" s="436"/>
      <c r="CS151" s="437"/>
      <c r="CT151" s="108"/>
      <c r="CU151" s="108"/>
      <c r="CV151" s="108"/>
      <c r="CW151" s="189"/>
      <c r="DH151" s="436"/>
      <c r="DI151" s="437"/>
      <c r="DJ151" s="108"/>
      <c r="DK151" s="108"/>
      <c r="DL151" s="108"/>
      <c r="DM151" s="189"/>
      <c r="DN151" s="436"/>
      <c r="DX151" s="436"/>
      <c r="DY151" s="437"/>
      <c r="DZ151" s="108"/>
      <c r="EA151" s="108"/>
      <c r="EB151" s="108"/>
    </row>
    <row r="152" spans="1:132" ht="14.25" customHeight="1">
      <c r="A152" s="152"/>
      <c r="C152" s="289"/>
      <c r="D152" s="289"/>
      <c r="E152" s="189"/>
      <c r="P152" s="436"/>
      <c r="Q152" s="437"/>
      <c r="R152" s="108"/>
      <c r="S152" s="108"/>
      <c r="T152" s="108"/>
      <c r="U152" s="189"/>
      <c r="AF152" s="436"/>
      <c r="AG152" s="437"/>
      <c r="AH152" s="108"/>
      <c r="AI152" s="108"/>
      <c r="AJ152" s="108"/>
      <c r="AK152" s="189"/>
      <c r="AV152" s="436"/>
      <c r="AW152" s="437"/>
      <c r="AX152" s="108"/>
      <c r="AY152" s="108"/>
      <c r="AZ152" s="108"/>
      <c r="BA152" s="189"/>
      <c r="BL152" s="436"/>
      <c r="BM152" s="437"/>
      <c r="BN152" s="108"/>
      <c r="BO152" s="108"/>
      <c r="BP152" s="108"/>
      <c r="BQ152" s="189"/>
      <c r="CB152" s="436"/>
      <c r="CC152" s="437"/>
      <c r="CD152" s="108"/>
      <c r="CE152" s="108"/>
      <c r="CF152" s="108"/>
      <c r="CG152" s="189"/>
      <c r="CR152" s="436"/>
      <c r="CS152" s="437"/>
      <c r="CT152" s="108"/>
      <c r="CU152" s="108"/>
      <c r="CV152" s="108"/>
      <c r="CW152" s="189"/>
      <c r="DH152" s="436"/>
      <c r="DI152" s="437"/>
      <c r="DJ152" s="108"/>
      <c r="DK152" s="108"/>
      <c r="DL152" s="108"/>
      <c r="DM152" s="189"/>
      <c r="DN152" s="436"/>
      <c r="DX152" s="436"/>
      <c r="DY152" s="437"/>
      <c r="DZ152" s="108"/>
      <c r="EA152" s="108"/>
      <c r="EB152" s="108"/>
    </row>
    <row r="153" spans="1:132" ht="14.25" customHeight="1">
      <c r="A153" s="152"/>
      <c r="C153" s="289"/>
      <c r="D153" s="289"/>
      <c r="E153" s="189"/>
      <c r="P153" s="436"/>
      <c r="Q153" s="437"/>
      <c r="R153" s="108"/>
      <c r="S153" s="108"/>
      <c r="T153" s="108"/>
      <c r="U153" s="189"/>
      <c r="AF153" s="436"/>
      <c r="AG153" s="437"/>
      <c r="AH153" s="108"/>
      <c r="AI153" s="108"/>
      <c r="AJ153" s="108"/>
      <c r="AK153" s="189"/>
      <c r="AV153" s="436"/>
      <c r="AW153" s="437"/>
      <c r="AX153" s="108"/>
      <c r="AY153" s="108"/>
      <c r="AZ153" s="108"/>
      <c r="BA153" s="189"/>
      <c r="BL153" s="436"/>
      <c r="BM153" s="437"/>
      <c r="BN153" s="108"/>
      <c r="BO153" s="108"/>
      <c r="BP153" s="108"/>
      <c r="BQ153" s="189"/>
      <c r="CB153" s="436"/>
      <c r="CC153" s="437"/>
      <c r="CD153" s="108"/>
      <c r="CE153" s="108"/>
      <c r="CF153" s="108"/>
      <c r="CG153" s="189"/>
      <c r="CR153" s="436"/>
      <c r="CS153" s="437"/>
      <c r="CT153" s="108"/>
      <c r="CU153" s="108"/>
      <c r="CV153" s="108"/>
      <c r="CW153" s="189"/>
      <c r="DH153" s="436"/>
      <c r="DI153" s="437"/>
      <c r="DJ153" s="108"/>
      <c r="DK153" s="108"/>
      <c r="DL153" s="108"/>
      <c r="DM153" s="189"/>
      <c r="DN153" s="436"/>
      <c r="DX153" s="436"/>
      <c r="DY153" s="437"/>
      <c r="DZ153" s="108"/>
      <c r="EA153" s="108"/>
      <c r="EB153" s="108"/>
    </row>
    <row r="154" spans="1:132" ht="14.25" customHeight="1">
      <c r="A154" s="152"/>
      <c r="C154" s="289"/>
      <c r="D154" s="289"/>
      <c r="E154" s="189"/>
      <c r="P154" s="436"/>
      <c r="Q154" s="437"/>
      <c r="R154" s="108"/>
      <c r="S154" s="108"/>
      <c r="T154" s="108"/>
      <c r="U154" s="189"/>
      <c r="AF154" s="436"/>
      <c r="AG154" s="437"/>
      <c r="AH154" s="108"/>
      <c r="AI154" s="108"/>
      <c r="AJ154" s="108"/>
      <c r="AK154" s="189"/>
      <c r="AV154" s="436"/>
      <c r="AW154" s="437"/>
      <c r="AX154" s="108"/>
      <c r="AY154" s="108"/>
      <c r="AZ154" s="108"/>
      <c r="BA154" s="189"/>
      <c r="BL154" s="436"/>
      <c r="BM154" s="437"/>
      <c r="BN154" s="108"/>
      <c r="BO154" s="108"/>
      <c r="BP154" s="108"/>
      <c r="BQ154" s="189"/>
      <c r="CB154" s="436"/>
      <c r="CC154" s="437"/>
      <c r="CD154" s="108"/>
      <c r="CE154" s="108"/>
      <c r="CF154" s="108"/>
      <c r="CG154" s="189"/>
      <c r="CR154" s="436"/>
      <c r="CS154" s="437"/>
      <c r="CT154" s="108"/>
      <c r="CU154" s="108"/>
      <c r="CV154" s="108"/>
      <c r="CW154" s="189"/>
      <c r="DH154" s="436"/>
      <c r="DI154" s="437"/>
      <c r="DJ154" s="108"/>
      <c r="DK154" s="108"/>
      <c r="DL154" s="108"/>
      <c r="DM154" s="189"/>
      <c r="DN154" s="436"/>
      <c r="DX154" s="436"/>
      <c r="DY154" s="437"/>
      <c r="DZ154" s="108"/>
      <c r="EA154" s="108"/>
      <c r="EB154" s="108"/>
    </row>
    <row r="155" spans="1:132" ht="14.25" customHeight="1">
      <c r="A155" s="152"/>
      <c r="C155" s="289"/>
      <c r="D155" s="289"/>
      <c r="E155" s="189"/>
      <c r="P155" s="436"/>
      <c r="Q155" s="437"/>
      <c r="R155" s="108"/>
      <c r="S155" s="108"/>
      <c r="T155" s="108"/>
      <c r="U155" s="189"/>
      <c r="AF155" s="436"/>
      <c r="AG155" s="437"/>
      <c r="AH155" s="108"/>
      <c r="AI155" s="108"/>
      <c r="AJ155" s="108"/>
      <c r="AK155" s="189"/>
      <c r="AV155" s="436"/>
      <c r="AW155" s="437"/>
      <c r="AX155" s="108"/>
      <c r="AY155" s="108"/>
      <c r="AZ155" s="108"/>
      <c r="BA155" s="189"/>
      <c r="BL155" s="436"/>
      <c r="BM155" s="437"/>
      <c r="BN155" s="108"/>
      <c r="BO155" s="108"/>
      <c r="BP155" s="108"/>
      <c r="BQ155" s="189"/>
      <c r="CB155" s="436"/>
      <c r="CC155" s="437"/>
      <c r="CD155" s="108"/>
      <c r="CE155" s="108"/>
      <c r="CF155" s="108"/>
      <c r="CG155" s="189"/>
      <c r="CR155" s="436"/>
      <c r="CS155" s="437"/>
      <c r="CT155" s="108"/>
      <c r="CU155" s="108"/>
      <c r="CV155" s="108"/>
      <c r="CW155" s="189"/>
      <c r="DH155" s="436"/>
      <c r="DI155" s="437"/>
      <c r="DJ155" s="108"/>
      <c r="DK155" s="108"/>
      <c r="DL155" s="108"/>
      <c r="DM155" s="189"/>
      <c r="DN155" s="436"/>
      <c r="DX155" s="436"/>
      <c r="DY155" s="437"/>
      <c r="DZ155" s="108"/>
      <c r="EA155" s="108"/>
      <c r="EB155" s="108"/>
    </row>
    <row r="156" spans="1:132" ht="14.25" customHeight="1">
      <c r="A156" s="152"/>
      <c r="C156" s="289"/>
      <c r="D156" s="289"/>
      <c r="E156" s="189"/>
      <c r="P156" s="436"/>
      <c r="Q156" s="437"/>
      <c r="R156" s="108"/>
      <c r="S156" s="108"/>
      <c r="T156" s="108"/>
      <c r="U156" s="189"/>
      <c r="AF156" s="436"/>
      <c r="AG156" s="437"/>
      <c r="AH156" s="108"/>
      <c r="AI156" s="108"/>
      <c r="AJ156" s="108"/>
      <c r="AK156" s="189"/>
      <c r="AV156" s="436"/>
      <c r="AW156" s="437"/>
      <c r="AX156" s="108"/>
      <c r="AY156" s="108"/>
      <c r="AZ156" s="108"/>
      <c r="BA156" s="189"/>
      <c r="BL156" s="436"/>
      <c r="BM156" s="437"/>
      <c r="BN156" s="108"/>
      <c r="BO156" s="108"/>
      <c r="BP156" s="108"/>
      <c r="BQ156" s="189"/>
      <c r="CB156" s="436"/>
      <c r="CC156" s="437"/>
      <c r="CD156" s="108"/>
      <c r="CE156" s="108"/>
      <c r="CF156" s="108"/>
      <c r="CG156" s="189"/>
      <c r="CR156" s="436"/>
      <c r="CS156" s="437"/>
      <c r="CT156" s="108"/>
      <c r="CU156" s="108"/>
      <c r="CV156" s="108"/>
      <c r="CW156" s="189"/>
      <c r="DH156" s="436"/>
      <c r="DI156" s="437"/>
      <c r="DJ156" s="108"/>
      <c r="DK156" s="108"/>
      <c r="DL156" s="108"/>
      <c r="DM156" s="189"/>
      <c r="DN156" s="436"/>
      <c r="DX156" s="436"/>
      <c r="DY156" s="437"/>
      <c r="DZ156" s="108"/>
      <c r="EA156" s="108"/>
      <c r="EB156" s="108"/>
    </row>
    <row r="157" spans="1:132" ht="14.25" customHeight="1">
      <c r="A157" s="152"/>
      <c r="C157" s="289"/>
      <c r="D157" s="289"/>
      <c r="E157" s="189"/>
      <c r="P157" s="436"/>
      <c r="Q157" s="437"/>
      <c r="R157" s="108"/>
      <c r="S157" s="108"/>
      <c r="T157" s="108"/>
      <c r="U157" s="189"/>
      <c r="AF157" s="436"/>
      <c r="AG157" s="437"/>
      <c r="AH157" s="108"/>
      <c r="AI157" s="108"/>
      <c r="AJ157" s="108"/>
      <c r="AK157" s="189"/>
      <c r="AV157" s="436"/>
      <c r="AW157" s="437"/>
      <c r="AX157" s="108"/>
      <c r="AY157" s="108"/>
      <c r="AZ157" s="108"/>
      <c r="BA157" s="189"/>
      <c r="BL157" s="436"/>
      <c r="BM157" s="437"/>
      <c r="BN157" s="108"/>
      <c r="BO157" s="108"/>
      <c r="BP157" s="108"/>
      <c r="BQ157" s="189"/>
      <c r="CB157" s="436"/>
      <c r="CC157" s="437"/>
      <c r="CD157" s="108"/>
      <c r="CE157" s="108"/>
      <c r="CF157" s="108"/>
      <c r="CG157" s="189"/>
      <c r="CR157" s="436"/>
      <c r="CS157" s="437"/>
      <c r="CT157" s="108"/>
      <c r="CU157" s="108"/>
      <c r="CV157" s="108"/>
      <c r="CW157" s="189"/>
      <c r="DH157" s="436"/>
      <c r="DI157" s="437"/>
      <c r="DJ157" s="108"/>
      <c r="DK157" s="108"/>
      <c r="DL157" s="108"/>
      <c r="DM157" s="189"/>
      <c r="DN157" s="436"/>
      <c r="DX157" s="436"/>
      <c r="DY157" s="437"/>
      <c r="DZ157" s="108"/>
      <c r="EA157" s="108"/>
      <c r="EB157" s="108"/>
    </row>
    <row r="158" spans="1:132" ht="14.25" customHeight="1">
      <c r="A158" s="152"/>
      <c r="C158" s="289"/>
      <c r="D158" s="289"/>
      <c r="E158" s="189"/>
      <c r="P158" s="436"/>
      <c r="Q158" s="437"/>
      <c r="R158" s="108"/>
      <c r="S158" s="108"/>
      <c r="T158" s="108"/>
      <c r="U158" s="189"/>
      <c r="AF158" s="436"/>
      <c r="AG158" s="437"/>
      <c r="AH158" s="108"/>
      <c r="AI158" s="108"/>
      <c r="AJ158" s="108"/>
      <c r="AK158" s="189"/>
      <c r="AV158" s="436"/>
      <c r="AW158" s="437"/>
      <c r="AX158" s="108"/>
      <c r="AY158" s="108"/>
      <c r="AZ158" s="108"/>
      <c r="BA158" s="189"/>
      <c r="BL158" s="436"/>
      <c r="BM158" s="437"/>
      <c r="BN158" s="108"/>
      <c r="BO158" s="108"/>
      <c r="BP158" s="108"/>
      <c r="BQ158" s="189"/>
      <c r="CB158" s="436"/>
      <c r="CC158" s="437"/>
      <c r="CD158" s="108"/>
      <c r="CE158" s="108"/>
      <c r="CF158" s="108"/>
      <c r="CG158" s="189"/>
      <c r="CR158" s="436"/>
      <c r="CS158" s="437"/>
      <c r="CT158" s="108"/>
      <c r="CU158" s="108"/>
      <c r="CV158" s="108"/>
      <c r="CW158" s="189"/>
      <c r="DH158" s="436"/>
      <c r="DI158" s="437"/>
      <c r="DJ158" s="108"/>
      <c r="DK158" s="108"/>
      <c r="DL158" s="108"/>
      <c r="DM158" s="189"/>
      <c r="DN158" s="436"/>
      <c r="DX158" s="436"/>
      <c r="DY158" s="437"/>
      <c r="DZ158" s="108"/>
      <c r="EA158" s="108"/>
      <c r="EB158" s="108"/>
    </row>
    <row r="159" spans="1:132" ht="14.25" customHeight="1">
      <c r="A159" s="152"/>
      <c r="C159" s="289"/>
      <c r="D159" s="289"/>
      <c r="E159" s="189"/>
      <c r="P159" s="436"/>
      <c r="Q159" s="437"/>
      <c r="R159" s="108"/>
      <c r="S159" s="108"/>
      <c r="T159" s="108"/>
      <c r="U159" s="189"/>
      <c r="AF159" s="436"/>
      <c r="AG159" s="437"/>
      <c r="AH159" s="108"/>
      <c r="AI159" s="108"/>
      <c r="AJ159" s="108"/>
      <c r="AK159" s="189"/>
      <c r="AV159" s="436"/>
      <c r="AW159" s="437"/>
      <c r="AX159" s="108"/>
      <c r="AY159" s="108"/>
      <c r="AZ159" s="108"/>
      <c r="BA159" s="189"/>
      <c r="BL159" s="436"/>
      <c r="BM159" s="437"/>
      <c r="BN159" s="108"/>
      <c r="BO159" s="108"/>
      <c r="BP159" s="108"/>
      <c r="BQ159" s="189"/>
      <c r="CB159" s="436"/>
      <c r="CC159" s="437"/>
      <c r="CD159" s="108"/>
      <c r="CE159" s="108"/>
      <c r="CF159" s="108"/>
      <c r="CG159" s="189"/>
      <c r="CR159" s="436"/>
      <c r="CS159" s="437"/>
      <c r="CT159" s="108"/>
      <c r="CU159" s="108"/>
      <c r="CV159" s="108"/>
      <c r="CW159" s="189"/>
      <c r="DH159" s="436"/>
      <c r="DI159" s="437"/>
      <c r="DJ159" s="108"/>
      <c r="DK159" s="108"/>
      <c r="DL159" s="108"/>
      <c r="DM159" s="189"/>
      <c r="DN159" s="436"/>
      <c r="DX159" s="436"/>
      <c r="DY159" s="437"/>
      <c r="DZ159" s="108"/>
      <c r="EA159" s="108"/>
      <c r="EB159" s="108"/>
    </row>
    <row r="160" spans="1:132" ht="14.25" customHeight="1">
      <c r="A160" s="152"/>
      <c r="C160" s="289"/>
      <c r="D160" s="289"/>
      <c r="E160" s="189"/>
      <c r="P160" s="436"/>
      <c r="Q160" s="437"/>
      <c r="R160" s="108"/>
      <c r="S160" s="108"/>
      <c r="T160" s="108"/>
      <c r="U160" s="189"/>
      <c r="AF160" s="436"/>
      <c r="AG160" s="437"/>
      <c r="AH160" s="108"/>
      <c r="AI160" s="108"/>
      <c r="AJ160" s="108"/>
      <c r="AK160" s="189"/>
      <c r="AV160" s="436"/>
      <c r="AW160" s="437"/>
      <c r="AX160" s="108"/>
      <c r="AY160" s="108"/>
      <c r="AZ160" s="108"/>
      <c r="BA160" s="189"/>
      <c r="BL160" s="436"/>
      <c r="BM160" s="437"/>
      <c r="BN160" s="108"/>
      <c r="BO160" s="108"/>
      <c r="BP160" s="108"/>
      <c r="BQ160" s="189"/>
      <c r="CB160" s="436"/>
      <c r="CC160" s="437"/>
      <c r="CD160" s="108"/>
      <c r="CE160" s="108"/>
      <c r="CF160" s="108"/>
      <c r="CG160" s="189"/>
      <c r="CR160" s="436"/>
      <c r="CS160" s="437"/>
      <c r="CT160" s="108"/>
      <c r="CU160" s="108"/>
      <c r="CV160" s="108"/>
      <c r="CW160" s="189"/>
      <c r="DH160" s="436"/>
      <c r="DI160" s="437"/>
      <c r="DJ160" s="108"/>
      <c r="DK160" s="108"/>
      <c r="DL160" s="108"/>
      <c r="DM160" s="189"/>
      <c r="DN160" s="436"/>
      <c r="DX160" s="436"/>
      <c r="DY160" s="437"/>
      <c r="DZ160" s="108"/>
      <c r="EA160" s="108"/>
      <c r="EB160" s="108"/>
    </row>
    <row r="161" spans="1:132" ht="14.25" customHeight="1">
      <c r="A161" s="152"/>
      <c r="C161" s="289"/>
      <c r="D161" s="289"/>
      <c r="E161" s="189"/>
      <c r="P161" s="436"/>
      <c r="Q161" s="437"/>
      <c r="R161" s="108"/>
      <c r="S161" s="108"/>
      <c r="T161" s="108"/>
      <c r="U161" s="189"/>
      <c r="AF161" s="436"/>
      <c r="AG161" s="437"/>
      <c r="AH161" s="108"/>
      <c r="AI161" s="108"/>
      <c r="AJ161" s="108"/>
      <c r="AK161" s="189"/>
      <c r="AV161" s="436"/>
      <c r="AW161" s="437"/>
      <c r="AX161" s="108"/>
      <c r="AY161" s="108"/>
      <c r="AZ161" s="108"/>
      <c r="BA161" s="189"/>
      <c r="BL161" s="436"/>
      <c r="BM161" s="437"/>
      <c r="BN161" s="108"/>
      <c r="BO161" s="108"/>
      <c r="BP161" s="108"/>
      <c r="BQ161" s="189"/>
      <c r="CB161" s="436"/>
      <c r="CC161" s="437"/>
      <c r="CD161" s="108"/>
      <c r="CE161" s="108"/>
      <c r="CF161" s="108"/>
      <c r="CG161" s="189"/>
      <c r="CR161" s="436"/>
      <c r="CS161" s="437"/>
      <c r="CT161" s="108"/>
      <c r="CU161" s="108"/>
      <c r="CV161" s="108"/>
      <c r="CW161" s="189"/>
      <c r="DH161" s="436"/>
      <c r="DI161" s="437"/>
      <c r="DJ161" s="108"/>
      <c r="DK161" s="108"/>
      <c r="DL161" s="108"/>
      <c r="DM161" s="189"/>
      <c r="DN161" s="436"/>
      <c r="DX161" s="436"/>
      <c r="DY161" s="437"/>
      <c r="DZ161" s="108"/>
      <c r="EA161" s="108"/>
      <c r="EB161" s="108"/>
    </row>
    <row r="162" spans="1:132" ht="14.25" customHeight="1">
      <c r="A162" s="152"/>
      <c r="C162" s="289"/>
      <c r="D162" s="289"/>
      <c r="E162" s="189"/>
      <c r="P162" s="436"/>
      <c r="Q162" s="437"/>
      <c r="R162" s="108"/>
      <c r="S162" s="108"/>
      <c r="T162" s="108"/>
      <c r="U162" s="189"/>
      <c r="AF162" s="436"/>
      <c r="AG162" s="437"/>
      <c r="AH162" s="108"/>
      <c r="AI162" s="108"/>
      <c r="AJ162" s="108"/>
      <c r="AK162" s="189"/>
      <c r="AV162" s="436"/>
      <c r="AW162" s="437"/>
      <c r="AX162" s="108"/>
      <c r="AY162" s="108"/>
      <c r="AZ162" s="108"/>
      <c r="BA162" s="189"/>
      <c r="BL162" s="436"/>
      <c r="BM162" s="437"/>
      <c r="BN162" s="108"/>
      <c r="BO162" s="108"/>
      <c r="BP162" s="108"/>
      <c r="BQ162" s="189"/>
      <c r="CB162" s="436"/>
      <c r="CC162" s="437"/>
      <c r="CD162" s="108"/>
      <c r="CE162" s="108"/>
      <c r="CF162" s="108"/>
      <c r="CG162" s="189"/>
      <c r="CR162" s="436"/>
      <c r="CS162" s="437"/>
      <c r="CT162" s="108"/>
      <c r="CU162" s="108"/>
      <c r="CV162" s="108"/>
      <c r="CW162" s="189"/>
      <c r="DH162" s="436"/>
      <c r="DI162" s="437"/>
      <c r="DJ162" s="108"/>
      <c r="DK162" s="108"/>
      <c r="DL162" s="108"/>
      <c r="DM162" s="189"/>
      <c r="DN162" s="436"/>
      <c r="DX162" s="436"/>
      <c r="DY162" s="437"/>
      <c r="DZ162" s="108"/>
      <c r="EA162" s="108"/>
      <c r="EB162" s="108"/>
    </row>
    <row r="163" spans="1:132" ht="14.25" customHeight="1">
      <c r="A163" s="152"/>
      <c r="C163" s="289"/>
      <c r="D163" s="289"/>
      <c r="E163" s="189"/>
      <c r="P163" s="436"/>
      <c r="Q163" s="437"/>
      <c r="R163" s="108"/>
      <c r="S163" s="108"/>
      <c r="T163" s="108"/>
      <c r="U163" s="189"/>
      <c r="AF163" s="436"/>
      <c r="AG163" s="437"/>
      <c r="AH163" s="108"/>
      <c r="AI163" s="108"/>
      <c r="AJ163" s="108"/>
      <c r="AK163" s="189"/>
      <c r="AV163" s="436"/>
      <c r="AW163" s="437"/>
      <c r="AX163" s="108"/>
      <c r="AY163" s="108"/>
      <c r="AZ163" s="108"/>
      <c r="BA163" s="189"/>
      <c r="BL163" s="436"/>
      <c r="BM163" s="437"/>
      <c r="BN163" s="108"/>
      <c r="BO163" s="108"/>
      <c r="BP163" s="108"/>
      <c r="BQ163" s="189"/>
      <c r="CB163" s="436"/>
      <c r="CC163" s="437"/>
      <c r="CD163" s="108"/>
      <c r="CE163" s="108"/>
      <c r="CF163" s="108"/>
      <c r="CG163" s="189"/>
      <c r="CR163" s="436"/>
      <c r="CS163" s="437"/>
      <c r="CT163" s="108"/>
      <c r="CU163" s="108"/>
      <c r="CV163" s="108"/>
      <c r="CW163" s="189"/>
      <c r="DH163" s="436"/>
      <c r="DI163" s="437"/>
      <c r="DJ163" s="108"/>
      <c r="DK163" s="108"/>
      <c r="DL163" s="108"/>
      <c r="DM163" s="189"/>
      <c r="DN163" s="436"/>
      <c r="DX163" s="436"/>
      <c r="DY163" s="437"/>
      <c r="DZ163" s="108"/>
      <c r="EA163" s="108"/>
      <c r="EB163" s="108"/>
    </row>
    <row r="164" spans="1:132" ht="14.25" customHeight="1">
      <c r="A164" s="152"/>
      <c r="C164" s="289"/>
      <c r="D164" s="289"/>
      <c r="E164" s="189"/>
      <c r="P164" s="436"/>
      <c r="Q164" s="437"/>
      <c r="R164" s="108"/>
      <c r="S164" s="108"/>
      <c r="T164" s="108"/>
      <c r="U164" s="189"/>
      <c r="AF164" s="436"/>
      <c r="AG164" s="437"/>
      <c r="AH164" s="108"/>
      <c r="AI164" s="108"/>
      <c r="AJ164" s="108"/>
      <c r="AK164" s="189"/>
      <c r="AV164" s="436"/>
      <c r="AW164" s="437"/>
      <c r="AX164" s="108"/>
      <c r="AY164" s="108"/>
      <c r="AZ164" s="108"/>
      <c r="BA164" s="189"/>
      <c r="BL164" s="436"/>
      <c r="BM164" s="437"/>
      <c r="BN164" s="108"/>
      <c r="BO164" s="108"/>
      <c r="BP164" s="108"/>
      <c r="BQ164" s="189"/>
      <c r="CB164" s="436"/>
      <c r="CC164" s="437"/>
      <c r="CD164" s="108"/>
      <c r="CE164" s="108"/>
      <c r="CF164" s="108"/>
      <c r="CG164" s="189"/>
      <c r="CR164" s="436"/>
      <c r="CS164" s="437"/>
      <c r="CT164" s="108"/>
      <c r="CU164" s="108"/>
      <c r="CV164" s="108"/>
      <c r="CW164" s="189"/>
      <c r="DH164" s="436"/>
      <c r="DI164" s="437"/>
      <c r="DJ164" s="108"/>
      <c r="DK164" s="108"/>
      <c r="DL164" s="108"/>
      <c r="DM164" s="189"/>
      <c r="DN164" s="436"/>
      <c r="DX164" s="436"/>
      <c r="DY164" s="437"/>
      <c r="DZ164" s="108"/>
      <c r="EA164" s="108"/>
      <c r="EB164" s="108"/>
    </row>
    <row r="165" spans="1:132" ht="14.25" customHeight="1">
      <c r="A165" s="152"/>
      <c r="C165" s="289"/>
      <c r="D165" s="289"/>
      <c r="E165" s="189"/>
      <c r="P165" s="436"/>
      <c r="Q165" s="437"/>
      <c r="R165" s="108"/>
      <c r="S165" s="108"/>
      <c r="T165" s="108"/>
      <c r="U165" s="189"/>
      <c r="AF165" s="436"/>
      <c r="AG165" s="437"/>
      <c r="AH165" s="108"/>
      <c r="AI165" s="108"/>
      <c r="AJ165" s="108"/>
      <c r="AK165" s="189"/>
      <c r="AV165" s="436"/>
      <c r="AW165" s="437"/>
      <c r="AX165" s="108"/>
      <c r="AY165" s="108"/>
      <c r="AZ165" s="108"/>
      <c r="BA165" s="189"/>
      <c r="BL165" s="436"/>
      <c r="BM165" s="437"/>
      <c r="BN165" s="108"/>
      <c r="BO165" s="108"/>
      <c r="BP165" s="108"/>
      <c r="BQ165" s="189"/>
      <c r="CB165" s="436"/>
      <c r="CC165" s="437"/>
      <c r="CD165" s="108"/>
      <c r="CE165" s="108"/>
      <c r="CF165" s="108"/>
      <c r="CG165" s="189"/>
      <c r="CR165" s="436"/>
      <c r="CS165" s="437"/>
      <c r="CT165" s="108"/>
      <c r="CU165" s="108"/>
      <c r="CV165" s="108"/>
      <c r="CW165" s="189"/>
      <c r="DH165" s="436"/>
      <c r="DI165" s="437"/>
      <c r="DJ165" s="108"/>
      <c r="DK165" s="108"/>
      <c r="DL165" s="108"/>
      <c r="DM165" s="189"/>
      <c r="DN165" s="436"/>
      <c r="DX165" s="436"/>
      <c r="DY165" s="437"/>
      <c r="DZ165" s="108"/>
      <c r="EA165" s="108"/>
      <c r="EB165" s="108"/>
    </row>
    <row r="166" spans="1:132" ht="14.25" customHeight="1">
      <c r="A166" s="152"/>
      <c r="C166" s="289"/>
      <c r="D166" s="289"/>
      <c r="E166" s="189"/>
      <c r="P166" s="436"/>
      <c r="Q166" s="437"/>
      <c r="R166" s="108"/>
      <c r="S166" s="108"/>
      <c r="T166" s="108"/>
      <c r="U166" s="189"/>
      <c r="AF166" s="436"/>
      <c r="AG166" s="437"/>
      <c r="AH166" s="108"/>
      <c r="AI166" s="108"/>
      <c r="AJ166" s="108"/>
      <c r="AK166" s="189"/>
      <c r="AV166" s="436"/>
      <c r="AW166" s="437"/>
      <c r="AX166" s="108"/>
      <c r="AY166" s="108"/>
      <c r="AZ166" s="108"/>
      <c r="BA166" s="189"/>
      <c r="BL166" s="436"/>
      <c r="BM166" s="437"/>
      <c r="BN166" s="108"/>
      <c r="BO166" s="108"/>
      <c r="BP166" s="108"/>
      <c r="BQ166" s="189"/>
      <c r="CB166" s="436"/>
      <c r="CC166" s="437"/>
      <c r="CD166" s="108"/>
      <c r="CE166" s="108"/>
      <c r="CF166" s="108"/>
      <c r="CG166" s="189"/>
      <c r="CR166" s="436"/>
      <c r="CS166" s="437"/>
      <c r="CT166" s="108"/>
      <c r="CU166" s="108"/>
      <c r="CV166" s="108"/>
      <c r="CW166" s="189"/>
      <c r="DH166" s="436"/>
      <c r="DI166" s="437"/>
      <c r="DJ166" s="108"/>
      <c r="DK166" s="108"/>
      <c r="DL166" s="108"/>
      <c r="DM166" s="189"/>
      <c r="DN166" s="436"/>
      <c r="DX166" s="436"/>
      <c r="DY166" s="437"/>
      <c r="DZ166" s="108"/>
      <c r="EA166" s="108"/>
      <c r="EB166" s="108"/>
    </row>
    <row r="167" spans="1:132" ht="14.25" customHeight="1">
      <c r="A167" s="152"/>
      <c r="C167" s="289"/>
      <c r="D167" s="289"/>
      <c r="E167" s="189"/>
      <c r="P167" s="436"/>
      <c r="Q167" s="437"/>
      <c r="R167" s="108"/>
      <c r="S167" s="108"/>
      <c r="T167" s="108"/>
      <c r="U167" s="189"/>
      <c r="AF167" s="436"/>
      <c r="AG167" s="437"/>
      <c r="AH167" s="108"/>
      <c r="AI167" s="108"/>
      <c r="AJ167" s="108"/>
      <c r="AK167" s="189"/>
      <c r="AV167" s="436"/>
      <c r="AW167" s="437"/>
      <c r="AX167" s="108"/>
      <c r="AY167" s="108"/>
      <c r="AZ167" s="108"/>
      <c r="BA167" s="189"/>
      <c r="BL167" s="436"/>
      <c r="BM167" s="437"/>
      <c r="BN167" s="108"/>
      <c r="BO167" s="108"/>
      <c r="BP167" s="108"/>
      <c r="BQ167" s="189"/>
      <c r="CB167" s="436"/>
      <c r="CC167" s="437"/>
      <c r="CD167" s="108"/>
      <c r="CE167" s="108"/>
      <c r="CF167" s="108"/>
      <c r="CG167" s="189"/>
      <c r="CR167" s="436"/>
      <c r="CS167" s="437"/>
      <c r="CT167" s="108"/>
      <c r="CU167" s="108"/>
      <c r="CV167" s="108"/>
      <c r="CW167" s="189"/>
      <c r="DH167" s="436"/>
      <c r="DI167" s="437"/>
      <c r="DJ167" s="108"/>
      <c r="DK167" s="108"/>
      <c r="DL167" s="108"/>
      <c r="DM167" s="189"/>
      <c r="DN167" s="436"/>
      <c r="DX167" s="436"/>
      <c r="DY167" s="437"/>
      <c r="DZ167" s="108"/>
      <c r="EA167" s="108"/>
      <c r="EB167" s="108"/>
    </row>
    <row r="168" spans="1:132" ht="14.25" customHeight="1">
      <c r="A168" s="152"/>
      <c r="C168" s="289"/>
      <c r="D168" s="289"/>
      <c r="E168" s="189"/>
      <c r="P168" s="436"/>
      <c r="Q168" s="437"/>
      <c r="R168" s="108"/>
      <c r="S168" s="108"/>
      <c r="T168" s="108"/>
      <c r="U168" s="189"/>
      <c r="AF168" s="436"/>
      <c r="AG168" s="437"/>
      <c r="AH168" s="108"/>
      <c r="AI168" s="108"/>
      <c r="AJ168" s="108"/>
      <c r="AK168" s="189"/>
      <c r="AV168" s="436"/>
      <c r="AW168" s="437"/>
      <c r="AX168" s="108"/>
      <c r="AY168" s="108"/>
      <c r="AZ168" s="108"/>
      <c r="BA168" s="189"/>
      <c r="BL168" s="436"/>
      <c r="BM168" s="437"/>
      <c r="BN168" s="108"/>
      <c r="BO168" s="108"/>
      <c r="BP168" s="108"/>
      <c r="BQ168" s="189"/>
      <c r="CB168" s="436"/>
      <c r="CC168" s="437"/>
      <c r="CD168" s="108"/>
      <c r="CE168" s="108"/>
      <c r="CF168" s="108"/>
      <c r="CG168" s="189"/>
      <c r="CR168" s="436"/>
      <c r="CS168" s="437"/>
      <c r="CT168" s="108"/>
      <c r="CU168" s="108"/>
      <c r="CV168" s="108"/>
      <c r="CW168" s="189"/>
      <c r="DH168" s="436"/>
      <c r="DI168" s="437"/>
      <c r="DJ168" s="108"/>
      <c r="DK168" s="108"/>
      <c r="DL168" s="108"/>
      <c r="DM168" s="189"/>
      <c r="DN168" s="436"/>
      <c r="DX168" s="436"/>
      <c r="DY168" s="437"/>
      <c r="DZ168" s="108"/>
      <c r="EA168" s="108"/>
      <c r="EB168" s="108"/>
    </row>
    <row r="169" spans="1:132" ht="14.25" customHeight="1">
      <c r="A169" s="152"/>
      <c r="C169" s="289"/>
      <c r="D169" s="289"/>
      <c r="E169" s="189"/>
      <c r="P169" s="436"/>
      <c r="Q169" s="437"/>
      <c r="R169" s="108"/>
      <c r="S169" s="108"/>
      <c r="T169" s="108"/>
      <c r="U169" s="189"/>
      <c r="AF169" s="436"/>
      <c r="AG169" s="437"/>
      <c r="AH169" s="108"/>
      <c r="AI169" s="108"/>
      <c r="AJ169" s="108"/>
      <c r="AK169" s="189"/>
      <c r="AV169" s="436"/>
      <c r="AW169" s="437"/>
      <c r="AX169" s="108"/>
      <c r="AY169" s="108"/>
      <c r="AZ169" s="108"/>
      <c r="BA169" s="189"/>
      <c r="BL169" s="436"/>
      <c r="BM169" s="437"/>
      <c r="BN169" s="108"/>
      <c r="BO169" s="108"/>
      <c r="BP169" s="108"/>
      <c r="BQ169" s="189"/>
      <c r="CB169" s="436"/>
      <c r="CC169" s="437"/>
      <c r="CD169" s="108"/>
      <c r="CE169" s="108"/>
      <c r="CF169" s="108"/>
      <c r="CG169" s="189"/>
      <c r="CR169" s="436"/>
      <c r="CS169" s="437"/>
      <c r="CT169" s="108"/>
      <c r="CU169" s="108"/>
      <c r="CV169" s="108"/>
      <c r="CW169" s="189"/>
      <c r="DH169" s="436"/>
      <c r="DI169" s="437"/>
      <c r="DJ169" s="108"/>
      <c r="DK169" s="108"/>
      <c r="DL169" s="108"/>
      <c r="DM169" s="189"/>
      <c r="DN169" s="436"/>
      <c r="DX169" s="436"/>
      <c r="DY169" s="437"/>
      <c r="DZ169" s="108"/>
      <c r="EA169" s="108"/>
      <c r="EB169" s="108"/>
    </row>
    <row r="170" spans="1:132" ht="14.25" customHeight="1">
      <c r="A170" s="152"/>
      <c r="C170" s="289"/>
      <c r="D170" s="289"/>
      <c r="E170" s="189"/>
      <c r="P170" s="436"/>
      <c r="Q170" s="437"/>
      <c r="R170" s="108"/>
      <c r="S170" s="108"/>
      <c r="T170" s="108"/>
      <c r="U170" s="189"/>
      <c r="AF170" s="436"/>
      <c r="AG170" s="437"/>
      <c r="AH170" s="108"/>
      <c r="AI170" s="108"/>
      <c r="AJ170" s="108"/>
      <c r="AK170" s="189"/>
      <c r="AV170" s="436"/>
      <c r="AW170" s="437"/>
      <c r="AX170" s="108"/>
      <c r="AY170" s="108"/>
      <c r="AZ170" s="108"/>
      <c r="BA170" s="189"/>
      <c r="BL170" s="436"/>
      <c r="BM170" s="437"/>
      <c r="BN170" s="108"/>
      <c r="BO170" s="108"/>
      <c r="BP170" s="108"/>
      <c r="BQ170" s="189"/>
      <c r="CB170" s="436"/>
      <c r="CC170" s="437"/>
      <c r="CD170" s="108"/>
      <c r="CE170" s="108"/>
      <c r="CF170" s="108"/>
      <c r="CG170" s="189"/>
      <c r="CR170" s="436"/>
      <c r="CS170" s="437"/>
      <c r="CT170" s="108"/>
      <c r="CU170" s="108"/>
      <c r="CV170" s="108"/>
      <c r="CW170" s="189"/>
      <c r="DH170" s="436"/>
      <c r="DI170" s="437"/>
      <c r="DJ170" s="108"/>
      <c r="DK170" s="108"/>
      <c r="DL170" s="108"/>
      <c r="DM170" s="189"/>
      <c r="DN170" s="436"/>
      <c r="DX170" s="436"/>
      <c r="DY170" s="437"/>
      <c r="DZ170" s="108"/>
      <c r="EA170" s="108"/>
      <c r="EB170" s="108"/>
    </row>
    <row r="171" spans="1:132" ht="14.25" customHeight="1">
      <c r="A171" s="152"/>
      <c r="C171" s="289"/>
      <c r="D171" s="289"/>
      <c r="E171" s="189"/>
      <c r="P171" s="436"/>
      <c r="Q171" s="437"/>
      <c r="R171" s="108"/>
      <c r="S171" s="108"/>
      <c r="T171" s="108"/>
      <c r="U171" s="189"/>
      <c r="AF171" s="436"/>
      <c r="AG171" s="437"/>
      <c r="AH171" s="108"/>
      <c r="AI171" s="108"/>
      <c r="AJ171" s="108"/>
      <c r="AK171" s="189"/>
      <c r="AV171" s="436"/>
      <c r="AW171" s="437"/>
      <c r="AX171" s="108"/>
      <c r="AY171" s="108"/>
      <c r="AZ171" s="108"/>
      <c r="BA171" s="189"/>
      <c r="BL171" s="436"/>
      <c r="BM171" s="437"/>
      <c r="BN171" s="108"/>
      <c r="BO171" s="108"/>
      <c r="BP171" s="108"/>
      <c r="BQ171" s="189"/>
      <c r="CB171" s="436"/>
      <c r="CC171" s="437"/>
      <c r="CD171" s="108"/>
      <c r="CE171" s="108"/>
      <c r="CF171" s="108"/>
      <c r="CG171" s="189"/>
      <c r="CR171" s="436"/>
      <c r="CS171" s="437"/>
      <c r="CT171" s="108"/>
      <c r="CU171" s="108"/>
      <c r="CV171" s="108"/>
      <c r="CW171" s="189"/>
      <c r="DH171" s="436"/>
      <c r="DI171" s="437"/>
      <c r="DJ171" s="108"/>
      <c r="DK171" s="108"/>
      <c r="DL171" s="108"/>
      <c r="DM171" s="189"/>
      <c r="DN171" s="436"/>
      <c r="DX171" s="436"/>
      <c r="DY171" s="437"/>
      <c r="DZ171" s="108"/>
      <c r="EA171" s="108"/>
      <c r="EB171" s="108"/>
    </row>
    <row r="172" spans="1:132" ht="14.25" customHeight="1">
      <c r="A172" s="152"/>
      <c r="C172" s="289"/>
      <c r="D172" s="289"/>
      <c r="E172" s="189"/>
      <c r="P172" s="436"/>
      <c r="Q172" s="437"/>
      <c r="R172" s="108"/>
      <c r="S172" s="108"/>
      <c r="T172" s="108"/>
      <c r="U172" s="189"/>
      <c r="AF172" s="436"/>
      <c r="AG172" s="437"/>
      <c r="AH172" s="108"/>
      <c r="AI172" s="108"/>
      <c r="AJ172" s="108"/>
      <c r="AK172" s="189"/>
      <c r="AV172" s="436"/>
      <c r="AW172" s="437"/>
      <c r="AX172" s="108"/>
      <c r="AY172" s="108"/>
      <c r="AZ172" s="108"/>
      <c r="BA172" s="189"/>
      <c r="BL172" s="436"/>
      <c r="BM172" s="437"/>
      <c r="BN172" s="108"/>
      <c r="BO172" s="108"/>
      <c r="BP172" s="108"/>
      <c r="BQ172" s="189"/>
      <c r="CB172" s="436"/>
      <c r="CC172" s="437"/>
      <c r="CD172" s="108"/>
      <c r="CE172" s="108"/>
      <c r="CF172" s="108"/>
      <c r="CG172" s="189"/>
      <c r="CR172" s="436"/>
      <c r="CS172" s="437"/>
      <c r="CT172" s="108"/>
      <c r="CU172" s="108"/>
      <c r="CV172" s="108"/>
      <c r="CW172" s="189"/>
      <c r="DH172" s="436"/>
      <c r="DI172" s="437"/>
      <c r="DJ172" s="108"/>
      <c r="DK172" s="108"/>
      <c r="DL172" s="108"/>
      <c r="DM172" s="189"/>
      <c r="DN172" s="436"/>
      <c r="DX172" s="436"/>
      <c r="DY172" s="437"/>
      <c r="DZ172" s="108"/>
      <c r="EA172" s="108"/>
      <c r="EB172" s="108"/>
    </row>
    <row r="173" spans="1:132" ht="14.25" customHeight="1">
      <c r="A173" s="152"/>
      <c r="C173" s="289"/>
      <c r="D173" s="289"/>
      <c r="E173" s="189"/>
      <c r="P173" s="436"/>
      <c r="Q173" s="437"/>
      <c r="R173" s="108"/>
      <c r="S173" s="108"/>
      <c r="T173" s="108"/>
      <c r="U173" s="189"/>
      <c r="AF173" s="436"/>
      <c r="AG173" s="437"/>
      <c r="AH173" s="108"/>
      <c r="AI173" s="108"/>
      <c r="AJ173" s="108"/>
      <c r="AK173" s="189"/>
      <c r="AV173" s="436"/>
      <c r="AW173" s="437"/>
      <c r="AX173" s="108"/>
      <c r="AY173" s="108"/>
      <c r="AZ173" s="108"/>
      <c r="BA173" s="189"/>
      <c r="BL173" s="436"/>
      <c r="BM173" s="437"/>
      <c r="BN173" s="108"/>
      <c r="BO173" s="108"/>
      <c r="BP173" s="108"/>
      <c r="BQ173" s="189"/>
      <c r="CB173" s="436"/>
      <c r="CC173" s="437"/>
      <c r="CD173" s="108"/>
      <c r="CE173" s="108"/>
      <c r="CF173" s="108"/>
      <c r="CG173" s="189"/>
      <c r="CR173" s="436"/>
      <c r="CS173" s="437"/>
      <c r="CT173" s="108"/>
      <c r="CU173" s="108"/>
      <c r="CV173" s="108"/>
      <c r="CW173" s="189"/>
      <c r="DH173" s="436"/>
      <c r="DI173" s="437"/>
      <c r="DJ173" s="108"/>
      <c r="DK173" s="108"/>
      <c r="DL173" s="108"/>
      <c r="DM173" s="189"/>
      <c r="DN173" s="436"/>
      <c r="DX173" s="436"/>
      <c r="DY173" s="437"/>
      <c r="DZ173" s="108"/>
      <c r="EA173" s="108"/>
      <c r="EB173" s="108"/>
    </row>
    <row r="174" spans="1:132" ht="14.25" customHeight="1">
      <c r="A174" s="152"/>
      <c r="C174" s="289"/>
      <c r="D174" s="289"/>
      <c r="E174" s="189"/>
      <c r="P174" s="436"/>
      <c r="Q174" s="437"/>
      <c r="R174" s="108"/>
      <c r="S174" s="108"/>
      <c r="T174" s="108"/>
      <c r="U174" s="189"/>
      <c r="AF174" s="436"/>
      <c r="AG174" s="437"/>
      <c r="AH174" s="108"/>
      <c r="AI174" s="108"/>
      <c r="AJ174" s="108"/>
      <c r="AK174" s="189"/>
      <c r="AV174" s="436"/>
      <c r="AW174" s="437"/>
      <c r="AX174" s="108"/>
      <c r="AY174" s="108"/>
      <c r="AZ174" s="108"/>
      <c r="BA174" s="189"/>
      <c r="BL174" s="436"/>
      <c r="BM174" s="437"/>
      <c r="BN174" s="108"/>
      <c r="BO174" s="108"/>
      <c r="BP174" s="108"/>
      <c r="BQ174" s="189"/>
      <c r="CB174" s="436"/>
      <c r="CC174" s="437"/>
      <c r="CD174" s="108"/>
      <c r="CE174" s="108"/>
      <c r="CF174" s="108"/>
      <c r="CG174" s="189"/>
      <c r="CR174" s="436"/>
      <c r="CS174" s="437"/>
      <c r="CT174" s="108"/>
      <c r="CU174" s="108"/>
      <c r="CV174" s="108"/>
      <c r="CW174" s="189"/>
      <c r="DH174" s="436"/>
      <c r="DI174" s="437"/>
      <c r="DJ174" s="108"/>
      <c r="DK174" s="108"/>
      <c r="DL174" s="108"/>
      <c r="DM174" s="189"/>
      <c r="DN174" s="436"/>
      <c r="DX174" s="436"/>
      <c r="DY174" s="437"/>
      <c r="DZ174" s="108"/>
      <c r="EA174" s="108"/>
      <c r="EB174" s="108"/>
    </row>
    <row r="175" spans="1:132" ht="14.25" customHeight="1">
      <c r="A175" s="152"/>
      <c r="C175" s="289"/>
      <c r="D175" s="289"/>
      <c r="E175" s="189"/>
      <c r="P175" s="436"/>
      <c r="Q175" s="437"/>
      <c r="R175" s="108"/>
      <c r="S175" s="108"/>
      <c r="T175" s="108"/>
      <c r="U175" s="189"/>
      <c r="AF175" s="436"/>
      <c r="AG175" s="437"/>
      <c r="AH175" s="108"/>
      <c r="AI175" s="108"/>
      <c r="AJ175" s="108"/>
      <c r="AK175" s="189"/>
      <c r="AV175" s="436"/>
      <c r="AW175" s="437"/>
      <c r="AX175" s="108"/>
      <c r="AY175" s="108"/>
      <c r="AZ175" s="108"/>
      <c r="BA175" s="189"/>
      <c r="BL175" s="436"/>
      <c r="BM175" s="437"/>
      <c r="BN175" s="108"/>
      <c r="BO175" s="108"/>
      <c r="BP175" s="108"/>
      <c r="BQ175" s="189"/>
      <c r="CB175" s="436"/>
      <c r="CC175" s="437"/>
      <c r="CD175" s="108"/>
      <c r="CE175" s="108"/>
      <c r="CF175" s="108"/>
      <c r="CG175" s="189"/>
      <c r="CR175" s="436"/>
      <c r="CS175" s="437"/>
      <c r="CT175" s="108"/>
      <c r="CU175" s="108"/>
      <c r="CV175" s="108"/>
      <c r="CW175" s="189"/>
      <c r="DH175" s="436"/>
      <c r="DI175" s="437"/>
      <c r="DJ175" s="108"/>
      <c r="DK175" s="108"/>
      <c r="DL175" s="108"/>
      <c r="DM175" s="189"/>
      <c r="DN175" s="436"/>
      <c r="DX175" s="436"/>
      <c r="DY175" s="437"/>
      <c r="DZ175" s="108"/>
      <c r="EA175" s="108"/>
      <c r="EB175" s="108"/>
    </row>
    <row r="176" spans="1:132" ht="14.25" customHeight="1">
      <c r="A176" s="152"/>
      <c r="C176" s="289"/>
      <c r="D176" s="289"/>
      <c r="E176" s="189"/>
      <c r="P176" s="436"/>
      <c r="Q176" s="437"/>
      <c r="R176" s="108"/>
      <c r="S176" s="108"/>
      <c r="T176" s="108"/>
      <c r="U176" s="189"/>
      <c r="AF176" s="436"/>
      <c r="AG176" s="437"/>
      <c r="AH176" s="108"/>
      <c r="AI176" s="108"/>
      <c r="AJ176" s="108"/>
      <c r="AK176" s="189"/>
      <c r="AV176" s="436"/>
      <c r="AW176" s="437"/>
      <c r="AX176" s="108"/>
      <c r="AY176" s="108"/>
      <c r="AZ176" s="108"/>
      <c r="BA176" s="189"/>
      <c r="BL176" s="436"/>
      <c r="BM176" s="437"/>
      <c r="BN176" s="108"/>
      <c r="BO176" s="108"/>
      <c r="BP176" s="108"/>
      <c r="BQ176" s="189"/>
      <c r="CB176" s="436"/>
      <c r="CC176" s="437"/>
      <c r="CD176" s="108"/>
      <c r="CE176" s="108"/>
      <c r="CF176" s="108"/>
      <c r="CG176" s="189"/>
      <c r="CR176" s="436"/>
      <c r="CS176" s="437"/>
      <c r="CT176" s="108"/>
      <c r="CU176" s="108"/>
      <c r="CV176" s="108"/>
      <c r="CW176" s="189"/>
      <c r="DH176" s="436"/>
      <c r="DI176" s="437"/>
      <c r="DJ176" s="108"/>
      <c r="DK176" s="108"/>
      <c r="DL176" s="108"/>
      <c r="DM176" s="189"/>
      <c r="DN176" s="436"/>
      <c r="DX176" s="436"/>
      <c r="DY176" s="437"/>
      <c r="DZ176" s="108"/>
      <c r="EA176" s="108"/>
      <c r="EB176" s="108"/>
    </row>
    <row r="177" spans="1:132" ht="14.25" customHeight="1">
      <c r="A177" s="152"/>
      <c r="C177" s="289"/>
      <c r="D177" s="289"/>
      <c r="E177" s="189"/>
      <c r="P177" s="436"/>
      <c r="Q177" s="437"/>
      <c r="R177" s="108"/>
      <c r="S177" s="108"/>
      <c r="T177" s="108"/>
      <c r="U177" s="189"/>
      <c r="AF177" s="436"/>
      <c r="AG177" s="437"/>
      <c r="AH177" s="108"/>
      <c r="AI177" s="108"/>
      <c r="AJ177" s="108"/>
      <c r="AK177" s="189"/>
      <c r="AV177" s="436"/>
      <c r="AW177" s="437"/>
      <c r="AX177" s="108"/>
      <c r="AY177" s="108"/>
      <c r="AZ177" s="108"/>
      <c r="BA177" s="189"/>
      <c r="BL177" s="436"/>
      <c r="BM177" s="437"/>
      <c r="BN177" s="108"/>
      <c r="BO177" s="108"/>
      <c r="BP177" s="108"/>
      <c r="BQ177" s="189"/>
      <c r="CB177" s="436"/>
      <c r="CC177" s="437"/>
      <c r="CD177" s="108"/>
      <c r="CE177" s="108"/>
      <c r="CF177" s="108"/>
      <c r="CG177" s="189"/>
      <c r="CR177" s="436"/>
      <c r="CS177" s="437"/>
      <c r="CT177" s="108"/>
      <c r="CU177" s="108"/>
      <c r="CV177" s="108"/>
      <c r="CW177" s="189"/>
      <c r="DH177" s="436"/>
      <c r="DI177" s="437"/>
      <c r="DJ177" s="108"/>
      <c r="DK177" s="108"/>
      <c r="DL177" s="108"/>
      <c r="DM177" s="189"/>
      <c r="DN177" s="436"/>
      <c r="DX177" s="436"/>
      <c r="DY177" s="437"/>
      <c r="DZ177" s="108"/>
      <c r="EA177" s="108"/>
      <c r="EB177" s="108"/>
    </row>
    <row r="178" spans="1:132" ht="14.25" customHeight="1">
      <c r="A178" s="152"/>
      <c r="C178" s="289"/>
      <c r="D178" s="289"/>
      <c r="E178" s="189"/>
      <c r="P178" s="436"/>
      <c r="Q178" s="437"/>
      <c r="R178" s="108"/>
      <c r="S178" s="108"/>
      <c r="T178" s="108"/>
      <c r="U178" s="189"/>
      <c r="AF178" s="436"/>
      <c r="AG178" s="437"/>
      <c r="AH178" s="108"/>
      <c r="AI178" s="108"/>
      <c r="AJ178" s="108"/>
      <c r="AK178" s="189"/>
      <c r="AV178" s="436"/>
      <c r="AW178" s="437"/>
      <c r="AX178" s="108"/>
      <c r="AY178" s="108"/>
      <c r="AZ178" s="108"/>
      <c r="BA178" s="189"/>
      <c r="BL178" s="436"/>
      <c r="BM178" s="437"/>
      <c r="BN178" s="108"/>
      <c r="BO178" s="108"/>
      <c r="BP178" s="108"/>
      <c r="BQ178" s="189"/>
      <c r="CB178" s="436"/>
      <c r="CC178" s="437"/>
      <c r="CD178" s="108"/>
      <c r="CE178" s="108"/>
      <c r="CF178" s="108"/>
      <c r="CG178" s="189"/>
      <c r="CR178" s="436"/>
      <c r="CS178" s="437"/>
      <c r="CT178" s="108"/>
      <c r="CU178" s="108"/>
      <c r="CV178" s="108"/>
      <c r="CW178" s="189"/>
      <c r="DH178" s="436"/>
      <c r="DI178" s="437"/>
      <c r="DJ178" s="108"/>
      <c r="DK178" s="108"/>
      <c r="DL178" s="108"/>
      <c r="DM178" s="189"/>
      <c r="DN178" s="436"/>
      <c r="DX178" s="436"/>
      <c r="DY178" s="437"/>
      <c r="DZ178" s="108"/>
      <c r="EA178" s="108"/>
      <c r="EB178" s="108"/>
    </row>
    <row r="179" spans="1:132" ht="14.25" customHeight="1">
      <c r="A179" s="152"/>
      <c r="C179" s="289"/>
      <c r="D179" s="289"/>
      <c r="E179" s="189"/>
      <c r="P179" s="436"/>
      <c r="Q179" s="437"/>
      <c r="R179" s="108"/>
      <c r="S179" s="108"/>
      <c r="T179" s="108"/>
      <c r="U179" s="189"/>
      <c r="AF179" s="436"/>
      <c r="AG179" s="437"/>
      <c r="AH179" s="108"/>
      <c r="AI179" s="108"/>
      <c r="AJ179" s="108"/>
      <c r="AK179" s="189"/>
      <c r="AV179" s="436"/>
      <c r="AW179" s="437"/>
      <c r="AX179" s="108"/>
      <c r="AY179" s="108"/>
      <c r="AZ179" s="108"/>
      <c r="BA179" s="189"/>
      <c r="BL179" s="436"/>
      <c r="BM179" s="437"/>
      <c r="BN179" s="108"/>
      <c r="BO179" s="108"/>
      <c r="BP179" s="108"/>
      <c r="BQ179" s="189"/>
      <c r="CB179" s="436"/>
      <c r="CC179" s="437"/>
      <c r="CD179" s="108"/>
      <c r="CE179" s="108"/>
      <c r="CF179" s="108"/>
      <c r="CG179" s="189"/>
      <c r="CR179" s="436"/>
      <c r="CS179" s="437"/>
      <c r="CT179" s="108"/>
      <c r="CU179" s="108"/>
      <c r="CV179" s="108"/>
      <c r="CW179" s="189"/>
      <c r="DH179" s="436"/>
      <c r="DI179" s="437"/>
      <c r="DJ179" s="108"/>
      <c r="DK179" s="108"/>
      <c r="DL179" s="108"/>
      <c r="DM179" s="189"/>
      <c r="DN179" s="436"/>
      <c r="DX179" s="436"/>
      <c r="DY179" s="437"/>
      <c r="DZ179" s="108"/>
      <c r="EA179" s="108"/>
      <c r="EB179" s="108"/>
    </row>
    <row r="180" spans="1:132" ht="14.25" customHeight="1">
      <c r="A180" s="152"/>
      <c r="C180" s="289"/>
      <c r="D180" s="289"/>
      <c r="E180" s="189"/>
      <c r="P180" s="436"/>
      <c r="Q180" s="437"/>
      <c r="R180" s="108"/>
      <c r="S180" s="108"/>
      <c r="T180" s="108"/>
      <c r="U180" s="189"/>
      <c r="AF180" s="436"/>
      <c r="AG180" s="437"/>
      <c r="AH180" s="108"/>
      <c r="AI180" s="108"/>
      <c r="AJ180" s="108"/>
      <c r="AK180" s="189"/>
      <c r="AV180" s="436"/>
      <c r="AW180" s="437"/>
      <c r="AX180" s="108"/>
      <c r="AY180" s="108"/>
      <c r="AZ180" s="108"/>
      <c r="BA180" s="189"/>
      <c r="BL180" s="436"/>
      <c r="BM180" s="437"/>
      <c r="BN180" s="108"/>
      <c r="BO180" s="108"/>
      <c r="BP180" s="108"/>
      <c r="BQ180" s="189"/>
      <c r="CB180" s="436"/>
      <c r="CC180" s="437"/>
      <c r="CD180" s="108"/>
      <c r="CE180" s="108"/>
      <c r="CF180" s="108"/>
      <c r="CG180" s="189"/>
      <c r="CR180" s="436"/>
      <c r="CS180" s="437"/>
      <c r="CT180" s="108"/>
      <c r="CU180" s="108"/>
      <c r="CV180" s="108"/>
      <c r="CW180" s="189"/>
      <c r="DH180" s="436"/>
      <c r="DI180" s="437"/>
      <c r="DJ180" s="108"/>
      <c r="DK180" s="108"/>
      <c r="DL180" s="108"/>
      <c r="DM180" s="189"/>
      <c r="DN180" s="436"/>
      <c r="DX180" s="436"/>
      <c r="DY180" s="437"/>
      <c r="DZ180" s="108"/>
      <c r="EA180" s="108"/>
      <c r="EB180" s="108"/>
    </row>
    <row r="181" spans="1:132" ht="14.25" customHeight="1">
      <c r="A181" s="152"/>
      <c r="C181" s="289"/>
      <c r="D181" s="289"/>
      <c r="E181" s="189"/>
      <c r="P181" s="436"/>
      <c r="Q181" s="437"/>
      <c r="R181" s="108"/>
      <c r="S181" s="108"/>
      <c r="T181" s="108"/>
      <c r="U181" s="189"/>
      <c r="AF181" s="436"/>
      <c r="AG181" s="437"/>
      <c r="AH181" s="108"/>
      <c r="AI181" s="108"/>
      <c r="AJ181" s="108"/>
      <c r="AK181" s="189"/>
      <c r="AV181" s="436"/>
      <c r="AW181" s="437"/>
      <c r="AX181" s="108"/>
      <c r="AY181" s="108"/>
      <c r="AZ181" s="108"/>
      <c r="BA181" s="189"/>
      <c r="BL181" s="436"/>
      <c r="BM181" s="437"/>
      <c r="BN181" s="108"/>
      <c r="BO181" s="108"/>
      <c r="BP181" s="108"/>
      <c r="BQ181" s="189"/>
      <c r="CB181" s="436"/>
      <c r="CC181" s="437"/>
      <c r="CD181" s="108"/>
      <c r="CE181" s="108"/>
      <c r="CF181" s="108"/>
      <c r="CG181" s="189"/>
      <c r="CR181" s="436"/>
      <c r="CS181" s="437"/>
      <c r="CT181" s="108"/>
      <c r="CU181" s="108"/>
      <c r="CV181" s="108"/>
      <c r="CW181" s="189"/>
      <c r="DH181" s="436"/>
      <c r="DI181" s="437"/>
      <c r="DJ181" s="108"/>
      <c r="DK181" s="108"/>
      <c r="DL181" s="108"/>
      <c r="DM181" s="189"/>
      <c r="DN181" s="436"/>
      <c r="DX181" s="436"/>
      <c r="DY181" s="437"/>
      <c r="DZ181" s="108"/>
      <c r="EA181" s="108"/>
      <c r="EB181" s="108"/>
    </row>
    <row r="182" spans="1:132" ht="14.25" customHeight="1">
      <c r="A182" s="152"/>
      <c r="C182" s="289"/>
      <c r="D182" s="289"/>
      <c r="E182" s="189"/>
      <c r="P182" s="436"/>
      <c r="Q182" s="437"/>
      <c r="R182" s="108"/>
      <c r="S182" s="108"/>
      <c r="T182" s="108"/>
      <c r="U182" s="189"/>
      <c r="AF182" s="436"/>
      <c r="AG182" s="437"/>
      <c r="AH182" s="108"/>
      <c r="AI182" s="108"/>
      <c r="AJ182" s="108"/>
      <c r="AK182" s="189"/>
      <c r="AV182" s="436"/>
      <c r="AW182" s="437"/>
      <c r="AX182" s="108"/>
      <c r="AY182" s="108"/>
      <c r="AZ182" s="108"/>
      <c r="BA182" s="189"/>
      <c r="BL182" s="436"/>
      <c r="BM182" s="437"/>
      <c r="BN182" s="108"/>
      <c r="BO182" s="108"/>
      <c r="BP182" s="108"/>
      <c r="BQ182" s="189"/>
      <c r="CB182" s="436"/>
      <c r="CC182" s="437"/>
      <c r="CD182" s="108"/>
      <c r="CE182" s="108"/>
      <c r="CF182" s="108"/>
      <c r="CG182" s="189"/>
      <c r="CR182" s="436"/>
      <c r="CS182" s="437"/>
      <c r="CT182" s="108"/>
      <c r="CU182" s="108"/>
      <c r="CV182" s="108"/>
      <c r="CW182" s="189"/>
      <c r="DH182" s="436"/>
      <c r="DI182" s="437"/>
      <c r="DJ182" s="108"/>
      <c r="DK182" s="108"/>
      <c r="DL182" s="108"/>
      <c r="DM182" s="189"/>
      <c r="DN182" s="436"/>
      <c r="DX182" s="436"/>
      <c r="DY182" s="437"/>
      <c r="DZ182" s="108"/>
      <c r="EA182" s="108"/>
      <c r="EB182" s="108"/>
    </row>
    <row r="183" spans="1:132" ht="14.25" customHeight="1">
      <c r="A183" s="152"/>
      <c r="C183" s="289"/>
      <c r="D183" s="289"/>
      <c r="E183" s="189"/>
      <c r="P183" s="436"/>
      <c r="Q183" s="437"/>
      <c r="R183" s="108"/>
      <c r="S183" s="108"/>
      <c r="T183" s="108"/>
      <c r="U183" s="189"/>
      <c r="AF183" s="436"/>
      <c r="AG183" s="437"/>
      <c r="AH183" s="108"/>
      <c r="AI183" s="108"/>
      <c r="AJ183" s="108"/>
      <c r="AK183" s="189"/>
      <c r="AV183" s="436"/>
      <c r="AW183" s="437"/>
      <c r="AX183" s="108"/>
      <c r="AY183" s="108"/>
      <c r="AZ183" s="108"/>
      <c r="BA183" s="189"/>
      <c r="BL183" s="436"/>
      <c r="BM183" s="437"/>
      <c r="BN183" s="108"/>
      <c r="BO183" s="108"/>
      <c r="BP183" s="108"/>
      <c r="BQ183" s="189"/>
      <c r="CB183" s="436"/>
      <c r="CC183" s="437"/>
      <c r="CD183" s="108"/>
      <c r="CE183" s="108"/>
      <c r="CF183" s="108"/>
      <c r="CG183" s="189"/>
      <c r="CR183" s="436"/>
      <c r="CS183" s="437"/>
      <c r="CT183" s="108"/>
      <c r="CU183" s="108"/>
      <c r="CV183" s="108"/>
      <c r="CW183" s="189"/>
      <c r="DH183" s="436"/>
      <c r="DI183" s="437"/>
      <c r="DJ183" s="108"/>
      <c r="DK183" s="108"/>
      <c r="DL183" s="108"/>
      <c r="DM183" s="189"/>
      <c r="DN183" s="436"/>
      <c r="DX183" s="436"/>
      <c r="DY183" s="437"/>
      <c r="DZ183" s="108"/>
      <c r="EA183" s="108"/>
      <c r="EB183" s="108"/>
    </row>
    <row r="184" spans="1:132" ht="14.25" customHeight="1">
      <c r="A184" s="152"/>
      <c r="C184" s="289"/>
      <c r="D184" s="289"/>
      <c r="E184" s="189"/>
      <c r="P184" s="436"/>
      <c r="Q184" s="437"/>
      <c r="R184" s="108"/>
      <c r="S184" s="108"/>
      <c r="T184" s="108"/>
      <c r="U184" s="189"/>
      <c r="AF184" s="436"/>
      <c r="AG184" s="437"/>
      <c r="AH184" s="108"/>
      <c r="AI184" s="108"/>
      <c r="AJ184" s="108"/>
      <c r="AK184" s="189"/>
      <c r="AV184" s="436"/>
      <c r="AW184" s="437"/>
      <c r="AX184" s="108"/>
      <c r="AY184" s="108"/>
      <c r="AZ184" s="108"/>
      <c r="BA184" s="189"/>
      <c r="BL184" s="436"/>
      <c r="BM184" s="437"/>
      <c r="BN184" s="108"/>
      <c r="BO184" s="108"/>
      <c r="BP184" s="108"/>
      <c r="BQ184" s="189"/>
      <c r="CB184" s="436"/>
      <c r="CC184" s="437"/>
      <c r="CD184" s="108"/>
      <c r="CE184" s="108"/>
      <c r="CF184" s="108"/>
      <c r="CG184" s="189"/>
      <c r="CR184" s="436"/>
      <c r="CS184" s="437"/>
      <c r="CT184" s="108"/>
      <c r="CU184" s="108"/>
      <c r="CV184" s="108"/>
      <c r="CW184" s="189"/>
      <c r="DH184" s="436"/>
      <c r="DI184" s="437"/>
      <c r="DJ184" s="108"/>
      <c r="DK184" s="108"/>
      <c r="DL184" s="108"/>
      <c r="DM184" s="189"/>
      <c r="DN184" s="436"/>
      <c r="DX184" s="436"/>
      <c r="DY184" s="437"/>
      <c r="DZ184" s="108"/>
      <c r="EA184" s="108"/>
      <c r="EB184" s="108"/>
    </row>
    <row r="185" spans="1:132" ht="14.25" customHeight="1">
      <c r="A185" s="152"/>
      <c r="C185" s="289"/>
      <c r="D185" s="289"/>
      <c r="E185" s="189"/>
      <c r="P185" s="436"/>
      <c r="Q185" s="437"/>
      <c r="R185" s="108"/>
      <c r="S185" s="108"/>
      <c r="T185" s="108"/>
      <c r="U185" s="189"/>
      <c r="AF185" s="436"/>
      <c r="AG185" s="437"/>
      <c r="AH185" s="108"/>
      <c r="AI185" s="108"/>
      <c r="AJ185" s="108"/>
      <c r="AK185" s="189"/>
      <c r="AV185" s="436"/>
      <c r="AW185" s="437"/>
      <c r="AX185" s="108"/>
      <c r="AY185" s="108"/>
      <c r="AZ185" s="108"/>
      <c r="BA185" s="189"/>
      <c r="BL185" s="436"/>
      <c r="BM185" s="437"/>
      <c r="BN185" s="108"/>
      <c r="BO185" s="108"/>
      <c r="BP185" s="108"/>
      <c r="BQ185" s="189"/>
      <c r="CB185" s="436"/>
      <c r="CC185" s="437"/>
      <c r="CD185" s="108"/>
      <c r="CE185" s="108"/>
      <c r="CF185" s="108"/>
      <c r="CG185" s="189"/>
      <c r="CR185" s="436"/>
      <c r="CS185" s="437"/>
      <c r="CT185" s="108"/>
      <c r="CU185" s="108"/>
      <c r="CV185" s="108"/>
      <c r="CW185" s="189"/>
      <c r="DH185" s="436"/>
      <c r="DI185" s="437"/>
      <c r="DJ185" s="108"/>
      <c r="DK185" s="108"/>
      <c r="DL185" s="108"/>
      <c r="DM185" s="189"/>
      <c r="DN185" s="436"/>
      <c r="DX185" s="436"/>
      <c r="DY185" s="437"/>
      <c r="DZ185" s="108"/>
      <c r="EA185" s="108"/>
      <c r="EB185" s="108"/>
    </row>
    <row r="186" spans="1:132" ht="14.25" customHeight="1">
      <c r="A186" s="152"/>
      <c r="C186" s="289"/>
      <c r="D186" s="289"/>
      <c r="E186" s="189"/>
      <c r="P186" s="436"/>
      <c r="Q186" s="437"/>
      <c r="R186" s="108"/>
      <c r="S186" s="108"/>
      <c r="T186" s="108"/>
      <c r="U186" s="189"/>
      <c r="AF186" s="436"/>
      <c r="AG186" s="437"/>
      <c r="AH186" s="108"/>
      <c r="AI186" s="108"/>
      <c r="AJ186" s="108"/>
      <c r="AK186" s="189"/>
      <c r="AV186" s="436"/>
      <c r="AW186" s="437"/>
      <c r="AX186" s="108"/>
      <c r="AY186" s="108"/>
      <c r="AZ186" s="108"/>
      <c r="BA186" s="189"/>
      <c r="BL186" s="436"/>
      <c r="BM186" s="437"/>
      <c r="BN186" s="108"/>
      <c r="BO186" s="108"/>
      <c r="BP186" s="108"/>
      <c r="BQ186" s="189"/>
      <c r="CB186" s="436"/>
      <c r="CC186" s="437"/>
      <c r="CD186" s="108"/>
      <c r="CE186" s="108"/>
      <c r="CF186" s="108"/>
      <c r="CG186" s="189"/>
      <c r="CR186" s="436"/>
      <c r="CS186" s="437"/>
      <c r="CT186" s="108"/>
      <c r="CU186" s="108"/>
      <c r="CV186" s="108"/>
      <c r="CW186" s="189"/>
      <c r="DH186" s="436"/>
      <c r="DI186" s="437"/>
      <c r="DJ186" s="108"/>
      <c r="DK186" s="108"/>
      <c r="DL186" s="108"/>
      <c r="DM186" s="189"/>
      <c r="DN186" s="436"/>
      <c r="DX186" s="436"/>
      <c r="DY186" s="437"/>
      <c r="DZ186" s="108"/>
      <c r="EA186" s="108"/>
      <c r="EB186" s="108"/>
    </row>
    <row r="187" spans="1:132" ht="14.25" customHeight="1">
      <c r="A187" s="152"/>
      <c r="C187" s="289"/>
      <c r="D187" s="289"/>
      <c r="E187" s="189"/>
      <c r="P187" s="436"/>
      <c r="Q187" s="437"/>
      <c r="R187" s="108"/>
      <c r="S187" s="108"/>
      <c r="T187" s="108"/>
      <c r="U187" s="189"/>
      <c r="AF187" s="436"/>
      <c r="AG187" s="437"/>
      <c r="AH187" s="108"/>
      <c r="AI187" s="108"/>
      <c r="AJ187" s="108"/>
      <c r="AK187" s="189"/>
      <c r="AV187" s="436"/>
      <c r="AW187" s="437"/>
      <c r="AX187" s="108"/>
      <c r="AY187" s="108"/>
      <c r="AZ187" s="108"/>
      <c r="BA187" s="189"/>
      <c r="BL187" s="436"/>
      <c r="BM187" s="437"/>
      <c r="BN187" s="108"/>
      <c r="BO187" s="108"/>
      <c r="BP187" s="108"/>
      <c r="BQ187" s="189"/>
      <c r="CB187" s="436"/>
      <c r="CC187" s="437"/>
      <c r="CD187" s="108"/>
      <c r="CE187" s="108"/>
      <c r="CF187" s="108"/>
      <c r="CG187" s="189"/>
      <c r="CR187" s="436"/>
      <c r="CS187" s="437"/>
      <c r="CT187" s="108"/>
      <c r="CU187" s="108"/>
      <c r="CV187" s="108"/>
      <c r="CW187" s="189"/>
      <c r="DH187" s="436"/>
      <c r="DI187" s="437"/>
      <c r="DJ187" s="108"/>
      <c r="DK187" s="108"/>
      <c r="DL187" s="108"/>
      <c r="DM187" s="189"/>
      <c r="DN187" s="436"/>
      <c r="DX187" s="436"/>
      <c r="DY187" s="437"/>
      <c r="DZ187" s="108"/>
      <c r="EA187" s="108"/>
      <c r="EB187" s="108"/>
    </row>
    <row r="188" spans="1:132" ht="14.25" customHeight="1">
      <c r="A188" s="152"/>
      <c r="C188" s="289"/>
      <c r="D188" s="289"/>
      <c r="E188" s="189"/>
      <c r="P188" s="436"/>
      <c r="Q188" s="437"/>
      <c r="R188" s="108"/>
      <c r="S188" s="108"/>
      <c r="T188" s="108"/>
      <c r="U188" s="189"/>
      <c r="AF188" s="436"/>
      <c r="AG188" s="437"/>
      <c r="AH188" s="108"/>
      <c r="AI188" s="108"/>
      <c r="AJ188" s="108"/>
      <c r="AK188" s="189"/>
      <c r="AV188" s="436"/>
      <c r="AW188" s="437"/>
      <c r="AX188" s="108"/>
      <c r="AY188" s="108"/>
      <c r="AZ188" s="108"/>
      <c r="BA188" s="189"/>
      <c r="BL188" s="436"/>
      <c r="BM188" s="437"/>
      <c r="BN188" s="108"/>
      <c r="BO188" s="108"/>
      <c r="BP188" s="108"/>
      <c r="BQ188" s="189"/>
      <c r="CB188" s="436"/>
      <c r="CC188" s="437"/>
      <c r="CD188" s="108"/>
      <c r="CE188" s="108"/>
      <c r="CF188" s="108"/>
      <c r="CG188" s="189"/>
      <c r="CR188" s="436"/>
      <c r="CS188" s="437"/>
      <c r="CT188" s="108"/>
      <c r="CU188" s="108"/>
      <c r="CV188" s="108"/>
      <c r="CW188" s="189"/>
      <c r="DH188" s="436"/>
      <c r="DI188" s="437"/>
      <c r="DJ188" s="108"/>
      <c r="DK188" s="108"/>
      <c r="DL188" s="108"/>
      <c r="DM188" s="189"/>
      <c r="DN188" s="436"/>
      <c r="DX188" s="436"/>
      <c r="DY188" s="437"/>
      <c r="DZ188" s="108"/>
      <c r="EA188" s="108"/>
      <c r="EB188" s="108"/>
    </row>
    <row r="189" spans="1:132" ht="14.25" customHeight="1">
      <c r="A189" s="152"/>
      <c r="C189" s="289"/>
      <c r="D189" s="289"/>
      <c r="E189" s="189"/>
      <c r="P189" s="436"/>
      <c r="Q189" s="437"/>
      <c r="R189" s="108"/>
      <c r="S189" s="108"/>
      <c r="T189" s="108"/>
      <c r="U189" s="189"/>
      <c r="AF189" s="436"/>
      <c r="AG189" s="437"/>
      <c r="AH189" s="108"/>
      <c r="AI189" s="108"/>
      <c r="AJ189" s="108"/>
      <c r="AK189" s="189"/>
      <c r="AV189" s="436"/>
      <c r="AW189" s="437"/>
      <c r="AX189" s="108"/>
      <c r="AY189" s="108"/>
      <c r="AZ189" s="108"/>
      <c r="BA189" s="189"/>
      <c r="BL189" s="436"/>
      <c r="BM189" s="437"/>
      <c r="BN189" s="108"/>
      <c r="BO189" s="108"/>
      <c r="BP189" s="108"/>
      <c r="BQ189" s="189"/>
      <c r="CB189" s="436"/>
      <c r="CC189" s="437"/>
      <c r="CD189" s="108"/>
      <c r="CE189" s="108"/>
      <c r="CF189" s="108"/>
      <c r="CG189" s="189"/>
      <c r="CR189" s="436"/>
      <c r="CS189" s="437"/>
      <c r="CT189" s="108"/>
      <c r="CU189" s="108"/>
      <c r="CV189" s="108"/>
      <c r="CW189" s="189"/>
      <c r="DH189" s="436"/>
      <c r="DI189" s="437"/>
      <c r="DJ189" s="108"/>
      <c r="DK189" s="108"/>
      <c r="DL189" s="108"/>
      <c r="DM189" s="189"/>
      <c r="DN189" s="436"/>
      <c r="DX189" s="436"/>
      <c r="DY189" s="437"/>
      <c r="DZ189" s="108"/>
      <c r="EA189" s="108"/>
      <c r="EB189" s="108"/>
    </row>
    <row r="190" spans="1:132" ht="14.25" customHeight="1">
      <c r="A190" s="152"/>
      <c r="C190" s="289"/>
      <c r="D190" s="289"/>
      <c r="E190" s="189"/>
      <c r="P190" s="436"/>
      <c r="Q190" s="437"/>
      <c r="R190" s="108"/>
      <c r="S190" s="108"/>
      <c r="T190" s="108"/>
      <c r="U190" s="189"/>
      <c r="AF190" s="436"/>
      <c r="AG190" s="437"/>
      <c r="AH190" s="108"/>
      <c r="AI190" s="108"/>
      <c r="AJ190" s="108"/>
      <c r="AK190" s="189"/>
      <c r="AV190" s="436"/>
      <c r="AW190" s="437"/>
      <c r="AX190" s="108"/>
      <c r="AY190" s="108"/>
      <c r="AZ190" s="108"/>
      <c r="BA190" s="189"/>
      <c r="BL190" s="436"/>
      <c r="BM190" s="437"/>
      <c r="BN190" s="108"/>
      <c r="BO190" s="108"/>
      <c r="BP190" s="108"/>
      <c r="BQ190" s="189"/>
      <c r="CB190" s="436"/>
      <c r="CC190" s="437"/>
      <c r="CD190" s="108"/>
      <c r="CE190" s="108"/>
      <c r="CF190" s="108"/>
      <c r="CG190" s="189"/>
      <c r="CR190" s="436"/>
      <c r="CS190" s="437"/>
      <c r="CT190" s="108"/>
      <c r="CU190" s="108"/>
      <c r="CV190" s="108"/>
      <c r="CW190" s="189"/>
      <c r="DH190" s="436"/>
      <c r="DI190" s="437"/>
      <c r="DJ190" s="108"/>
      <c r="DK190" s="108"/>
      <c r="DL190" s="108"/>
      <c r="DM190" s="189"/>
      <c r="DN190" s="436"/>
      <c r="DX190" s="436"/>
      <c r="DY190" s="437"/>
      <c r="DZ190" s="108"/>
      <c r="EA190" s="108"/>
      <c r="EB190" s="108"/>
    </row>
    <row r="191" spans="1:132" ht="14.25" customHeight="1">
      <c r="A191" s="152"/>
      <c r="C191" s="289"/>
      <c r="D191" s="289"/>
      <c r="E191" s="189"/>
      <c r="P191" s="436"/>
      <c r="Q191" s="437"/>
      <c r="R191" s="108"/>
      <c r="S191" s="108"/>
      <c r="T191" s="108"/>
      <c r="U191" s="189"/>
      <c r="AF191" s="436"/>
      <c r="AG191" s="437"/>
      <c r="AH191" s="108"/>
      <c r="AI191" s="108"/>
      <c r="AJ191" s="108"/>
      <c r="AK191" s="189"/>
      <c r="AV191" s="436"/>
      <c r="AW191" s="437"/>
      <c r="AX191" s="108"/>
      <c r="AY191" s="108"/>
      <c r="AZ191" s="108"/>
      <c r="BA191" s="189"/>
      <c r="BL191" s="436"/>
      <c r="BM191" s="437"/>
      <c r="BN191" s="108"/>
      <c r="BO191" s="108"/>
      <c r="BP191" s="108"/>
      <c r="BQ191" s="189"/>
      <c r="CB191" s="436"/>
      <c r="CC191" s="437"/>
      <c r="CD191" s="108"/>
      <c r="CE191" s="108"/>
      <c r="CF191" s="108"/>
      <c r="CG191" s="189"/>
      <c r="CR191" s="436"/>
      <c r="CS191" s="437"/>
      <c r="CT191" s="108"/>
      <c r="CU191" s="108"/>
      <c r="CV191" s="108"/>
      <c r="CW191" s="189"/>
      <c r="DH191" s="436"/>
      <c r="DI191" s="437"/>
      <c r="DJ191" s="108"/>
      <c r="DK191" s="108"/>
      <c r="DL191" s="108"/>
      <c r="DM191" s="189"/>
      <c r="DN191" s="436"/>
      <c r="DX191" s="436"/>
      <c r="DY191" s="437"/>
      <c r="DZ191" s="108"/>
      <c r="EA191" s="108"/>
      <c r="EB191" s="108"/>
    </row>
    <row r="192" spans="1:132" ht="14.25" customHeight="1">
      <c r="A192" s="152"/>
      <c r="C192" s="289"/>
      <c r="D192" s="289"/>
      <c r="E192" s="189"/>
      <c r="P192" s="436"/>
      <c r="Q192" s="437"/>
      <c r="R192" s="108"/>
      <c r="S192" s="108"/>
      <c r="T192" s="108"/>
      <c r="U192" s="189"/>
      <c r="AF192" s="436"/>
      <c r="AG192" s="437"/>
      <c r="AH192" s="108"/>
      <c r="AI192" s="108"/>
      <c r="AJ192" s="108"/>
      <c r="AK192" s="189"/>
      <c r="AV192" s="436"/>
      <c r="AW192" s="437"/>
      <c r="AX192" s="108"/>
      <c r="AY192" s="108"/>
      <c r="AZ192" s="108"/>
      <c r="BA192" s="189"/>
      <c r="BL192" s="436"/>
      <c r="BM192" s="437"/>
      <c r="BN192" s="108"/>
      <c r="BO192" s="108"/>
      <c r="BP192" s="108"/>
      <c r="BQ192" s="189"/>
      <c r="CB192" s="436"/>
      <c r="CC192" s="437"/>
      <c r="CD192" s="108"/>
      <c r="CE192" s="108"/>
      <c r="CF192" s="108"/>
      <c r="CG192" s="189"/>
      <c r="CR192" s="436"/>
      <c r="CS192" s="437"/>
      <c r="CT192" s="108"/>
      <c r="CU192" s="108"/>
      <c r="CV192" s="108"/>
      <c r="CW192" s="189"/>
      <c r="DH192" s="436"/>
      <c r="DI192" s="437"/>
      <c r="DJ192" s="108"/>
      <c r="DK192" s="108"/>
      <c r="DL192" s="108"/>
      <c r="DM192" s="189"/>
      <c r="DN192" s="436"/>
      <c r="DX192" s="436"/>
      <c r="DY192" s="437"/>
      <c r="DZ192" s="108"/>
      <c r="EA192" s="108"/>
      <c r="EB192" s="108"/>
    </row>
    <row r="193" spans="1:132" ht="14.25" customHeight="1">
      <c r="A193" s="152"/>
      <c r="C193" s="289"/>
      <c r="D193" s="289"/>
      <c r="E193" s="189"/>
      <c r="P193" s="436"/>
      <c r="Q193" s="437"/>
      <c r="R193" s="108"/>
      <c r="S193" s="108"/>
      <c r="T193" s="108"/>
      <c r="U193" s="189"/>
      <c r="AF193" s="436"/>
      <c r="AG193" s="437"/>
      <c r="AH193" s="108"/>
      <c r="AI193" s="108"/>
      <c r="AJ193" s="108"/>
      <c r="AK193" s="189"/>
      <c r="AV193" s="436"/>
      <c r="AW193" s="437"/>
      <c r="AX193" s="108"/>
      <c r="AY193" s="108"/>
      <c r="AZ193" s="108"/>
      <c r="BA193" s="189"/>
      <c r="BL193" s="436"/>
      <c r="BM193" s="437"/>
      <c r="BN193" s="108"/>
      <c r="BO193" s="108"/>
      <c r="BP193" s="108"/>
      <c r="BQ193" s="189"/>
      <c r="CB193" s="436"/>
      <c r="CC193" s="437"/>
      <c r="CD193" s="108"/>
      <c r="CE193" s="108"/>
      <c r="CF193" s="108"/>
      <c r="CG193" s="189"/>
      <c r="CR193" s="436"/>
      <c r="CS193" s="437"/>
      <c r="CT193" s="108"/>
      <c r="CU193" s="108"/>
      <c r="CV193" s="108"/>
      <c r="CW193" s="189"/>
      <c r="DH193" s="436"/>
      <c r="DI193" s="437"/>
      <c r="DJ193" s="108"/>
      <c r="DK193" s="108"/>
      <c r="DL193" s="108"/>
      <c r="DM193" s="189"/>
      <c r="DN193" s="436"/>
      <c r="DX193" s="436"/>
      <c r="DY193" s="437"/>
      <c r="DZ193" s="108"/>
      <c r="EA193" s="108"/>
      <c r="EB193" s="108"/>
    </row>
    <row r="194" spans="1:132" ht="14.25" customHeight="1">
      <c r="A194" s="152"/>
      <c r="C194" s="289"/>
      <c r="D194" s="289"/>
      <c r="E194" s="189"/>
      <c r="P194" s="436"/>
      <c r="Q194" s="437"/>
      <c r="R194" s="108"/>
      <c r="S194" s="108"/>
      <c r="T194" s="108"/>
      <c r="U194" s="189"/>
      <c r="AF194" s="436"/>
      <c r="AG194" s="437"/>
      <c r="AH194" s="108"/>
      <c r="AI194" s="108"/>
      <c r="AJ194" s="108"/>
      <c r="AK194" s="189"/>
      <c r="AV194" s="436"/>
      <c r="AW194" s="437"/>
      <c r="AX194" s="108"/>
      <c r="AY194" s="108"/>
      <c r="AZ194" s="108"/>
      <c r="BA194" s="189"/>
      <c r="BL194" s="436"/>
      <c r="BM194" s="437"/>
      <c r="BN194" s="108"/>
      <c r="BO194" s="108"/>
      <c r="BP194" s="108"/>
      <c r="BQ194" s="189"/>
      <c r="CB194" s="436"/>
      <c r="CC194" s="437"/>
      <c r="CD194" s="108"/>
      <c r="CE194" s="108"/>
      <c r="CF194" s="108"/>
      <c r="CG194" s="189"/>
      <c r="CR194" s="436"/>
      <c r="CS194" s="437"/>
      <c r="CT194" s="108"/>
      <c r="CU194" s="108"/>
      <c r="CV194" s="108"/>
      <c r="CW194" s="189"/>
      <c r="DH194" s="436"/>
      <c r="DI194" s="437"/>
      <c r="DJ194" s="108"/>
      <c r="DK194" s="108"/>
      <c r="DL194" s="108"/>
      <c r="DM194" s="189"/>
      <c r="DN194" s="436"/>
      <c r="DX194" s="436"/>
      <c r="DY194" s="437"/>
      <c r="DZ194" s="108"/>
      <c r="EA194" s="108"/>
      <c r="EB194" s="108"/>
    </row>
    <row r="195" spans="1:132" ht="14.25" customHeight="1">
      <c r="A195" s="152"/>
      <c r="C195" s="289"/>
      <c r="D195" s="289"/>
      <c r="E195" s="189"/>
      <c r="P195" s="436"/>
      <c r="Q195" s="437"/>
      <c r="R195" s="108"/>
      <c r="S195" s="108"/>
      <c r="T195" s="108"/>
      <c r="U195" s="189"/>
      <c r="AF195" s="436"/>
      <c r="AG195" s="437"/>
      <c r="AH195" s="108"/>
      <c r="AI195" s="108"/>
      <c r="AJ195" s="108"/>
      <c r="AK195" s="189"/>
      <c r="AV195" s="436"/>
      <c r="AW195" s="437"/>
      <c r="AX195" s="108"/>
      <c r="AY195" s="108"/>
      <c r="AZ195" s="108"/>
      <c r="BA195" s="189"/>
      <c r="BL195" s="436"/>
      <c r="BM195" s="437"/>
      <c r="BN195" s="108"/>
      <c r="BO195" s="108"/>
      <c r="BP195" s="108"/>
      <c r="BQ195" s="189"/>
      <c r="CB195" s="436"/>
      <c r="CC195" s="437"/>
      <c r="CD195" s="108"/>
      <c r="CE195" s="108"/>
      <c r="CF195" s="108"/>
      <c r="CG195" s="189"/>
      <c r="CR195" s="436"/>
      <c r="CS195" s="437"/>
      <c r="CT195" s="108"/>
      <c r="CU195" s="108"/>
      <c r="CV195" s="108"/>
      <c r="CW195" s="189"/>
      <c r="DH195" s="436"/>
      <c r="DI195" s="437"/>
      <c r="DJ195" s="108"/>
      <c r="DK195" s="108"/>
      <c r="DL195" s="108"/>
      <c r="DM195" s="189"/>
      <c r="DN195" s="436"/>
      <c r="DX195" s="436"/>
      <c r="DY195" s="437"/>
      <c r="DZ195" s="108"/>
      <c r="EA195" s="108"/>
      <c r="EB195" s="108"/>
    </row>
    <row r="196" spans="1:132" ht="14.25" customHeight="1">
      <c r="A196" s="152"/>
      <c r="C196" s="289"/>
      <c r="D196" s="289"/>
      <c r="E196" s="189"/>
      <c r="P196" s="436"/>
      <c r="Q196" s="437"/>
      <c r="R196" s="108"/>
      <c r="S196" s="108"/>
      <c r="T196" s="108"/>
      <c r="U196" s="189"/>
      <c r="AF196" s="436"/>
      <c r="AG196" s="437"/>
      <c r="AH196" s="108"/>
      <c r="AI196" s="108"/>
      <c r="AJ196" s="108"/>
      <c r="AK196" s="189"/>
      <c r="AV196" s="436"/>
      <c r="AW196" s="437"/>
      <c r="AX196" s="108"/>
      <c r="AY196" s="108"/>
      <c r="AZ196" s="108"/>
      <c r="BA196" s="189"/>
      <c r="BL196" s="436"/>
      <c r="BM196" s="437"/>
      <c r="BN196" s="108"/>
      <c r="BO196" s="108"/>
      <c r="BP196" s="108"/>
      <c r="BQ196" s="189"/>
      <c r="CB196" s="436"/>
      <c r="CC196" s="437"/>
      <c r="CD196" s="108"/>
      <c r="CE196" s="108"/>
      <c r="CF196" s="108"/>
      <c r="CG196" s="189"/>
      <c r="CR196" s="436"/>
      <c r="CS196" s="437"/>
      <c r="CT196" s="108"/>
      <c r="CU196" s="108"/>
      <c r="CV196" s="108"/>
      <c r="CW196" s="189"/>
      <c r="DH196" s="436"/>
      <c r="DI196" s="437"/>
      <c r="DJ196" s="108"/>
      <c r="DK196" s="108"/>
      <c r="DL196" s="108"/>
      <c r="DM196" s="189"/>
      <c r="DN196" s="436"/>
      <c r="DX196" s="436"/>
      <c r="DY196" s="437"/>
      <c r="DZ196" s="108"/>
      <c r="EA196" s="108"/>
      <c r="EB196" s="108"/>
    </row>
    <row r="197" spans="1:132" ht="14.25" customHeight="1">
      <c r="A197" s="152"/>
      <c r="C197" s="289"/>
      <c r="D197" s="289"/>
      <c r="E197" s="189"/>
      <c r="P197" s="436"/>
      <c r="Q197" s="437"/>
      <c r="R197" s="108"/>
      <c r="S197" s="108"/>
      <c r="T197" s="108"/>
      <c r="U197" s="189"/>
      <c r="AF197" s="436"/>
      <c r="AG197" s="437"/>
      <c r="AH197" s="108"/>
      <c r="AI197" s="108"/>
      <c r="AJ197" s="108"/>
      <c r="AK197" s="189"/>
      <c r="AV197" s="436"/>
      <c r="AW197" s="437"/>
      <c r="AX197" s="108"/>
      <c r="AY197" s="108"/>
      <c r="AZ197" s="108"/>
      <c r="BA197" s="189"/>
      <c r="BL197" s="436"/>
      <c r="BM197" s="437"/>
      <c r="BN197" s="108"/>
      <c r="BO197" s="108"/>
      <c r="BP197" s="108"/>
      <c r="BQ197" s="189"/>
      <c r="CB197" s="436"/>
      <c r="CC197" s="437"/>
      <c r="CD197" s="108"/>
      <c r="CE197" s="108"/>
      <c r="CF197" s="108"/>
      <c r="CG197" s="189"/>
      <c r="CR197" s="436"/>
      <c r="CS197" s="437"/>
      <c r="CT197" s="108"/>
      <c r="CU197" s="108"/>
      <c r="CV197" s="108"/>
      <c r="CW197" s="189"/>
      <c r="DH197" s="436"/>
      <c r="DI197" s="437"/>
      <c r="DJ197" s="108"/>
      <c r="DK197" s="108"/>
      <c r="DL197" s="108"/>
      <c r="DM197" s="189"/>
      <c r="DN197" s="436"/>
      <c r="DX197" s="436"/>
      <c r="DY197" s="437"/>
      <c r="DZ197" s="108"/>
      <c r="EA197" s="108"/>
      <c r="EB197" s="108"/>
    </row>
    <row r="198" spans="1:132" ht="14.25" customHeight="1">
      <c r="A198" s="152"/>
      <c r="C198" s="289"/>
      <c r="D198" s="289"/>
      <c r="E198" s="189"/>
      <c r="P198" s="436"/>
      <c r="Q198" s="437"/>
      <c r="R198" s="108"/>
      <c r="S198" s="108"/>
      <c r="T198" s="108"/>
      <c r="U198" s="189"/>
      <c r="AF198" s="436"/>
      <c r="AG198" s="437"/>
      <c r="AH198" s="108"/>
      <c r="AI198" s="108"/>
      <c r="AJ198" s="108"/>
      <c r="AK198" s="189"/>
      <c r="AV198" s="436"/>
      <c r="AW198" s="437"/>
      <c r="AX198" s="108"/>
      <c r="AY198" s="108"/>
      <c r="AZ198" s="108"/>
      <c r="BA198" s="189"/>
      <c r="BL198" s="436"/>
      <c r="BM198" s="437"/>
      <c r="BN198" s="108"/>
      <c r="BO198" s="108"/>
      <c r="BP198" s="108"/>
      <c r="BQ198" s="189"/>
      <c r="CB198" s="436"/>
      <c r="CC198" s="437"/>
      <c r="CD198" s="108"/>
      <c r="CE198" s="108"/>
      <c r="CF198" s="108"/>
      <c r="CG198" s="189"/>
      <c r="CR198" s="436"/>
      <c r="CS198" s="437"/>
      <c r="CT198" s="108"/>
      <c r="CU198" s="108"/>
      <c r="CV198" s="108"/>
      <c r="CW198" s="189"/>
      <c r="DH198" s="436"/>
      <c r="DI198" s="437"/>
      <c r="DJ198" s="108"/>
      <c r="DK198" s="108"/>
      <c r="DL198" s="108"/>
      <c r="DM198" s="189"/>
      <c r="DN198" s="436"/>
      <c r="DX198" s="436"/>
      <c r="DY198" s="437"/>
      <c r="DZ198" s="108"/>
      <c r="EA198" s="108"/>
      <c r="EB198" s="108"/>
    </row>
    <row r="199" spans="1:132" ht="14.25" customHeight="1">
      <c r="A199" s="152"/>
      <c r="C199" s="289"/>
      <c r="D199" s="289"/>
      <c r="E199" s="189"/>
      <c r="P199" s="436"/>
      <c r="Q199" s="437"/>
      <c r="R199" s="108"/>
      <c r="S199" s="108"/>
      <c r="T199" s="108"/>
      <c r="U199" s="189"/>
      <c r="AF199" s="436"/>
      <c r="AG199" s="437"/>
      <c r="AH199" s="108"/>
      <c r="AI199" s="108"/>
      <c r="AJ199" s="108"/>
      <c r="AK199" s="189"/>
      <c r="AV199" s="436"/>
      <c r="AW199" s="437"/>
      <c r="AX199" s="108"/>
      <c r="AY199" s="108"/>
      <c r="AZ199" s="108"/>
      <c r="BA199" s="189"/>
      <c r="BL199" s="436"/>
      <c r="BM199" s="437"/>
      <c r="BN199" s="108"/>
      <c r="BO199" s="108"/>
      <c r="BP199" s="108"/>
      <c r="BQ199" s="189"/>
      <c r="CB199" s="436"/>
      <c r="CC199" s="437"/>
      <c r="CD199" s="108"/>
      <c r="CE199" s="108"/>
      <c r="CF199" s="108"/>
      <c r="CG199" s="189"/>
      <c r="CR199" s="436"/>
      <c r="CS199" s="437"/>
      <c r="CT199" s="108"/>
      <c r="CU199" s="108"/>
      <c r="CV199" s="108"/>
      <c r="CW199" s="189"/>
      <c r="DH199" s="436"/>
      <c r="DI199" s="437"/>
      <c r="DJ199" s="108"/>
      <c r="DK199" s="108"/>
      <c r="DL199" s="108"/>
      <c r="DM199" s="189"/>
      <c r="DN199" s="436"/>
      <c r="DX199" s="436"/>
      <c r="DY199" s="437"/>
      <c r="DZ199" s="108"/>
      <c r="EA199" s="108"/>
      <c r="EB199" s="108"/>
    </row>
    <row r="200" spans="1:132" ht="14.25" customHeight="1">
      <c r="A200" s="152"/>
      <c r="C200" s="289"/>
      <c r="D200" s="289"/>
      <c r="E200" s="189"/>
      <c r="P200" s="436"/>
      <c r="Q200" s="437"/>
      <c r="R200" s="108"/>
      <c r="S200" s="108"/>
      <c r="T200" s="108"/>
      <c r="U200" s="189"/>
      <c r="AF200" s="436"/>
      <c r="AG200" s="437"/>
      <c r="AH200" s="108"/>
      <c r="AI200" s="108"/>
      <c r="AJ200" s="108"/>
      <c r="AK200" s="189"/>
      <c r="AV200" s="436"/>
      <c r="AW200" s="437"/>
      <c r="AX200" s="108"/>
      <c r="AY200" s="108"/>
      <c r="AZ200" s="108"/>
      <c r="BA200" s="189"/>
      <c r="BL200" s="436"/>
      <c r="BM200" s="437"/>
      <c r="BN200" s="108"/>
      <c r="BO200" s="108"/>
      <c r="BP200" s="108"/>
      <c r="BQ200" s="189"/>
      <c r="CB200" s="436"/>
      <c r="CC200" s="437"/>
      <c r="CD200" s="108"/>
      <c r="CE200" s="108"/>
      <c r="CF200" s="108"/>
      <c r="CG200" s="189"/>
      <c r="CR200" s="436"/>
      <c r="CS200" s="437"/>
      <c r="CT200" s="108"/>
      <c r="CU200" s="108"/>
      <c r="CV200" s="108"/>
      <c r="CW200" s="189"/>
      <c r="DH200" s="436"/>
      <c r="DI200" s="437"/>
      <c r="DJ200" s="108"/>
      <c r="DK200" s="108"/>
      <c r="DL200" s="108"/>
      <c r="DM200" s="189"/>
      <c r="DN200" s="436"/>
      <c r="DX200" s="436"/>
      <c r="DY200" s="437"/>
      <c r="DZ200" s="108"/>
      <c r="EA200" s="108"/>
      <c r="EB200" s="108"/>
    </row>
    <row r="201" spans="1:132" ht="14.25" customHeight="1">
      <c r="A201" s="152"/>
      <c r="C201" s="289"/>
      <c r="D201" s="289"/>
      <c r="E201" s="189"/>
      <c r="P201" s="436"/>
      <c r="Q201" s="437"/>
      <c r="R201" s="108"/>
      <c r="S201" s="108"/>
      <c r="T201" s="108"/>
      <c r="U201" s="189"/>
      <c r="AF201" s="436"/>
      <c r="AG201" s="437"/>
      <c r="AH201" s="108"/>
      <c r="AI201" s="108"/>
      <c r="AJ201" s="108"/>
      <c r="AK201" s="189"/>
      <c r="AV201" s="436"/>
      <c r="AW201" s="437"/>
      <c r="AX201" s="108"/>
      <c r="AY201" s="108"/>
      <c r="AZ201" s="108"/>
      <c r="BA201" s="189"/>
      <c r="BL201" s="436"/>
      <c r="BM201" s="437"/>
      <c r="BN201" s="108"/>
      <c r="BO201" s="108"/>
      <c r="BP201" s="108"/>
      <c r="BQ201" s="189"/>
      <c r="CB201" s="436"/>
      <c r="CC201" s="437"/>
      <c r="CD201" s="108"/>
      <c r="CE201" s="108"/>
      <c r="CF201" s="108"/>
      <c r="CG201" s="189"/>
      <c r="CR201" s="436"/>
      <c r="CS201" s="437"/>
      <c r="CT201" s="108"/>
      <c r="CU201" s="108"/>
      <c r="CV201" s="108"/>
      <c r="CW201" s="189"/>
      <c r="DH201" s="436"/>
      <c r="DI201" s="437"/>
      <c r="DJ201" s="108"/>
      <c r="DK201" s="108"/>
      <c r="DL201" s="108"/>
      <c r="DM201" s="189"/>
      <c r="DN201" s="436"/>
      <c r="DX201" s="436"/>
      <c r="DY201" s="437"/>
      <c r="DZ201" s="108"/>
      <c r="EA201" s="108"/>
      <c r="EB201" s="108"/>
    </row>
    <row r="202" spans="1:132" ht="14.25" customHeight="1">
      <c r="A202" s="152"/>
      <c r="C202" s="289"/>
      <c r="D202" s="289"/>
      <c r="E202" s="189"/>
      <c r="P202" s="436"/>
      <c r="Q202" s="437"/>
      <c r="R202" s="108"/>
      <c r="S202" s="108"/>
      <c r="T202" s="108"/>
      <c r="U202" s="189"/>
      <c r="AF202" s="436"/>
      <c r="AG202" s="437"/>
      <c r="AH202" s="108"/>
      <c r="AI202" s="108"/>
      <c r="AJ202" s="108"/>
      <c r="AK202" s="189"/>
      <c r="AV202" s="436"/>
      <c r="AW202" s="437"/>
      <c r="AX202" s="108"/>
      <c r="AY202" s="108"/>
      <c r="AZ202" s="108"/>
      <c r="BA202" s="189"/>
      <c r="BL202" s="436"/>
      <c r="BM202" s="437"/>
      <c r="BN202" s="108"/>
      <c r="BO202" s="108"/>
      <c r="BP202" s="108"/>
      <c r="BQ202" s="189"/>
      <c r="CB202" s="436"/>
      <c r="CC202" s="437"/>
      <c r="CD202" s="108"/>
      <c r="CE202" s="108"/>
      <c r="CF202" s="108"/>
      <c r="CG202" s="189"/>
      <c r="CR202" s="436"/>
      <c r="CS202" s="437"/>
      <c r="CT202" s="108"/>
      <c r="CU202" s="108"/>
      <c r="CV202" s="108"/>
      <c r="CW202" s="189"/>
      <c r="DH202" s="436"/>
      <c r="DI202" s="437"/>
      <c r="DJ202" s="108"/>
      <c r="DK202" s="108"/>
      <c r="DL202" s="108"/>
      <c r="DM202" s="189"/>
      <c r="DN202" s="436"/>
      <c r="DX202" s="436"/>
      <c r="DY202" s="437"/>
      <c r="DZ202" s="108"/>
      <c r="EA202" s="108"/>
      <c r="EB202" s="108"/>
    </row>
    <row r="203" spans="1:132" ht="14.25" customHeight="1">
      <c r="A203" s="152"/>
      <c r="C203" s="289"/>
      <c r="D203" s="289"/>
      <c r="E203" s="189"/>
      <c r="P203" s="436"/>
      <c r="Q203" s="437"/>
      <c r="R203" s="108"/>
      <c r="S203" s="108"/>
      <c r="T203" s="108"/>
      <c r="U203" s="189"/>
      <c r="AF203" s="436"/>
      <c r="AG203" s="437"/>
      <c r="AH203" s="108"/>
      <c r="AI203" s="108"/>
      <c r="AJ203" s="108"/>
      <c r="AK203" s="189"/>
      <c r="AV203" s="436"/>
      <c r="AW203" s="437"/>
      <c r="AX203" s="108"/>
      <c r="AY203" s="108"/>
      <c r="AZ203" s="108"/>
      <c r="BA203" s="189"/>
      <c r="BL203" s="436"/>
      <c r="BM203" s="437"/>
      <c r="BN203" s="108"/>
      <c r="BO203" s="108"/>
      <c r="BP203" s="108"/>
      <c r="BQ203" s="189"/>
      <c r="CB203" s="436"/>
      <c r="CC203" s="437"/>
      <c r="CD203" s="108"/>
      <c r="CE203" s="108"/>
      <c r="CF203" s="108"/>
      <c r="CG203" s="189"/>
      <c r="CR203" s="436"/>
      <c r="CS203" s="437"/>
      <c r="CT203" s="108"/>
      <c r="CU203" s="108"/>
      <c r="CV203" s="108"/>
      <c r="CW203" s="189"/>
      <c r="DH203" s="436"/>
      <c r="DI203" s="437"/>
      <c r="DJ203" s="108"/>
      <c r="DK203" s="108"/>
      <c r="DL203" s="108"/>
      <c r="DM203" s="189"/>
      <c r="DN203" s="436"/>
      <c r="DX203" s="436"/>
      <c r="DY203" s="437"/>
      <c r="DZ203" s="108"/>
      <c r="EA203" s="108"/>
      <c r="EB203" s="108"/>
    </row>
    <row r="204" spans="1:132" ht="14.25" customHeight="1">
      <c r="A204" s="152"/>
      <c r="C204" s="289"/>
      <c r="D204" s="289"/>
      <c r="E204" s="189"/>
      <c r="P204" s="436"/>
      <c r="Q204" s="437"/>
      <c r="R204" s="108"/>
      <c r="S204" s="108"/>
      <c r="T204" s="108"/>
      <c r="U204" s="189"/>
      <c r="AF204" s="436"/>
      <c r="AG204" s="437"/>
      <c r="AH204" s="108"/>
      <c r="AI204" s="108"/>
      <c r="AJ204" s="108"/>
      <c r="AK204" s="189"/>
      <c r="AV204" s="436"/>
      <c r="AW204" s="437"/>
      <c r="AX204" s="108"/>
      <c r="AY204" s="108"/>
      <c r="AZ204" s="108"/>
      <c r="BA204" s="189"/>
      <c r="BL204" s="436"/>
      <c r="BM204" s="437"/>
      <c r="BN204" s="108"/>
      <c r="BO204" s="108"/>
      <c r="BP204" s="108"/>
      <c r="BQ204" s="189"/>
      <c r="CB204" s="436"/>
      <c r="CC204" s="437"/>
      <c r="CD204" s="108"/>
      <c r="CE204" s="108"/>
      <c r="CF204" s="108"/>
      <c r="CG204" s="189"/>
      <c r="CR204" s="436"/>
      <c r="CS204" s="437"/>
      <c r="CT204" s="108"/>
      <c r="CU204" s="108"/>
      <c r="CV204" s="108"/>
      <c r="CW204" s="189"/>
      <c r="DH204" s="436"/>
      <c r="DI204" s="437"/>
      <c r="DJ204" s="108"/>
      <c r="DK204" s="108"/>
      <c r="DL204" s="108"/>
      <c r="DM204" s="189"/>
      <c r="DN204" s="436"/>
      <c r="DX204" s="436"/>
      <c r="DY204" s="437"/>
      <c r="DZ204" s="108"/>
      <c r="EA204" s="108"/>
      <c r="EB204" s="108"/>
    </row>
    <row r="205" spans="1:132" ht="14.25" customHeight="1">
      <c r="A205" s="152"/>
      <c r="C205" s="289"/>
      <c r="D205" s="289"/>
      <c r="E205" s="189"/>
      <c r="P205" s="436"/>
      <c r="Q205" s="437"/>
      <c r="R205" s="108"/>
      <c r="S205" s="108"/>
      <c r="T205" s="108"/>
      <c r="U205" s="189"/>
      <c r="AF205" s="436"/>
      <c r="AG205" s="437"/>
      <c r="AH205" s="108"/>
      <c r="AI205" s="108"/>
      <c r="AJ205" s="108"/>
      <c r="AK205" s="189"/>
      <c r="AV205" s="436"/>
      <c r="AW205" s="437"/>
      <c r="AX205" s="108"/>
      <c r="AY205" s="108"/>
      <c r="AZ205" s="108"/>
      <c r="BA205" s="189"/>
      <c r="BL205" s="436"/>
      <c r="BM205" s="437"/>
      <c r="BN205" s="108"/>
      <c r="BO205" s="108"/>
      <c r="BP205" s="108"/>
      <c r="BQ205" s="189"/>
      <c r="CB205" s="436"/>
      <c r="CC205" s="437"/>
      <c r="CD205" s="108"/>
      <c r="CE205" s="108"/>
      <c r="CF205" s="108"/>
      <c r="CG205" s="189"/>
      <c r="CR205" s="436"/>
      <c r="CS205" s="437"/>
      <c r="CT205" s="108"/>
      <c r="CU205" s="108"/>
      <c r="CV205" s="108"/>
      <c r="CW205" s="189"/>
      <c r="DH205" s="436"/>
      <c r="DI205" s="437"/>
      <c r="DJ205" s="108"/>
      <c r="DK205" s="108"/>
      <c r="DL205" s="108"/>
      <c r="DM205" s="189"/>
      <c r="DN205" s="436"/>
      <c r="DX205" s="436"/>
      <c r="DY205" s="437"/>
      <c r="DZ205" s="108"/>
      <c r="EA205" s="108"/>
      <c r="EB205" s="108"/>
    </row>
    <row r="206" spans="1:132" ht="14.25" customHeight="1">
      <c r="A206" s="152"/>
      <c r="C206" s="289"/>
      <c r="D206" s="289"/>
      <c r="E206" s="189"/>
      <c r="P206" s="436"/>
      <c r="Q206" s="437"/>
      <c r="R206" s="108"/>
      <c r="S206" s="108"/>
      <c r="T206" s="108"/>
      <c r="U206" s="189"/>
      <c r="AF206" s="436"/>
      <c r="AG206" s="437"/>
      <c r="AH206" s="108"/>
      <c r="AI206" s="108"/>
      <c r="AJ206" s="108"/>
      <c r="AK206" s="189"/>
      <c r="AV206" s="436"/>
      <c r="AW206" s="437"/>
      <c r="AX206" s="108"/>
      <c r="AY206" s="108"/>
      <c r="AZ206" s="108"/>
      <c r="BA206" s="189"/>
      <c r="BL206" s="436"/>
      <c r="BM206" s="437"/>
      <c r="BN206" s="108"/>
      <c r="BO206" s="108"/>
      <c r="BP206" s="108"/>
      <c r="BQ206" s="189"/>
      <c r="CB206" s="436"/>
      <c r="CC206" s="437"/>
      <c r="CD206" s="108"/>
      <c r="CE206" s="108"/>
      <c r="CF206" s="108"/>
      <c r="CG206" s="189"/>
      <c r="CR206" s="436"/>
      <c r="CS206" s="437"/>
      <c r="CT206" s="108"/>
      <c r="CU206" s="108"/>
      <c r="CV206" s="108"/>
      <c r="CW206" s="189"/>
      <c r="DH206" s="436"/>
      <c r="DI206" s="437"/>
      <c r="DJ206" s="108"/>
      <c r="DK206" s="108"/>
      <c r="DL206" s="108"/>
      <c r="DM206" s="189"/>
      <c r="DN206" s="436"/>
      <c r="DX206" s="436"/>
      <c r="DY206" s="437"/>
      <c r="DZ206" s="108"/>
      <c r="EA206" s="108"/>
      <c r="EB206" s="108"/>
    </row>
    <row r="207" spans="1:132" ht="14.25" customHeight="1">
      <c r="A207" s="152"/>
      <c r="C207" s="289"/>
      <c r="D207" s="289"/>
      <c r="E207" s="189"/>
      <c r="P207" s="436"/>
      <c r="Q207" s="437"/>
      <c r="R207" s="108"/>
      <c r="S207" s="108"/>
      <c r="T207" s="108"/>
      <c r="U207" s="189"/>
      <c r="AF207" s="436"/>
      <c r="AG207" s="437"/>
      <c r="AH207" s="108"/>
      <c r="AI207" s="108"/>
      <c r="AJ207" s="108"/>
      <c r="AK207" s="189"/>
      <c r="AV207" s="436"/>
      <c r="AW207" s="437"/>
      <c r="AX207" s="108"/>
      <c r="AY207" s="108"/>
      <c r="AZ207" s="108"/>
      <c r="BA207" s="189"/>
      <c r="BL207" s="436"/>
      <c r="BM207" s="437"/>
      <c r="BN207" s="108"/>
      <c r="BO207" s="108"/>
      <c r="BP207" s="108"/>
      <c r="BQ207" s="189"/>
      <c r="CB207" s="436"/>
      <c r="CC207" s="437"/>
      <c r="CD207" s="108"/>
      <c r="CE207" s="108"/>
      <c r="CF207" s="108"/>
      <c r="CG207" s="189"/>
      <c r="CR207" s="436"/>
      <c r="CS207" s="437"/>
      <c r="CT207" s="108"/>
      <c r="CU207" s="108"/>
      <c r="CV207" s="108"/>
      <c r="CW207" s="189"/>
      <c r="DH207" s="436"/>
      <c r="DI207" s="437"/>
      <c r="DJ207" s="108"/>
      <c r="DK207" s="108"/>
      <c r="DL207" s="108"/>
      <c r="DM207" s="189"/>
      <c r="DN207" s="436"/>
      <c r="DX207" s="436"/>
      <c r="DY207" s="437"/>
      <c r="DZ207" s="108"/>
      <c r="EA207" s="108"/>
      <c r="EB207" s="108"/>
    </row>
    <row r="208" spans="1:132" ht="14.25" customHeight="1">
      <c r="A208" s="152"/>
      <c r="C208" s="289"/>
      <c r="D208" s="289"/>
      <c r="E208" s="189"/>
      <c r="P208" s="436"/>
      <c r="Q208" s="437"/>
      <c r="R208" s="108"/>
      <c r="S208" s="108"/>
      <c r="T208" s="108"/>
      <c r="U208" s="189"/>
      <c r="AF208" s="436"/>
      <c r="AG208" s="437"/>
      <c r="AH208" s="108"/>
      <c r="AI208" s="108"/>
      <c r="AJ208" s="108"/>
      <c r="AK208" s="189"/>
      <c r="AV208" s="436"/>
      <c r="AW208" s="437"/>
      <c r="AX208" s="108"/>
      <c r="AY208" s="108"/>
      <c r="AZ208" s="108"/>
      <c r="BA208" s="189"/>
      <c r="BL208" s="436"/>
      <c r="BM208" s="437"/>
      <c r="BN208" s="108"/>
      <c r="BO208" s="108"/>
      <c r="BP208" s="108"/>
      <c r="BQ208" s="189"/>
      <c r="CB208" s="436"/>
      <c r="CC208" s="437"/>
      <c r="CD208" s="108"/>
      <c r="CE208" s="108"/>
      <c r="CF208" s="108"/>
      <c r="CG208" s="189"/>
      <c r="CR208" s="436"/>
      <c r="CS208" s="437"/>
      <c r="CT208" s="108"/>
      <c r="CU208" s="108"/>
      <c r="CV208" s="108"/>
      <c r="CW208" s="189"/>
      <c r="DH208" s="436"/>
      <c r="DI208" s="437"/>
      <c r="DJ208" s="108"/>
      <c r="DK208" s="108"/>
      <c r="DL208" s="108"/>
      <c r="DM208" s="189"/>
      <c r="DN208" s="436"/>
      <c r="DX208" s="436"/>
      <c r="DY208" s="437"/>
      <c r="DZ208" s="108"/>
      <c r="EA208" s="108"/>
      <c r="EB208" s="108"/>
    </row>
    <row r="209" spans="1:132" ht="14.25" customHeight="1">
      <c r="A209" s="152"/>
      <c r="C209" s="289"/>
      <c r="D209" s="289"/>
      <c r="E209" s="189"/>
      <c r="P209" s="436"/>
      <c r="Q209" s="437"/>
      <c r="R209" s="108"/>
      <c r="S209" s="108"/>
      <c r="T209" s="108"/>
      <c r="U209" s="189"/>
      <c r="AF209" s="436"/>
      <c r="AG209" s="437"/>
      <c r="AH209" s="108"/>
      <c r="AI209" s="108"/>
      <c r="AJ209" s="108"/>
      <c r="AK209" s="189"/>
      <c r="AV209" s="436"/>
      <c r="AW209" s="437"/>
      <c r="AX209" s="108"/>
      <c r="AY209" s="108"/>
      <c r="AZ209" s="108"/>
      <c r="BA209" s="189"/>
      <c r="BL209" s="436"/>
      <c r="BM209" s="437"/>
      <c r="BN209" s="108"/>
      <c r="BO209" s="108"/>
      <c r="BP209" s="108"/>
      <c r="BQ209" s="189"/>
      <c r="CB209" s="436"/>
      <c r="CC209" s="437"/>
      <c r="CD209" s="108"/>
      <c r="CE209" s="108"/>
      <c r="CF209" s="108"/>
      <c r="CG209" s="189"/>
      <c r="CR209" s="436"/>
      <c r="CS209" s="437"/>
      <c r="CT209" s="108"/>
      <c r="CU209" s="108"/>
      <c r="CV209" s="108"/>
      <c r="CW209" s="189"/>
      <c r="DH209" s="436"/>
      <c r="DI209" s="437"/>
      <c r="DJ209" s="108"/>
      <c r="DK209" s="108"/>
      <c r="DL209" s="108"/>
      <c r="DM209" s="189"/>
      <c r="DN209" s="436"/>
      <c r="DX209" s="436"/>
      <c r="DY209" s="437"/>
      <c r="DZ209" s="108"/>
      <c r="EA209" s="108"/>
      <c r="EB209" s="108"/>
    </row>
    <row r="210" spans="1:132" ht="14.25" customHeight="1">
      <c r="A210" s="152"/>
      <c r="C210" s="289"/>
      <c r="D210" s="289"/>
      <c r="E210" s="189"/>
      <c r="P210" s="436"/>
      <c r="Q210" s="437"/>
      <c r="R210" s="108"/>
      <c r="S210" s="108"/>
      <c r="T210" s="108"/>
      <c r="U210" s="189"/>
      <c r="AF210" s="436"/>
      <c r="AG210" s="437"/>
      <c r="AH210" s="108"/>
      <c r="AI210" s="108"/>
      <c r="AJ210" s="108"/>
      <c r="AK210" s="189"/>
      <c r="AV210" s="436"/>
      <c r="AW210" s="437"/>
      <c r="AX210" s="108"/>
      <c r="AY210" s="108"/>
      <c r="AZ210" s="108"/>
      <c r="BA210" s="189"/>
      <c r="BL210" s="436"/>
      <c r="BM210" s="437"/>
      <c r="BN210" s="108"/>
      <c r="BO210" s="108"/>
      <c r="BP210" s="108"/>
      <c r="BQ210" s="189"/>
      <c r="CB210" s="436"/>
      <c r="CC210" s="437"/>
      <c r="CD210" s="108"/>
      <c r="CE210" s="108"/>
      <c r="CF210" s="108"/>
      <c r="CG210" s="189"/>
      <c r="CR210" s="436"/>
      <c r="CS210" s="437"/>
      <c r="CT210" s="108"/>
      <c r="CU210" s="108"/>
      <c r="CV210" s="108"/>
      <c r="CW210" s="189"/>
      <c r="DH210" s="436"/>
      <c r="DI210" s="437"/>
      <c r="DJ210" s="108"/>
      <c r="DK210" s="108"/>
      <c r="DL210" s="108"/>
      <c r="DM210" s="189"/>
      <c r="DN210" s="436"/>
      <c r="DX210" s="436"/>
      <c r="DY210" s="437"/>
      <c r="DZ210" s="108"/>
      <c r="EA210" s="108"/>
      <c r="EB210" s="108"/>
    </row>
    <row r="211" spans="1:132" ht="14.25" customHeight="1">
      <c r="A211" s="152"/>
      <c r="C211" s="289"/>
      <c r="D211" s="289"/>
      <c r="E211" s="189"/>
      <c r="P211" s="436"/>
      <c r="Q211" s="437"/>
      <c r="R211" s="108"/>
      <c r="S211" s="108"/>
      <c r="T211" s="108"/>
      <c r="U211" s="189"/>
      <c r="AF211" s="436"/>
      <c r="AG211" s="437"/>
      <c r="AH211" s="108"/>
      <c r="AI211" s="108"/>
      <c r="AJ211" s="108"/>
      <c r="AK211" s="189"/>
      <c r="AV211" s="436"/>
      <c r="AW211" s="437"/>
      <c r="AX211" s="108"/>
      <c r="AY211" s="108"/>
      <c r="AZ211" s="108"/>
      <c r="BA211" s="189"/>
      <c r="BL211" s="436"/>
      <c r="BM211" s="437"/>
      <c r="BN211" s="108"/>
      <c r="BO211" s="108"/>
      <c r="BP211" s="108"/>
      <c r="BQ211" s="189"/>
      <c r="CB211" s="436"/>
      <c r="CC211" s="437"/>
      <c r="CD211" s="108"/>
      <c r="CE211" s="108"/>
      <c r="CF211" s="108"/>
      <c r="CG211" s="189"/>
      <c r="CR211" s="436"/>
      <c r="CS211" s="437"/>
      <c r="CT211" s="108"/>
      <c r="CU211" s="108"/>
      <c r="CV211" s="108"/>
      <c r="CW211" s="189"/>
      <c r="DH211" s="436"/>
      <c r="DI211" s="437"/>
      <c r="DJ211" s="108"/>
      <c r="DK211" s="108"/>
      <c r="DL211" s="108"/>
      <c r="DM211" s="189"/>
      <c r="DN211" s="436"/>
      <c r="DX211" s="436"/>
      <c r="DY211" s="437"/>
      <c r="DZ211" s="108"/>
      <c r="EA211" s="108"/>
      <c r="EB211" s="108"/>
    </row>
    <row r="212" spans="1:132" ht="14.25" customHeight="1">
      <c r="A212" s="152"/>
      <c r="C212" s="289"/>
      <c r="D212" s="289"/>
      <c r="E212" s="189"/>
      <c r="P212" s="436"/>
      <c r="Q212" s="437"/>
      <c r="R212" s="108"/>
      <c r="S212" s="108"/>
      <c r="T212" s="108"/>
      <c r="U212" s="189"/>
      <c r="AF212" s="436"/>
      <c r="AG212" s="437"/>
      <c r="AH212" s="108"/>
      <c r="AI212" s="108"/>
      <c r="AJ212" s="108"/>
      <c r="AK212" s="189"/>
      <c r="AV212" s="436"/>
      <c r="AW212" s="437"/>
      <c r="AX212" s="108"/>
      <c r="AY212" s="108"/>
      <c r="AZ212" s="108"/>
      <c r="BA212" s="189"/>
      <c r="BL212" s="436"/>
      <c r="BM212" s="437"/>
      <c r="BN212" s="108"/>
      <c r="BO212" s="108"/>
      <c r="BP212" s="108"/>
      <c r="BQ212" s="189"/>
      <c r="CB212" s="436"/>
      <c r="CC212" s="437"/>
      <c r="CD212" s="108"/>
      <c r="CE212" s="108"/>
      <c r="CF212" s="108"/>
      <c r="CG212" s="189"/>
      <c r="CR212" s="436"/>
      <c r="CS212" s="437"/>
      <c r="CT212" s="108"/>
      <c r="CU212" s="108"/>
      <c r="CV212" s="108"/>
      <c r="CW212" s="189"/>
      <c r="DH212" s="436"/>
      <c r="DI212" s="437"/>
      <c r="DJ212" s="108"/>
      <c r="DK212" s="108"/>
      <c r="DL212" s="108"/>
      <c r="DM212" s="189"/>
      <c r="DN212" s="436"/>
      <c r="DX212" s="436"/>
      <c r="DY212" s="437"/>
      <c r="DZ212" s="108"/>
      <c r="EA212" s="108"/>
      <c r="EB212" s="108"/>
    </row>
    <row r="213" spans="1:132" ht="14.25" customHeight="1">
      <c r="A213" s="152"/>
      <c r="C213" s="289"/>
      <c r="D213" s="289"/>
      <c r="E213" s="189"/>
      <c r="P213" s="436"/>
      <c r="Q213" s="437"/>
      <c r="R213" s="108"/>
      <c r="S213" s="108"/>
      <c r="T213" s="108"/>
      <c r="U213" s="189"/>
      <c r="AF213" s="436"/>
      <c r="AG213" s="437"/>
      <c r="AH213" s="108"/>
      <c r="AI213" s="108"/>
      <c r="AJ213" s="108"/>
      <c r="AK213" s="189"/>
      <c r="AV213" s="436"/>
      <c r="AW213" s="437"/>
      <c r="AX213" s="108"/>
      <c r="AY213" s="108"/>
      <c r="AZ213" s="108"/>
      <c r="BA213" s="189"/>
      <c r="BL213" s="436"/>
      <c r="BM213" s="437"/>
      <c r="BN213" s="108"/>
      <c r="BO213" s="108"/>
      <c r="BP213" s="108"/>
      <c r="BQ213" s="189"/>
      <c r="CB213" s="436"/>
      <c r="CC213" s="437"/>
      <c r="CD213" s="108"/>
      <c r="CE213" s="108"/>
      <c r="CF213" s="108"/>
      <c r="CG213" s="189"/>
      <c r="CR213" s="436"/>
      <c r="CS213" s="437"/>
      <c r="CT213" s="108"/>
      <c r="CU213" s="108"/>
      <c r="CV213" s="108"/>
      <c r="CW213" s="189"/>
      <c r="DH213" s="436"/>
      <c r="DI213" s="437"/>
      <c r="DJ213" s="108"/>
      <c r="DK213" s="108"/>
      <c r="DL213" s="108"/>
      <c r="DM213" s="189"/>
      <c r="DN213" s="436"/>
      <c r="DX213" s="436"/>
      <c r="DY213" s="437"/>
      <c r="DZ213" s="108"/>
      <c r="EA213" s="108"/>
      <c r="EB213" s="108"/>
    </row>
    <row r="214" spans="1:132" ht="14.25" customHeight="1">
      <c r="A214" s="152"/>
      <c r="C214" s="289"/>
      <c r="D214" s="289"/>
      <c r="E214" s="189"/>
      <c r="P214" s="436"/>
      <c r="Q214" s="437"/>
      <c r="R214" s="108"/>
      <c r="S214" s="108"/>
      <c r="T214" s="108"/>
      <c r="U214" s="189"/>
      <c r="AF214" s="436"/>
      <c r="AG214" s="437"/>
      <c r="AH214" s="108"/>
      <c r="AI214" s="108"/>
      <c r="AJ214" s="108"/>
      <c r="AK214" s="189"/>
      <c r="AV214" s="436"/>
      <c r="AW214" s="437"/>
      <c r="AX214" s="108"/>
      <c r="AY214" s="108"/>
      <c r="AZ214" s="108"/>
      <c r="BA214" s="189"/>
      <c r="BL214" s="436"/>
      <c r="BM214" s="437"/>
      <c r="BN214" s="108"/>
      <c r="BO214" s="108"/>
      <c r="BP214" s="108"/>
      <c r="BQ214" s="189"/>
      <c r="CB214" s="436"/>
      <c r="CC214" s="437"/>
      <c r="CD214" s="108"/>
      <c r="CE214" s="108"/>
      <c r="CF214" s="108"/>
      <c r="CG214" s="189"/>
      <c r="CR214" s="436"/>
      <c r="CS214" s="437"/>
      <c r="CT214" s="108"/>
      <c r="CU214" s="108"/>
      <c r="CV214" s="108"/>
      <c r="CW214" s="189"/>
      <c r="DH214" s="436"/>
      <c r="DI214" s="437"/>
      <c r="DJ214" s="108"/>
      <c r="DK214" s="108"/>
      <c r="DL214" s="108"/>
      <c r="DM214" s="189"/>
      <c r="DN214" s="436"/>
      <c r="DX214" s="436"/>
      <c r="DY214" s="437"/>
      <c r="DZ214" s="108"/>
      <c r="EA214" s="108"/>
      <c r="EB214" s="108"/>
    </row>
    <row r="215" spans="1:132" ht="14.25" customHeight="1">
      <c r="A215" s="152"/>
      <c r="C215" s="289"/>
      <c r="D215" s="289"/>
      <c r="E215" s="189"/>
      <c r="P215" s="436"/>
      <c r="Q215" s="437"/>
      <c r="R215" s="108"/>
      <c r="S215" s="108"/>
      <c r="T215" s="108"/>
      <c r="U215" s="189"/>
      <c r="AF215" s="436"/>
      <c r="AG215" s="437"/>
      <c r="AH215" s="108"/>
      <c r="AI215" s="108"/>
      <c r="AJ215" s="108"/>
      <c r="AK215" s="189"/>
      <c r="AV215" s="436"/>
      <c r="AW215" s="437"/>
      <c r="AX215" s="108"/>
      <c r="AY215" s="108"/>
      <c r="AZ215" s="108"/>
      <c r="BA215" s="189"/>
      <c r="BL215" s="436"/>
      <c r="BM215" s="437"/>
      <c r="BN215" s="108"/>
      <c r="BO215" s="108"/>
      <c r="BP215" s="108"/>
      <c r="BQ215" s="189"/>
      <c r="CB215" s="436"/>
      <c r="CC215" s="437"/>
      <c r="CD215" s="108"/>
      <c r="CE215" s="108"/>
      <c r="CF215" s="108"/>
      <c r="CG215" s="189"/>
      <c r="CR215" s="436"/>
      <c r="CS215" s="437"/>
      <c r="CT215" s="108"/>
      <c r="CU215" s="108"/>
      <c r="CV215" s="108"/>
      <c r="CW215" s="189"/>
      <c r="DH215" s="436"/>
      <c r="DI215" s="437"/>
      <c r="DJ215" s="108"/>
      <c r="DK215" s="108"/>
      <c r="DL215" s="108"/>
      <c r="DM215" s="189"/>
      <c r="DN215" s="436"/>
      <c r="DX215" s="436"/>
      <c r="DY215" s="437"/>
      <c r="DZ215" s="108"/>
      <c r="EA215" s="108"/>
      <c r="EB215" s="108"/>
    </row>
    <row r="216" spans="1:132" ht="14.25" customHeight="1">
      <c r="A216" s="152"/>
      <c r="C216" s="289"/>
      <c r="D216" s="289"/>
      <c r="E216" s="189"/>
      <c r="P216" s="436"/>
      <c r="Q216" s="437"/>
      <c r="R216" s="108"/>
      <c r="S216" s="108"/>
      <c r="T216" s="108"/>
      <c r="U216" s="189"/>
      <c r="AF216" s="436"/>
      <c r="AG216" s="437"/>
      <c r="AH216" s="108"/>
      <c r="AI216" s="108"/>
      <c r="AJ216" s="108"/>
      <c r="AK216" s="189"/>
      <c r="AV216" s="436"/>
      <c r="AW216" s="437"/>
      <c r="AX216" s="108"/>
      <c r="AY216" s="108"/>
      <c r="AZ216" s="108"/>
      <c r="BA216" s="189"/>
      <c r="BL216" s="436"/>
      <c r="BM216" s="437"/>
      <c r="BN216" s="108"/>
      <c r="BO216" s="108"/>
      <c r="BP216" s="108"/>
      <c r="BQ216" s="189"/>
      <c r="CB216" s="436"/>
      <c r="CC216" s="437"/>
      <c r="CD216" s="108"/>
      <c r="CE216" s="108"/>
      <c r="CF216" s="108"/>
      <c r="CG216" s="189"/>
      <c r="CR216" s="436"/>
      <c r="CS216" s="437"/>
      <c r="CT216" s="108"/>
      <c r="CU216" s="108"/>
      <c r="CV216" s="108"/>
      <c r="CW216" s="189"/>
      <c r="DH216" s="436"/>
      <c r="DI216" s="437"/>
      <c r="DJ216" s="108"/>
      <c r="DK216" s="108"/>
      <c r="DL216" s="108"/>
      <c r="DM216" s="189"/>
      <c r="DN216" s="436"/>
      <c r="DX216" s="436"/>
      <c r="DY216" s="437"/>
      <c r="DZ216" s="108"/>
      <c r="EA216" s="108"/>
      <c r="EB216" s="108"/>
    </row>
    <row r="217" spans="1:132" ht="14.25" customHeight="1">
      <c r="A217" s="152"/>
      <c r="C217" s="289"/>
      <c r="D217" s="289"/>
      <c r="E217" s="189"/>
      <c r="P217" s="436"/>
      <c r="Q217" s="437"/>
      <c r="R217" s="108"/>
      <c r="S217" s="108"/>
      <c r="T217" s="108"/>
      <c r="U217" s="189"/>
      <c r="AF217" s="436"/>
      <c r="AG217" s="437"/>
      <c r="AH217" s="108"/>
      <c r="AI217" s="108"/>
      <c r="AJ217" s="108"/>
      <c r="AK217" s="189"/>
      <c r="AV217" s="436"/>
      <c r="AW217" s="437"/>
      <c r="AX217" s="108"/>
      <c r="AY217" s="108"/>
      <c r="AZ217" s="108"/>
      <c r="BA217" s="189"/>
      <c r="BL217" s="436"/>
      <c r="BM217" s="437"/>
      <c r="BN217" s="108"/>
      <c r="BO217" s="108"/>
      <c r="BP217" s="108"/>
      <c r="BQ217" s="189"/>
      <c r="CB217" s="436"/>
      <c r="CC217" s="437"/>
      <c r="CD217" s="108"/>
      <c r="CE217" s="108"/>
      <c r="CF217" s="108"/>
      <c r="CG217" s="189"/>
      <c r="CR217" s="436"/>
      <c r="CS217" s="437"/>
      <c r="CT217" s="108"/>
      <c r="CU217" s="108"/>
      <c r="CV217" s="108"/>
      <c r="CW217" s="189"/>
      <c r="DH217" s="436"/>
      <c r="DI217" s="437"/>
      <c r="DJ217" s="108"/>
      <c r="DK217" s="108"/>
      <c r="DL217" s="108"/>
      <c r="DM217" s="189"/>
      <c r="DN217" s="436"/>
      <c r="DX217" s="436"/>
      <c r="DY217" s="437"/>
      <c r="DZ217" s="108"/>
      <c r="EA217" s="108"/>
      <c r="EB217" s="108"/>
    </row>
    <row r="218" spans="1:132" ht="14.25" customHeight="1">
      <c r="A218" s="152"/>
      <c r="C218" s="289"/>
      <c r="D218" s="289"/>
      <c r="E218" s="189"/>
      <c r="P218" s="436"/>
      <c r="Q218" s="437"/>
      <c r="R218" s="108"/>
      <c r="S218" s="108"/>
      <c r="T218" s="108"/>
      <c r="U218" s="189"/>
      <c r="AF218" s="436"/>
      <c r="AG218" s="437"/>
      <c r="AH218" s="108"/>
      <c r="AI218" s="108"/>
      <c r="AJ218" s="108"/>
      <c r="AK218" s="189"/>
      <c r="AV218" s="436"/>
      <c r="AW218" s="437"/>
      <c r="AX218" s="108"/>
      <c r="AY218" s="108"/>
      <c r="AZ218" s="108"/>
      <c r="BA218" s="189"/>
      <c r="BL218" s="436"/>
      <c r="BM218" s="437"/>
      <c r="BN218" s="108"/>
      <c r="BO218" s="108"/>
      <c r="BP218" s="108"/>
      <c r="BQ218" s="189"/>
      <c r="CB218" s="436"/>
      <c r="CC218" s="437"/>
      <c r="CD218" s="108"/>
      <c r="CE218" s="108"/>
      <c r="CF218" s="108"/>
      <c r="CG218" s="189"/>
      <c r="CR218" s="436"/>
      <c r="CS218" s="437"/>
      <c r="CT218" s="108"/>
      <c r="CU218" s="108"/>
      <c r="CV218" s="108"/>
      <c r="CW218" s="189"/>
      <c r="DH218" s="436"/>
      <c r="DI218" s="437"/>
      <c r="DJ218" s="108"/>
      <c r="DK218" s="108"/>
      <c r="DL218" s="108"/>
      <c r="DM218" s="189"/>
      <c r="DN218" s="436"/>
      <c r="DX218" s="436"/>
      <c r="DY218" s="437"/>
      <c r="DZ218" s="108"/>
      <c r="EA218" s="108"/>
      <c r="EB218" s="108"/>
    </row>
    <row r="219" spans="1:132" ht="14.25" customHeight="1">
      <c r="A219" s="152"/>
      <c r="C219" s="289"/>
      <c r="D219" s="289"/>
      <c r="E219" s="189"/>
      <c r="P219" s="436"/>
      <c r="Q219" s="437"/>
      <c r="R219" s="108"/>
      <c r="S219" s="108"/>
      <c r="T219" s="108"/>
      <c r="U219" s="189"/>
      <c r="AF219" s="436"/>
      <c r="AG219" s="437"/>
      <c r="AH219" s="108"/>
      <c r="AI219" s="108"/>
      <c r="AJ219" s="108"/>
      <c r="AK219" s="189"/>
      <c r="AV219" s="436"/>
      <c r="AW219" s="437"/>
      <c r="AX219" s="108"/>
      <c r="AY219" s="108"/>
      <c r="AZ219" s="108"/>
      <c r="BA219" s="189"/>
      <c r="BL219" s="436"/>
      <c r="BM219" s="437"/>
      <c r="BN219" s="108"/>
      <c r="BO219" s="108"/>
      <c r="BP219" s="108"/>
      <c r="BQ219" s="189"/>
      <c r="CB219" s="436"/>
      <c r="CC219" s="437"/>
      <c r="CD219" s="108"/>
      <c r="CE219" s="108"/>
      <c r="CF219" s="108"/>
      <c r="CG219" s="189"/>
      <c r="CR219" s="436"/>
      <c r="CS219" s="437"/>
      <c r="CT219" s="108"/>
      <c r="CU219" s="108"/>
      <c r="CV219" s="108"/>
      <c r="CW219" s="189"/>
      <c r="DH219" s="436"/>
      <c r="DI219" s="437"/>
      <c r="DJ219" s="108"/>
      <c r="DK219" s="108"/>
      <c r="DL219" s="108"/>
      <c r="DM219" s="189"/>
      <c r="DN219" s="436"/>
      <c r="DX219" s="436"/>
      <c r="DY219" s="437"/>
      <c r="DZ219" s="108"/>
      <c r="EA219" s="108"/>
      <c r="EB219" s="108"/>
    </row>
    <row r="220" spans="1:132" ht="14.25" customHeight="1">
      <c r="A220" s="152"/>
      <c r="C220" s="289"/>
      <c r="D220" s="289"/>
      <c r="E220" s="189"/>
      <c r="P220" s="436"/>
      <c r="Q220" s="437"/>
      <c r="R220" s="108"/>
      <c r="S220" s="108"/>
      <c r="T220" s="108"/>
      <c r="U220" s="189"/>
      <c r="AF220" s="436"/>
      <c r="AG220" s="437"/>
      <c r="AH220" s="108"/>
      <c r="AI220" s="108"/>
      <c r="AJ220" s="108"/>
      <c r="AK220" s="189"/>
      <c r="AV220" s="436"/>
      <c r="AW220" s="437"/>
      <c r="AX220" s="108"/>
      <c r="AY220" s="108"/>
      <c r="AZ220" s="108"/>
      <c r="BA220" s="189"/>
      <c r="BL220" s="436"/>
      <c r="BM220" s="437"/>
      <c r="BN220" s="108"/>
      <c r="BO220" s="108"/>
      <c r="BP220" s="108"/>
      <c r="BQ220" s="189"/>
      <c r="CB220" s="436"/>
      <c r="CC220" s="437"/>
      <c r="CD220" s="108"/>
      <c r="CE220" s="108"/>
      <c r="CF220" s="108"/>
      <c r="CG220" s="189"/>
      <c r="CR220" s="436"/>
      <c r="CS220" s="437"/>
      <c r="CT220" s="108"/>
      <c r="CU220" s="108"/>
      <c r="CV220" s="108"/>
      <c r="CW220" s="189"/>
      <c r="DH220" s="436"/>
      <c r="DI220" s="437"/>
      <c r="DJ220" s="108"/>
      <c r="DK220" s="108"/>
      <c r="DL220" s="108"/>
      <c r="DM220" s="189"/>
      <c r="DN220" s="436"/>
      <c r="DX220" s="436"/>
      <c r="DY220" s="437"/>
      <c r="DZ220" s="108"/>
      <c r="EA220" s="108"/>
      <c r="EB220" s="108"/>
    </row>
    <row r="221" spans="1:132" ht="14.25" customHeight="1">
      <c r="A221" s="152"/>
      <c r="C221" s="289"/>
      <c r="D221" s="289"/>
      <c r="E221" s="189"/>
      <c r="P221" s="436"/>
      <c r="Q221" s="437"/>
      <c r="R221" s="108"/>
      <c r="S221" s="108"/>
      <c r="T221" s="108"/>
      <c r="U221" s="189"/>
      <c r="AF221" s="436"/>
      <c r="AG221" s="437"/>
      <c r="AH221" s="108"/>
      <c r="AI221" s="108"/>
      <c r="AJ221" s="108"/>
      <c r="AK221" s="189"/>
      <c r="AV221" s="436"/>
      <c r="AW221" s="437"/>
      <c r="AX221" s="108"/>
      <c r="AY221" s="108"/>
      <c r="AZ221" s="108"/>
      <c r="BA221" s="189"/>
      <c r="BL221" s="436"/>
      <c r="BM221" s="437"/>
      <c r="BN221" s="108"/>
      <c r="BO221" s="108"/>
      <c r="BP221" s="108"/>
      <c r="BQ221" s="189"/>
      <c r="CB221" s="436"/>
      <c r="CC221" s="437"/>
      <c r="CD221" s="108"/>
      <c r="CE221" s="108"/>
      <c r="CF221" s="108"/>
      <c r="CG221" s="189"/>
      <c r="CR221" s="436"/>
      <c r="CS221" s="437"/>
      <c r="CT221" s="108"/>
      <c r="CU221" s="108"/>
      <c r="CV221" s="108"/>
      <c r="CW221" s="189"/>
      <c r="DH221" s="436"/>
      <c r="DI221" s="437"/>
      <c r="DJ221" s="108"/>
      <c r="DK221" s="108"/>
      <c r="DL221" s="108"/>
      <c r="DM221" s="189"/>
      <c r="DN221" s="436"/>
      <c r="DX221" s="436"/>
      <c r="DY221" s="437"/>
      <c r="DZ221" s="108"/>
      <c r="EA221" s="108"/>
      <c r="EB221" s="108"/>
    </row>
    <row r="222" spans="1:132" ht="14.25" customHeight="1">
      <c r="A222" s="152"/>
      <c r="C222" s="289"/>
      <c r="D222" s="289"/>
      <c r="E222" s="189"/>
      <c r="P222" s="436"/>
      <c r="Q222" s="437"/>
      <c r="R222" s="108"/>
      <c r="S222" s="108"/>
      <c r="T222" s="108"/>
      <c r="U222" s="189"/>
      <c r="AF222" s="436"/>
      <c r="AG222" s="437"/>
      <c r="AH222" s="108"/>
      <c r="AI222" s="108"/>
      <c r="AJ222" s="108"/>
      <c r="AK222" s="189"/>
      <c r="AV222" s="436"/>
      <c r="AW222" s="437"/>
      <c r="AX222" s="108"/>
      <c r="AY222" s="108"/>
      <c r="AZ222" s="108"/>
      <c r="BA222" s="189"/>
      <c r="BL222" s="436"/>
      <c r="BM222" s="437"/>
      <c r="BN222" s="108"/>
      <c r="BO222" s="108"/>
      <c r="BP222" s="108"/>
      <c r="BQ222" s="189"/>
      <c r="CB222" s="436"/>
      <c r="CC222" s="437"/>
      <c r="CD222" s="108"/>
      <c r="CE222" s="108"/>
      <c r="CF222" s="108"/>
      <c r="CG222" s="189"/>
      <c r="CR222" s="436"/>
      <c r="CS222" s="437"/>
      <c r="CT222" s="108"/>
      <c r="CU222" s="108"/>
      <c r="CV222" s="108"/>
      <c r="CW222" s="189"/>
      <c r="DH222" s="436"/>
      <c r="DI222" s="437"/>
      <c r="DJ222" s="108"/>
      <c r="DK222" s="108"/>
      <c r="DL222" s="108"/>
      <c r="DM222" s="189"/>
      <c r="DN222" s="436"/>
      <c r="DX222" s="436"/>
      <c r="DY222" s="437"/>
      <c r="DZ222" s="108"/>
      <c r="EA222" s="108"/>
      <c r="EB222" s="108"/>
    </row>
    <row r="223" spans="1:132" ht="14.25" customHeight="1">
      <c r="A223" s="152"/>
      <c r="C223" s="289"/>
      <c r="D223" s="289"/>
      <c r="E223" s="189"/>
      <c r="P223" s="436"/>
      <c r="Q223" s="437"/>
      <c r="R223" s="108"/>
      <c r="S223" s="108"/>
      <c r="T223" s="108"/>
      <c r="U223" s="189"/>
      <c r="AF223" s="436"/>
      <c r="AG223" s="437"/>
      <c r="AH223" s="108"/>
      <c r="AI223" s="108"/>
      <c r="AJ223" s="108"/>
      <c r="AK223" s="189"/>
      <c r="AV223" s="436"/>
      <c r="AW223" s="437"/>
      <c r="AX223" s="108"/>
      <c r="AY223" s="108"/>
      <c r="AZ223" s="108"/>
      <c r="BA223" s="189"/>
      <c r="BL223" s="436"/>
      <c r="BM223" s="437"/>
      <c r="BN223" s="108"/>
      <c r="BO223" s="108"/>
      <c r="BP223" s="108"/>
      <c r="BQ223" s="189"/>
      <c r="CB223" s="436"/>
      <c r="CC223" s="437"/>
      <c r="CD223" s="108"/>
      <c r="CE223" s="108"/>
      <c r="CF223" s="108"/>
      <c r="CG223" s="189"/>
      <c r="CR223" s="436"/>
      <c r="CS223" s="437"/>
      <c r="CT223" s="108"/>
      <c r="CU223" s="108"/>
      <c r="CV223" s="108"/>
      <c r="CW223" s="189"/>
      <c r="DH223" s="436"/>
      <c r="DI223" s="437"/>
      <c r="DJ223" s="108"/>
      <c r="DK223" s="108"/>
      <c r="DL223" s="108"/>
      <c r="DM223" s="189"/>
      <c r="DN223" s="436"/>
      <c r="DX223" s="436"/>
      <c r="DY223" s="437"/>
      <c r="DZ223" s="108"/>
      <c r="EA223" s="108"/>
      <c r="EB223" s="108"/>
    </row>
    <row r="224" spans="1:132" ht="14.25" customHeight="1">
      <c r="A224" s="152"/>
      <c r="C224" s="289"/>
      <c r="D224" s="289"/>
      <c r="E224" s="189"/>
      <c r="P224" s="436"/>
      <c r="Q224" s="437"/>
      <c r="R224" s="108"/>
      <c r="S224" s="108"/>
      <c r="T224" s="108"/>
      <c r="U224" s="189"/>
      <c r="AF224" s="436"/>
      <c r="AG224" s="437"/>
      <c r="AH224" s="108"/>
      <c r="AI224" s="108"/>
      <c r="AJ224" s="108"/>
      <c r="AK224" s="189"/>
      <c r="AV224" s="436"/>
      <c r="AW224" s="437"/>
      <c r="AX224" s="108"/>
      <c r="AY224" s="108"/>
      <c r="AZ224" s="108"/>
      <c r="BA224" s="189"/>
      <c r="BL224" s="436"/>
      <c r="BM224" s="437"/>
      <c r="BN224" s="108"/>
      <c r="BO224" s="108"/>
      <c r="BP224" s="108"/>
      <c r="BQ224" s="189"/>
      <c r="CB224" s="436"/>
      <c r="CC224" s="437"/>
      <c r="CD224" s="108"/>
      <c r="CE224" s="108"/>
      <c r="CF224" s="108"/>
      <c r="CG224" s="189"/>
      <c r="CR224" s="436"/>
      <c r="CS224" s="437"/>
      <c r="CT224" s="108"/>
      <c r="CU224" s="108"/>
      <c r="CV224" s="108"/>
      <c r="CW224" s="189"/>
      <c r="DH224" s="436"/>
      <c r="DI224" s="437"/>
      <c r="DJ224" s="108"/>
      <c r="DK224" s="108"/>
      <c r="DL224" s="108"/>
      <c r="DM224" s="189"/>
      <c r="DN224" s="436"/>
      <c r="DX224" s="436"/>
      <c r="DY224" s="437"/>
      <c r="DZ224" s="108"/>
      <c r="EA224" s="108"/>
      <c r="EB224" s="108"/>
    </row>
    <row r="225" spans="1:132" ht="14.25" customHeight="1">
      <c r="A225" s="152"/>
      <c r="C225" s="289"/>
      <c r="D225" s="289"/>
      <c r="E225" s="189"/>
      <c r="P225" s="436"/>
      <c r="Q225" s="437"/>
      <c r="R225" s="108"/>
      <c r="S225" s="108"/>
      <c r="T225" s="108"/>
      <c r="U225" s="189"/>
      <c r="AF225" s="436"/>
      <c r="AG225" s="437"/>
      <c r="AH225" s="108"/>
      <c r="AI225" s="108"/>
      <c r="AJ225" s="108"/>
      <c r="AK225" s="189"/>
      <c r="AV225" s="436"/>
      <c r="AW225" s="437"/>
      <c r="AX225" s="108"/>
      <c r="AY225" s="108"/>
      <c r="AZ225" s="108"/>
      <c r="BA225" s="189"/>
      <c r="BL225" s="436"/>
      <c r="BM225" s="437"/>
      <c r="BN225" s="108"/>
      <c r="BO225" s="108"/>
      <c r="BP225" s="108"/>
      <c r="BQ225" s="189"/>
      <c r="CB225" s="436"/>
      <c r="CC225" s="437"/>
      <c r="CD225" s="108"/>
      <c r="CE225" s="108"/>
      <c r="CF225" s="108"/>
      <c r="CG225" s="189"/>
      <c r="CR225" s="436"/>
      <c r="CS225" s="437"/>
      <c r="CT225" s="108"/>
      <c r="CU225" s="108"/>
      <c r="CV225" s="108"/>
      <c r="CW225" s="189"/>
      <c r="DH225" s="436"/>
      <c r="DI225" s="437"/>
      <c r="DJ225" s="108"/>
      <c r="DK225" s="108"/>
      <c r="DL225" s="108"/>
      <c r="DM225" s="189"/>
      <c r="DN225" s="436"/>
      <c r="DX225" s="436"/>
      <c r="DY225" s="437"/>
      <c r="DZ225" s="108"/>
      <c r="EA225" s="108"/>
      <c r="EB225" s="108"/>
    </row>
    <row r="226" spans="1:132" ht="14.25" customHeight="1">
      <c r="A226" s="152"/>
      <c r="C226" s="289"/>
      <c r="D226" s="289"/>
      <c r="E226" s="189"/>
      <c r="P226" s="436"/>
      <c r="Q226" s="437"/>
      <c r="R226" s="108"/>
      <c r="S226" s="108"/>
      <c r="T226" s="108"/>
      <c r="U226" s="189"/>
      <c r="AF226" s="436"/>
      <c r="AG226" s="437"/>
      <c r="AH226" s="108"/>
      <c r="AI226" s="108"/>
      <c r="AJ226" s="108"/>
      <c r="AK226" s="189"/>
      <c r="AV226" s="436"/>
      <c r="AW226" s="437"/>
      <c r="AX226" s="108"/>
      <c r="AY226" s="108"/>
      <c r="AZ226" s="108"/>
      <c r="BA226" s="189"/>
      <c r="BL226" s="436"/>
      <c r="BM226" s="437"/>
      <c r="BN226" s="108"/>
      <c r="BO226" s="108"/>
      <c r="BP226" s="108"/>
      <c r="BQ226" s="189"/>
      <c r="CB226" s="436"/>
      <c r="CC226" s="437"/>
      <c r="CD226" s="108"/>
      <c r="CE226" s="108"/>
      <c r="CF226" s="108"/>
      <c r="CG226" s="189"/>
      <c r="CR226" s="436"/>
      <c r="CS226" s="437"/>
      <c r="CT226" s="108"/>
      <c r="CU226" s="108"/>
      <c r="CV226" s="108"/>
      <c r="CW226" s="189"/>
      <c r="DH226" s="436"/>
      <c r="DI226" s="437"/>
      <c r="DJ226" s="108"/>
      <c r="DK226" s="108"/>
      <c r="DL226" s="108"/>
      <c r="DM226" s="189"/>
      <c r="DN226" s="436"/>
      <c r="DX226" s="436"/>
      <c r="DY226" s="437"/>
      <c r="DZ226" s="108"/>
      <c r="EA226" s="108"/>
      <c r="EB226" s="108"/>
    </row>
    <row r="227" spans="1:132" ht="14.25" customHeight="1">
      <c r="A227" s="152"/>
      <c r="C227" s="289"/>
      <c r="D227" s="289"/>
      <c r="E227" s="189"/>
      <c r="P227" s="436"/>
      <c r="Q227" s="437"/>
      <c r="R227" s="108"/>
      <c r="S227" s="108"/>
      <c r="T227" s="108"/>
      <c r="U227" s="189"/>
      <c r="AF227" s="436"/>
      <c r="AG227" s="437"/>
      <c r="AH227" s="108"/>
      <c r="AI227" s="108"/>
      <c r="AJ227" s="108"/>
      <c r="AK227" s="189"/>
      <c r="AV227" s="436"/>
      <c r="AW227" s="437"/>
      <c r="AX227" s="108"/>
      <c r="AY227" s="108"/>
      <c r="AZ227" s="108"/>
      <c r="BA227" s="189"/>
      <c r="BL227" s="436"/>
      <c r="BM227" s="437"/>
      <c r="BN227" s="108"/>
      <c r="BO227" s="108"/>
      <c r="BP227" s="108"/>
      <c r="BQ227" s="189"/>
      <c r="CB227" s="436"/>
      <c r="CC227" s="437"/>
      <c r="CD227" s="108"/>
      <c r="CE227" s="108"/>
      <c r="CF227" s="108"/>
      <c r="CG227" s="189"/>
      <c r="CR227" s="436"/>
      <c r="CS227" s="437"/>
      <c r="CT227" s="108"/>
      <c r="CU227" s="108"/>
      <c r="CV227" s="108"/>
      <c r="CW227" s="189"/>
      <c r="DH227" s="436"/>
      <c r="DI227" s="437"/>
      <c r="DJ227" s="108"/>
      <c r="DK227" s="108"/>
      <c r="DL227" s="108"/>
      <c r="DM227" s="189"/>
      <c r="DN227" s="436"/>
      <c r="DX227" s="436"/>
      <c r="DY227" s="437"/>
      <c r="DZ227" s="108"/>
      <c r="EA227" s="108"/>
      <c r="EB227" s="108"/>
    </row>
    <row r="228" spans="1:132" ht="14.25" customHeight="1">
      <c r="A228" s="152"/>
      <c r="C228" s="289"/>
      <c r="D228" s="289"/>
      <c r="E228" s="189"/>
      <c r="P228" s="436"/>
      <c r="Q228" s="437"/>
      <c r="R228" s="108"/>
      <c r="S228" s="108"/>
      <c r="T228" s="108"/>
      <c r="U228" s="189"/>
      <c r="AF228" s="436"/>
      <c r="AG228" s="437"/>
      <c r="AH228" s="108"/>
      <c r="AI228" s="108"/>
      <c r="AJ228" s="108"/>
      <c r="AK228" s="189"/>
      <c r="AV228" s="436"/>
      <c r="AW228" s="437"/>
      <c r="AX228" s="108"/>
      <c r="AY228" s="108"/>
      <c r="AZ228" s="108"/>
      <c r="BA228" s="189"/>
      <c r="BL228" s="436"/>
      <c r="BM228" s="437"/>
      <c r="BN228" s="108"/>
      <c r="BO228" s="108"/>
      <c r="BP228" s="108"/>
      <c r="BQ228" s="189"/>
      <c r="CB228" s="436"/>
      <c r="CC228" s="437"/>
      <c r="CD228" s="108"/>
      <c r="CE228" s="108"/>
      <c r="CF228" s="108"/>
      <c r="CG228" s="189"/>
      <c r="CR228" s="436"/>
      <c r="CS228" s="437"/>
      <c r="CT228" s="108"/>
      <c r="CU228" s="108"/>
      <c r="CV228" s="108"/>
      <c r="CW228" s="189"/>
      <c r="DH228" s="436"/>
      <c r="DI228" s="437"/>
      <c r="DJ228" s="108"/>
      <c r="DK228" s="108"/>
      <c r="DL228" s="108"/>
      <c r="DM228" s="189"/>
      <c r="DN228" s="436"/>
      <c r="DX228" s="436"/>
      <c r="DY228" s="437"/>
      <c r="DZ228" s="108"/>
      <c r="EA228" s="108"/>
      <c r="EB228" s="108"/>
    </row>
    <row r="229" spans="1:132" ht="14.25" customHeight="1">
      <c r="A229" s="152"/>
      <c r="C229" s="289"/>
      <c r="D229" s="289"/>
      <c r="E229" s="189"/>
      <c r="P229" s="436"/>
      <c r="Q229" s="437"/>
      <c r="R229" s="108"/>
      <c r="S229" s="108"/>
      <c r="T229" s="108"/>
      <c r="U229" s="189"/>
      <c r="AF229" s="436"/>
      <c r="AG229" s="437"/>
      <c r="AH229" s="108"/>
      <c r="AI229" s="108"/>
      <c r="AJ229" s="108"/>
      <c r="AK229" s="189"/>
      <c r="AV229" s="436"/>
      <c r="AW229" s="437"/>
      <c r="AX229" s="108"/>
      <c r="AY229" s="108"/>
      <c r="AZ229" s="108"/>
      <c r="BA229" s="189"/>
      <c r="BL229" s="436"/>
      <c r="BM229" s="437"/>
      <c r="BN229" s="108"/>
      <c r="BO229" s="108"/>
      <c r="BP229" s="108"/>
      <c r="BQ229" s="189"/>
      <c r="CB229" s="436"/>
      <c r="CC229" s="437"/>
      <c r="CD229" s="108"/>
      <c r="CE229" s="108"/>
      <c r="CF229" s="108"/>
      <c r="CG229" s="189"/>
      <c r="CR229" s="436"/>
      <c r="CS229" s="437"/>
      <c r="CT229" s="108"/>
      <c r="CU229" s="108"/>
      <c r="CV229" s="108"/>
      <c r="CW229" s="189"/>
      <c r="DH229" s="436"/>
      <c r="DI229" s="437"/>
      <c r="DJ229" s="108"/>
      <c r="DK229" s="108"/>
      <c r="DL229" s="108"/>
      <c r="DM229" s="189"/>
      <c r="DN229" s="436"/>
      <c r="DX229" s="436"/>
      <c r="DY229" s="437"/>
      <c r="DZ229" s="108"/>
      <c r="EA229" s="108"/>
      <c r="EB229" s="108"/>
    </row>
    <row r="230" spans="1:132" ht="14.25" customHeight="1">
      <c r="A230" s="152"/>
      <c r="C230" s="289"/>
      <c r="D230" s="289"/>
      <c r="E230" s="189"/>
      <c r="P230" s="436"/>
      <c r="Q230" s="437"/>
      <c r="R230" s="108"/>
      <c r="S230" s="108"/>
      <c r="T230" s="108"/>
      <c r="U230" s="189"/>
      <c r="AF230" s="436"/>
      <c r="AG230" s="437"/>
      <c r="AH230" s="108"/>
      <c r="AI230" s="108"/>
      <c r="AJ230" s="108"/>
      <c r="AK230" s="189"/>
      <c r="AV230" s="436"/>
      <c r="AW230" s="437"/>
      <c r="AX230" s="108"/>
      <c r="AY230" s="108"/>
      <c r="AZ230" s="108"/>
      <c r="BA230" s="189"/>
      <c r="BL230" s="436"/>
      <c r="BM230" s="437"/>
      <c r="BN230" s="108"/>
      <c r="BO230" s="108"/>
      <c r="BP230" s="108"/>
      <c r="BQ230" s="189"/>
      <c r="CB230" s="436"/>
      <c r="CC230" s="437"/>
      <c r="CD230" s="108"/>
      <c r="CE230" s="108"/>
      <c r="CF230" s="108"/>
      <c r="CG230" s="189"/>
      <c r="CR230" s="436"/>
      <c r="CS230" s="437"/>
      <c r="CT230" s="108"/>
      <c r="CU230" s="108"/>
      <c r="CV230" s="108"/>
      <c r="CW230" s="189"/>
      <c r="DH230" s="436"/>
      <c r="DI230" s="437"/>
      <c r="DJ230" s="108"/>
      <c r="DK230" s="108"/>
      <c r="DL230" s="108"/>
      <c r="DM230" s="189"/>
      <c r="DN230" s="436"/>
      <c r="DX230" s="436"/>
      <c r="DY230" s="437"/>
      <c r="DZ230" s="108"/>
      <c r="EA230" s="108"/>
      <c r="EB230" s="108"/>
    </row>
    <row r="231" spans="1:132" ht="14.25" customHeight="1">
      <c r="A231" s="152"/>
      <c r="C231" s="289"/>
      <c r="D231" s="289"/>
      <c r="E231" s="189"/>
      <c r="P231" s="436"/>
      <c r="Q231" s="437"/>
      <c r="R231" s="108"/>
      <c r="S231" s="108"/>
      <c r="T231" s="108"/>
      <c r="U231" s="189"/>
      <c r="AF231" s="436"/>
      <c r="AG231" s="437"/>
      <c r="AH231" s="108"/>
      <c r="AI231" s="108"/>
      <c r="AJ231" s="108"/>
      <c r="AK231" s="189"/>
      <c r="AV231" s="436"/>
      <c r="AW231" s="437"/>
      <c r="AX231" s="108"/>
      <c r="AY231" s="108"/>
      <c r="AZ231" s="108"/>
      <c r="BA231" s="189"/>
      <c r="BL231" s="436"/>
      <c r="BM231" s="437"/>
      <c r="BN231" s="108"/>
      <c r="BO231" s="108"/>
      <c r="BP231" s="108"/>
      <c r="BQ231" s="189"/>
      <c r="CB231" s="436"/>
      <c r="CC231" s="437"/>
      <c r="CD231" s="108"/>
      <c r="CE231" s="108"/>
      <c r="CF231" s="108"/>
      <c r="CG231" s="189"/>
      <c r="CR231" s="436"/>
      <c r="CS231" s="437"/>
      <c r="CT231" s="108"/>
      <c r="CU231" s="108"/>
      <c r="CV231" s="108"/>
      <c r="CW231" s="189"/>
      <c r="DH231" s="436"/>
      <c r="DI231" s="437"/>
      <c r="DJ231" s="108"/>
      <c r="DK231" s="108"/>
      <c r="DL231" s="108"/>
      <c r="DM231" s="189"/>
      <c r="DN231" s="436"/>
      <c r="DX231" s="436"/>
      <c r="DY231" s="437"/>
      <c r="DZ231" s="108"/>
      <c r="EA231" s="108"/>
      <c r="EB231" s="108"/>
    </row>
    <row r="232" spans="1:132" ht="14.25" customHeight="1">
      <c r="A232" s="152"/>
      <c r="C232" s="289"/>
      <c r="D232" s="289"/>
      <c r="E232" s="189"/>
      <c r="P232" s="436"/>
      <c r="Q232" s="437"/>
      <c r="R232" s="108"/>
      <c r="S232" s="108"/>
      <c r="T232" s="108"/>
      <c r="U232" s="189"/>
      <c r="AF232" s="436"/>
      <c r="AG232" s="437"/>
      <c r="AH232" s="108"/>
      <c r="AI232" s="108"/>
      <c r="AJ232" s="108"/>
      <c r="AK232" s="189"/>
      <c r="AV232" s="436"/>
      <c r="AW232" s="437"/>
      <c r="AX232" s="108"/>
      <c r="AY232" s="108"/>
      <c r="AZ232" s="108"/>
      <c r="BA232" s="189"/>
      <c r="BL232" s="436"/>
      <c r="BM232" s="437"/>
      <c r="BN232" s="108"/>
      <c r="BO232" s="108"/>
      <c r="BP232" s="108"/>
      <c r="BQ232" s="189"/>
      <c r="CB232" s="436"/>
      <c r="CC232" s="437"/>
      <c r="CD232" s="108"/>
      <c r="CE232" s="108"/>
      <c r="CF232" s="108"/>
      <c r="CG232" s="189"/>
      <c r="CR232" s="436"/>
      <c r="CS232" s="437"/>
      <c r="CT232" s="108"/>
      <c r="CU232" s="108"/>
      <c r="CV232" s="108"/>
      <c r="CW232" s="189"/>
      <c r="DH232" s="436"/>
      <c r="DI232" s="437"/>
      <c r="DJ232" s="108"/>
      <c r="DK232" s="108"/>
      <c r="DL232" s="108"/>
      <c r="DM232" s="189"/>
      <c r="DN232" s="436"/>
      <c r="DX232" s="436"/>
      <c r="DY232" s="437"/>
      <c r="DZ232" s="108"/>
      <c r="EA232" s="108"/>
      <c r="EB232" s="108"/>
    </row>
    <row r="233" spans="1:132" ht="14.25" customHeight="1">
      <c r="A233" s="152"/>
      <c r="C233" s="289"/>
      <c r="D233" s="289"/>
      <c r="E233" s="189"/>
      <c r="P233" s="436"/>
      <c r="Q233" s="437"/>
      <c r="R233" s="108"/>
      <c r="S233" s="108"/>
      <c r="T233" s="108"/>
      <c r="U233" s="189"/>
      <c r="AF233" s="436"/>
      <c r="AG233" s="437"/>
      <c r="AH233" s="108"/>
      <c r="AI233" s="108"/>
      <c r="AJ233" s="108"/>
      <c r="AK233" s="189"/>
      <c r="AV233" s="436"/>
      <c r="AW233" s="437"/>
      <c r="AX233" s="108"/>
      <c r="AY233" s="108"/>
      <c r="AZ233" s="108"/>
      <c r="BA233" s="189"/>
      <c r="BL233" s="436"/>
      <c r="BM233" s="437"/>
      <c r="BN233" s="108"/>
      <c r="BO233" s="108"/>
      <c r="BP233" s="108"/>
      <c r="BQ233" s="189"/>
      <c r="CB233" s="436"/>
      <c r="CC233" s="437"/>
      <c r="CD233" s="108"/>
      <c r="CE233" s="108"/>
      <c r="CF233" s="108"/>
      <c r="CG233" s="189"/>
      <c r="CR233" s="436"/>
      <c r="CS233" s="437"/>
      <c r="CT233" s="108"/>
      <c r="CU233" s="108"/>
      <c r="CV233" s="108"/>
      <c r="CW233" s="189"/>
      <c r="DH233" s="436"/>
      <c r="DI233" s="437"/>
      <c r="DJ233" s="108"/>
      <c r="DK233" s="108"/>
      <c r="DL233" s="108"/>
      <c r="DM233" s="189"/>
      <c r="DN233" s="436"/>
      <c r="DX233" s="436"/>
      <c r="DY233" s="437"/>
      <c r="DZ233" s="108"/>
      <c r="EA233" s="108"/>
      <c r="EB233" s="108"/>
    </row>
    <row r="234" spans="1:132" ht="14.25" customHeight="1">
      <c r="A234" s="152"/>
      <c r="C234" s="289"/>
      <c r="D234" s="289"/>
      <c r="E234" s="189"/>
      <c r="P234" s="436"/>
      <c r="Q234" s="437"/>
      <c r="R234" s="108"/>
      <c r="S234" s="108"/>
      <c r="T234" s="108"/>
      <c r="U234" s="189"/>
      <c r="AF234" s="436"/>
      <c r="AG234" s="437"/>
      <c r="AH234" s="108"/>
      <c r="AI234" s="108"/>
      <c r="AJ234" s="108"/>
      <c r="AK234" s="189"/>
      <c r="AV234" s="436"/>
      <c r="AW234" s="437"/>
      <c r="AX234" s="108"/>
      <c r="AY234" s="108"/>
      <c r="AZ234" s="108"/>
      <c r="BA234" s="189"/>
      <c r="BL234" s="436"/>
      <c r="BM234" s="437"/>
      <c r="BN234" s="108"/>
      <c r="BO234" s="108"/>
      <c r="BP234" s="108"/>
      <c r="BQ234" s="189"/>
      <c r="CB234" s="436"/>
      <c r="CC234" s="437"/>
      <c r="CD234" s="108"/>
      <c r="CE234" s="108"/>
      <c r="CF234" s="108"/>
      <c r="CG234" s="189"/>
      <c r="CR234" s="436"/>
      <c r="CS234" s="437"/>
      <c r="CT234" s="108"/>
      <c r="CU234" s="108"/>
      <c r="CV234" s="108"/>
      <c r="CW234" s="189"/>
      <c r="DH234" s="436"/>
      <c r="DI234" s="437"/>
      <c r="DJ234" s="108"/>
      <c r="DK234" s="108"/>
      <c r="DL234" s="108"/>
      <c r="DM234" s="189"/>
      <c r="DN234" s="436"/>
      <c r="DX234" s="436"/>
      <c r="DY234" s="437"/>
      <c r="DZ234" s="108"/>
      <c r="EA234" s="108"/>
      <c r="EB234" s="108"/>
    </row>
    <row r="235" spans="1:132" ht="14.25" customHeight="1">
      <c r="A235" s="152"/>
      <c r="C235" s="289"/>
      <c r="D235" s="289"/>
      <c r="E235" s="189"/>
      <c r="P235" s="436"/>
      <c r="Q235" s="437"/>
      <c r="R235" s="108"/>
      <c r="S235" s="108"/>
      <c r="T235" s="108"/>
      <c r="U235" s="189"/>
      <c r="AF235" s="436"/>
      <c r="AG235" s="437"/>
      <c r="AH235" s="108"/>
      <c r="AI235" s="108"/>
      <c r="AJ235" s="108"/>
      <c r="AK235" s="189"/>
      <c r="AV235" s="436"/>
      <c r="AW235" s="437"/>
      <c r="AX235" s="108"/>
      <c r="AY235" s="108"/>
      <c r="AZ235" s="108"/>
      <c r="BA235" s="189"/>
      <c r="BL235" s="436"/>
      <c r="BM235" s="437"/>
      <c r="BN235" s="108"/>
      <c r="BO235" s="108"/>
      <c r="BP235" s="108"/>
      <c r="BQ235" s="189"/>
      <c r="CB235" s="436"/>
      <c r="CC235" s="437"/>
      <c r="CD235" s="108"/>
      <c r="CE235" s="108"/>
      <c r="CF235" s="108"/>
      <c r="CG235" s="189"/>
      <c r="CR235" s="436"/>
      <c r="CS235" s="437"/>
      <c r="CT235" s="108"/>
      <c r="CU235" s="108"/>
      <c r="CV235" s="108"/>
      <c r="CW235" s="189"/>
      <c r="DH235" s="436"/>
      <c r="DI235" s="437"/>
      <c r="DJ235" s="108"/>
      <c r="DK235" s="108"/>
      <c r="DL235" s="108"/>
      <c r="DM235" s="189"/>
      <c r="DN235" s="436"/>
      <c r="DX235" s="436"/>
      <c r="DY235" s="437"/>
      <c r="DZ235" s="108"/>
      <c r="EA235" s="108"/>
      <c r="EB235" s="108"/>
    </row>
    <row r="236" spans="1:132" ht="14.25" customHeight="1">
      <c r="A236" s="152"/>
      <c r="C236" s="289"/>
      <c r="D236" s="289"/>
      <c r="E236" s="189"/>
      <c r="P236" s="436"/>
      <c r="Q236" s="437"/>
      <c r="R236" s="108"/>
      <c r="S236" s="108"/>
      <c r="T236" s="108"/>
      <c r="U236" s="189"/>
      <c r="AF236" s="436"/>
      <c r="AG236" s="437"/>
      <c r="AH236" s="108"/>
      <c r="AI236" s="108"/>
      <c r="AJ236" s="108"/>
      <c r="AK236" s="189"/>
      <c r="AV236" s="436"/>
      <c r="AW236" s="437"/>
      <c r="AX236" s="108"/>
      <c r="AY236" s="108"/>
      <c r="AZ236" s="108"/>
      <c r="BA236" s="189"/>
      <c r="BL236" s="436"/>
      <c r="BM236" s="437"/>
      <c r="BN236" s="108"/>
      <c r="BO236" s="108"/>
      <c r="BP236" s="108"/>
      <c r="BQ236" s="189"/>
      <c r="CB236" s="436"/>
      <c r="CC236" s="437"/>
      <c r="CD236" s="108"/>
      <c r="CE236" s="108"/>
      <c r="CF236" s="108"/>
      <c r="CG236" s="189"/>
      <c r="CR236" s="436"/>
      <c r="CS236" s="437"/>
      <c r="CT236" s="108"/>
      <c r="CU236" s="108"/>
      <c r="CV236" s="108"/>
      <c r="CW236" s="189"/>
      <c r="DH236" s="436"/>
      <c r="DI236" s="437"/>
      <c r="DJ236" s="108"/>
      <c r="DK236" s="108"/>
      <c r="DL236" s="108"/>
      <c r="DM236" s="189"/>
      <c r="DN236" s="436"/>
      <c r="DX236" s="436"/>
      <c r="DY236" s="437"/>
      <c r="DZ236" s="108"/>
      <c r="EA236" s="108"/>
      <c r="EB236" s="108"/>
    </row>
    <row r="237" spans="1:132" ht="14.25" customHeight="1">
      <c r="A237" s="152"/>
      <c r="C237" s="289"/>
      <c r="D237" s="289"/>
      <c r="E237" s="189"/>
      <c r="P237" s="436"/>
      <c r="Q237" s="437"/>
      <c r="R237" s="108"/>
      <c r="S237" s="108"/>
      <c r="T237" s="108"/>
      <c r="U237" s="189"/>
      <c r="AF237" s="436"/>
      <c r="AG237" s="437"/>
      <c r="AH237" s="108"/>
      <c r="AI237" s="108"/>
      <c r="AJ237" s="108"/>
      <c r="AK237" s="189"/>
      <c r="AV237" s="436"/>
      <c r="AW237" s="437"/>
      <c r="AX237" s="108"/>
      <c r="AY237" s="108"/>
      <c r="AZ237" s="108"/>
      <c r="BA237" s="189"/>
      <c r="BL237" s="436"/>
      <c r="BM237" s="437"/>
      <c r="BN237" s="108"/>
      <c r="BO237" s="108"/>
      <c r="BP237" s="108"/>
      <c r="BQ237" s="189"/>
      <c r="CB237" s="436"/>
      <c r="CC237" s="437"/>
      <c r="CD237" s="108"/>
      <c r="CE237" s="108"/>
      <c r="CF237" s="108"/>
      <c r="CG237" s="189"/>
      <c r="CR237" s="436"/>
      <c r="CS237" s="437"/>
      <c r="CT237" s="108"/>
      <c r="CU237" s="108"/>
      <c r="CV237" s="108"/>
      <c r="CW237" s="189"/>
      <c r="DH237" s="436"/>
      <c r="DI237" s="437"/>
      <c r="DJ237" s="108"/>
      <c r="DK237" s="108"/>
      <c r="DL237" s="108"/>
      <c r="DM237" s="189"/>
      <c r="DN237" s="436"/>
      <c r="DX237" s="436"/>
      <c r="DY237" s="437"/>
      <c r="DZ237" s="108"/>
      <c r="EA237" s="108"/>
      <c r="EB237" s="108"/>
    </row>
    <row r="238" spans="1:132" ht="14.25" customHeight="1">
      <c r="A238" s="152"/>
      <c r="C238" s="289"/>
      <c r="D238" s="289"/>
      <c r="E238" s="189"/>
      <c r="P238" s="436"/>
      <c r="Q238" s="437"/>
      <c r="R238" s="108"/>
      <c r="S238" s="108"/>
      <c r="T238" s="108"/>
      <c r="U238" s="189"/>
      <c r="AF238" s="436"/>
      <c r="AG238" s="437"/>
      <c r="AH238" s="108"/>
      <c r="AI238" s="108"/>
      <c r="AJ238" s="108"/>
      <c r="AK238" s="189"/>
      <c r="AV238" s="436"/>
      <c r="AW238" s="437"/>
      <c r="AX238" s="108"/>
      <c r="AY238" s="108"/>
      <c r="AZ238" s="108"/>
      <c r="BA238" s="189"/>
      <c r="BL238" s="436"/>
      <c r="BM238" s="437"/>
      <c r="BN238" s="108"/>
      <c r="BO238" s="108"/>
      <c r="BP238" s="108"/>
      <c r="BQ238" s="189"/>
      <c r="CB238" s="436"/>
      <c r="CC238" s="437"/>
      <c r="CD238" s="108"/>
      <c r="CE238" s="108"/>
      <c r="CF238" s="108"/>
      <c r="CG238" s="189"/>
      <c r="CR238" s="436"/>
      <c r="CS238" s="437"/>
      <c r="CT238" s="108"/>
      <c r="CU238" s="108"/>
      <c r="CV238" s="108"/>
      <c r="CW238" s="189"/>
      <c r="DH238" s="436"/>
      <c r="DI238" s="437"/>
      <c r="DJ238" s="108"/>
      <c r="DK238" s="108"/>
      <c r="DL238" s="108"/>
      <c r="DM238" s="189"/>
      <c r="DN238" s="436"/>
      <c r="DX238" s="436"/>
      <c r="DY238" s="437"/>
      <c r="DZ238" s="108"/>
      <c r="EA238" s="108"/>
      <c r="EB238" s="108"/>
    </row>
    <row r="239" spans="1:132" ht="14.25" customHeight="1">
      <c r="A239" s="152"/>
      <c r="C239" s="289"/>
      <c r="D239" s="289"/>
      <c r="E239" s="189"/>
      <c r="P239" s="436"/>
      <c r="Q239" s="437"/>
      <c r="R239" s="108"/>
      <c r="S239" s="108"/>
      <c r="T239" s="108"/>
      <c r="U239" s="189"/>
      <c r="AF239" s="436"/>
      <c r="AG239" s="437"/>
      <c r="AH239" s="108"/>
      <c r="AI239" s="108"/>
      <c r="AJ239" s="108"/>
      <c r="AK239" s="189"/>
      <c r="AV239" s="436"/>
      <c r="AW239" s="437"/>
      <c r="AX239" s="108"/>
      <c r="AY239" s="108"/>
      <c r="AZ239" s="108"/>
      <c r="BA239" s="189"/>
      <c r="BL239" s="436"/>
      <c r="BM239" s="437"/>
      <c r="BN239" s="108"/>
      <c r="BO239" s="108"/>
      <c r="BP239" s="108"/>
      <c r="BQ239" s="189"/>
      <c r="CB239" s="436"/>
      <c r="CC239" s="437"/>
      <c r="CD239" s="108"/>
      <c r="CE239" s="108"/>
      <c r="CF239" s="108"/>
      <c r="CG239" s="189"/>
      <c r="CR239" s="436"/>
      <c r="CS239" s="437"/>
      <c r="CT239" s="108"/>
      <c r="CU239" s="108"/>
      <c r="CV239" s="108"/>
      <c r="CW239" s="189"/>
      <c r="DH239" s="436"/>
      <c r="DI239" s="437"/>
      <c r="DJ239" s="108"/>
      <c r="DK239" s="108"/>
      <c r="DL239" s="108"/>
      <c r="DM239" s="189"/>
      <c r="DN239" s="436"/>
      <c r="DX239" s="436"/>
      <c r="DY239" s="437"/>
      <c r="DZ239" s="108"/>
      <c r="EA239" s="108"/>
      <c r="EB239" s="108"/>
    </row>
    <row r="240" spans="1:132" ht="14.25" customHeight="1">
      <c r="A240" s="152"/>
      <c r="C240" s="289"/>
      <c r="D240" s="289"/>
      <c r="E240" s="189"/>
      <c r="P240" s="436"/>
      <c r="Q240" s="437"/>
      <c r="R240" s="108"/>
      <c r="S240" s="108"/>
      <c r="T240" s="108"/>
      <c r="U240" s="189"/>
      <c r="AF240" s="436"/>
      <c r="AG240" s="437"/>
      <c r="AH240" s="108"/>
      <c r="AI240" s="108"/>
      <c r="AJ240" s="108"/>
      <c r="AK240" s="189"/>
      <c r="AV240" s="436"/>
      <c r="AW240" s="437"/>
      <c r="AX240" s="108"/>
      <c r="AY240" s="108"/>
      <c r="AZ240" s="108"/>
      <c r="BA240" s="189"/>
      <c r="BL240" s="436"/>
      <c r="BM240" s="437"/>
      <c r="BN240" s="108"/>
      <c r="BO240" s="108"/>
      <c r="BP240" s="108"/>
      <c r="BQ240" s="189"/>
      <c r="CB240" s="436"/>
      <c r="CC240" s="437"/>
      <c r="CD240" s="108"/>
      <c r="CE240" s="108"/>
      <c r="CF240" s="108"/>
      <c r="CG240" s="189"/>
      <c r="CR240" s="436"/>
      <c r="CS240" s="437"/>
      <c r="CT240" s="108"/>
      <c r="CU240" s="108"/>
      <c r="CV240" s="108"/>
      <c r="CW240" s="189"/>
      <c r="DH240" s="436"/>
      <c r="DI240" s="437"/>
      <c r="DJ240" s="108"/>
      <c r="DK240" s="108"/>
      <c r="DL240" s="108"/>
      <c r="DM240" s="189"/>
      <c r="DN240" s="436"/>
      <c r="DX240" s="436"/>
      <c r="DY240" s="437"/>
      <c r="DZ240" s="108"/>
      <c r="EA240" s="108"/>
      <c r="EB240" s="108"/>
    </row>
    <row r="241" spans="1:132" ht="14.25" customHeight="1">
      <c r="A241" s="152"/>
      <c r="C241" s="289"/>
      <c r="D241" s="289"/>
      <c r="E241" s="189"/>
      <c r="P241" s="436"/>
      <c r="Q241" s="437"/>
      <c r="R241" s="108"/>
      <c r="S241" s="108"/>
      <c r="T241" s="108"/>
      <c r="U241" s="189"/>
      <c r="AF241" s="436"/>
      <c r="AG241" s="437"/>
      <c r="AH241" s="108"/>
      <c r="AI241" s="108"/>
      <c r="AJ241" s="108"/>
      <c r="AK241" s="189"/>
      <c r="AV241" s="436"/>
      <c r="AW241" s="437"/>
      <c r="AX241" s="108"/>
      <c r="AY241" s="108"/>
      <c r="AZ241" s="108"/>
      <c r="BA241" s="189"/>
      <c r="BL241" s="436"/>
      <c r="BM241" s="437"/>
      <c r="BN241" s="108"/>
      <c r="BO241" s="108"/>
      <c r="BP241" s="108"/>
      <c r="BQ241" s="189"/>
      <c r="CB241" s="436"/>
      <c r="CC241" s="437"/>
      <c r="CD241" s="108"/>
      <c r="CE241" s="108"/>
      <c r="CF241" s="108"/>
      <c r="CG241" s="189"/>
      <c r="CR241" s="436"/>
      <c r="CS241" s="437"/>
      <c r="CT241" s="108"/>
      <c r="CU241" s="108"/>
      <c r="CV241" s="108"/>
      <c r="CW241" s="189"/>
      <c r="DH241" s="436"/>
      <c r="DI241" s="437"/>
      <c r="DJ241" s="108"/>
      <c r="DK241" s="108"/>
      <c r="DL241" s="108"/>
      <c r="DM241" s="189"/>
      <c r="DN241" s="436"/>
      <c r="DX241" s="436"/>
      <c r="DY241" s="437"/>
      <c r="DZ241" s="108"/>
      <c r="EA241" s="108"/>
      <c r="EB241" s="108"/>
    </row>
    <row r="242" spans="1:132" ht="14.25" customHeight="1">
      <c r="A242" s="152"/>
      <c r="C242" s="289"/>
      <c r="D242" s="289"/>
      <c r="E242" s="189"/>
      <c r="P242" s="436"/>
      <c r="Q242" s="437"/>
      <c r="R242" s="108"/>
      <c r="S242" s="108"/>
      <c r="T242" s="108"/>
      <c r="U242" s="189"/>
      <c r="AF242" s="436"/>
      <c r="AG242" s="437"/>
      <c r="AH242" s="108"/>
      <c r="AI242" s="108"/>
      <c r="AJ242" s="108"/>
      <c r="AK242" s="189"/>
      <c r="AV242" s="436"/>
      <c r="AW242" s="437"/>
      <c r="AX242" s="108"/>
      <c r="AY242" s="108"/>
      <c r="AZ242" s="108"/>
      <c r="BA242" s="189"/>
      <c r="BL242" s="436"/>
      <c r="BM242" s="437"/>
      <c r="BN242" s="108"/>
      <c r="BO242" s="108"/>
      <c r="BP242" s="108"/>
      <c r="BQ242" s="189"/>
      <c r="CB242" s="436"/>
      <c r="CC242" s="437"/>
      <c r="CD242" s="108"/>
      <c r="CE242" s="108"/>
      <c r="CF242" s="108"/>
      <c r="CG242" s="189"/>
      <c r="CR242" s="436"/>
      <c r="CS242" s="437"/>
      <c r="CT242" s="108"/>
      <c r="CU242" s="108"/>
      <c r="CV242" s="108"/>
      <c r="CW242" s="189"/>
      <c r="DH242" s="436"/>
      <c r="DI242" s="437"/>
      <c r="DJ242" s="108"/>
      <c r="DK242" s="108"/>
      <c r="DL242" s="108"/>
      <c r="DM242" s="189"/>
      <c r="DN242" s="436"/>
      <c r="DX242" s="436"/>
      <c r="DY242" s="437"/>
      <c r="DZ242" s="108"/>
      <c r="EA242" s="108"/>
      <c r="EB242" s="108"/>
    </row>
    <row r="243" spans="1:132" ht="14.25" customHeight="1">
      <c r="A243" s="152"/>
      <c r="C243" s="289"/>
      <c r="D243" s="289"/>
      <c r="E243" s="189"/>
      <c r="P243" s="436"/>
      <c r="Q243" s="437"/>
      <c r="R243" s="108"/>
      <c r="S243" s="108"/>
      <c r="T243" s="108"/>
      <c r="U243" s="189"/>
      <c r="AF243" s="436"/>
      <c r="AG243" s="437"/>
      <c r="AH243" s="108"/>
      <c r="AI243" s="108"/>
      <c r="AJ243" s="108"/>
      <c r="AK243" s="189"/>
      <c r="AV243" s="436"/>
      <c r="AW243" s="437"/>
      <c r="AX243" s="108"/>
      <c r="AY243" s="108"/>
      <c r="AZ243" s="108"/>
      <c r="BA243" s="189"/>
      <c r="BL243" s="436"/>
      <c r="BM243" s="437"/>
      <c r="BN243" s="108"/>
      <c r="BO243" s="108"/>
      <c r="BP243" s="108"/>
      <c r="BQ243" s="189"/>
      <c r="CB243" s="436"/>
      <c r="CC243" s="437"/>
      <c r="CD243" s="108"/>
      <c r="CE243" s="108"/>
      <c r="CF243" s="108"/>
      <c r="CG243" s="189"/>
      <c r="CR243" s="436"/>
      <c r="CS243" s="437"/>
      <c r="CT243" s="108"/>
      <c r="CU243" s="108"/>
      <c r="CV243" s="108"/>
      <c r="CW243" s="189"/>
      <c r="DH243" s="436"/>
      <c r="DI243" s="437"/>
      <c r="DJ243" s="108"/>
      <c r="DK243" s="108"/>
      <c r="DL243" s="108"/>
      <c r="DM243" s="189"/>
      <c r="DN243" s="436"/>
      <c r="DX243" s="436"/>
      <c r="DY243" s="437"/>
      <c r="DZ243" s="108"/>
      <c r="EA243" s="108"/>
      <c r="EB243" s="108"/>
    </row>
    <row r="244" spans="1:132" ht="14.25" customHeight="1">
      <c r="A244" s="152"/>
      <c r="C244" s="289"/>
      <c r="D244" s="289"/>
      <c r="E244" s="189"/>
      <c r="P244" s="436"/>
      <c r="Q244" s="437"/>
      <c r="R244" s="108"/>
      <c r="S244" s="108"/>
      <c r="T244" s="108"/>
      <c r="U244" s="189"/>
      <c r="AF244" s="436"/>
      <c r="AG244" s="437"/>
      <c r="AH244" s="108"/>
      <c r="AI244" s="108"/>
      <c r="AJ244" s="108"/>
      <c r="AK244" s="189"/>
      <c r="AV244" s="436"/>
      <c r="AW244" s="437"/>
      <c r="AX244" s="108"/>
      <c r="AY244" s="108"/>
      <c r="AZ244" s="108"/>
      <c r="BA244" s="189"/>
      <c r="BL244" s="436"/>
      <c r="BM244" s="437"/>
      <c r="BN244" s="108"/>
      <c r="BO244" s="108"/>
      <c r="BP244" s="108"/>
      <c r="BQ244" s="189"/>
      <c r="CB244" s="436"/>
      <c r="CC244" s="437"/>
      <c r="CD244" s="108"/>
      <c r="CE244" s="108"/>
      <c r="CF244" s="108"/>
      <c r="CG244" s="189"/>
      <c r="CR244" s="436"/>
      <c r="CS244" s="437"/>
      <c r="CT244" s="108"/>
      <c r="CU244" s="108"/>
      <c r="CV244" s="108"/>
      <c r="CW244" s="189"/>
      <c r="DH244" s="436"/>
      <c r="DI244" s="437"/>
      <c r="DJ244" s="108"/>
      <c r="DK244" s="108"/>
      <c r="DL244" s="108"/>
      <c r="DM244" s="189"/>
      <c r="DN244" s="436"/>
      <c r="DX244" s="436"/>
      <c r="DY244" s="437"/>
      <c r="DZ244" s="108"/>
      <c r="EA244" s="108"/>
      <c r="EB244" s="108"/>
    </row>
    <row r="245" spans="1:132" ht="14.25" customHeight="1">
      <c r="A245" s="152"/>
      <c r="C245" s="289"/>
      <c r="D245" s="289"/>
      <c r="E245" s="189"/>
      <c r="P245" s="436"/>
      <c r="Q245" s="437"/>
      <c r="R245" s="108"/>
      <c r="S245" s="108"/>
      <c r="T245" s="108"/>
      <c r="U245" s="189"/>
      <c r="AF245" s="436"/>
      <c r="AG245" s="437"/>
      <c r="AH245" s="108"/>
      <c r="AI245" s="108"/>
      <c r="AJ245" s="108"/>
      <c r="AK245" s="189"/>
      <c r="AV245" s="436"/>
      <c r="AW245" s="437"/>
      <c r="AX245" s="108"/>
      <c r="AY245" s="108"/>
      <c r="AZ245" s="108"/>
      <c r="BA245" s="189"/>
      <c r="BL245" s="436"/>
      <c r="BM245" s="437"/>
      <c r="BN245" s="108"/>
      <c r="BO245" s="108"/>
      <c r="BP245" s="108"/>
      <c r="BQ245" s="189"/>
      <c r="CB245" s="436"/>
      <c r="CC245" s="437"/>
      <c r="CD245" s="108"/>
      <c r="CE245" s="108"/>
      <c r="CF245" s="108"/>
      <c r="CG245" s="189"/>
      <c r="CR245" s="436"/>
      <c r="CS245" s="437"/>
      <c r="CT245" s="108"/>
      <c r="CU245" s="108"/>
      <c r="CV245" s="108"/>
      <c r="CW245" s="189"/>
      <c r="DH245" s="436"/>
      <c r="DI245" s="437"/>
      <c r="DJ245" s="108"/>
      <c r="DK245" s="108"/>
      <c r="DL245" s="108"/>
      <c r="DM245" s="189"/>
      <c r="DN245" s="436"/>
      <c r="DX245" s="436"/>
      <c r="DY245" s="437"/>
      <c r="DZ245" s="108"/>
      <c r="EA245" s="108"/>
      <c r="EB245" s="108"/>
    </row>
    <row r="246" spans="1:132" ht="14.25" customHeight="1">
      <c r="A246" s="152"/>
      <c r="C246" s="289"/>
      <c r="D246" s="289"/>
      <c r="E246" s="189"/>
      <c r="P246" s="436"/>
      <c r="Q246" s="437"/>
      <c r="R246" s="108"/>
      <c r="S246" s="108"/>
      <c r="T246" s="108"/>
      <c r="U246" s="189"/>
      <c r="AF246" s="436"/>
      <c r="AG246" s="437"/>
      <c r="AH246" s="108"/>
      <c r="AI246" s="108"/>
      <c r="AJ246" s="108"/>
      <c r="AK246" s="189"/>
      <c r="AV246" s="436"/>
      <c r="AW246" s="437"/>
      <c r="AX246" s="108"/>
      <c r="AY246" s="108"/>
      <c r="AZ246" s="108"/>
      <c r="BA246" s="189"/>
      <c r="BL246" s="436"/>
      <c r="BM246" s="437"/>
      <c r="BN246" s="108"/>
      <c r="BO246" s="108"/>
      <c r="BP246" s="108"/>
      <c r="BQ246" s="189"/>
      <c r="CB246" s="436"/>
      <c r="CC246" s="437"/>
      <c r="CD246" s="108"/>
      <c r="CE246" s="108"/>
      <c r="CF246" s="108"/>
      <c r="CG246" s="189"/>
      <c r="CR246" s="436"/>
      <c r="CS246" s="437"/>
      <c r="CT246" s="108"/>
      <c r="CU246" s="108"/>
      <c r="CV246" s="108"/>
      <c r="CW246" s="189"/>
      <c r="DH246" s="436"/>
      <c r="DI246" s="437"/>
      <c r="DJ246" s="108"/>
      <c r="DK246" s="108"/>
      <c r="DL246" s="108"/>
      <c r="DM246" s="189"/>
      <c r="DN246" s="436"/>
      <c r="DX246" s="436"/>
      <c r="DY246" s="437"/>
      <c r="DZ246" s="108"/>
      <c r="EA246" s="108"/>
      <c r="EB246" s="108"/>
    </row>
    <row r="247" spans="1:132" ht="14.25" customHeight="1">
      <c r="A247" s="152"/>
      <c r="C247" s="289"/>
      <c r="D247" s="289"/>
      <c r="E247" s="189"/>
      <c r="P247" s="436"/>
      <c r="Q247" s="437"/>
      <c r="R247" s="108"/>
      <c r="S247" s="108"/>
      <c r="T247" s="108"/>
      <c r="U247" s="189"/>
      <c r="AF247" s="436"/>
      <c r="AG247" s="437"/>
      <c r="AH247" s="108"/>
      <c r="AI247" s="108"/>
      <c r="AJ247" s="108"/>
      <c r="AK247" s="189"/>
      <c r="AV247" s="436"/>
      <c r="AW247" s="437"/>
      <c r="AX247" s="108"/>
      <c r="AY247" s="108"/>
      <c r="AZ247" s="108"/>
      <c r="BA247" s="189"/>
      <c r="BL247" s="436"/>
      <c r="BM247" s="437"/>
      <c r="BN247" s="108"/>
      <c r="BO247" s="108"/>
      <c r="BP247" s="108"/>
      <c r="BQ247" s="189"/>
      <c r="CB247" s="436"/>
      <c r="CC247" s="437"/>
      <c r="CD247" s="108"/>
      <c r="CE247" s="108"/>
      <c r="CF247" s="108"/>
      <c r="CG247" s="189"/>
      <c r="CR247" s="436"/>
      <c r="CS247" s="437"/>
      <c r="CT247" s="108"/>
      <c r="CU247" s="108"/>
      <c r="CV247" s="108"/>
      <c r="CW247" s="189"/>
      <c r="DH247" s="436"/>
      <c r="DI247" s="437"/>
      <c r="DJ247" s="108"/>
      <c r="DK247" s="108"/>
      <c r="DL247" s="108"/>
      <c r="DM247" s="189"/>
      <c r="DN247" s="436"/>
      <c r="DX247" s="436"/>
      <c r="DY247" s="437"/>
      <c r="DZ247" s="108"/>
      <c r="EA247" s="108"/>
      <c r="EB247" s="108"/>
    </row>
    <row r="248" spans="1:132" ht="14.25" customHeight="1">
      <c r="A248" s="152"/>
      <c r="C248" s="289"/>
      <c r="D248" s="289"/>
      <c r="E248" s="189"/>
      <c r="P248" s="436"/>
      <c r="Q248" s="437"/>
      <c r="R248" s="108"/>
      <c r="S248" s="108"/>
      <c r="T248" s="108"/>
      <c r="U248" s="189"/>
      <c r="AF248" s="436"/>
      <c r="AG248" s="437"/>
      <c r="AH248" s="108"/>
      <c r="AI248" s="108"/>
      <c r="AJ248" s="108"/>
      <c r="AK248" s="189"/>
      <c r="AV248" s="436"/>
      <c r="AW248" s="437"/>
      <c r="AX248" s="108"/>
      <c r="AY248" s="108"/>
      <c r="AZ248" s="108"/>
      <c r="BA248" s="189"/>
      <c r="BL248" s="436"/>
      <c r="BM248" s="437"/>
      <c r="BN248" s="108"/>
      <c r="BO248" s="108"/>
      <c r="BP248" s="108"/>
      <c r="BQ248" s="189"/>
      <c r="CB248" s="436"/>
      <c r="CC248" s="437"/>
      <c r="CD248" s="108"/>
      <c r="CE248" s="108"/>
      <c r="CF248" s="108"/>
      <c r="CG248" s="189"/>
      <c r="CR248" s="436"/>
      <c r="CS248" s="437"/>
      <c r="CT248" s="108"/>
      <c r="CU248" s="108"/>
      <c r="CV248" s="108"/>
      <c r="CW248" s="189"/>
      <c r="DH248" s="436"/>
      <c r="DI248" s="437"/>
      <c r="DJ248" s="108"/>
      <c r="DK248" s="108"/>
      <c r="DL248" s="108"/>
      <c r="DM248" s="189"/>
      <c r="DN248" s="436"/>
      <c r="DX248" s="436"/>
      <c r="DY248" s="437"/>
      <c r="DZ248" s="108"/>
      <c r="EA248" s="108"/>
      <c r="EB248" s="108"/>
    </row>
    <row r="249" spans="1:132" ht="14.25" customHeight="1">
      <c r="A249" s="152"/>
      <c r="C249" s="289"/>
      <c r="D249" s="289"/>
      <c r="E249" s="189"/>
      <c r="P249" s="436"/>
      <c r="Q249" s="437"/>
      <c r="R249" s="108"/>
      <c r="S249" s="108"/>
      <c r="T249" s="108"/>
      <c r="U249" s="189"/>
      <c r="AF249" s="436"/>
      <c r="AG249" s="437"/>
      <c r="AH249" s="108"/>
      <c r="AI249" s="108"/>
      <c r="AJ249" s="108"/>
      <c r="AK249" s="189"/>
      <c r="AV249" s="436"/>
      <c r="AW249" s="437"/>
      <c r="AX249" s="108"/>
      <c r="AY249" s="108"/>
      <c r="AZ249" s="108"/>
      <c r="BA249" s="189"/>
      <c r="BL249" s="436"/>
      <c r="BM249" s="437"/>
      <c r="BN249" s="108"/>
      <c r="BO249" s="108"/>
      <c r="BP249" s="108"/>
      <c r="BQ249" s="189"/>
      <c r="CB249" s="436"/>
      <c r="CC249" s="437"/>
      <c r="CD249" s="108"/>
      <c r="CE249" s="108"/>
      <c r="CF249" s="108"/>
      <c r="CG249" s="189"/>
      <c r="CR249" s="436"/>
      <c r="CS249" s="437"/>
      <c r="CT249" s="108"/>
      <c r="CU249" s="108"/>
      <c r="CV249" s="108"/>
      <c r="CW249" s="189"/>
      <c r="DH249" s="436"/>
      <c r="DI249" s="437"/>
      <c r="DJ249" s="108"/>
      <c r="DK249" s="108"/>
      <c r="DL249" s="108"/>
      <c r="DM249" s="189"/>
      <c r="DN249" s="436"/>
      <c r="DX249" s="436"/>
      <c r="DY249" s="437"/>
      <c r="DZ249" s="108"/>
      <c r="EA249" s="108"/>
      <c r="EB249" s="108"/>
    </row>
    <row r="250" spans="1:132" ht="14.25" customHeight="1">
      <c r="A250" s="152"/>
      <c r="C250" s="289"/>
      <c r="D250" s="289"/>
      <c r="E250" s="189"/>
      <c r="P250" s="436"/>
      <c r="Q250" s="437"/>
      <c r="R250" s="108"/>
      <c r="S250" s="108"/>
      <c r="T250" s="108"/>
      <c r="U250" s="189"/>
      <c r="AF250" s="436"/>
      <c r="AG250" s="437"/>
      <c r="AH250" s="108"/>
      <c r="AI250" s="108"/>
      <c r="AJ250" s="108"/>
      <c r="AK250" s="189"/>
      <c r="AV250" s="436"/>
      <c r="AW250" s="437"/>
      <c r="AX250" s="108"/>
      <c r="AY250" s="108"/>
      <c r="AZ250" s="108"/>
      <c r="BA250" s="189"/>
      <c r="BL250" s="436"/>
      <c r="BM250" s="437"/>
      <c r="BN250" s="108"/>
      <c r="BO250" s="108"/>
      <c r="BP250" s="108"/>
      <c r="BQ250" s="189"/>
      <c r="CB250" s="436"/>
      <c r="CC250" s="437"/>
      <c r="CD250" s="108"/>
      <c r="CE250" s="108"/>
      <c r="CF250" s="108"/>
      <c r="CG250" s="189"/>
      <c r="CR250" s="436"/>
      <c r="CS250" s="437"/>
      <c r="CT250" s="108"/>
      <c r="CU250" s="108"/>
      <c r="CV250" s="108"/>
      <c r="CW250" s="189"/>
      <c r="DH250" s="436"/>
      <c r="DI250" s="437"/>
      <c r="DJ250" s="108"/>
      <c r="DK250" s="108"/>
      <c r="DL250" s="108"/>
      <c r="DM250" s="189"/>
      <c r="DN250" s="436"/>
      <c r="DX250" s="436"/>
      <c r="DY250" s="437"/>
      <c r="DZ250" s="108"/>
      <c r="EA250" s="108"/>
      <c r="EB250" s="108"/>
    </row>
    <row r="251" spans="1:132" ht="14.25" customHeight="1">
      <c r="A251" s="152"/>
      <c r="C251" s="289"/>
      <c r="D251" s="289"/>
      <c r="E251" s="189"/>
      <c r="P251" s="436"/>
      <c r="Q251" s="437"/>
      <c r="R251" s="108"/>
      <c r="S251" s="108"/>
      <c r="T251" s="108"/>
      <c r="U251" s="189"/>
      <c r="AF251" s="436"/>
      <c r="AG251" s="437"/>
      <c r="AH251" s="108"/>
      <c r="AI251" s="108"/>
      <c r="AJ251" s="108"/>
      <c r="AK251" s="189"/>
      <c r="AV251" s="436"/>
      <c r="AW251" s="437"/>
      <c r="AX251" s="108"/>
      <c r="AY251" s="108"/>
      <c r="AZ251" s="108"/>
      <c r="BA251" s="189"/>
      <c r="BL251" s="436"/>
      <c r="BM251" s="437"/>
      <c r="BN251" s="108"/>
      <c r="BO251" s="108"/>
      <c r="BP251" s="108"/>
      <c r="BQ251" s="189"/>
      <c r="CB251" s="436"/>
      <c r="CC251" s="437"/>
      <c r="CD251" s="108"/>
      <c r="CE251" s="108"/>
      <c r="CF251" s="108"/>
      <c r="CG251" s="189"/>
      <c r="CR251" s="436"/>
      <c r="CS251" s="437"/>
      <c r="CT251" s="108"/>
      <c r="CU251" s="108"/>
      <c r="CV251" s="108"/>
      <c r="CW251" s="189"/>
      <c r="DH251" s="436"/>
      <c r="DI251" s="437"/>
      <c r="DJ251" s="108"/>
      <c r="DK251" s="108"/>
      <c r="DL251" s="108"/>
      <c r="DM251" s="189"/>
      <c r="DN251" s="436"/>
      <c r="DX251" s="436"/>
      <c r="DY251" s="437"/>
      <c r="DZ251" s="108"/>
      <c r="EA251" s="108"/>
      <c r="EB251" s="108"/>
    </row>
    <row r="252" spans="1:132" ht="14.25" customHeight="1">
      <c r="A252" s="152"/>
      <c r="C252" s="289"/>
      <c r="D252" s="289"/>
      <c r="E252" s="189"/>
      <c r="P252" s="436"/>
      <c r="Q252" s="437"/>
      <c r="R252" s="108"/>
      <c r="S252" s="108"/>
      <c r="T252" s="108"/>
      <c r="U252" s="189"/>
      <c r="AF252" s="436"/>
      <c r="AG252" s="437"/>
      <c r="AH252" s="108"/>
      <c r="AI252" s="108"/>
      <c r="AJ252" s="108"/>
      <c r="AK252" s="189"/>
      <c r="AV252" s="436"/>
      <c r="AW252" s="437"/>
      <c r="AX252" s="108"/>
      <c r="AY252" s="108"/>
      <c r="AZ252" s="108"/>
      <c r="BA252" s="189"/>
      <c r="BL252" s="436"/>
      <c r="BM252" s="437"/>
      <c r="BN252" s="108"/>
      <c r="BO252" s="108"/>
      <c r="BP252" s="108"/>
      <c r="BQ252" s="189"/>
      <c r="CB252" s="436"/>
      <c r="CC252" s="437"/>
      <c r="CD252" s="108"/>
      <c r="CE252" s="108"/>
      <c r="CF252" s="108"/>
      <c r="CG252" s="189"/>
      <c r="CR252" s="436"/>
      <c r="CS252" s="437"/>
      <c r="CT252" s="108"/>
      <c r="CU252" s="108"/>
      <c r="CV252" s="108"/>
      <c r="CW252" s="189"/>
      <c r="DH252" s="436"/>
      <c r="DI252" s="437"/>
      <c r="DJ252" s="108"/>
      <c r="DK252" s="108"/>
      <c r="DL252" s="108"/>
      <c r="DM252" s="189"/>
      <c r="DN252" s="436"/>
      <c r="DX252" s="436"/>
      <c r="DY252" s="437"/>
      <c r="DZ252" s="108"/>
      <c r="EA252" s="108"/>
      <c r="EB252" s="108"/>
    </row>
    <row r="253" spans="1:132" ht="14.25" customHeight="1">
      <c r="A253" s="152"/>
      <c r="C253" s="289"/>
      <c r="D253" s="289"/>
      <c r="E253" s="189"/>
      <c r="P253" s="436"/>
      <c r="Q253" s="437"/>
      <c r="R253" s="108"/>
      <c r="S253" s="108"/>
      <c r="T253" s="108"/>
      <c r="U253" s="189"/>
      <c r="AF253" s="436"/>
      <c r="AG253" s="437"/>
      <c r="AH253" s="108"/>
      <c r="AI253" s="108"/>
      <c r="AJ253" s="108"/>
      <c r="AK253" s="189"/>
      <c r="AV253" s="436"/>
      <c r="AW253" s="437"/>
      <c r="AX253" s="108"/>
      <c r="AY253" s="108"/>
      <c r="AZ253" s="108"/>
      <c r="BA253" s="189"/>
      <c r="BL253" s="436"/>
      <c r="BM253" s="437"/>
      <c r="BN253" s="108"/>
      <c r="BO253" s="108"/>
      <c r="BP253" s="108"/>
      <c r="BQ253" s="189"/>
      <c r="CB253" s="436"/>
      <c r="CC253" s="437"/>
      <c r="CD253" s="108"/>
      <c r="CE253" s="108"/>
      <c r="CF253" s="108"/>
      <c r="CG253" s="189"/>
      <c r="CR253" s="436"/>
      <c r="CS253" s="437"/>
      <c r="CT253" s="108"/>
      <c r="CU253" s="108"/>
      <c r="CV253" s="108"/>
      <c r="CW253" s="189"/>
      <c r="DH253" s="436"/>
      <c r="DI253" s="437"/>
      <c r="DJ253" s="108"/>
      <c r="DK253" s="108"/>
      <c r="DL253" s="108"/>
      <c r="DM253" s="189"/>
      <c r="DN253" s="436"/>
      <c r="DX253" s="436"/>
      <c r="DY253" s="437"/>
      <c r="DZ253" s="108"/>
      <c r="EA253" s="108"/>
      <c r="EB253" s="108"/>
    </row>
    <row r="254" spans="1:132" ht="14.25" customHeight="1">
      <c r="A254" s="152"/>
      <c r="C254" s="289"/>
      <c r="D254" s="289"/>
      <c r="E254" s="189"/>
      <c r="P254" s="436"/>
      <c r="Q254" s="437"/>
      <c r="R254" s="108"/>
      <c r="S254" s="108"/>
      <c r="T254" s="108"/>
      <c r="U254" s="189"/>
      <c r="AF254" s="436"/>
      <c r="AG254" s="437"/>
      <c r="AH254" s="108"/>
      <c r="AI254" s="108"/>
      <c r="AJ254" s="108"/>
      <c r="AK254" s="189"/>
      <c r="AV254" s="436"/>
      <c r="AW254" s="437"/>
      <c r="AX254" s="108"/>
      <c r="AY254" s="108"/>
      <c r="AZ254" s="108"/>
      <c r="BA254" s="189"/>
      <c r="BL254" s="436"/>
      <c r="BM254" s="437"/>
      <c r="BN254" s="108"/>
      <c r="BO254" s="108"/>
      <c r="BP254" s="108"/>
      <c r="BQ254" s="189"/>
      <c r="CB254" s="436"/>
      <c r="CC254" s="437"/>
      <c r="CD254" s="108"/>
      <c r="CE254" s="108"/>
      <c r="CF254" s="108"/>
      <c r="CG254" s="189"/>
      <c r="CR254" s="436"/>
      <c r="CS254" s="437"/>
      <c r="CT254" s="108"/>
      <c r="CU254" s="108"/>
      <c r="CV254" s="108"/>
      <c r="CW254" s="189"/>
      <c r="DH254" s="436"/>
      <c r="DI254" s="437"/>
      <c r="DJ254" s="108"/>
      <c r="DK254" s="108"/>
      <c r="DL254" s="108"/>
      <c r="DM254" s="189"/>
      <c r="DN254" s="436"/>
      <c r="DX254" s="436"/>
      <c r="DY254" s="437"/>
      <c r="DZ254" s="108"/>
      <c r="EA254" s="108"/>
      <c r="EB254" s="108"/>
    </row>
    <row r="255" spans="1:132" ht="14.25" customHeight="1">
      <c r="A255" s="152"/>
      <c r="C255" s="289"/>
      <c r="D255" s="289"/>
      <c r="E255" s="189"/>
      <c r="P255" s="436"/>
      <c r="Q255" s="437"/>
      <c r="R255" s="108"/>
      <c r="S255" s="108"/>
      <c r="T255" s="108"/>
      <c r="U255" s="189"/>
      <c r="AF255" s="436"/>
      <c r="AG255" s="437"/>
      <c r="AH255" s="108"/>
      <c r="AI255" s="108"/>
      <c r="AJ255" s="108"/>
      <c r="AK255" s="189"/>
      <c r="AV255" s="436"/>
      <c r="AW255" s="437"/>
      <c r="AX255" s="108"/>
      <c r="AY255" s="108"/>
      <c r="AZ255" s="108"/>
      <c r="BA255" s="189"/>
      <c r="BL255" s="436"/>
      <c r="BM255" s="437"/>
      <c r="BN255" s="108"/>
      <c r="BO255" s="108"/>
      <c r="BP255" s="108"/>
      <c r="BQ255" s="189"/>
      <c r="CB255" s="436"/>
      <c r="CC255" s="437"/>
      <c r="CD255" s="108"/>
      <c r="CE255" s="108"/>
      <c r="CF255" s="108"/>
      <c r="CG255" s="189"/>
      <c r="CR255" s="436"/>
      <c r="CS255" s="437"/>
      <c r="CT255" s="108"/>
      <c r="CU255" s="108"/>
      <c r="CV255" s="108"/>
      <c r="CW255" s="189"/>
      <c r="DH255" s="436"/>
      <c r="DI255" s="437"/>
      <c r="DJ255" s="108"/>
      <c r="DK255" s="108"/>
      <c r="DL255" s="108"/>
      <c r="DM255" s="189"/>
      <c r="DN255" s="436"/>
      <c r="DX255" s="436"/>
      <c r="DY255" s="437"/>
      <c r="DZ255" s="108"/>
      <c r="EA255" s="108"/>
      <c r="EB255" s="108"/>
    </row>
    <row r="256" spans="1:132" ht="14.25" customHeight="1">
      <c r="A256" s="152"/>
      <c r="C256" s="289"/>
      <c r="D256" s="289"/>
      <c r="E256" s="189"/>
      <c r="P256" s="436"/>
      <c r="Q256" s="437"/>
      <c r="R256" s="108"/>
      <c r="S256" s="108"/>
      <c r="T256" s="108"/>
      <c r="U256" s="189"/>
      <c r="AF256" s="436"/>
      <c r="AG256" s="437"/>
      <c r="AH256" s="108"/>
      <c r="AI256" s="108"/>
      <c r="AJ256" s="108"/>
      <c r="AK256" s="189"/>
      <c r="AV256" s="436"/>
      <c r="AW256" s="437"/>
      <c r="AX256" s="108"/>
      <c r="AY256" s="108"/>
      <c r="AZ256" s="108"/>
      <c r="BA256" s="189"/>
      <c r="BL256" s="436"/>
      <c r="BM256" s="437"/>
      <c r="BN256" s="108"/>
      <c r="BO256" s="108"/>
      <c r="BP256" s="108"/>
      <c r="BQ256" s="189"/>
      <c r="CB256" s="436"/>
      <c r="CC256" s="437"/>
      <c r="CD256" s="108"/>
      <c r="CE256" s="108"/>
      <c r="CF256" s="108"/>
      <c r="CG256" s="189"/>
      <c r="CR256" s="436"/>
      <c r="CS256" s="437"/>
      <c r="CT256" s="108"/>
      <c r="CU256" s="108"/>
      <c r="CV256" s="108"/>
      <c r="CW256" s="189"/>
      <c r="DH256" s="436"/>
      <c r="DI256" s="437"/>
      <c r="DJ256" s="108"/>
      <c r="DK256" s="108"/>
      <c r="DL256" s="108"/>
      <c r="DM256" s="189"/>
      <c r="DN256" s="436"/>
      <c r="DX256" s="436"/>
      <c r="DY256" s="437"/>
      <c r="DZ256" s="108"/>
      <c r="EA256" s="108"/>
      <c r="EB256" s="108"/>
    </row>
    <row r="257" spans="1:132" ht="14.25" customHeight="1">
      <c r="A257" s="152"/>
      <c r="C257" s="289"/>
      <c r="D257" s="289"/>
      <c r="E257" s="189"/>
      <c r="P257" s="436"/>
      <c r="Q257" s="437"/>
      <c r="R257" s="108"/>
      <c r="S257" s="108"/>
      <c r="T257" s="108"/>
      <c r="U257" s="189"/>
      <c r="AF257" s="436"/>
      <c r="AG257" s="437"/>
      <c r="AH257" s="108"/>
      <c r="AI257" s="108"/>
      <c r="AJ257" s="108"/>
      <c r="AK257" s="189"/>
      <c r="AV257" s="436"/>
      <c r="AW257" s="437"/>
      <c r="AX257" s="108"/>
      <c r="AY257" s="108"/>
      <c r="AZ257" s="108"/>
      <c r="BA257" s="189"/>
      <c r="BL257" s="436"/>
      <c r="BM257" s="437"/>
      <c r="BN257" s="108"/>
      <c r="BO257" s="108"/>
      <c r="BP257" s="108"/>
      <c r="BQ257" s="189"/>
      <c r="CB257" s="436"/>
      <c r="CC257" s="437"/>
      <c r="CD257" s="108"/>
      <c r="CE257" s="108"/>
      <c r="CF257" s="108"/>
      <c r="CG257" s="189"/>
      <c r="CR257" s="436"/>
      <c r="CS257" s="437"/>
      <c r="CT257" s="108"/>
      <c r="CU257" s="108"/>
      <c r="CV257" s="108"/>
      <c r="CW257" s="189"/>
      <c r="DH257" s="436"/>
      <c r="DI257" s="437"/>
      <c r="DJ257" s="108"/>
      <c r="DK257" s="108"/>
      <c r="DL257" s="108"/>
      <c r="DM257" s="189"/>
      <c r="DN257" s="436"/>
      <c r="DX257" s="436"/>
      <c r="DY257" s="437"/>
      <c r="DZ257" s="108"/>
      <c r="EA257" s="108"/>
      <c r="EB257" s="108"/>
    </row>
    <row r="258" spans="1:132" ht="14.25" customHeight="1">
      <c r="A258" s="152"/>
      <c r="C258" s="289"/>
      <c r="D258" s="289"/>
      <c r="E258" s="189"/>
      <c r="P258" s="436"/>
      <c r="Q258" s="437"/>
      <c r="R258" s="108"/>
      <c r="S258" s="108"/>
      <c r="T258" s="108"/>
      <c r="U258" s="189"/>
      <c r="AF258" s="436"/>
      <c r="AG258" s="437"/>
      <c r="AH258" s="108"/>
      <c r="AI258" s="108"/>
      <c r="AJ258" s="108"/>
      <c r="AK258" s="189"/>
      <c r="AV258" s="436"/>
      <c r="AW258" s="437"/>
      <c r="AX258" s="108"/>
      <c r="AY258" s="108"/>
      <c r="AZ258" s="108"/>
      <c r="BA258" s="189"/>
      <c r="BL258" s="436"/>
      <c r="BM258" s="437"/>
      <c r="BN258" s="108"/>
      <c r="BO258" s="108"/>
      <c r="BP258" s="108"/>
      <c r="BQ258" s="189"/>
      <c r="CB258" s="436"/>
      <c r="CC258" s="437"/>
      <c r="CD258" s="108"/>
      <c r="CE258" s="108"/>
      <c r="CF258" s="108"/>
      <c r="CG258" s="189"/>
      <c r="CR258" s="436"/>
      <c r="CS258" s="437"/>
      <c r="CT258" s="108"/>
      <c r="CU258" s="108"/>
      <c r="CV258" s="108"/>
      <c r="CW258" s="189"/>
      <c r="DH258" s="436"/>
      <c r="DI258" s="437"/>
      <c r="DJ258" s="108"/>
      <c r="DK258" s="108"/>
      <c r="DL258" s="108"/>
      <c r="DM258" s="189"/>
      <c r="DN258" s="436"/>
      <c r="DX258" s="436"/>
      <c r="DY258" s="437"/>
      <c r="DZ258" s="108"/>
      <c r="EA258" s="108"/>
      <c r="EB258" s="108"/>
    </row>
    <row r="259" spans="1:132" ht="14.25" customHeight="1">
      <c r="A259" s="152"/>
      <c r="C259" s="289"/>
      <c r="D259" s="289"/>
      <c r="E259" s="189"/>
      <c r="P259" s="436"/>
      <c r="Q259" s="437"/>
      <c r="R259" s="108"/>
      <c r="S259" s="108"/>
      <c r="T259" s="108"/>
      <c r="U259" s="189"/>
      <c r="AF259" s="436"/>
      <c r="AG259" s="437"/>
      <c r="AH259" s="108"/>
      <c r="AI259" s="108"/>
      <c r="AJ259" s="108"/>
      <c r="AK259" s="189"/>
      <c r="AV259" s="436"/>
      <c r="AW259" s="437"/>
      <c r="AX259" s="108"/>
      <c r="AY259" s="108"/>
      <c r="AZ259" s="108"/>
      <c r="BA259" s="189"/>
      <c r="BL259" s="436"/>
      <c r="BM259" s="437"/>
      <c r="BN259" s="108"/>
      <c r="BO259" s="108"/>
      <c r="BP259" s="108"/>
      <c r="BQ259" s="189"/>
      <c r="CB259" s="436"/>
      <c r="CC259" s="437"/>
      <c r="CD259" s="108"/>
      <c r="CE259" s="108"/>
      <c r="CF259" s="108"/>
      <c r="CG259" s="189"/>
      <c r="CR259" s="436"/>
      <c r="CS259" s="437"/>
      <c r="CT259" s="108"/>
      <c r="CU259" s="108"/>
      <c r="CV259" s="108"/>
      <c r="CW259" s="189"/>
      <c r="DH259" s="436"/>
      <c r="DI259" s="437"/>
      <c r="DJ259" s="108"/>
      <c r="DK259" s="108"/>
      <c r="DL259" s="108"/>
      <c r="DM259" s="189"/>
      <c r="DN259" s="436"/>
      <c r="DX259" s="436"/>
      <c r="DY259" s="437"/>
      <c r="DZ259" s="108"/>
      <c r="EA259" s="108"/>
      <c r="EB259" s="108"/>
    </row>
    <row r="260" spans="1:132" ht="14.25" customHeight="1">
      <c r="A260" s="152"/>
      <c r="C260" s="289"/>
      <c r="D260" s="289"/>
      <c r="E260" s="189"/>
      <c r="P260" s="436"/>
      <c r="Q260" s="437"/>
      <c r="R260" s="108"/>
      <c r="S260" s="108"/>
      <c r="T260" s="108"/>
      <c r="U260" s="189"/>
      <c r="AF260" s="436"/>
      <c r="AG260" s="437"/>
      <c r="AH260" s="108"/>
      <c r="AI260" s="108"/>
      <c r="AJ260" s="108"/>
      <c r="AK260" s="189"/>
      <c r="AV260" s="436"/>
      <c r="AW260" s="437"/>
      <c r="AX260" s="108"/>
      <c r="AY260" s="108"/>
      <c r="AZ260" s="108"/>
      <c r="BA260" s="189"/>
      <c r="BL260" s="436"/>
      <c r="BM260" s="437"/>
      <c r="BN260" s="108"/>
      <c r="BO260" s="108"/>
      <c r="BP260" s="108"/>
      <c r="BQ260" s="189"/>
      <c r="CB260" s="436"/>
      <c r="CC260" s="437"/>
      <c r="CD260" s="108"/>
      <c r="CE260" s="108"/>
      <c r="CF260" s="108"/>
      <c r="CG260" s="189"/>
      <c r="CR260" s="436"/>
      <c r="CS260" s="437"/>
      <c r="CT260" s="108"/>
      <c r="CU260" s="108"/>
      <c r="CV260" s="108"/>
      <c r="CW260" s="189"/>
      <c r="DH260" s="436"/>
      <c r="DI260" s="437"/>
      <c r="DJ260" s="108"/>
      <c r="DK260" s="108"/>
      <c r="DL260" s="108"/>
      <c r="DM260" s="189"/>
      <c r="DN260" s="436"/>
      <c r="DX260" s="436"/>
      <c r="DY260" s="437"/>
      <c r="DZ260" s="108"/>
      <c r="EA260" s="108"/>
      <c r="EB260" s="108"/>
    </row>
    <row r="261" spans="1:132" ht="14.25" customHeight="1">
      <c r="A261" s="152"/>
      <c r="C261" s="289"/>
      <c r="D261" s="289"/>
      <c r="E261" s="189"/>
      <c r="P261" s="436"/>
      <c r="Q261" s="437"/>
      <c r="R261" s="108"/>
      <c r="S261" s="108"/>
      <c r="T261" s="108"/>
      <c r="U261" s="189"/>
      <c r="AF261" s="436"/>
      <c r="AG261" s="437"/>
      <c r="AH261" s="108"/>
      <c r="AI261" s="108"/>
      <c r="AJ261" s="108"/>
      <c r="AK261" s="189"/>
      <c r="AV261" s="436"/>
      <c r="AW261" s="437"/>
      <c r="AX261" s="108"/>
      <c r="AY261" s="108"/>
      <c r="AZ261" s="108"/>
      <c r="BA261" s="189"/>
      <c r="BL261" s="436"/>
      <c r="BM261" s="437"/>
      <c r="BN261" s="108"/>
      <c r="BO261" s="108"/>
      <c r="BP261" s="108"/>
      <c r="BQ261" s="189"/>
      <c r="CB261" s="436"/>
      <c r="CC261" s="437"/>
      <c r="CD261" s="108"/>
      <c r="CE261" s="108"/>
      <c r="CF261" s="108"/>
      <c r="CG261" s="189"/>
      <c r="CR261" s="436"/>
      <c r="CS261" s="437"/>
      <c r="CT261" s="108"/>
      <c r="CU261" s="108"/>
      <c r="CV261" s="108"/>
      <c r="CW261" s="189"/>
      <c r="DH261" s="436"/>
      <c r="DI261" s="437"/>
      <c r="DJ261" s="108"/>
      <c r="DK261" s="108"/>
      <c r="DL261" s="108"/>
      <c r="DM261" s="189"/>
      <c r="DN261" s="436"/>
      <c r="DX261" s="436"/>
      <c r="DY261" s="437"/>
      <c r="DZ261" s="108"/>
      <c r="EA261" s="108"/>
      <c r="EB261" s="108"/>
    </row>
    <row r="262" spans="1:132" ht="14.25" customHeight="1">
      <c r="A262" s="152"/>
      <c r="C262" s="289"/>
      <c r="D262" s="289"/>
      <c r="E262" s="189"/>
      <c r="P262" s="436"/>
      <c r="Q262" s="437"/>
      <c r="R262" s="108"/>
      <c r="S262" s="108"/>
      <c r="T262" s="108"/>
      <c r="U262" s="189"/>
      <c r="AF262" s="436"/>
      <c r="AG262" s="437"/>
      <c r="AH262" s="108"/>
      <c r="AI262" s="108"/>
      <c r="AJ262" s="108"/>
      <c r="AK262" s="189"/>
      <c r="AV262" s="436"/>
      <c r="AW262" s="437"/>
      <c r="AX262" s="108"/>
      <c r="AY262" s="108"/>
      <c r="AZ262" s="108"/>
      <c r="BA262" s="189"/>
      <c r="BL262" s="436"/>
      <c r="BM262" s="437"/>
      <c r="BN262" s="108"/>
      <c r="BO262" s="108"/>
      <c r="BP262" s="108"/>
      <c r="BQ262" s="189"/>
      <c r="CB262" s="436"/>
      <c r="CC262" s="437"/>
      <c r="CD262" s="108"/>
      <c r="CE262" s="108"/>
      <c r="CF262" s="108"/>
      <c r="CG262" s="189"/>
      <c r="CR262" s="436"/>
      <c r="CS262" s="437"/>
      <c r="CT262" s="108"/>
      <c r="CU262" s="108"/>
      <c r="CV262" s="108"/>
      <c r="CW262" s="189"/>
      <c r="DH262" s="436"/>
      <c r="DI262" s="437"/>
      <c r="DJ262" s="108"/>
      <c r="DK262" s="108"/>
      <c r="DL262" s="108"/>
      <c r="DM262" s="189"/>
      <c r="DN262" s="436"/>
      <c r="DX262" s="436"/>
      <c r="DY262" s="437"/>
      <c r="DZ262" s="108"/>
      <c r="EA262" s="108"/>
      <c r="EB262" s="108"/>
    </row>
    <row r="263" spans="1:132" ht="14.25" customHeight="1">
      <c r="A263" s="152"/>
      <c r="C263" s="289"/>
      <c r="D263" s="289"/>
      <c r="E263" s="189"/>
      <c r="P263" s="436"/>
      <c r="Q263" s="437"/>
      <c r="R263" s="108"/>
      <c r="S263" s="108"/>
      <c r="T263" s="108"/>
      <c r="U263" s="189"/>
      <c r="AF263" s="436"/>
      <c r="AG263" s="437"/>
      <c r="AH263" s="108"/>
      <c r="AI263" s="108"/>
      <c r="AJ263" s="108"/>
      <c r="AK263" s="189"/>
      <c r="AV263" s="436"/>
      <c r="AW263" s="437"/>
      <c r="AX263" s="108"/>
      <c r="AY263" s="108"/>
      <c r="AZ263" s="108"/>
      <c r="BA263" s="189"/>
      <c r="BL263" s="436"/>
      <c r="BM263" s="437"/>
      <c r="BN263" s="108"/>
      <c r="BO263" s="108"/>
      <c r="BP263" s="108"/>
      <c r="BQ263" s="189"/>
      <c r="CB263" s="436"/>
      <c r="CC263" s="437"/>
      <c r="CD263" s="108"/>
      <c r="CE263" s="108"/>
      <c r="CF263" s="108"/>
      <c r="CG263" s="189"/>
      <c r="CR263" s="436"/>
      <c r="CS263" s="437"/>
      <c r="CT263" s="108"/>
      <c r="CU263" s="108"/>
      <c r="CV263" s="108"/>
      <c r="CW263" s="189"/>
      <c r="DH263" s="436"/>
      <c r="DI263" s="437"/>
      <c r="DJ263" s="108"/>
      <c r="DK263" s="108"/>
      <c r="DL263" s="108"/>
      <c r="DM263" s="189"/>
      <c r="DN263" s="436"/>
      <c r="DX263" s="436"/>
      <c r="DY263" s="437"/>
      <c r="DZ263" s="108"/>
      <c r="EA263" s="108"/>
      <c r="EB263" s="108"/>
    </row>
    <row r="264" spans="1:132" ht="14.25" customHeight="1">
      <c r="A264" s="152"/>
      <c r="C264" s="289"/>
      <c r="D264" s="289"/>
      <c r="E264" s="189"/>
      <c r="P264" s="436"/>
      <c r="Q264" s="437"/>
      <c r="R264" s="108"/>
      <c r="S264" s="108"/>
      <c r="T264" s="108"/>
      <c r="U264" s="189"/>
      <c r="AF264" s="436"/>
      <c r="AG264" s="437"/>
      <c r="AH264" s="108"/>
      <c r="AI264" s="108"/>
      <c r="AJ264" s="108"/>
      <c r="AK264" s="189"/>
      <c r="AV264" s="436"/>
      <c r="AW264" s="437"/>
      <c r="AX264" s="108"/>
      <c r="AY264" s="108"/>
      <c r="AZ264" s="108"/>
      <c r="BA264" s="189"/>
      <c r="BL264" s="436"/>
      <c r="BM264" s="437"/>
      <c r="BN264" s="108"/>
      <c r="BO264" s="108"/>
      <c r="BP264" s="108"/>
      <c r="BQ264" s="189"/>
      <c r="CB264" s="436"/>
      <c r="CC264" s="437"/>
      <c r="CD264" s="108"/>
      <c r="CE264" s="108"/>
      <c r="CF264" s="108"/>
      <c r="CG264" s="189"/>
      <c r="CR264" s="436"/>
      <c r="CS264" s="437"/>
      <c r="CT264" s="108"/>
      <c r="CU264" s="108"/>
      <c r="CV264" s="108"/>
      <c r="CW264" s="189"/>
      <c r="DH264" s="436"/>
      <c r="DI264" s="437"/>
      <c r="DJ264" s="108"/>
      <c r="DK264" s="108"/>
      <c r="DL264" s="108"/>
      <c r="DM264" s="189"/>
      <c r="DN264" s="436"/>
      <c r="DX264" s="436"/>
      <c r="DY264" s="437"/>
      <c r="DZ264" s="108"/>
      <c r="EA264" s="108"/>
      <c r="EB264" s="108"/>
    </row>
    <row r="265" spans="1:132" ht="14.25" customHeight="1">
      <c r="A265" s="152"/>
      <c r="C265" s="289"/>
      <c r="D265" s="289"/>
      <c r="E265" s="189"/>
      <c r="P265" s="436"/>
      <c r="Q265" s="437"/>
      <c r="R265" s="108"/>
      <c r="S265" s="108"/>
      <c r="T265" s="108"/>
      <c r="U265" s="189"/>
      <c r="AF265" s="436"/>
      <c r="AG265" s="437"/>
      <c r="AH265" s="108"/>
      <c r="AI265" s="108"/>
      <c r="AJ265" s="108"/>
      <c r="AK265" s="189"/>
      <c r="AV265" s="436"/>
      <c r="AW265" s="437"/>
      <c r="AX265" s="108"/>
      <c r="AY265" s="108"/>
      <c r="AZ265" s="108"/>
      <c r="BA265" s="189"/>
      <c r="BL265" s="436"/>
      <c r="BM265" s="437"/>
      <c r="BN265" s="108"/>
      <c r="BO265" s="108"/>
      <c r="BP265" s="108"/>
      <c r="BQ265" s="189"/>
      <c r="CB265" s="436"/>
      <c r="CC265" s="437"/>
      <c r="CD265" s="108"/>
      <c r="CE265" s="108"/>
      <c r="CF265" s="108"/>
      <c r="CG265" s="189"/>
      <c r="CR265" s="436"/>
      <c r="CS265" s="437"/>
      <c r="CT265" s="108"/>
      <c r="CU265" s="108"/>
      <c r="CV265" s="108"/>
      <c r="CW265" s="189"/>
      <c r="DH265" s="436"/>
      <c r="DI265" s="437"/>
      <c r="DJ265" s="108"/>
      <c r="DK265" s="108"/>
      <c r="DL265" s="108"/>
      <c r="DM265" s="189"/>
      <c r="DN265" s="436"/>
      <c r="DX265" s="436"/>
      <c r="DY265" s="437"/>
      <c r="DZ265" s="108"/>
      <c r="EA265" s="108"/>
      <c r="EB265" s="108"/>
    </row>
    <row r="266" spans="1:132" ht="14.25" customHeight="1">
      <c r="A266" s="152"/>
      <c r="C266" s="289"/>
      <c r="D266" s="289"/>
      <c r="E266" s="189"/>
      <c r="P266" s="436"/>
      <c r="Q266" s="437"/>
      <c r="R266" s="108"/>
      <c r="S266" s="108"/>
      <c r="T266" s="108"/>
      <c r="U266" s="189"/>
      <c r="AF266" s="436"/>
      <c r="AG266" s="437"/>
      <c r="AH266" s="108"/>
      <c r="AI266" s="108"/>
      <c r="AJ266" s="108"/>
      <c r="AK266" s="189"/>
      <c r="AV266" s="436"/>
      <c r="AW266" s="437"/>
      <c r="AX266" s="108"/>
      <c r="AY266" s="108"/>
      <c r="AZ266" s="108"/>
      <c r="BA266" s="189"/>
      <c r="BL266" s="436"/>
      <c r="BM266" s="437"/>
      <c r="BN266" s="108"/>
      <c r="BO266" s="108"/>
      <c r="BP266" s="108"/>
      <c r="BQ266" s="189"/>
      <c r="CB266" s="436"/>
      <c r="CC266" s="437"/>
      <c r="CD266" s="108"/>
      <c r="CE266" s="108"/>
      <c r="CF266" s="108"/>
      <c r="CG266" s="189"/>
      <c r="CR266" s="436"/>
      <c r="CS266" s="437"/>
      <c r="CT266" s="108"/>
      <c r="CU266" s="108"/>
      <c r="CV266" s="108"/>
      <c r="CW266" s="189"/>
      <c r="DH266" s="436"/>
      <c r="DI266" s="437"/>
      <c r="DJ266" s="108"/>
      <c r="DK266" s="108"/>
      <c r="DL266" s="108"/>
      <c r="DM266" s="189"/>
      <c r="DN266" s="436"/>
      <c r="DX266" s="436"/>
      <c r="DY266" s="437"/>
      <c r="DZ266" s="108"/>
      <c r="EA266" s="108"/>
      <c r="EB266" s="108"/>
    </row>
    <row r="267" spans="1:132" ht="14.25" customHeight="1">
      <c r="A267" s="152"/>
      <c r="C267" s="289"/>
      <c r="D267" s="289"/>
      <c r="E267" s="189"/>
      <c r="P267" s="436"/>
      <c r="Q267" s="437"/>
      <c r="R267" s="108"/>
      <c r="S267" s="108"/>
      <c r="T267" s="108"/>
      <c r="U267" s="189"/>
      <c r="AF267" s="436"/>
      <c r="AG267" s="437"/>
      <c r="AH267" s="108"/>
      <c r="AI267" s="108"/>
      <c r="AJ267" s="108"/>
      <c r="AK267" s="189"/>
      <c r="AV267" s="436"/>
      <c r="AW267" s="437"/>
      <c r="AX267" s="108"/>
      <c r="AY267" s="108"/>
      <c r="AZ267" s="108"/>
      <c r="BA267" s="189"/>
      <c r="BL267" s="436"/>
      <c r="BM267" s="437"/>
      <c r="BN267" s="108"/>
      <c r="BO267" s="108"/>
      <c r="BP267" s="108"/>
      <c r="BQ267" s="189"/>
      <c r="CB267" s="436"/>
      <c r="CC267" s="437"/>
      <c r="CD267" s="108"/>
      <c r="CE267" s="108"/>
      <c r="CF267" s="108"/>
      <c r="CG267" s="189"/>
      <c r="CR267" s="436"/>
      <c r="CS267" s="437"/>
      <c r="CT267" s="108"/>
      <c r="CU267" s="108"/>
      <c r="CV267" s="108"/>
      <c r="CW267" s="189"/>
      <c r="DH267" s="436"/>
      <c r="DI267" s="437"/>
      <c r="DJ267" s="108"/>
      <c r="DK267" s="108"/>
      <c r="DL267" s="108"/>
      <c r="DM267" s="189"/>
      <c r="DN267" s="436"/>
      <c r="DX267" s="436"/>
      <c r="DY267" s="437"/>
      <c r="DZ267" s="108"/>
      <c r="EA267" s="108"/>
      <c r="EB267" s="108"/>
    </row>
    <row r="268" spans="1:132" ht="14.25" customHeight="1">
      <c r="A268" s="152"/>
      <c r="C268" s="289"/>
      <c r="D268" s="289"/>
      <c r="E268" s="189"/>
      <c r="P268" s="436"/>
      <c r="Q268" s="437"/>
      <c r="R268" s="108"/>
      <c r="S268" s="108"/>
      <c r="T268" s="108"/>
      <c r="U268" s="189"/>
      <c r="AF268" s="436"/>
      <c r="AG268" s="437"/>
      <c r="AH268" s="108"/>
      <c r="AI268" s="108"/>
      <c r="AJ268" s="108"/>
      <c r="AK268" s="189"/>
      <c r="AV268" s="436"/>
      <c r="AW268" s="437"/>
      <c r="AX268" s="108"/>
      <c r="AY268" s="108"/>
      <c r="AZ268" s="108"/>
      <c r="BA268" s="189"/>
      <c r="BL268" s="436"/>
      <c r="BM268" s="437"/>
      <c r="BN268" s="108"/>
      <c r="BO268" s="108"/>
      <c r="BP268" s="108"/>
      <c r="BQ268" s="189"/>
      <c r="CB268" s="436"/>
      <c r="CC268" s="437"/>
      <c r="CD268" s="108"/>
      <c r="CE268" s="108"/>
      <c r="CF268" s="108"/>
      <c r="CG268" s="189"/>
      <c r="CR268" s="436"/>
      <c r="CS268" s="437"/>
      <c r="CT268" s="108"/>
      <c r="CU268" s="108"/>
      <c r="CV268" s="108"/>
      <c r="CW268" s="189"/>
      <c r="DH268" s="436"/>
      <c r="DI268" s="437"/>
      <c r="DJ268" s="108"/>
      <c r="DK268" s="108"/>
      <c r="DL268" s="108"/>
      <c r="DM268" s="189"/>
      <c r="DN268" s="436"/>
      <c r="DX268" s="436"/>
      <c r="DY268" s="437"/>
      <c r="DZ268" s="108"/>
      <c r="EA268" s="108"/>
      <c r="EB268" s="108"/>
    </row>
    <row r="269" spans="1:132" ht="14.25" customHeight="1">
      <c r="A269" s="152"/>
      <c r="C269" s="289"/>
      <c r="D269" s="289"/>
      <c r="E269" s="189"/>
      <c r="P269" s="436"/>
      <c r="Q269" s="437"/>
      <c r="R269" s="108"/>
      <c r="S269" s="108"/>
      <c r="T269" s="108"/>
      <c r="U269" s="189"/>
      <c r="AF269" s="436"/>
      <c r="AG269" s="437"/>
      <c r="AH269" s="108"/>
      <c r="AI269" s="108"/>
      <c r="AJ269" s="108"/>
      <c r="AK269" s="189"/>
      <c r="AV269" s="436"/>
      <c r="AW269" s="437"/>
      <c r="AX269" s="108"/>
      <c r="AY269" s="108"/>
      <c r="AZ269" s="108"/>
      <c r="BA269" s="189"/>
      <c r="BL269" s="436"/>
      <c r="BM269" s="437"/>
      <c r="BN269" s="108"/>
      <c r="BO269" s="108"/>
      <c r="BP269" s="108"/>
      <c r="BQ269" s="189"/>
      <c r="CB269" s="436"/>
      <c r="CC269" s="437"/>
      <c r="CD269" s="108"/>
      <c r="CE269" s="108"/>
      <c r="CF269" s="108"/>
      <c r="CG269" s="189"/>
      <c r="CR269" s="436"/>
      <c r="CS269" s="437"/>
      <c r="CT269" s="108"/>
      <c r="CU269" s="108"/>
      <c r="CV269" s="108"/>
      <c r="CW269" s="189"/>
      <c r="DH269" s="436"/>
      <c r="DI269" s="437"/>
      <c r="DJ269" s="108"/>
      <c r="DK269" s="108"/>
      <c r="DL269" s="108"/>
      <c r="DM269" s="189"/>
      <c r="DN269" s="436"/>
      <c r="DX269" s="436"/>
      <c r="DY269" s="437"/>
      <c r="DZ269" s="108"/>
      <c r="EA269" s="108"/>
      <c r="EB269" s="108"/>
    </row>
    <row r="270" spans="1:132" ht="14.25" customHeight="1">
      <c r="A270" s="152"/>
      <c r="C270" s="289"/>
      <c r="D270" s="289"/>
      <c r="E270" s="189"/>
      <c r="P270" s="436"/>
      <c r="Q270" s="437"/>
      <c r="R270" s="108"/>
      <c r="S270" s="108"/>
      <c r="T270" s="108"/>
      <c r="U270" s="189"/>
      <c r="AF270" s="436"/>
      <c r="AG270" s="437"/>
      <c r="AH270" s="108"/>
      <c r="AI270" s="108"/>
      <c r="AJ270" s="108"/>
      <c r="AK270" s="189"/>
      <c r="AV270" s="436"/>
      <c r="AW270" s="437"/>
      <c r="AX270" s="108"/>
      <c r="AY270" s="108"/>
      <c r="AZ270" s="108"/>
      <c r="BA270" s="189"/>
      <c r="BL270" s="436"/>
      <c r="BM270" s="437"/>
      <c r="BN270" s="108"/>
      <c r="BO270" s="108"/>
      <c r="BP270" s="108"/>
      <c r="BQ270" s="189"/>
      <c r="CB270" s="436"/>
      <c r="CC270" s="437"/>
      <c r="CD270" s="108"/>
      <c r="CE270" s="108"/>
      <c r="CF270" s="108"/>
      <c r="CG270" s="189"/>
      <c r="CR270" s="436"/>
      <c r="CS270" s="437"/>
      <c r="CT270" s="108"/>
      <c r="CU270" s="108"/>
      <c r="CV270" s="108"/>
      <c r="CW270" s="189"/>
      <c r="DH270" s="436"/>
      <c r="DI270" s="437"/>
      <c r="DJ270" s="108"/>
      <c r="DK270" s="108"/>
      <c r="DL270" s="108"/>
      <c r="DM270" s="189"/>
      <c r="DN270" s="436"/>
      <c r="DX270" s="436"/>
      <c r="DY270" s="437"/>
      <c r="DZ270" s="108"/>
      <c r="EA270" s="108"/>
      <c r="EB270" s="108"/>
    </row>
    <row r="271" spans="1:132" ht="14.25" customHeight="1">
      <c r="A271" s="152"/>
      <c r="C271" s="289"/>
      <c r="D271" s="289"/>
      <c r="E271" s="189"/>
      <c r="P271" s="436"/>
      <c r="Q271" s="437"/>
      <c r="R271" s="108"/>
      <c r="S271" s="108"/>
      <c r="T271" s="108"/>
      <c r="U271" s="189"/>
      <c r="AF271" s="436"/>
      <c r="AG271" s="437"/>
      <c r="AH271" s="108"/>
      <c r="AI271" s="108"/>
      <c r="AJ271" s="108"/>
      <c r="AK271" s="189"/>
      <c r="AV271" s="436"/>
      <c r="AW271" s="437"/>
      <c r="AX271" s="108"/>
      <c r="AY271" s="108"/>
      <c r="AZ271" s="108"/>
      <c r="BA271" s="189"/>
      <c r="BL271" s="436"/>
      <c r="BM271" s="437"/>
      <c r="BN271" s="108"/>
      <c r="BO271" s="108"/>
      <c r="BP271" s="108"/>
      <c r="BQ271" s="189"/>
      <c r="CB271" s="436"/>
      <c r="CC271" s="437"/>
      <c r="CD271" s="108"/>
      <c r="CE271" s="108"/>
      <c r="CF271" s="108"/>
      <c r="CG271" s="189"/>
      <c r="CR271" s="436"/>
      <c r="CS271" s="437"/>
      <c r="CT271" s="108"/>
      <c r="CU271" s="108"/>
      <c r="CV271" s="108"/>
      <c r="CW271" s="189"/>
      <c r="DH271" s="436"/>
      <c r="DI271" s="437"/>
      <c r="DJ271" s="108"/>
      <c r="DK271" s="108"/>
      <c r="DL271" s="108"/>
      <c r="DM271" s="189"/>
      <c r="DN271" s="436"/>
      <c r="DX271" s="436"/>
      <c r="DY271" s="437"/>
      <c r="DZ271" s="108"/>
      <c r="EA271" s="108"/>
      <c r="EB271" s="108"/>
    </row>
    <row r="272" spans="1:132" ht="14.25" customHeight="1">
      <c r="A272" s="152"/>
      <c r="C272" s="289"/>
      <c r="D272" s="289"/>
      <c r="E272" s="189"/>
      <c r="P272" s="436"/>
      <c r="Q272" s="437"/>
      <c r="R272" s="108"/>
      <c r="S272" s="108"/>
      <c r="T272" s="108"/>
      <c r="U272" s="189"/>
      <c r="AF272" s="436"/>
      <c r="AG272" s="437"/>
      <c r="AH272" s="108"/>
      <c r="AI272" s="108"/>
      <c r="AJ272" s="108"/>
      <c r="AK272" s="189"/>
      <c r="AV272" s="436"/>
      <c r="AW272" s="437"/>
      <c r="AX272" s="108"/>
      <c r="AY272" s="108"/>
      <c r="AZ272" s="108"/>
      <c r="BA272" s="189"/>
      <c r="BL272" s="436"/>
      <c r="BM272" s="437"/>
      <c r="BN272" s="108"/>
      <c r="BO272" s="108"/>
      <c r="BP272" s="108"/>
      <c r="BQ272" s="189"/>
      <c r="CB272" s="436"/>
      <c r="CC272" s="437"/>
      <c r="CD272" s="108"/>
      <c r="CE272" s="108"/>
      <c r="CF272" s="108"/>
      <c r="CG272" s="189"/>
      <c r="CR272" s="436"/>
      <c r="CS272" s="437"/>
      <c r="CT272" s="108"/>
      <c r="CU272" s="108"/>
      <c r="CV272" s="108"/>
      <c r="CW272" s="189"/>
      <c r="DH272" s="436"/>
      <c r="DI272" s="437"/>
      <c r="DJ272" s="108"/>
      <c r="DK272" s="108"/>
      <c r="DL272" s="108"/>
      <c r="DM272" s="189"/>
      <c r="DN272" s="436"/>
      <c r="DX272" s="436"/>
      <c r="DY272" s="437"/>
      <c r="DZ272" s="108"/>
      <c r="EA272" s="108"/>
      <c r="EB272" s="108"/>
    </row>
    <row r="273" spans="1:132" ht="14.25" customHeight="1">
      <c r="A273" s="152"/>
      <c r="C273" s="289"/>
      <c r="D273" s="289"/>
      <c r="E273" s="189"/>
      <c r="P273" s="436"/>
      <c r="Q273" s="437"/>
      <c r="R273" s="108"/>
      <c r="S273" s="108"/>
      <c r="T273" s="108"/>
      <c r="U273" s="189"/>
      <c r="AF273" s="436"/>
      <c r="AG273" s="437"/>
      <c r="AH273" s="108"/>
      <c r="AI273" s="108"/>
      <c r="AJ273" s="108"/>
      <c r="AK273" s="189"/>
      <c r="AV273" s="436"/>
      <c r="AW273" s="437"/>
      <c r="AX273" s="108"/>
      <c r="AY273" s="108"/>
      <c r="AZ273" s="108"/>
      <c r="BA273" s="189"/>
      <c r="BL273" s="436"/>
      <c r="BM273" s="437"/>
      <c r="BN273" s="108"/>
      <c r="BO273" s="108"/>
      <c r="BP273" s="108"/>
      <c r="BQ273" s="189"/>
      <c r="CB273" s="436"/>
      <c r="CC273" s="437"/>
      <c r="CD273" s="108"/>
      <c r="CE273" s="108"/>
      <c r="CF273" s="108"/>
      <c r="CG273" s="189"/>
      <c r="CR273" s="436"/>
      <c r="CS273" s="437"/>
      <c r="CT273" s="108"/>
      <c r="CU273" s="108"/>
      <c r="CV273" s="108"/>
      <c r="CW273" s="189"/>
      <c r="DH273" s="436"/>
      <c r="DI273" s="437"/>
      <c r="DJ273" s="108"/>
      <c r="DK273" s="108"/>
      <c r="DL273" s="108"/>
      <c r="DM273" s="189"/>
      <c r="DN273" s="436"/>
      <c r="DX273" s="436"/>
      <c r="DY273" s="437"/>
      <c r="DZ273" s="108"/>
      <c r="EA273" s="108"/>
      <c r="EB273" s="108"/>
    </row>
    <row r="274" spans="1:132" ht="14.25" customHeight="1">
      <c r="A274" s="152"/>
      <c r="C274" s="289"/>
      <c r="D274" s="289"/>
      <c r="E274" s="189"/>
      <c r="P274" s="436"/>
      <c r="Q274" s="437"/>
      <c r="R274" s="108"/>
      <c r="S274" s="108"/>
      <c r="T274" s="108"/>
      <c r="U274" s="189"/>
      <c r="AF274" s="436"/>
      <c r="AG274" s="437"/>
      <c r="AH274" s="108"/>
      <c r="AI274" s="108"/>
      <c r="AJ274" s="108"/>
      <c r="AK274" s="189"/>
      <c r="AV274" s="436"/>
      <c r="AW274" s="437"/>
      <c r="AX274" s="108"/>
      <c r="AY274" s="108"/>
      <c r="AZ274" s="108"/>
      <c r="BA274" s="189"/>
      <c r="BL274" s="436"/>
      <c r="BM274" s="437"/>
      <c r="BN274" s="108"/>
      <c r="BO274" s="108"/>
      <c r="BP274" s="108"/>
      <c r="BQ274" s="189"/>
      <c r="CB274" s="436"/>
      <c r="CC274" s="437"/>
      <c r="CD274" s="108"/>
      <c r="CE274" s="108"/>
      <c r="CF274" s="108"/>
      <c r="CG274" s="189"/>
      <c r="CR274" s="436"/>
      <c r="CS274" s="437"/>
      <c r="CT274" s="108"/>
      <c r="CU274" s="108"/>
      <c r="CV274" s="108"/>
      <c r="CW274" s="189"/>
      <c r="DH274" s="436"/>
      <c r="DI274" s="437"/>
      <c r="DJ274" s="108"/>
      <c r="DK274" s="108"/>
      <c r="DL274" s="108"/>
      <c r="DM274" s="189"/>
      <c r="DN274" s="436"/>
      <c r="DX274" s="436"/>
      <c r="DY274" s="437"/>
      <c r="DZ274" s="108"/>
      <c r="EA274" s="108"/>
      <c r="EB274" s="108"/>
    </row>
    <row r="275" spans="1:132" ht="14.25" customHeight="1">
      <c r="A275" s="152"/>
      <c r="C275" s="289"/>
      <c r="D275" s="289"/>
      <c r="E275" s="189"/>
      <c r="P275" s="436"/>
      <c r="Q275" s="437"/>
      <c r="R275" s="108"/>
      <c r="S275" s="108"/>
      <c r="T275" s="108"/>
      <c r="U275" s="189"/>
      <c r="AF275" s="436"/>
      <c r="AG275" s="437"/>
      <c r="AH275" s="108"/>
      <c r="AI275" s="108"/>
      <c r="AJ275" s="108"/>
      <c r="AK275" s="189"/>
      <c r="AV275" s="436"/>
      <c r="AW275" s="437"/>
      <c r="AX275" s="108"/>
      <c r="AY275" s="108"/>
      <c r="AZ275" s="108"/>
      <c r="BA275" s="189"/>
      <c r="BL275" s="436"/>
      <c r="BM275" s="437"/>
      <c r="BN275" s="108"/>
      <c r="BO275" s="108"/>
      <c r="BP275" s="108"/>
      <c r="BQ275" s="189"/>
      <c r="CB275" s="436"/>
      <c r="CC275" s="437"/>
      <c r="CD275" s="108"/>
      <c r="CE275" s="108"/>
      <c r="CF275" s="108"/>
      <c r="CG275" s="189"/>
      <c r="CR275" s="436"/>
      <c r="CS275" s="437"/>
      <c r="CT275" s="108"/>
      <c r="CU275" s="108"/>
      <c r="CV275" s="108"/>
      <c r="CW275" s="189"/>
      <c r="DH275" s="436"/>
      <c r="DI275" s="437"/>
      <c r="DJ275" s="108"/>
      <c r="DK275" s="108"/>
      <c r="DL275" s="108"/>
      <c r="DM275" s="189"/>
      <c r="DN275" s="436"/>
      <c r="DX275" s="436"/>
      <c r="DY275" s="437"/>
      <c r="DZ275" s="108"/>
      <c r="EA275" s="108"/>
      <c r="EB275" s="108"/>
    </row>
    <row r="276" spans="1:132" ht="14.25" customHeight="1">
      <c r="A276" s="152"/>
      <c r="C276" s="289"/>
      <c r="D276" s="289"/>
      <c r="E276" s="189"/>
      <c r="P276" s="436"/>
      <c r="Q276" s="437"/>
      <c r="R276" s="108"/>
      <c r="S276" s="108"/>
      <c r="T276" s="108"/>
      <c r="U276" s="189"/>
      <c r="AF276" s="436"/>
      <c r="AG276" s="437"/>
      <c r="AH276" s="108"/>
      <c r="AI276" s="108"/>
      <c r="AJ276" s="108"/>
      <c r="AK276" s="189"/>
      <c r="AV276" s="436"/>
      <c r="AW276" s="437"/>
      <c r="AX276" s="108"/>
      <c r="AY276" s="108"/>
      <c r="AZ276" s="108"/>
      <c r="BA276" s="189"/>
      <c r="BL276" s="436"/>
      <c r="BM276" s="437"/>
      <c r="BN276" s="108"/>
      <c r="BO276" s="108"/>
      <c r="BP276" s="108"/>
      <c r="BQ276" s="189"/>
      <c r="CB276" s="436"/>
      <c r="CC276" s="437"/>
      <c r="CD276" s="108"/>
      <c r="CE276" s="108"/>
      <c r="CF276" s="108"/>
      <c r="CG276" s="189"/>
      <c r="CR276" s="436"/>
      <c r="CS276" s="437"/>
      <c r="CT276" s="108"/>
      <c r="CU276" s="108"/>
      <c r="CV276" s="108"/>
      <c r="CW276" s="189"/>
      <c r="DH276" s="436"/>
      <c r="DI276" s="437"/>
      <c r="DJ276" s="108"/>
      <c r="DK276" s="108"/>
      <c r="DL276" s="108"/>
      <c r="DM276" s="189"/>
      <c r="DN276" s="436"/>
      <c r="DX276" s="436"/>
      <c r="DY276" s="437"/>
      <c r="DZ276" s="108"/>
      <c r="EA276" s="108"/>
      <c r="EB276" s="108"/>
    </row>
    <row r="277" spans="1:132" ht="14.25" customHeight="1">
      <c r="A277" s="152"/>
      <c r="C277" s="289"/>
      <c r="D277" s="289"/>
      <c r="E277" s="189"/>
      <c r="P277" s="436"/>
      <c r="Q277" s="437"/>
      <c r="R277" s="108"/>
      <c r="S277" s="108"/>
      <c r="T277" s="108"/>
      <c r="U277" s="189"/>
      <c r="AF277" s="436"/>
      <c r="AG277" s="437"/>
      <c r="AH277" s="108"/>
      <c r="AI277" s="108"/>
      <c r="AJ277" s="108"/>
      <c r="AK277" s="189"/>
      <c r="AV277" s="436"/>
      <c r="AW277" s="437"/>
      <c r="AX277" s="108"/>
      <c r="AY277" s="108"/>
      <c r="AZ277" s="108"/>
      <c r="BA277" s="189"/>
      <c r="BL277" s="436"/>
      <c r="BM277" s="437"/>
      <c r="BN277" s="108"/>
      <c r="BO277" s="108"/>
      <c r="BP277" s="108"/>
      <c r="BQ277" s="189"/>
      <c r="CB277" s="436"/>
      <c r="CC277" s="437"/>
      <c r="CD277" s="108"/>
      <c r="CE277" s="108"/>
      <c r="CF277" s="108"/>
      <c r="CG277" s="189"/>
      <c r="CR277" s="436"/>
      <c r="CS277" s="437"/>
      <c r="CT277" s="108"/>
      <c r="CU277" s="108"/>
      <c r="CV277" s="108"/>
      <c r="CW277" s="189"/>
      <c r="DH277" s="436"/>
      <c r="DI277" s="437"/>
      <c r="DJ277" s="108"/>
      <c r="DK277" s="108"/>
      <c r="DL277" s="108"/>
      <c r="DM277" s="189"/>
      <c r="DN277" s="436"/>
      <c r="DX277" s="436"/>
      <c r="DY277" s="437"/>
      <c r="DZ277" s="108"/>
      <c r="EA277" s="108"/>
      <c r="EB277" s="108"/>
    </row>
    <row r="278" spans="1:132" ht="14.25" customHeight="1">
      <c r="A278" s="152"/>
      <c r="C278" s="289"/>
      <c r="D278" s="289"/>
      <c r="E278" s="189"/>
      <c r="P278" s="436"/>
      <c r="Q278" s="437"/>
      <c r="R278" s="108"/>
      <c r="S278" s="108"/>
      <c r="T278" s="108"/>
      <c r="U278" s="189"/>
      <c r="AF278" s="436"/>
      <c r="AG278" s="437"/>
      <c r="AH278" s="108"/>
      <c r="AI278" s="108"/>
      <c r="AJ278" s="108"/>
      <c r="AK278" s="189"/>
      <c r="AV278" s="436"/>
      <c r="AW278" s="437"/>
      <c r="AX278" s="108"/>
      <c r="AY278" s="108"/>
      <c r="AZ278" s="108"/>
      <c r="BA278" s="189"/>
      <c r="BL278" s="436"/>
      <c r="BM278" s="437"/>
      <c r="BN278" s="108"/>
      <c r="BO278" s="108"/>
      <c r="BP278" s="108"/>
      <c r="BQ278" s="189"/>
      <c r="CB278" s="436"/>
      <c r="CC278" s="437"/>
      <c r="CD278" s="108"/>
      <c r="CE278" s="108"/>
      <c r="CF278" s="108"/>
      <c r="CG278" s="189"/>
      <c r="CR278" s="436"/>
      <c r="CS278" s="437"/>
      <c r="CT278" s="108"/>
      <c r="CU278" s="108"/>
      <c r="CV278" s="108"/>
      <c r="CW278" s="189"/>
      <c r="DH278" s="436"/>
      <c r="DI278" s="437"/>
      <c r="DJ278" s="108"/>
      <c r="DK278" s="108"/>
      <c r="DL278" s="108"/>
      <c r="DM278" s="189"/>
      <c r="DN278" s="436"/>
      <c r="DX278" s="436"/>
      <c r="DY278" s="437"/>
      <c r="DZ278" s="108"/>
      <c r="EA278" s="108"/>
      <c r="EB278" s="108"/>
    </row>
    <row r="279" spans="1:132" ht="14.25" customHeight="1">
      <c r="A279" s="152"/>
      <c r="C279" s="289"/>
      <c r="D279" s="289"/>
      <c r="E279" s="189"/>
      <c r="P279" s="436"/>
      <c r="Q279" s="437"/>
      <c r="R279" s="108"/>
      <c r="S279" s="108"/>
      <c r="T279" s="108"/>
      <c r="U279" s="189"/>
      <c r="AF279" s="436"/>
      <c r="AG279" s="437"/>
      <c r="AH279" s="108"/>
      <c r="AI279" s="108"/>
      <c r="AJ279" s="108"/>
      <c r="AK279" s="189"/>
      <c r="AV279" s="436"/>
      <c r="AW279" s="437"/>
      <c r="AX279" s="108"/>
      <c r="AY279" s="108"/>
      <c r="AZ279" s="108"/>
      <c r="BA279" s="189"/>
      <c r="BL279" s="436"/>
      <c r="BM279" s="437"/>
      <c r="BN279" s="108"/>
      <c r="BO279" s="108"/>
      <c r="BP279" s="108"/>
      <c r="BQ279" s="189"/>
      <c r="CB279" s="436"/>
      <c r="CC279" s="437"/>
      <c r="CD279" s="108"/>
      <c r="CE279" s="108"/>
      <c r="CF279" s="108"/>
      <c r="CG279" s="189"/>
      <c r="CR279" s="436"/>
      <c r="CS279" s="437"/>
      <c r="CT279" s="108"/>
      <c r="CU279" s="108"/>
      <c r="CV279" s="108"/>
      <c r="CW279" s="189"/>
      <c r="DH279" s="436"/>
      <c r="DI279" s="437"/>
      <c r="DJ279" s="108"/>
      <c r="DK279" s="108"/>
      <c r="DL279" s="108"/>
      <c r="DM279" s="189"/>
      <c r="DN279" s="436"/>
      <c r="DX279" s="436"/>
      <c r="DY279" s="437"/>
      <c r="DZ279" s="108"/>
      <c r="EA279" s="108"/>
      <c r="EB279" s="108"/>
    </row>
    <row r="280" spans="1:132" ht="14.25" customHeight="1">
      <c r="A280" s="152"/>
      <c r="C280" s="289"/>
      <c r="D280" s="289"/>
      <c r="E280" s="189"/>
      <c r="P280" s="436"/>
      <c r="Q280" s="437"/>
      <c r="R280" s="108"/>
      <c r="S280" s="108"/>
      <c r="T280" s="108"/>
      <c r="U280" s="189"/>
      <c r="AF280" s="436"/>
      <c r="AG280" s="437"/>
      <c r="AH280" s="108"/>
      <c r="AI280" s="108"/>
      <c r="AJ280" s="108"/>
      <c r="AK280" s="189"/>
      <c r="AV280" s="436"/>
      <c r="AW280" s="437"/>
      <c r="AX280" s="108"/>
      <c r="AY280" s="108"/>
      <c r="AZ280" s="108"/>
      <c r="BA280" s="189"/>
      <c r="BL280" s="436"/>
      <c r="BM280" s="437"/>
      <c r="BN280" s="108"/>
      <c r="BO280" s="108"/>
      <c r="BP280" s="108"/>
      <c r="BQ280" s="189"/>
      <c r="CB280" s="436"/>
      <c r="CC280" s="437"/>
      <c r="CD280" s="108"/>
      <c r="CE280" s="108"/>
      <c r="CF280" s="108"/>
      <c r="CG280" s="189"/>
      <c r="CR280" s="436"/>
      <c r="CS280" s="437"/>
      <c r="CT280" s="108"/>
      <c r="CU280" s="108"/>
      <c r="CV280" s="108"/>
      <c r="CW280" s="189"/>
      <c r="DH280" s="436"/>
      <c r="DI280" s="437"/>
      <c r="DJ280" s="108"/>
      <c r="DK280" s="108"/>
      <c r="DL280" s="108"/>
      <c r="DM280" s="189"/>
      <c r="DN280" s="436"/>
      <c r="DX280" s="436"/>
      <c r="DY280" s="437"/>
      <c r="DZ280" s="108"/>
      <c r="EA280" s="108"/>
      <c r="EB280" s="108"/>
    </row>
    <row r="281" spans="1:132" ht="14.25" customHeight="1">
      <c r="A281" s="152"/>
      <c r="C281" s="289"/>
      <c r="D281" s="289"/>
      <c r="E281" s="189"/>
      <c r="P281" s="436"/>
      <c r="Q281" s="437"/>
      <c r="R281" s="108"/>
      <c r="S281" s="108"/>
      <c r="T281" s="108"/>
      <c r="U281" s="189"/>
      <c r="AF281" s="436"/>
      <c r="AG281" s="437"/>
      <c r="AH281" s="108"/>
      <c r="AI281" s="108"/>
      <c r="AJ281" s="108"/>
      <c r="AK281" s="189"/>
      <c r="AV281" s="436"/>
      <c r="AW281" s="437"/>
      <c r="AX281" s="108"/>
      <c r="AY281" s="108"/>
      <c r="AZ281" s="108"/>
      <c r="BA281" s="189"/>
      <c r="BL281" s="436"/>
      <c r="BM281" s="437"/>
      <c r="BN281" s="108"/>
      <c r="BO281" s="108"/>
      <c r="BP281" s="108"/>
      <c r="BQ281" s="189"/>
      <c r="CB281" s="436"/>
      <c r="CC281" s="437"/>
      <c r="CD281" s="108"/>
      <c r="CE281" s="108"/>
      <c r="CF281" s="108"/>
      <c r="CG281" s="189"/>
      <c r="CR281" s="436"/>
      <c r="CS281" s="437"/>
      <c r="CT281" s="108"/>
      <c r="CU281" s="108"/>
      <c r="CV281" s="108"/>
      <c r="CW281" s="189"/>
      <c r="DH281" s="436"/>
      <c r="DI281" s="437"/>
      <c r="DJ281" s="108"/>
      <c r="DK281" s="108"/>
      <c r="DL281" s="108"/>
      <c r="DM281" s="189"/>
      <c r="DN281" s="436"/>
      <c r="DX281" s="436"/>
      <c r="DY281" s="437"/>
      <c r="DZ281" s="108"/>
      <c r="EA281" s="108"/>
      <c r="EB281" s="108"/>
    </row>
    <row r="282" spans="1:132" ht="14.25" customHeight="1">
      <c r="A282" s="152"/>
      <c r="C282" s="289"/>
      <c r="D282" s="289"/>
      <c r="E282" s="189"/>
      <c r="P282" s="436"/>
      <c r="Q282" s="437"/>
      <c r="R282" s="108"/>
      <c r="S282" s="108"/>
      <c r="T282" s="108"/>
      <c r="U282" s="189"/>
      <c r="AF282" s="436"/>
      <c r="AG282" s="437"/>
      <c r="AH282" s="108"/>
      <c r="AI282" s="108"/>
      <c r="AJ282" s="108"/>
      <c r="AK282" s="189"/>
      <c r="AV282" s="436"/>
      <c r="AW282" s="437"/>
      <c r="AX282" s="108"/>
      <c r="AY282" s="108"/>
      <c r="AZ282" s="108"/>
      <c r="BA282" s="189"/>
      <c r="BL282" s="436"/>
      <c r="BM282" s="437"/>
      <c r="BN282" s="108"/>
      <c r="BO282" s="108"/>
      <c r="BP282" s="108"/>
      <c r="BQ282" s="189"/>
      <c r="CB282" s="436"/>
      <c r="CC282" s="437"/>
      <c r="CD282" s="108"/>
      <c r="CE282" s="108"/>
      <c r="CF282" s="108"/>
      <c r="CG282" s="189"/>
      <c r="CR282" s="436"/>
      <c r="CS282" s="437"/>
      <c r="CT282" s="108"/>
      <c r="CU282" s="108"/>
      <c r="CV282" s="108"/>
      <c r="CW282" s="189"/>
      <c r="DH282" s="436"/>
      <c r="DI282" s="437"/>
      <c r="DJ282" s="108"/>
      <c r="DK282" s="108"/>
      <c r="DL282" s="108"/>
      <c r="DM282" s="189"/>
      <c r="DN282" s="436"/>
      <c r="DX282" s="436"/>
      <c r="DY282" s="437"/>
      <c r="DZ282" s="108"/>
      <c r="EA282" s="108"/>
      <c r="EB282" s="108"/>
    </row>
    <row r="283" spans="1:132" ht="14.25" customHeight="1">
      <c r="A283" s="152"/>
      <c r="C283" s="289"/>
      <c r="D283" s="289"/>
      <c r="E283" s="189"/>
      <c r="P283" s="436"/>
      <c r="Q283" s="437"/>
      <c r="R283" s="108"/>
      <c r="S283" s="108"/>
      <c r="T283" s="108"/>
      <c r="U283" s="189"/>
      <c r="AF283" s="436"/>
      <c r="AG283" s="437"/>
      <c r="AH283" s="108"/>
      <c r="AI283" s="108"/>
      <c r="AJ283" s="108"/>
      <c r="AK283" s="189"/>
      <c r="AV283" s="436"/>
      <c r="AW283" s="437"/>
      <c r="AX283" s="108"/>
      <c r="AY283" s="108"/>
      <c r="AZ283" s="108"/>
      <c r="BA283" s="189"/>
      <c r="BL283" s="436"/>
      <c r="BM283" s="437"/>
      <c r="BN283" s="108"/>
      <c r="BO283" s="108"/>
      <c r="BP283" s="108"/>
      <c r="BQ283" s="189"/>
      <c r="CB283" s="436"/>
      <c r="CC283" s="437"/>
      <c r="CD283" s="108"/>
      <c r="CE283" s="108"/>
      <c r="CF283" s="108"/>
      <c r="CG283" s="189"/>
      <c r="CR283" s="436"/>
      <c r="CS283" s="437"/>
      <c r="CT283" s="108"/>
      <c r="CU283" s="108"/>
      <c r="CV283" s="108"/>
      <c r="CW283" s="189"/>
      <c r="DH283" s="436"/>
      <c r="DI283" s="437"/>
      <c r="DJ283" s="108"/>
      <c r="DK283" s="108"/>
      <c r="DL283" s="108"/>
      <c r="DM283" s="189"/>
      <c r="DN283" s="436"/>
      <c r="DX283" s="436"/>
      <c r="DY283" s="437"/>
      <c r="DZ283" s="108"/>
      <c r="EA283" s="108"/>
      <c r="EB283" s="108"/>
    </row>
    <row r="284" spans="1:132" ht="14.25" customHeight="1">
      <c r="A284" s="152"/>
      <c r="C284" s="289"/>
      <c r="D284" s="289"/>
      <c r="E284" s="189"/>
      <c r="P284" s="436"/>
      <c r="Q284" s="437"/>
      <c r="R284" s="108"/>
      <c r="S284" s="108"/>
      <c r="T284" s="108"/>
      <c r="U284" s="189"/>
      <c r="AF284" s="436"/>
      <c r="AG284" s="437"/>
      <c r="AH284" s="108"/>
      <c r="AI284" s="108"/>
      <c r="AJ284" s="108"/>
      <c r="AK284" s="189"/>
      <c r="AV284" s="436"/>
      <c r="AW284" s="437"/>
      <c r="AX284" s="108"/>
      <c r="AY284" s="108"/>
      <c r="AZ284" s="108"/>
      <c r="BA284" s="189"/>
      <c r="BL284" s="436"/>
      <c r="BM284" s="437"/>
      <c r="BN284" s="108"/>
      <c r="BO284" s="108"/>
      <c r="BP284" s="108"/>
      <c r="BQ284" s="189"/>
      <c r="CB284" s="436"/>
      <c r="CC284" s="437"/>
      <c r="CD284" s="108"/>
      <c r="CE284" s="108"/>
      <c r="CF284" s="108"/>
      <c r="CG284" s="189"/>
      <c r="CR284" s="436"/>
      <c r="CS284" s="437"/>
      <c r="CT284" s="108"/>
      <c r="CU284" s="108"/>
      <c r="CV284" s="108"/>
      <c r="CW284" s="189"/>
      <c r="DH284" s="436"/>
      <c r="DI284" s="437"/>
      <c r="DJ284" s="108"/>
      <c r="DK284" s="108"/>
      <c r="DL284" s="108"/>
      <c r="DM284" s="189"/>
      <c r="DN284" s="436"/>
      <c r="DX284" s="436"/>
      <c r="DY284" s="437"/>
      <c r="DZ284" s="108"/>
      <c r="EA284" s="108"/>
      <c r="EB284" s="108"/>
    </row>
    <row r="285" spans="1:132" ht="14.25" customHeight="1">
      <c r="A285" s="152"/>
      <c r="C285" s="289"/>
      <c r="D285" s="289"/>
      <c r="E285" s="189"/>
      <c r="P285" s="436"/>
      <c r="Q285" s="437"/>
      <c r="R285" s="108"/>
      <c r="S285" s="108"/>
      <c r="T285" s="108"/>
      <c r="U285" s="189"/>
      <c r="AF285" s="436"/>
      <c r="AG285" s="437"/>
      <c r="AH285" s="108"/>
      <c r="AI285" s="108"/>
      <c r="AJ285" s="108"/>
      <c r="AK285" s="189"/>
      <c r="AV285" s="436"/>
      <c r="AW285" s="437"/>
      <c r="AX285" s="108"/>
      <c r="AY285" s="108"/>
      <c r="AZ285" s="108"/>
      <c r="BA285" s="189"/>
      <c r="BL285" s="436"/>
      <c r="BM285" s="437"/>
      <c r="BN285" s="108"/>
      <c r="BO285" s="108"/>
      <c r="BP285" s="108"/>
      <c r="BQ285" s="189"/>
      <c r="CB285" s="436"/>
      <c r="CC285" s="437"/>
      <c r="CD285" s="108"/>
      <c r="CE285" s="108"/>
      <c r="CF285" s="108"/>
      <c r="CG285" s="189"/>
      <c r="CR285" s="436"/>
      <c r="CS285" s="437"/>
      <c r="CT285" s="108"/>
      <c r="CU285" s="108"/>
      <c r="CV285" s="108"/>
      <c r="CW285" s="189"/>
      <c r="DH285" s="436"/>
      <c r="DI285" s="437"/>
      <c r="DJ285" s="108"/>
      <c r="DK285" s="108"/>
      <c r="DL285" s="108"/>
      <c r="DM285" s="189"/>
      <c r="DN285" s="436"/>
      <c r="DX285" s="436"/>
      <c r="DY285" s="437"/>
      <c r="DZ285" s="108"/>
      <c r="EA285" s="108"/>
      <c r="EB285" s="108"/>
    </row>
    <row r="286" spans="1:132" ht="14.25" customHeight="1">
      <c r="A286" s="152"/>
      <c r="C286" s="289"/>
      <c r="D286" s="289"/>
      <c r="E286" s="189"/>
      <c r="P286" s="436"/>
      <c r="Q286" s="437"/>
      <c r="R286" s="108"/>
      <c r="S286" s="108"/>
      <c r="T286" s="108"/>
      <c r="U286" s="189"/>
      <c r="AF286" s="436"/>
      <c r="AG286" s="437"/>
      <c r="AH286" s="108"/>
      <c r="AI286" s="108"/>
      <c r="AJ286" s="108"/>
      <c r="AK286" s="189"/>
      <c r="AV286" s="436"/>
      <c r="AW286" s="437"/>
      <c r="AX286" s="108"/>
      <c r="AY286" s="108"/>
      <c r="AZ286" s="108"/>
      <c r="BA286" s="189"/>
      <c r="BL286" s="436"/>
      <c r="BM286" s="437"/>
      <c r="BN286" s="108"/>
      <c r="BO286" s="108"/>
      <c r="BP286" s="108"/>
      <c r="BQ286" s="189"/>
      <c r="CB286" s="436"/>
      <c r="CC286" s="437"/>
      <c r="CD286" s="108"/>
      <c r="CE286" s="108"/>
      <c r="CF286" s="108"/>
      <c r="CG286" s="189"/>
      <c r="CR286" s="436"/>
      <c r="CS286" s="437"/>
      <c r="CT286" s="108"/>
      <c r="CU286" s="108"/>
      <c r="CV286" s="108"/>
      <c r="CW286" s="189"/>
      <c r="DH286" s="436"/>
      <c r="DI286" s="437"/>
      <c r="DJ286" s="108"/>
      <c r="DK286" s="108"/>
      <c r="DL286" s="108"/>
      <c r="DM286" s="189"/>
      <c r="DN286" s="436"/>
      <c r="DX286" s="436"/>
      <c r="DY286" s="437"/>
      <c r="DZ286" s="108"/>
      <c r="EA286" s="108"/>
      <c r="EB286" s="108"/>
    </row>
    <row r="287" spans="1:132" ht="14.25" customHeight="1">
      <c r="A287" s="152"/>
      <c r="C287" s="289"/>
      <c r="D287" s="289"/>
      <c r="E287" s="189"/>
      <c r="P287" s="436"/>
      <c r="Q287" s="437"/>
      <c r="R287" s="108"/>
      <c r="S287" s="108"/>
      <c r="T287" s="108"/>
      <c r="U287" s="189"/>
      <c r="AF287" s="436"/>
      <c r="AG287" s="437"/>
      <c r="AH287" s="108"/>
      <c r="AI287" s="108"/>
      <c r="AJ287" s="108"/>
      <c r="AK287" s="189"/>
      <c r="AV287" s="436"/>
      <c r="AW287" s="437"/>
      <c r="AX287" s="108"/>
      <c r="AY287" s="108"/>
      <c r="AZ287" s="108"/>
      <c r="BA287" s="189"/>
      <c r="BL287" s="436"/>
      <c r="BM287" s="437"/>
      <c r="BN287" s="108"/>
      <c r="BO287" s="108"/>
      <c r="BP287" s="108"/>
      <c r="BQ287" s="189"/>
      <c r="CB287" s="436"/>
      <c r="CC287" s="437"/>
      <c r="CD287" s="108"/>
      <c r="CE287" s="108"/>
      <c r="CF287" s="108"/>
      <c r="CG287" s="189"/>
      <c r="CR287" s="436"/>
      <c r="CS287" s="437"/>
      <c r="CT287" s="108"/>
      <c r="CU287" s="108"/>
      <c r="CV287" s="108"/>
      <c r="CW287" s="189"/>
      <c r="DH287" s="436"/>
      <c r="DI287" s="437"/>
      <c r="DJ287" s="108"/>
      <c r="DK287" s="108"/>
      <c r="DL287" s="108"/>
      <c r="DM287" s="189"/>
      <c r="DN287" s="436"/>
      <c r="DX287" s="436"/>
      <c r="DY287" s="437"/>
      <c r="DZ287" s="108"/>
      <c r="EA287" s="108"/>
      <c r="EB287" s="108"/>
    </row>
    <row r="288" spans="1:132" ht="14.25" customHeight="1">
      <c r="A288" s="152"/>
      <c r="C288" s="289"/>
      <c r="D288" s="289"/>
      <c r="E288" s="189"/>
      <c r="P288" s="436"/>
      <c r="Q288" s="437"/>
      <c r="R288" s="108"/>
      <c r="S288" s="108"/>
      <c r="T288" s="108"/>
      <c r="U288" s="189"/>
      <c r="AF288" s="436"/>
      <c r="AG288" s="437"/>
      <c r="AH288" s="108"/>
      <c r="AI288" s="108"/>
      <c r="AJ288" s="108"/>
      <c r="AK288" s="189"/>
      <c r="AV288" s="436"/>
      <c r="AW288" s="437"/>
      <c r="AX288" s="108"/>
      <c r="AY288" s="108"/>
      <c r="AZ288" s="108"/>
      <c r="BA288" s="189"/>
      <c r="BL288" s="436"/>
      <c r="BM288" s="437"/>
      <c r="BN288" s="108"/>
      <c r="BO288" s="108"/>
      <c r="BP288" s="108"/>
      <c r="BQ288" s="189"/>
      <c r="CB288" s="436"/>
      <c r="CC288" s="437"/>
      <c r="CD288" s="108"/>
      <c r="CE288" s="108"/>
      <c r="CF288" s="108"/>
      <c r="CG288" s="189"/>
      <c r="CR288" s="436"/>
      <c r="CS288" s="437"/>
      <c r="CT288" s="108"/>
      <c r="CU288" s="108"/>
      <c r="CV288" s="108"/>
      <c r="CW288" s="189"/>
      <c r="DH288" s="436"/>
      <c r="DI288" s="437"/>
      <c r="DJ288" s="108"/>
      <c r="DK288" s="108"/>
      <c r="DL288" s="108"/>
      <c r="DM288" s="189"/>
      <c r="DN288" s="436"/>
      <c r="DX288" s="436"/>
      <c r="DY288" s="437"/>
      <c r="DZ288" s="108"/>
      <c r="EA288" s="108"/>
      <c r="EB288" s="108"/>
    </row>
    <row r="289" spans="1:132" ht="14.25" customHeight="1">
      <c r="A289" s="152"/>
      <c r="C289" s="289"/>
      <c r="D289" s="289"/>
      <c r="E289" s="189"/>
      <c r="P289" s="436"/>
      <c r="Q289" s="437"/>
      <c r="R289" s="108"/>
      <c r="S289" s="108"/>
      <c r="T289" s="108"/>
      <c r="U289" s="189"/>
      <c r="AF289" s="436"/>
      <c r="AG289" s="437"/>
      <c r="AH289" s="108"/>
      <c r="AI289" s="108"/>
      <c r="AJ289" s="108"/>
      <c r="AK289" s="189"/>
      <c r="AV289" s="436"/>
      <c r="AW289" s="437"/>
      <c r="AX289" s="108"/>
      <c r="AY289" s="108"/>
      <c r="AZ289" s="108"/>
      <c r="BA289" s="189"/>
      <c r="BL289" s="436"/>
      <c r="BM289" s="437"/>
      <c r="BN289" s="108"/>
      <c r="BO289" s="108"/>
      <c r="BP289" s="108"/>
      <c r="BQ289" s="189"/>
      <c r="CB289" s="436"/>
      <c r="CC289" s="437"/>
      <c r="CD289" s="108"/>
      <c r="CE289" s="108"/>
      <c r="CF289" s="108"/>
      <c r="CG289" s="189"/>
      <c r="CR289" s="436"/>
      <c r="CS289" s="437"/>
      <c r="CT289" s="108"/>
      <c r="CU289" s="108"/>
      <c r="CV289" s="108"/>
      <c r="CW289" s="189"/>
      <c r="DH289" s="436"/>
      <c r="DI289" s="437"/>
      <c r="DJ289" s="108"/>
      <c r="DK289" s="108"/>
      <c r="DL289" s="108"/>
      <c r="DM289" s="189"/>
      <c r="DN289" s="436"/>
      <c r="DX289" s="436"/>
      <c r="DY289" s="437"/>
      <c r="DZ289" s="108"/>
      <c r="EA289" s="108"/>
      <c r="EB289" s="108"/>
    </row>
    <row r="290" spans="1:132" ht="14.25" customHeight="1">
      <c r="A290" s="152"/>
      <c r="C290" s="289"/>
      <c r="D290" s="289"/>
      <c r="E290" s="189"/>
      <c r="P290" s="436"/>
      <c r="Q290" s="437"/>
      <c r="R290" s="108"/>
      <c r="S290" s="108"/>
      <c r="T290" s="108"/>
      <c r="U290" s="189"/>
      <c r="AF290" s="436"/>
      <c r="AG290" s="437"/>
      <c r="AH290" s="108"/>
      <c r="AI290" s="108"/>
      <c r="AJ290" s="108"/>
      <c r="AK290" s="189"/>
      <c r="AV290" s="436"/>
      <c r="AW290" s="437"/>
      <c r="AX290" s="108"/>
      <c r="AY290" s="108"/>
      <c r="AZ290" s="108"/>
      <c r="BA290" s="189"/>
      <c r="BL290" s="436"/>
      <c r="BM290" s="437"/>
      <c r="BN290" s="108"/>
      <c r="BO290" s="108"/>
      <c r="BP290" s="108"/>
      <c r="BQ290" s="189"/>
      <c r="CB290" s="436"/>
      <c r="CC290" s="437"/>
      <c r="CD290" s="108"/>
      <c r="CE290" s="108"/>
      <c r="CF290" s="108"/>
      <c r="CG290" s="189"/>
      <c r="CR290" s="436"/>
      <c r="CS290" s="437"/>
      <c r="CT290" s="108"/>
      <c r="CU290" s="108"/>
      <c r="CV290" s="108"/>
      <c r="CW290" s="189"/>
      <c r="DH290" s="436"/>
      <c r="DI290" s="437"/>
      <c r="DJ290" s="108"/>
      <c r="DK290" s="108"/>
      <c r="DL290" s="108"/>
      <c r="DM290" s="189"/>
      <c r="DN290" s="436"/>
      <c r="DX290" s="436"/>
      <c r="DY290" s="437"/>
      <c r="DZ290" s="108"/>
      <c r="EA290" s="108"/>
      <c r="EB290" s="108"/>
    </row>
    <row r="291" spans="1:132" ht="14.25" customHeight="1">
      <c r="A291" s="152"/>
      <c r="C291" s="289"/>
      <c r="D291" s="289"/>
      <c r="E291" s="189"/>
      <c r="P291" s="436"/>
      <c r="Q291" s="437"/>
      <c r="R291" s="108"/>
      <c r="S291" s="108"/>
      <c r="T291" s="108"/>
      <c r="U291" s="189"/>
      <c r="AF291" s="436"/>
      <c r="AG291" s="437"/>
      <c r="AH291" s="108"/>
      <c r="AI291" s="108"/>
      <c r="AJ291" s="108"/>
      <c r="AK291" s="189"/>
      <c r="AV291" s="436"/>
      <c r="AW291" s="437"/>
      <c r="AX291" s="108"/>
      <c r="AY291" s="108"/>
      <c r="AZ291" s="108"/>
      <c r="BA291" s="189"/>
      <c r="BL291" s="436"/>
      <c r="BM291" s="437"/>
      <c r="BN291" s="108"/>
      <c r="BO291" s="108"/>
      <c r="BP291" s="108"/>
      <c r="BQ291" s="189"/>
      <c r="CB291" s="436"/>
      <c r="CC291" s="437"/>
      <c r="CD291" s="108"/>
      <c r="CE291" s="108"/>
      <c r="CF291" s="108"/>
      <c r="CG291" s="189"/>
      <c r="CR291" s="436"/>
      <c r="CS291" s="437"/>
      <c r="CT291" s="108"/>
      <c r="CU291" s="108"/>
      <c r="CV291" s="108"/>
      <c r="CW291" s="189"/>
      <c r="DH291" s="436"/>
      <c r="DI291" s="437"/>
      <c r="DJ291" s="108"/>
      <c r="DK291" s="108"/>
      <c r="DL291" s="108"/>
      <c r="DM291" s="189"/>
      <c r="DN291" s="436"/>
      <c r="DX291" s="436"/>
      <c r="DY291" s="437"/>
      <c r="DZ291" s="108"/>
      <c r="EA291" s="108"/>
      <c r="EB291" s="108"/>
    </row>
    <row r="292" spans="1:132" ht="14.25" customHeight="1">
      <c r="A292" s="152"/>
      <c r="C292" s="289"/>
      <c r="D292" s="289"/>
      <c r="E292" s="189"/>
      <c r="P292" s="436"/>
      <c r="Q292" s="437"/>
      <c r="R292" s="108"/>
      <c r="S292" s="108"/>
      <c r="T292" s="108"/>
      <c r="U292" s="189"/>
      <c r="AF292" s="436"/>
      <c r="AG292" s="437"/>
      <c r="AH292" s="108"/>
      <c r="AI292" s="108"/>
      <c r="AJ292" s="108"/>
      <c r="AK292" s="189"/>
      <c r="AV292" s="436"/>
      <c r="AW292" s="437"/>
      <c r="AX292" s="108"/>
      <c r="AY292" s="108"/>
      <c r="AZ292" s="108"/>
      <c r="BA292" s="189"/>
      <c r="BL292" s="436"/>
      <c r="BM292" s="437"/>
      <c r="BN292" s="108"/>
      <c r="BO292" s="108"/>
      <c r="BP292" s="108"/>
      <c r="BQ292" s="189"/>
      <c r="CB292" s="436"/>
      <c r="CC292" s="437"/>
      <c r="CD292" s="108"/>
      <c r="CE292" s="108"/>
      <c r="CF292" s="108"/>
      <c r="CG292" s="189"/>
      <c r="CR292" s="436"/>
      <c r="CS292" s="437"/>
      <c r="CT292" s="108"/>
      <c r="CU292" s="108"/>
      <c r="CV292" s="108"/>
      <c r="CW292" s="189"/>
      <c r="DH292" s="436"/>
      <c r="DI292" s="437"/>
      <c r="DJ292" s="108"/>
      <c r="DK292" s="108"/>
      <c r="DL292" s="108"/>
      <c r="DM292" s="189"/>
      <c r="DN292" s="436"/>
      <c r="DX292" s="436"/>
      <c r="DY292" s="437"/>
      <c r="DZ292" s="108"/>
      <c r="EA292" s="108"/>
      <c r="EB292" s="108"/>
    </row>
    <row r="293" spans="1:132" ht="14.25" customHeight="1">
      <c r="A293" s="152"/>
      <c r="C293" s="289"/>
      <c r="D293" s="289"/>
      <c r="E293" s="189"/>
      <c r="P293" s="436"/>
      <c r="Q293" s="437"/>
      <c r="R293" s="108"/>
      <c r="S293" s="108"/>
      <c r="T293" s="108"/>
      <c r="U293" s="189"/>
      <c r="AF293" s="436"/>
      <c r="AG293" s="437"/>
      <c r="AH293" s="108"/>
      <c r="AI293" s="108"/>
      <c r="AJ293" s="108"/>
      <c r="AK293" s="189"/>
      <c r="AV293" s="436"/>
      <c r="AW293" s="437"/>
      <c r="AX293" s="108"/>
      <c r="AY293" s="108"/>
      <c r="AZ293" s="108"/>
      <c r="BA293" s="189"/>
      <c r="BL293" s="436"/>
      <c r="BM293" s="437"/>
      <c r="BN293" s="108"/>
      <c r="BO293" s="108"/>
      <c r="BP293" s="108"/>
      <c r="BQ293" s="189"/>
      <c r="CB293" s="436"/>
      <c r="CC293" s="437"/>
      <c r="CD293" s="108"/>
      <c r="CE293" s="108"/>
      <c r="CF293" s="108"/>
      <c r="CG293" s="189"/>
      <c r="CR293" s="436"/>
      <c r="CS293" s="437"/>
      <c r="CT293" s="108"/>
      <c r="CU293" s="108"/>
      <c r="CV293" s="108"/>
      <c r="CW293" s="189"/>
      <c r="DH293" s="436"/>
      <c r="DI293" s="437"/>
      <c r="DJ293" s="108"/>
      <c r="DK293" s="108"/>
      <c r="DL293" s="108"/>
      <c r="DM293" s="189"/>
      <c r="DN293" s="436"/>
      <c r="DX293" s="436"/>
      <c r="DY293" s="437"/>
      <c r="DZ293" s="108"/>
      <c r="EA293" s="108"/>
      <c r="EB293" s="108"/>
    </row>
    <row r="294" spans="1:132" ht="14.25" customHeight="1">
      <c r="A294" s="152"/>
      <c r="C294" s="289"/>
      <c r="D294" s="289"/>
      <c r="E294" s="189"/>
      <c r="P294" s="436"/>
      <c r="Q294" s="437"/>
      <c r="R294" s="108"/>
      <c r="S294" s="108"/>
      <c r="T294" s="108"/>
      <c r="U294" s="189"/>
      <c r="AF294" s="436"/>
      <c r="AG294" s="437"/>
      <c r="AH294" s="108"/>
      <c r="AI294" s="108"/>
      <c r="AJ294" s="108"/>
      <c r="AK294" s="189"/>
      <c r="AV294" s="436"/>
      <c r="AW294" s="437"/>
      <c r="AX294" s="108"/>
      <c r="AY294" s="108"/>
      <c r="AZ294" s="108"/>
      <c r="BA294" s="189"/>
      <c r="BL294" s="436"/>
      <c r="BM294" s="437"/>
      <c r="BN294" s="108"/>
      <c r="BO294" s="108"/>
      <c r="BP294" s="108"/>
      <c r="BQ294" s="189"/>
      <c r="CB294" s="436"/>
      <c r="CC294" s="437"/>
      <c r="CD294" s="108"/>
      <c r="CE294" s="108"/>
      <c r="CF294" s="108"/>
      <c r="CG294" s="189"/>
      <c r="CR294" s="436"/>
      <c r="CS294" s="437"/>
      <c r="CT294" s="108"/>
      <c r="CU294" s="108"/>
      <c r="CV294" s="108"/>
      <c r="CW294" s="189"/>
      <c r="DH294" s="436"/>
      <c r="DI294" s="437"/>
      <c r="DJ294" s="108"/>
      <c r="DK294" s="108"/>
      <c r="DL294" s="108"/>
      <c r="DM294" s="189"/>
      <c r="DN294" s="436"/>
      <c r="DX294" s="436"/>
      <c r="DY294" s="437"/>
      <c r="DZ294" s="108"/>
      <c r="EA294" s="108"/>
      <c r="EB294" s="108"/>
    </row>
    <row r="295" spans="1:132" ht="14.25" customHeight="1">
      <c r="A295" s="152"/>
      <c r="C295" s="289"/>
      <c r="D295" s="289"/>
      <c r="E295" s="189"/>
      <c r="P295" s="436"/>
      <c r="Q295" s="437"/>
      <c r="R295" s="108"/>
      <c r="S295" s="108"/>
      <c r="T295" s="108"/>
      <c r="U295" s="189"/>
      <c r="AF295" s="436"/>
      <c r="AG295" s="437"/>
      <c r="AH295" s="108"/>
      <c r="AI295" s="108"/>
      <c r="AJ295" s="108"/>
      <c r="AK295" s="189"/>
      <c r="AV295" s="436"/>
      <c r="AW295" s="437"/>
      <c r="AX295" s="108"/>
      <c r="AY295" s="108"/>
      <c r="AZ295" s="108"/>
      <c r="BA295" s="189"/>
      <c r="BL295" s="436"/>
      <c r="BM295" s="437"/>
      <c r="BN295" s="108"/>
      <c r="BO295" s="108"/>
      <c r="BP295" s="108"/>
      <c r="BQ295" s="189"/>
      <c r="CB295" s="436"/>
      <c r="CC295" s="437"/>
      <c r="CD295" s="108"/>
      <c r="CE295" s="108"/>
      <c r="CF295" s="108"/>
      <c r="CG295" s="189"/>
      <c r="CR295" s="436"/>
      <c r="CS295" s="437"/>
      <c r="CT295" s="108"/>
      <c r="CU295" s="108"/>
      <c r="CV295" s="108"/>
      <c r="CW295" s="189"/>
      <c r="DH295" s="436"/>
      <c r="DI295" s="437"/>
      <c r="DJ295" s="108"/>
      <c r="DK295" s="108"/>
      <c r="DL295" s="108"/>
      <c r="DM295" s="189"/>
      <c r="DN295" s="436"/>
      <c r="DX295" s="436"/>
      <c r="DY295" s="437"/>
      <c r="DZ295" s="108"/>
      <c r="EA295" s="108"/>
      <c r="EB295" s="108"/>
    </row>
    <row r="296" spans="1:132" ht="14.25" customHeight="1">
      <c r="A296" s="152"/>
      <c r="C296" s="289"/>
      <c r="D296" s="289"/>
      <c r="E296" s="189"/>
      <c r="P296" s="436"/>
      <c r="Q296" s="437"/>
      <c r="R296" s="108"/>
      <c r="S296" s="108"/>
      <c r="T296" s="108"/>
      <c r="U296" s="189"/>
      <c r="AF296" s="436"/>
      <c r="AG296" s="437"/>
      <c r="AH296" s="108"/>
      <c r="AI296" s="108"/>
      <c r="AJ296" s="108"/>
      <c r="AK296" s="189"/>
      <c r="AV296" s="436"/>
      <c r="AW296" s="437"/>
      <c r="AX296" s="108"/>
      <c r="AY296" s="108"/>
      <c r="AZ296" s="108"/>
      <c r="BA296" s="189"/>
      <c r="BL296" s="436"/>
      <c r="BM296" s="437"/>
      <c r="BN296" s="108"/>
      <c r="BO296" s="108"/>
      <c r="BP296" s="108"/>
      <c r="BQ296" s="189"/>
      <c r="CB296" s="436"/>
      <c r="CC296" s="437"/>
      <c r="CD296" s="108"/>
      <c r="CE296" s="108"/>
      <c r="CF296" s="108"/>
      <c r="CG296" s="189"/>
      <c r="CR296" s="436"/>
      <c r="CS296" s="437"/>
      <c r="CT296" s="108"/>
      <c r="CU296" s="108"/>
      <c r="CV296" s="108"/>
      <c r="CW296" s="189"/>
      <c r="DH296" s="436"/>
      <c r="DI296" s="437"/>
      <c r="DJ296" s="108"/>
      <c r="DK296" s="108"/>
      <c r="DL296" s="108"/>
      <c r="DM296" s="189"/>
      <c r="DN296" s="436"/>
      <c r="DX296" s="436"/>
      <c r="DY296" s="437"/>
      <c r="DZ296" s="108"/>
      <c r="EA296" s="108"/>
      <c r="EB296" s="108"/>
    </row>
    <row r="297" spans="1:132" ht="14.25" customHeight="1">
      <c r="A297" s="152"/>
      <c r="C297" s="289"/>
      <c r="D297" s="289"/>
      <c r="E297" s="189"/>
      <c r="P297" s="436"/>
      <c r="Q297" s="437"/>
      <c r="R297" s="108"/>
      <c r="S297" s="108"/>
      <c r="T297" s="108"/>
      <c r="U297" s="189"/>
      <c r="AF297" s="436"/>
      <c r="AG297" s="437"/>
      <c r="AH297" s="108"/>
      <c r="AI297" s="108"/>
      <c r="AJ297" s="108"/>
      <c r="AK297" s="189"/>
      <c r="AV297" s="436"/>
      <c r="AW297" s="437"/>
      <c r="AX297" s="108"/>
      <c r="AY297" s="108"/>
      <c r="AZ297" s="108"/>
      <c r="BA297" s="189"/>
      <c r="BL297" s="436"/>
      <c r="BM297" s="437"/>
      <c r="BN297" s="108"/>
      <c r="BO297" s="108"/>
      <c r="BP297" s="108"/>
      <c r="BQ297" s="189"/>
      <c r="CB297" s="436"/>
      <c r="CC297" s="437"/>
      <c r="CD297" s="108"/>
      <c r="CE297" s="108"/>
      <c r="CF297" s="108"/>
      <c r="CG297" s="189"/>
      <c r="CR297" s="436"/>
      <c r="CS297" s="437"/>
      <c r="CT297" s="108"/>
      <c r="CU297" s="108"/>
      <c r="CV297" s="108"/>
      <c r="CW297" s="189"/>
      <c r="DH297" s="436"/>
      <c r="DI297" s="437"/>
      <c r="DJ297" s="108"/>
      <c r="DK297" s="108"/>
      <c r="DL297" s="108"/>
      <c r="DM297" s="189"/>
      <c r="DN297" s="436"/>
      <c r="DX297" s="436"/>
      <c r="DY297" s="437"/>
      <c r="DZ297" s="108"/>
      <c r="EA297" s="108"/>
      <c r="EB297" s="108"/>
    </row>
    <row r="298" spans="1:132" ht="14.25" customHeight="1">
      <c r="A298" s="152"/>
      <c r="C298" s="289"/>
      <c r="D298" s="289"/>
      <c r="E298" s="189"/>
      <c r="P298" s="436"/>
      <c r="Q298" s="437"/>
      <c r="R298" s="108"/>
      <c r="S298" s="108"/>
      <c r="T298" s="108"/>
      <c r="U298" s="189"/>
      <c r="AF298" s="436"/>
      <c r="AG298" s="437"/>
      <c r="AH298" s="108"/>
      <c r="AI298" s="108"/>
      <c r="AJ298" s="108"/>
      <c r="AK298" s="189"/>
      <c r="AV298" s="436"/>
      <c r="AW298" s="437"/>
      <c r="AX298" s="108"/>
      <c r="AY298" s="108"/>
      <c r="AZ298" s="108"/>
      <c r="BA298" s="189"/>
      <c r="BL298" s="436"/>
      <c r="BM298" s="437"/>
      <c r="BN298" s="108"/>
      <c r="BO298" s="108"/>
      <c r="BP298" s="108"/>
      <c r="BQ298" s="189"/>
      <c r="CB298" s="436"/>
      <c r="CC298" s="437"/>
      <c r="CD298" s="108"/>
      <c r="CE298" s="108"/>
      <c r="CF298" s="108"/>
      <c r="CG298" s="189"/>
      <c r="CR298" s="436"/>
      <c r="CS298" s="437"/>
      <c r="CT298" s="108"/>
      <c r="CU298" s="108"/>
      <c r="CV298" s="108"/>
      <c r="CW298" s="189"/>
      <c r="DH298" s="436"/>
      <c r="DI298" s="437"/>
      <c r="DJ298" s="108"/>
      <c r="DK298" s="108"/>
      <c r="DL298" s="108"/>
      <c r="DM298" s="189"/>
      <c r="DN298" s="436"/>
      <c r="DX298" s="436"/>
      <c r="DY298" s="437"/>
      <c r="DZ298" s="108"/>
      <c r="EA298" s="108"/>
      <c r="EB298" s="108"/>
    </row>
    <row r="299" spans="1:132" ht="14.25" customHeight="1">
      <c r="A299" s="152"/>
      <c r="C299" s="289"/>
      <c r="D299" s="289"/>
      <c r="E299" s="189"/>
      <c r="P299" s="436"/>
      <c r="Q299" s="437"/>
      <c r="R299" s="108"/>
      <c r="S299" s="108"/>
      <c r="T299" s="108"/>
      <c r="U299" s="189"/>
      <c r="AF299" s="436"/>
      <c r="AG299" s="437"/>
      <c r="AH299" s="108"/>
      <c r="AI299" s="108"/>
      <c r="AJ299" s="108"/>
      <c r="AK299" s="189"/>
      <c r="AV299" s="436"/>
      <c r="AW299" s="437"/>
      <c r="AX299" s="108"/>
      <c r="AY299" s="108"/>
      <c r="AZ299" s="108"/>
      <c r="BA299" s="189"/>
      <c r="BL299" s="436"/>
      <c r="BM299" s="437"/>
      <c r="BN299" s="108"/>
      <c r="BO299" s="108"/>
      <c r="BP299" s="108"/>
      <c r="BQ299" s="189"/>
      <c r="CB299" s="436"/>
      <c r="CC299" s="437"/>
      <c r="CD299" s="108"/>
      <c r="CE299" s="108"/>
      <c r="CF299" s="108"/>
      <c r="CG299" s="189"/>
      <c r="CR299" s="436"/>
      <c r="CS299" s="437"/>
      <c r="CT299" s="108"/>
      <c r="CU299" s="108"/>
      <c r="CV299" s="108"/>
      <c r="CW299" s="189"/>
      <c r="DH299" s="436"/>
      <c r="DI299" s="437"/>
      <c r="DJ299" s="108"/>
      <c r="DK299" s="108"/>
      <c r="DL299" s="108"/>
      <c r="DM299" s="189"/>
      <c r="DN299" s="436"/>
      <c r="DX299" s="436"/>
      <c r="DY299" s="437"/>
      <c r="DZ299" s="108"/>
      <c r="EA299" s="108"/>
      <c r="EB299" s="108"/>
    </row>
    <row r="300" spans="1:132" ht="14.25" customHeight="1">
      <c r="A300" s="152"/>
      <c r="C300" s="289"/>
      <c r="D300" s="289"/>
      <c r="E300" s="189"/>
      <c r="P300" s="436"/>
      <c r="Q300" s="437"/>
      <c r="R300" s="108"/>
      <c r="S300" s="108"/>
      <c r="T300" s="108"/>
      <c r="U300" s="189"/>
      <c r="AF300" s="436"/>
      <c r="AG300" s="437"/>
      <c r="AH300" s="108"/>
      <c r="AI300" s="108"/>
      <c r="AJ300" s="108"/>
      <c r="AK300" s="189"/>
      <c r="AV300" s="436"/>
      <c r="AW300" s="437"/>
      <c r="AX300" s="108"/>
      <c r="AY300" s="108"/>
      <c r="AZ300" s="108"/>
      <c r="BA300" s="189"/>
      <c r="BL300" s="436"/>
      <c r="BM300" s="437"/>
      <c r="BN300" s="108"/>
      <c r="BO300" s="108"/>
      <c r="BP300" s="108"/>
      <c r="BQ300" s="189"/>
      <c r="CB300" s="436"/>
      <c r="CC300" s="437"/>
      <c r="CD300" s="108"/>
      <c r="CE300" s="108"/>
      <c r="CF300" s="108"/>
      <c r="CG300" s="189"/>
      <c r="CR300" s="436"/>
      <c r="CS300" s="437"/>
      <c r="CT300" s="108"/>
      <c r="CU300" s="108"/>
      <c r="CV300" s="108"/>
      <c r="CW300" s="189"/>
      <c r="DH300" s="436"/>
      <c r="DI300" s="437"/>
      <c r="DJ300" s="108"/>
      <c r="DK300" s="108"/>
      <c r="DL300" s="108"/>
      <c r="DM300" s="189"/>
      <c r="DN300" s="436"/>
      <c r="DX300" s="436"/>
      <c r="DY300" s="437"/>
      <c r="DZ300" s="108"/>
      <c r="EA300" s="108"/>
      <c r="EB300" s="108"/>
    </row>
    <row r="301" spans="1:132" ht="14.25" customHeight="1">
      <c r="A301" s="152"/>
      <c r="C301" s="289"/>
      <c r="D301" s="289"/>
      <c r="E301" s="189"/>
      <c r="P301" s="436"/>
      <c r="Q301" s="437"/>
      <c r="R301" s="108"/>
      <c r="S301" s="108"/>
      <c r="T301" s="108"/>
      <c r="U301" s="189"/>
      <c r="AF301" s="436"/>
      <c r="AG301" s="437"/>
      <c r="AH301" s="108"/>
      <c r="AI301" s="108"/>
      <c r="AJ301" s="108"/>
      <c r="AK301" s="189"/>
      <c r="AV301" s="436"/>
      <c r="AW301" s="437"/>
      <c r="AX301" s="108"/>
      <c r="AY301" s="108"/>
      <c r="AZ301" s="108"/>
      <c r="BA301" s="189"/>
      <c r="BL301" s="436"/>
      <c r="BM301" s="437"/>
      <c r="BN301" s="108"/>
      <c r="BO301" s="108"/>
      <c r="BP301" s="108"/>
      <c r="BQ301" s="189"/>
      <c r="CB301" s="436"/>
      <c r="CC301" s="437"/>
      <c r="CD301" s="108"/>
      <c r="CE301" s="108"/>
      <c r="CF301" s="108"/>
      <c r="CG301" s="189"/>
      <c r="CR301" s="436"/>
      <c r="CS301" s="437"/>
      <c r="CT301" s="108"/>
      <c r="CU301" s="108"/>
      <c r="CV301" s="108"/>
      <c r="CW301" s="189"/>
      <c r="DH301" s="436"/>
      <c r="DI301" s="437"/>
      <c r="DJ301" s="108"/>
      <c r="DK301" s="108"/>
      <c r="DL301" s="108"/>
      <c r="DM301" s="189"/>
      <c r="DN301" s="436"/>
      <c r="DX301" s="436"/>
      <c r="DY301" s="437"/>
      <c r="DZ301" s="108"/>
      <c r="EA301" s="108"/>
      <c r="EB301" s="108"/>
    </row>
    <row r="302" spans="1:132" ht="14.25" customHeight="1">
      <c r="A302" s="152"/>
      <c r="C302" s="289"/>
      <c r="D302" s="289"/>
      <c r="E302" s="189"/>
      <c r="P302" s="436"/>
      <c r="Q302" s="437"/>
      <c r="R302" s="108"/>
      <c r="S302" s="108"/>
      <c r="T302" s="108"/>
      <c r="U302" s="189"/>
      <c r="AF302" s="436"/>
      <c r="AG302" s="437"/>
      <c r="AH302" s="108"/>
      <c r="AI302" s="108"/>
      <c r="AJ302" s="108"/>
      <c r="AK302" s="189"/>
      <c r="AV302" s="436"/>
      <c r="AW302" s="437"/>
      <c r="AX302" s="108"/>
      <c r="AY302" s="108"/>
      <c r="AZ302" s="108"/>
      <c r="BA302" s="189"/>
      <c r="BL302" s="436"/>
      <c r="BM302" s="437"/>
      <c r="BN302" s="108"/>
      <c r="BO302" s="108"/>
      <c r="BP302" s="108"/>
      <c r="BQ302" s="189"/>
      <c r="CB302" s="436"/>
      <c r="CC302" s="437"/>
      <c r="CD302" s="108"/>
      <c r="CE302" s="108"/>
      <c r="CF302" s="108"/>
      <c r="CG302" s="189"/>
      <c r="CR302" s="436"/>
      <c r="CS302" s="437"/>
      <c r="CT302" s="108"/>
      <c r="CU302" s="108"/>
      <c r="CV302" s="108"/>
      <c r="CW302" s="189"/>
      <c r="DH302" s="436"/>
      <c r="DI302" s="437"/>
      <c r="DJ302" s="108"/>
      <c r="DK302" s="108"/>
      <c r="DL302" s="108"/>
      <c r="DM302" s="189"/>
      <c r="DN302" s="436"/>
      <c r="DX302" s="436"/>
      <c r="DY302" s="437"/>
      <c r="DZ302" s="108"/>
      <c r="EA302" s="108"/>
      <c r="EB302" s="108"/>
    </row>
    <row r="303" spans="1:132" ht="14.25" customHeight="1">
      <c r="A303" s="152"/>
      <c r="C303" s="289"/>
      <c r="D303" s="289"/>
      <c r="E303" s="189"/>
      <c r="P303" s="436"/>
      <c r="Q303" s="437"/>
      <c r="R303" s="108"/>
      <c r="S303" s="108"/>
      <c r="T303" s="108"/>
      <c r="U303" s="189"/>
      <c r="AF303" s="436"/>
      <c r="AG303" s="437"/>
      <c r="AH303" s="108"/>
      <c r="AI303" s="108"/>
      <c r="AJ303" s="108"/>
      <c r="AK303" s="189"/>
      <c r="AV303" s="436"/>
      <c r="AW303" s="437"/>
      <c r="AX303" s="108"/>
      <c r="AY303" s="108"/>
      <c r="AZ303" s="108"/>
      <c r="BA303" s="189"/>
      <c r="BL303" s="436"/>
      <c r="BM303" s="437"/>
      <c r="BN303" s="108"/>
      <c r="BO303" s="108"/>
      <c r="BP303" s="108"/>
      <c r="BQ303" s="189"/>
      <c r="CB303" s="436"/>
      <c r="CC303" s="437"/>
      <c r="CD303" s="108"/>
      <c r="CE303" s="108"/>
      <c r="CF303" s="108"/>
      <c r="CG303" s="189"/>
      <c r="CR303" s="436"/>
      <c r="CS303" s="437"/>
      <c r="CT303" s="108"/>
      <c r="CU303" s="108"/>
      <c r="CV303" s="108"/>
      <c r="CW303" s="189"/>
      <c r="DH303" s="436"/>
      <c r="DI303" s="437"/>
      <c r="DJ303" s="108"/>
      <c r="DK303" s="108"/>
      <c r="DL303" s="108"/>
      <c r="DM303" s="189"/>
      <c r="DN303" s="436"/>
      <c r="DX303" s="436"/>
      <c r="DY303" s="437"/>
      <c r="DZ303" s="108"/>
      <c r="EA303" s="108"/>
      <c r="EB303" s="108"/>
    </row>
    <row r="304" spans="1:132" ht="14.25" customHeight="1">
      <c r="A304" s="152"/>
      <c r="C304" s="289"/>
      <c r="D304" s="289"/>
      <c r="E304" s="189"/>
      <c r="P304" s="436"/>
      <c r="Q304" s="437"/>
      <c r="R304" s="108"/>
      <c r="S304" s="108"/>
      <c r="T304" s="108"/>
      <c r="U304" s="189"/>
      <c r="AF304" s="436"/>
      <c r="AG304" s="437"/>
      <c r="AH304" s="108"/>
      <c r="AI304" s="108"/>
      <c r="AJ304" s="108"/>
      <c r="AK304" s="189"/>
      <c r="AV304" s="436"/>
      <c r="AW304" s="437"/>
      <c r="AX304" s="108"/>
      <c r="AY304" s="108"/>
      <c r="AZ304" s="108"/>
      <c r="BA304" s="189"/>
      <c r="BL304" s="436"/>
      <c r="BM304" s="437"/>
      <c r="BN304" s="108"/>
      <c r="BO304" s="108"/>
      <c r="BP304" s="108"/>
      <c r="BQ304" s="189"/>
      <c r="CB304" s="436"/>
      <c r="CC304" s="437"/>
      <c r="CD304" s="108"/>
      <c r="CE304" s="108"/>
      <c r="CF304" s="108"/>
      <c r="CG304" s="189"/>
      <c r="CR304" s="436"/>
      <c r="CS304" s="437"/>
      <c r="CT304" s="108"/>
      <c r="CU304" s="108"/>
      <c r="CV304" s="108"/>
      <c r="CW304" s="189"/>
      <c r="DH304" s="436"/>
      <c r="DI304" s="437"/>
      <c r="DJ304" s="108"/>
      <c r="DK304" s="108"/>
      <c r="DL304" s="108"/>
      <c r="DM304" s="189"/>
      <c r="DN304" s="436"/>
      <c r="DX304" s="436"/>
      <c r="DY304" s="437"/>
      <c r="DZ304" s="108"/>
      <c r="EA304" s="108"/>
      <c r="EB304" s="108"/>
    </row>
    <row r="305" spans="1:132" ht="14.25" customHeight="1">
      <c r="A305" s="152"/>
      <c r="C305" s="289"/>
      <c r="D305" s="289"/>
      <c r="E305" s="189"/>
      <c r="P305" s="436"/>
      <c r="Q305" s="437"/>
      <c r="R305" s="108"/>
      <c r="S305" s="108"/>
      <c r="T305" s="108"/>
      <c r="U305" s="189"/>
      <c r="AF305" s="436"/>
      <c r="AG305" s="437"/>
      <c r="AH305" s="108"/>
      <c r="AI305" s="108"/>
      <c r="AJ305" s="108"/>
      <c r="AK305" s="189"/>
      <c r="AV305" s="436"/>
      <c r="AW305" s="437"/>
      <c r="AX305" s="108"/>
      <c r="AY305" s="108"/>
      <c r="AZ305" s="108"/>
      <c r="BA305" s="189"/>
      <c r="BL305" s="436"/>
      <c r="BM305" s="437"/>
      <c r="BN305" s="108"/>
      <c r="BO305" s="108"/>
      <c r="BP305" s="108"/>
      <c r="BQ305" s="189"/>
      <c r="CB305" s="436"/>
      <c r="CC305" s="437"/>
      <c r="CD305" s="108"/>
      <c r="CE305" s="108"/>
      <c r="CF305" s="108"/>
      <c r="CG305" s="189"/>
      <c r="CR305" s="436"/>
      <c r="CS305" s="437"/>
      <c r="CT305" s="108"/>
      <c r="CU305" s="108"/>
      <c r="CV305" s="108"/>
      <c r="CW305" s="189"/>
      <c r="DH305" s="436"/>
      <c r="DI305" s="437"/>
      <c r="DJ305" s="108"/>
      <c r="DK305" s="108"/>
      <c r="DL305" s="108"/>
      <c r="DM305" s="189"/>
      <c r="DN305" s="436"/>
      <c r="DX305" s="436"/>
      <c r="DY305" s="437"/>
      <c r="DZ305" s="108"/>
      <c r="EA305" s="108"/>
      <c r="EB305" s="108"/>
    </row>
    <row r="306" spans="1:132" ht="14.25" customHeight="1">
      <c r="A306" s="152"/>
      <c r="C306" s="289"/>
      <c r="D306" s="289"/>
      <c r="E306" s="189"/>
      <c r="P306" s="436"/>
      <c r="Q306" s="437"/>
      <c r="R306" s="108"/>
      <c r="S306" s="108"/>
      <c r="T306" s="108"/>
      <c r="U306" s="189"/>
      <c r="AF306" s="436"/>
      <c r="AG306" s="437"/>
      <c r="AH306" s="108"/>
      <c r="AI306" s="108"/>
      <c r="AJ306" s="108"/>
      <c r="AK306" s="189"/>
      <c r="AV306" s="436"/>
      <c r="AW306" s="437"/>
      <c r="AX306" s="108"/>
      <c r="AY306" s="108"/>
      <c r="AZ306" s="108"/>
      <c r="BA306" s="189"/>
      <c r="BL306" s="436"/>
      <c r="BM306" s="437"/>
      <c r="BN306" s="108"/>
      <c r="BO306" s="108"/>
      <c r="BP306" s="108"/>
      <c r="BQ306" s="189"/>
      <c r="CB306" s="436"/>
      <c r="CC306" s="437"/>
      <c r="CD306" s="108"/>
      <c r="CE306" s="108"/>
      <c r="CF306" s="108"/>
      <c r="CG306" s="189"/>
      <c r="CR306" s="436"/>
      <c r="CS306" s="437"/>
      <c r="CT306" s="108"/>
      <c r="CU306" s="108"/>
      <c r="CV306" s="108"/>
      <c r="CW306" s="189"/>
      <c r="DH306" s="436"/>
      <c r="DI306" s="437"/>
      <c r="DJ306" s="108"/>
      <c r="DK306" s="108"/>
      <c r="DL306" s="108"/>
      <c r="DM306" s="189"/>
      <c r="DN306" s="436"/>
      <c r="DX306" s="436"/>
      <c r="DY306" s="437"/>
      <c r="DZ306" s="108"/>
      <c r="EA306" s="108"/>
      <c r="EB306" s="108"/>
    </row>
    <row r="307" spans="1:132" ht="14.25" customHeight="1">
      <c r="A307" s="152"/>
      <c r="C307" s="289"/>
      <c r="D307" s="289"/>
      <c r="E307" s="189"/>
      <c r="P307" s="436"/>
      <c r="Q307" s="437"/>
      <c r="R307" s="108"/>
      <c r="S307" s="108"/>
      <c r="T307" s="108"/>
      <c r="U307" s="189"/>
      <c r="AF307" s="436"/>
      <c r="AG307" s="437"/>
      <c r="AH307" s="108"/>
      <c r="AI307" s="108"/>
      <c r="AJ307" s="108"/>
      <c r="AK307" s="189"/>
      <c r="AV307" s="436"/>
      <c r="AW307" s="437"/>
      <c r="AX307" s="108"/>
      <c r="AY307" s="108"/>
      <c r="AZ307" s="108"/>
      <c r="BA307" s="189"/>
      <c r="BL307" s="436"/>
      <c r="BM307" s="437"/>
      <c r="BN307" s="108"/>
      <c r="BO307" s="108"/>
      <c r="BP307" s="108"/>
      <c r="BQ307" s="189"/>
      <c r="CB307" s="436"/>
      <c r="CC307" s="437"/>
      <c r="CD307" s="108"/>
      <c r="CE307" s="108"/>
      <c r="CF307" s="108"/>
      <c r="CG307" s="189"/>
      <c r="CR307" s="436"/>
      <c r="CS307" s="437"/>
      <c r="CT307" s="108"/>
      <c r="CU307" s="108"/>
      <c r="CV307" s="108"/>
      <c r="CW307" s="189"/>
      <c r="DH307" s="436"/>
      <c r="DI307" s="437"/>
      <c r="DJ307" s="108"/>
      <c r="DK307" s="108"/>
      <c r="DL307" s="108"/>
      <c r="DM307" s="189"/>
      <c r="DN307" s="436"/>
      <c r="DX307" s="436"/>
      <c r="DY307" s="437"/>
      <c r="DZ307" s="108"/>
      <c r="EA307" s="108"/>
      <c r="EB307" s="108"/>
    </row>
    <row r="308" spans="1:132" ht="14.25" customHeight="1">
      <c r="A308" s="152"/>
      <c r="C308" s="289"/>
      <c r="D308" s="289"/>
      <c r="E308" s="189"/>
      <c r="P308" s="436"/>
      <c r="Q308" s="437"/>
      <c r="R308" s="108"/>
      <c r="S308" s="108"/>
      <c r="T308" s="108"/>
      <c r="U308" s="189"/>
      <c r="AF308" s="436"/>
      <c r="AG308" s="437"/>
      <c r="AH308" s="108"/>
      <c r="AI308" s="108"/>
      <c r="AJ308" s="108"/>
      <c r="AK308" s="189"/>
      <c r="AV308" s="436"/>
      <c r="AW308" s="437"/>
      <c r="AX308" s="108"/>
      <c r="AY308" s="108"/>
      <c r="AZ308" s="108"/>
      <c r="BA308" s="189"/>
      <c r="BL308" s="436"/>
      <c r="BM308" s="437"/>
      <c r="BN308" s="108"/>
      <c r="BO308" s="108"/>
      <c r="BP308" s="108"/>
      <c r="BQ308" s="189"/>
      <c r="CB308" s="436"/>
      <c r="CC308" s="437"/>
      <c r="CD308" s="108"/>
      <c r="CE308" s="108"/>
      <c r="CF308" s="108"/>
      <c r="CG308" s="189"/>
      <c r="CR308" s="436"/>
      <c r="CS308" s="437"/>
      <c r="CT308" s="108"/>
      <c r="CU308" s="108"/>
      <c r="CV308" s="108"/>
      <c r="CW308" s="189"/>
      <c r="DH308" s="436"/>
      <c r="DI308" s="437"/>
      <c r="DJ308" s="108"/>
      <c r="DK308" s="108"/>
      <c r="DL308" s="108"/>
      <c r="DM308" s="189"/>
      <c r="DN308" s="436"/>
      <c r="DX308" s="436"/>
      <c r="DY308" s="437"/>
      <c r="DZ308" s="108"/>
      <c r="EA308" s="108"/>
      <c r="EB308" s="108"/>
    </row>
    <row r="309" spans="1:132" ht="14.25" customHeight="1">
      <c r="A309" s="152"/>
      <c r="C309" s="289"/>
      <c r="D309" s="289"/>
      <c r="E309" s="189"/>
      <c r="P309" s="436"/>
      <c r="Q309" s="437"/>
      <c r="R309" s="108"/>
      <c r="S309" s="108"/>
      <c r="T309" s="108"/>
      <c r="U309" s="189"/>
      <c r="AF309" s="436"/>
      <c r="AG309" s="437"/>
      <c r="AH309" s="108"/>
      <c r="AI309" s="108"/>
      <c r="AJ309" s="108"/>
      <c r="AK309" s="189"/>
      <c r="AV309" s="436"/>
      <c r="AW309" s="437"/>
      <c r="AX309" s="108"/>
      <c r="AY309" s="108"/>
      <c r="AZ309" s="108"/>
      <c r="BA309" s="189"/>
      <c r="BL309" s="436"/>
      <c r="BM309" s="437"/>
      <c r="BN309" s="108"/>
      <c r="BO309" s="108"/>
      <c r="BP309" s="108"/>
      <c r="BQ309" s="189"/>
      <c r="CB309" s="436"/>
      <c r="CC309" s="437"/>
      <c r="CD309" s="108"/>
      <c r="CE309" s="108"/>
      <c r="CF309" s="108"/>
      <c r="CG309" s="189"/>
      <c r="CR309" s="436"/>
      <c r="CS309" s="437"/>
      <c r="CT309" s="108"/>
      <c r="CU309" s="108"/>
      <c r="CV309" s="108"/>
      <c r="CW309" s="189"/>
      <c r="DH309" s="436"/>
      <c r="DI309" s="437"/>
      <c r="DJ309" s="108"/>
      <c r="DK309" s="108"/>
      <c r="DL309" s="108"/>
      <c r="DM309" s="189"/>
      <c r="DN309" s="436"/>
      <c r="DX309" s="436"/>
      <c r="DY309" s="437"/>
      <c r="DZ309" s="108"/>
      <c r="EA309" s="108"/>
      <c r="EB309" s="108"/>
    </row>
    <row r="310" spans="1:132" ht="14.25" customHeight="1">
      <c r="A310" s="152"/>
      <c r="C310" s="289"/>
      <c r="D310" s="289"/>
      <c r="E310" s="189"/>
      <c r="P310" s="436"/>
      <c r="Q310" s="437"/>
      <c r="R310" s="108"/>
      <c r="S310" s="108"/>
      <c r="T310" s="108"/>
      <c r="U310" s="189"/>
      <c r="AF310" s="436"/>
      <c r="AG310" s="437"/>
      <c r="AH310" s="108"/>
      <c r="AI310" s="108"/>
      <c r="AJ310" s="108"/>
      <c r="AK310" s="189"/>
      <c r="AV310" s="436"/>
      <c r="AW310" s="437"/>
      <c r="AX310" s="108"/>
      <c r="AY310" s="108"/>
      <c r="AZ310" s="108"/>
      <c r="BA310" s="189"/>
      <c r="BL310" s="436"/>
      <c r="BM310" s="437"/>
      <c r="BN310" s="108"/>
      <c r="BO310" s="108"/>
      <c r="BP310" s="108"/>
      <c r="BQ310" s="189"/>
      <c r="CB310" s="436"/>
      <c r="CC310" s="437"/>
      <c r="CD310" s="108"/>
      <c r="CE310" s="108"/>
      <c r="CF310" s="108"/>
      <c r="CG310" s="189"/>
      <c r="CR310" s="436"/>
      <c r="CS310" s="437"/>
      <c r="CT310" s="108"/>
      <c r="CU310" s="108"/>
      <c r="CV310" s="108"/>
      <c r="CW310" s="189"/>
      <c r="DH310" s="436"/>
      <c r="DI310" s="437"/>
      <c r="DJ310" s="108"/>
      <c r="DK310" s="108"/>
      <c r="DL310" s="108"/>
      <c r="DM310" s="189"/>
      <c r="DN310" s="436"/>
      <c r="DX310" s="436"/>
      <c r="DY310" s="437"/>
      <c r="DZ310" s="108"/>
      <c r="EA310" s="108"/>
      <c r="EB310" s="108"/>
    </row>
    <row r="311" spans="1:132" ht="14.25" customHeight="1">
      <c r="A311" s="152"/>
      <c r="C311" s="289"/>
      <c r="D311" s="289"/>
      <c r="E311" s="189"/>
      <c r="P311" s="436"/>
      <c r="Q311" s="437"/>
      <c r="R311" s="108"/>
      <c r="S311" s="108"/>
      <c r="T311" s="108"/>
      <c r="U311" s="189"/>
      <c r="AF311" s="436"/>
      <c r="AG311" s="437"/>
      <c r="AH311" s="108"/>
      <c r="AI311" s="108"/>
      <c r="AJ311" s="108"/>
      <c r="AK311" s="189"/>
      <c r="AV311" s="436"/>
      <c r="AW311" s="437"/>
      <c r="AX311" s="108"/>
      <c r="AY311" s="108"/>
      <c r="AZ311" s="108"/>
      <c r="BA311" s="189"/>
      <c r="BL311" s="436"/>
      <c r="BM311" s="437"/>
      <c r="BN311" s="108"/>
      <c r="BO311" s="108"/>
      <c r="BP311" s="108"/>
      <c r="BQ311" s="189"/>
      <c r="CB311" s="436"/>
      <c r="CC311" s="437"/>
      <c r="CD311" s="108"/>
      <c r="CE311" s="108"/>
      <c r="CF311" s="108"/>
      <c r="CG311" s="189"/>
      <c r="CR311" s="436"/>
      <c r="CS311" s="437"/>
      <c r="CT311" s="108"/>
      <c r="CU311" s="108"/>
      <c r="CV311" s="108"/>
      <c r="CW311" s="189"/>
      <c r="DH311" s="436"/>
      <c r="DI311" s="437"/>
      <c r="DJ311" s="108"/>
      <c r="DK311" s="108"/>
      <c r="DL311" s="108"/>
      <c r="DM311" s="189"/>
      <c r="DN311" s="436"/>
      <c r="DX311" s="436"/>
      <c r="DY311" s="437"/>
      <c r="DZ311" s="108"/>
      <c r="EA311" s="108"/>
      <c r="EB311" s="108"/>
    </row>
    <row r="312" spans="1:132" ht="14.25" customHeight="1">
      <c r="A312" s="152"/>
      <c r="C312" s="289"/>
      <c r="D312" s="289"/>
      <c r="E312" s="189"/>
      <c r="P312" s="436"/>
      <c r="Q312" s="437"/>
      <c r="R312" s="108"/>
      <c r="S312" s="108"/>
      <c r="T312" s="108"/>
      <c r="U312" s="189"/>
      <c r="AF312" s="436"/>
      <c r="AG312" s="437"/>
      <c r="AH312" s="108"/>
      <c r="AI312" s="108"/>
      <c r="AJ312" s="108"/>
      <c r="AK312" s="189"/>
      <c r="AV312" s="436"/>
      <c r="AW312" s="437"/>
      <c r="AX312" s="108"/>
      <c r="AY312" s="108"/>
      <c r="AZ312" s="108"/>
      <c r="BA312" s="189"/>
      <c r="BL312" s="436"/>
      <c r="BM312" s="437"/>
      <c r="BN312" s="108"/>
      <c r="BO312" s="108"/>
      <c r="BP312" s="108"/>
      <c r="BQ312" s="189"/>
      <c r="CB312" s="436"/>
      <c r="CC312" s="437"/>
      <c r="CD312" s="108"/>
      <c r="CE312" s="108"/>
      <c r="CF312" s="108"/>
      <c r="CG312" s="189"/>
      <c r="CR312" s="436"/>
      <c r="CS312" s="437"/>
      <c r="CT312" s="108"/>
      <c r="CU312" s="108"/>
      <c r="CV312" s="108"/>
      <c r="CW312" s="189"/>
      <c r="DH312" s="436"/>
      <c r="DI312" s="437"/>
      <c r="DJ312" s="108"/>
      <c r="DK312" s="108"/>
      <c r="DL312" s="108"/>
      <c r="DM312" s="189"/>
      <c r="DN312" s="436"/>
      <c r="DX312" s="436"/>
      <c r="DY312" s="437"/>
      <c r="DZ312" s="108"/>
      <c r="EA312" s="108"/>
      <c r="EB312" s="108"/>
    </row>
    <row r="313" spans="1:132" ht="14.25" customHeight="1">
      <c r="A313" s="152"/>
      <c r="C313" s="289"/>
      <c r="D313" s="289"/>
      <c r="E313" s="189"/>
      <c r="P313" s="436"/>
      <c r="Q313" s="437"/>
      <c r="R313" s="108"/>
      <c r="S313" s="108"/>
      <c r="T313" s="108"/>
      <c r="U313" s="189"/>
      <c r="AF313" s="436"/>
      <c r="AG313" s="437"/>
      <c r="AH313" s="108"/>
      <c r="AI313" s="108"/>
      <c r="AJ313" s="108"/>
      <c r="AK313" s="189"/>
      <c r="AV313" s="436"/>
      <c r="AW313" s="437"/>
      <c r="AX313" s="108"/>
      <c r="AY313" s="108"/>
      <c r="AZ313" s="108"/>
      <c r="BA313" s="189"/>
      <c r="BL313" s="436"/>
      <c r="BM313" s="437"/>
      <c r="BN313" s="108"/>
      <c r="BO313" s="108"/>
      <c r="BP313" s="108"/>
      <c r="BQ313" s="189"/>
      <c r="CB313" s="436"/>
      <c r="CC313" s="437"/>
      <c r="CD313" s="108"/>
      <c r="CE313" s="108"/>
      <c r="CF313" s="108"/>
      <c r="CG313" s="189"/>
      <c r="CR313" s="436"/>
      <c r="CS313" s="437"/>
      <c r="CT313" s="108"/>
      <c r="CU313" s="108"/>
      <c r="CV313" s="108"/>
      <c r="CW313" s="189"/>
      <c r="DH313" s="436"/>
      <c r="DI313" s="437"/>
      <c r="DJ313" s="108"/>
      <c r="DK313" s="108"/>
      <c r="DL313" s="108"/>
      <c r="DM313" s="189"/>
      <c r="DN313" s="436"/>
      <c r="DX313" s="436"/>
      <c r="DY313" s="437"/>
      <c r="DZ313" s="108"/>
      <c r="EA313" s="108"/>
      <c r="EB313" s="108"/>
    </row>
    <row r="314" spans="1:132" ht="14.25" customHeight="1">
      <c r="A314" s="152"/>
      <c r="C314" s="289"/>
      <c r="D314" s="289"/>
      <c r="E314" s="189"/>
      <c r="P314" s="436"/>
      <c r="Q314" s="437"/>
      <c r="R314" s="108"/>
      <c r="S314" s="108"/>
      <c r="T314" s="108"/>
      <c r="U314" s="189"/>
      <c r="AF314" s="436"/>
      <c r="AG314" s="437"/>
      <c r="AH314" s="108"/>
      <c r="AI314" s="108"/>
      <c r="AJ314" s="108"/>
      <c r="AK314" s="189"/>
      <c r="AV314" s="436"/>
      <c r="AW314" s="437"/>
      <c r="AX314" s="108"/>
      <c r="AY314" s="108"/>
      <c r="AZ314" s="108"/>
      <c r="BA314" s="189"/>
      <c r="BL314" s="436"/>
      <c r="BM314" s="437"/>
      <c r="BN314" s="108"/>
      <c r="BO314" s="108"/>
      <c r="BP314" s="108"/>
      <c r="BQ314" s="189"/>
      <c r="CB314" s="436"/>
      <c r="CC314" s="437"/>
      <c r="CD314" s="108"/>
      <c r="CE314" s="108"/>
      <c r="CF314" s="108"/>
      <c r="CG314" s="189"/>
      <c r="CR314" s="436"/>
      <c r="CS314" s="437"/>
      <c r="CT314" s="108"/>
      <c r="CU314" s="108"/>
      <c r="CV314" s="108"/>
      <c r="CW314" s="189"/>
      <c r="DH314" s="436"/>
      <c r="DI314" s="437"/>
      <c r="DJ314" s="108"/>
      <c r="DK314" s="108"/>
      <c r="DL314" s="108"/>
      <c r="DM314" s="189"/>
      <c r="DN314" s="436"/>
      <c r="DX314" s="436"/>
      <c r="DY314" s="437"/>
      <c r="DZ314" s="108"/>
      <c r="EA314" s="108"/>
      <c r="EB314" s="108"/>
    </row>
    <row r="315" spans="1:132" ht="14.25" customHeight="1">
      <c r="A315" s="152"/>
      <c r="C315" s="289"/>
      <c r="D315" s="289"/>
      <c r="E315" s="189"/>
      <c r="P315" s="436"/>
      <c r="Q315" s="437"/>
      <c r="R315" s="108"/>
      <c r="S315" s="108"/>
      <c r="T315" s="108"/>
      <c r="U315" s="189"/>
      <c r="AF315" s="436"/>
      <c r="AG315" s="437"/>
      <c r="AH315" s="108"/>
      <c r="AI315" s="108"/>
      <c r="AJ315" s="108"/>
      <c r="AK315" s="189"/>
      <c r="AV315" s="436"/>
      <c r="AW315" s="437"/>
      <c r="AX315" s="108"/>
      <c r="AY315" s="108"/>
      <c r="AZ315" s="108"/>
      <c r="BA315" s="189"/>
      <c r="BL315" s="436"/>
      <c r="BM315" s="437"/>
      <c r="BN315" s="108"/>
      <c r="BO315" s="108"/>
      <c r="BP315" s="108"/>
      <c r="BQ315" s="189"/>
      <c r="CB315" s="436"/>
      <c r="CC315" s="437"/>
      <c r="CD315" s="108"/>
      <c r="CE315" s="108"/>
      <c r="CF315" s="108"/>
      <c r="CG315" s="189"/>
      <c r="CR315" s="436"/>
      <c r="CS315" s="437"/>
      <c r="CT315" s="108"/>
      <c r="CU315" s="108"/>
      <c r="CV315" s="108"/>
      <c r="CW315" s="189"/>
      <c r="DH315" s="436"/>
      <c r="DI315" s="437"/>
      <c r="DJ315" s="108"/>
      <c r="DK315" s="108"/>
      <c r="DL315" s="108"/>
      <c r="DM315" s="189"/>
      <c r="DN315" s="436"/>
      <c r="DX315" s="436"/>
      <c r="DY315" s="437"/>
      <c r="DZ315" s="108"/>
      <c r="EA315" s="108"/>
      <c r="EB315" s="108"/>
    </row>
    <row r="316" spans="1:132" ht="14.25" customHeight="1">
      <c r="A316" s="152"/>
      <c r="C316" s="289"/>
      <c r="D316" s="289"/>
      <c r="E316" s="189"/>
      <c r="P316" s="436"/>
      <c r="Q316" s="437"/>
      <c r="R316" s="108"/>
      <c r="S316" s="108"/>
      <c r="T316" s="108"/>
      <c r="U316" s="189"/>
      <c r="AF316" s="436"/>
      <c r="AG316" s="437"/>
      <c r="AH316" s="108"/>
      <c r="AI316" s="108"/>
      <c r="AJ316" s="108"/>
      <c r="AK316" s="189"/>
      <c r="AV316" s="436"/>
      <c r="AW316" s="437"/>
      <c r="AX316" s="108"/>
      <c r="AY316" s="108"/>
      <c r="AZ316" s="108"/>
      <c r="BA316" s="189"/>
      <c r="BL316" s="436"/>
      <c r="BM316" s="437"/>
      <c r="BN316" s="108"/>
      <c r="BO316" s="108"/>
      <c r="BP316" s="108"/>
      <c r="BQ316" s="189"/>
      <c r="CB316" s="436"/>
      <c r="CC316" s="437"/>
      <c r="CD316" s="108"/>
      <c r="CE316" s="108"/>
      <c r="CF316" s="108"/>
      <c r="CG316" s="189"/>
      <c r="CR316" s="436"/>
      <c r="CS316" s="437"/>
      <c r="CT316" s="108"/>
      <c r="CU316" s="108"/>
      <c r="CV316" s="108"/>
      <c r="CW316" s="189"/>
      <c r="DH316" s="436"/>
      <c r="DI316" s="437"/>
      <c r="DJ316" s="108"/>
      <c r="DK316" s="108"/>
      <c r="DL316" s="108"/>
      <c r="DM316" s="189"/>
      <c r="DN316" s="436"/>
      <c r="DX316" s="436"/>
      <c r="DY316" s="437"/>
      <c r="DZ316" s="108"/>
      <c r="EA316" s="108"/>
      <c r="EB316" s="108"/>
    </row>
    <row r="317" spans="1:132" ht="14.25" customHeight="1">
      <c r="A317" s="152"/>
      <c r="C317" s="289"/>
      <c r="D317" s="289"/>
      <c r="E317" s="189"/>
      <c r="P317" s="436"/>
      <c r="Q317" s="437"/>
      <c r="R317" s="108"/>
      <c r="S317" s="108"/>
      <c r="T317" s="108"/>
      <c r="U317" s="189"/>
      <c r="AF317" s="436"/>
      <c r="AG317" s="437"/>
      <c r="AH317" s="108"/>
      <c r="AI317" s="108"/>
      <c r="AJ317" s="108"/>
      <c r="AK317" s="189"/>
      <c r="AV317" s="436"/>
      <c r="AW317" s="437"/>
      <c r="AX317" s="108"/>
      <c r="AY317" s="108"/>
      <c r="AZ317" s="108"/>
      <c r="BA317" s="189"/>
      <c r="BL317" s="436"/>
      <c r="BM317" s="437"/>
      <c r="BN317" s="108"/>
      <c r="BO317" s="108"/>
      <c r="BP317" s="108"/>
      <c r="BQ317" s="189"/>
      <c r="CB317" s="436"/>
      <c r="CC317" s="437"/>
      <c r="CD317" s="108"/>
      <c r="CE317" s="108"/>
      <c r="CF317" s="108"/>
      <c r="CG317" s="189"/>
      <c r="CR317" s="436"/>
      <c r="CS317" s="437"/>
      <c r="CT317" s="108"/>
      <c r="CU317" s="108"/>
      <c r="CV317" s="108"/>
      <c r="CW317" s="189"/>
      <c r="DH317" s="436"/>
      <c r="DI317" s="437"/>
      <c r="DJ317" s="108"/>
      <c r="DK317" s="108"/>
      <c r="DL317" s="108"/>
      <c r="DM317" s="189"/>
      <c r="DN317" s="436"/>
      <c r="DX317" s="436"/>
      <c r="DY317" s="437"/>
      <c r="DZ317" s="108"/>
      <c r="EA317" s="108"/>
      <c r="EB317" s="108"/>
    </row>
    <row r="318" spans="1:132" ht="14.25" customHeight="1">
      <c r="A318" s="152"/>
      <c r="C318" s="289"/>
      <c r="D318" s="289"/>
      <c r="E318" s="189"/>
      <c r="P318" s="436"/>
      <c r="Q318" s="437"/>
      <c r="R318" s="108"/>
      <c r="S318" s="108"/>
      <c r="T318" s="108"/>
      <c r="U318" s="189"/>
      <c r="AF318" s="436"/>
      <c r="AG318" s="437"/>
      <c r="AH318" s="108"/>
      <c r="AI318" s="108"/>
      <c r="AJ318" s="108"/>
      <c r="AK318" s="189"/>
      <c r="AV318" s="436"/>
      <c r="AW318" s="437"/>
      <c r="AX318" s="108"/>
      <c r="AY318" s="108"/>
      <c r="AZ318" s="108"/>
      <c r="BA318" s="189"/>
      <c r="BL318" s="436"/>
      <c r="BM318" s="437"/>
      <c r="BN318" s="108"/>
      <c r="BO318" s="108"/>
      <c r="BP318" s="108"/>
      <c r="BQ318" s="189"/>
      <c r="CB318" s="436"/>
      <c r="CC318" s="437"/>
      <c r="CD318" s="108"/>
      <c r="CE318" s="108"/>
      <c r="CF318" s="108"/>
      <c r="CG318" s="189"/>
      <c r="CR318" s="436"/>
      <c r="CS318" s="437"/>
      <c r="CT318" s="108"/>
      <c r="CU318" s="108"/>
      <c r="CV318" s="108"/>
      <c r="CW318" s="189"/>
      <c r="DH318" s="436"/>
      <c r="DI318" s="437"/>
      <c r="DJ318" s="108"/>
      <c r="DK318" s="108"/>
      <c r="DL318" s="108"/>
      <c r="DM318" s="189"/>
      <c r="DN318" s="436"/>
      <c r="DX318" s="436"/>
      <c r="DY318" s="437"/>
      <c r="DZ318" s="108"/>
      <c r="EA318" s="108"/>
      <c r="EB318" s="108"/>
    </row>
    <row r="319" spans="1:132" ht="14.25" customHeight="1">
      <c r="A319" s="152"/>
      <c r="C319" s="289"/>
      <c r="D319" s="289"/>
      <c r="E319" s="189"/>
      <c r="P319" s="436"/>
      <c r="Q319" s="437"/>
      <c r="R319" s="108"/>
      <c r="S319" s="108"/>
      <c r="T319" s="108"/>
      <c r="U319" s="189"/>
      <c r="AF319" s="436"/>
      <c r="AG319" s="437"/>
      <c r="AH319" s="108"/>
      <c r="AI319" s="108"/>
      <c r="AJ319" s="108"/>
      <c r="AK319" s="189"/>
      <c r="AV319" s="436"/>
      <c r="AW319" s="437"/>
      <c r="AX319" s="108"/>
      <c r="AY319" s="108"/>
      <c r="AZ319" s="108"/>
      <c r="BA319" s="189"/>
      <c r="BL319" s="436"/>
      <c r="BM319" s="437"/>
      <c r="BN319" s="108"/>
      <c r="BO319" s="108"/>
      <c r="BP319" s="108"/>
      <c r="BQ319" s="189"/>
      <c r="CB319" s="436"/>
      <c r="CC319" s="437"/>
      <c r="CD319" s="108"/>
      <c r="CE319" s="108"/>
      <c r="CF319" s="108"/>
      <c r="CG319" s="189"/>
      <c r="CR319" s="436"/>
      <c r="CS319" s="437"/>
      <c r="CT319" s="108"/>
      <c r="CU319" s="108"/>
      <c r="CV319" s="108"/>
      <c r="CW319" s="189"/>
      <c r="DH319" s="436"/>
      <c r="DI319" s="437"/>
      <c r="DJ319" s="108"/>
      <c r="DK319" s="108"/>
      <c r="DL319" s="108"/>
      <c r="DM319" s="189"/>
      <c r="DN319" s="436"/>
      <c r="DX319" s="436"/>
      <c r="DY319" s="437"/>
      <c r="DZ319" s="108"/>
      <c r="EA319" s="108"/>
      <c r="EB319" s="108"/>
    </row>
    <row r="320" spans="1:132" ht="14.25" customHeight="1">
      <c r="A320" s="152"/>
      <c r="C320" s="289"/>
      <c r="D320" s="289"/>
      <c r="E320" s="189"/>
      <c r="P320" s="436"/>
      <c r="Q320" s="437"/>
      <c r="R320" s="108"/>
      <c r="S320" s="108"/>
      <c r="T320" s="108"/>
      <c r="U320" s="189"/>
      <c r="AF320" s="436"/>
      <c r="AG320" s="437"/>
      <c r="AH320" s="108"/>
      <c r="AI320" s="108"/>
      <c r="AJ320" s="108"/>
      <c r="AK320" s="189"/>
      <c r="AV320" s="436"/>
      <c r="AW320" s="437"/>
      <c r="AX320" s="108"/>
      <c r="AY320" s="108"/>
      <c r="AZ320" s="108"/>
      <c r="BA320" s="189"/>
      <c r="BL320" s="436"/>
      <c r="BM320" s="437"/>
      <c r="BN320" s="108"/>
      <c r="BO320" s="108"/>
      <c r="BP320" s="108"/>
      <c r="BQ320" s="189"/>
      <c r="CB320" s="436"/>
      <c r="CC320" s="437"/>
      <c r="CD320" s="108"/>
      <c r="CE320" s="108"/>
      <c r="CF320" s="108"/>
      <c r="CG320" s="189"/>
      <c r="CR320" s="436"/>
      <c r="CS320" s="437"/>
      <c r="CT320" s="108"/>
      <c r="CU320" s="108"/>
      <c r="CV320" s="108"/>
      <c r="CW320" s="189"/>
      <c r="DH320" s="436"/>
      <c r="DI320" s="437"/>
      <c r="DJ320" s="108"/>
      <c r="DK320" s="108"/>
      <c r="DL320" s="108"/>
      <c r="DM320" s="189"/>
      <c r="DN320" s="436"/>
      <c r="DX320" s="436"/>
      <c r="DY320" s="437"/>
      <c r="DZ320" s="108"/>
      <c r="EA320" s="108"/>
      <c r="EB320" s="108"/>
    </row>
    <row r="321" spans="1:132" ht="14.25" customHeight="1">
      <c r="A321" s="152"/>
      <c r="C321" s="289"/>
      <c r="D321" s="289"/>
      <c r="E321" s="189"/>
      <c r="P321" s="436"/>
      <c r="Q321" s="437"/>
      <c r="R321" s="108"/>
      <c r="S321" s="108"/>
      <c r="T321" s="108"/>
      <c r="U321" s="189"/>
      <c r="AF321" s="436"/>
      <c r="AG321" s="437"/>
      <c r="AH321" s="108"/>
      <c r="AI321" s="108"/>
      <c r="AJ321" s="108"/>
      <c r="AK321" s="189"/>
      <c r="AV321" s="436"/>
      <c r="AW321" s="437"/>
      <c r="AX321" s="108"/>
      <c r="AY321" s="108"/>
      <c r="AZ321" s="108"/>
      <c r="BA321" s="189"/>
      <c r="BL321" s="436"/>
      <c r="BM321" s="437"/>
      <c r="BN321" s="108"/>
      <c r="BO321" s="108"/>
      <c r="BP321" s="108"/>
      <c r="BQ321" s="189"/>
      <c r="CB321" s="436"/>
      <c r="CC321" s="437"/>
      <c r="CD321" s="108"/>
      <c r="CE321" s="108"/>
      <c r="CF321" s="108"/>
      <c r="CG321" s="189"/>
      <c r="CR321" s="436"/>
      <c r="CS321" s="437"/>
      <c r="CT321" s="108"/>
      <c r="CU321" s="108"/>
      <c r="CV321" s="108"/>
      <c r="CW321" s="189"/>
      <c r="DH321" s="436"/>
      <c r="DI321" s="437"/>
      <c r="DJ321" s="108"/>
      <c r="DK321" s="108"/>
      <c r="DL321" s="108"/>
      <c r="DM321" s="189"/>
      <c r="DN321" s="436"/>
      <c r="DX321" s="436"/>
      <c r="DY321" s="437"/>
      <c r="DZ321" s="108"/>
      <c r="EA321" s="108"/>
      <c r="EB321" s="108"/>
    </row>
    <row r="322" spans="1:132" ht="14.25" customHeight="1">
      <c r="A322" s="152"/>
      <c r="C322" s="289"/>
      <c r="D322" s="289"/>
      <c r="E322" s="189"/>
      <c r="P322" s="436"/>
      <c r="Q322" s="437"/>
      <c r="R322" s="108"/>
      <c r="S322" s="108"/>
      <c r="T322" s="108"/>
      <c r="U322" s="189"/>
      <c r="AF322" s="436"/>
      <c r="AG322" s="437"/>
      <c r="AH322" s="108"/>
      <c r="AI322" s="108"/>
      <c r="AJ322" s="108"/>
      <c r="AK322" s="189"/>
      <c r="AV322" s="436"/>
      <c r="AW322" s="437"/>
      <c r="AX322" s="108"/>
      <c r="AY322" s="108"/>
      <c r="AZ322" s="108"/>
      <c r="BA322" s="189"/>
      <c r="BL322" s="436"/>
      <c r="BM322" s="437"/>
      <c r="BN322" s="108"/>
      <c r="BO322" s="108"/>
      <c r="BP322" s="108"/>
      <c r="BQ322" s="189"/>
      <c r="CB322" s="436"/>
      <c r="CC322" s="437"/>
      <c r="CD322" s="108"/>
      <c r="CE322" s="108"/>
      <c r="CF322" s="108"/>
      <c r="CG322" s="189"/>
      <c r="CR322" s="436"/>
      <c r="CS322" s="437"/>
      <c r="CT322" s="108"/>
      <c r="CU322" s="108"/>
      <c r="CV322" s="108"/>
      <c r="CW322" s="189"/>
      <c r="DH322" s="436"/>
      <c r="DI322" s="437"/>
      <c r="DJ322" s="108"/>
      <c r="DK322" s="108"/>
      <c r="DL322" s="108"/>
      <c r="DM322" s="189"/>
      <c r="DN322" s="436"/>
      <c r="DX322" s="436"/>
      <c r="DY322" s="437"/>
      <c r="DZ322" s="108"/>
      <c r="EA322" s="108"/>
      <c r="EB322" s="108"/>
    </row>
    <row r="323" spans="1:132" ht="14.25" customHeight="1">
      <c r="A323" s="152"/>
      <c r="C323" s="289"/>
      <c r="D323" s="289"/>
      <c r="E323" s="189"/>
      <c r="P323" s="436"/>
      <c r="Q323" s="437"/>
      <c r="R323" s="108"/>
      <c r="S323" s="108"/>
      <c r="T323" s="108"/>
      <c r="U323" s="189"/>
      <c r="AF323" s="436"/>
      <c r="AG323" s="437"/>
      <c r="AH323" s="108"/>
      <c r="AI323" s="108"/>
      <c r="AJ323" s="108"/>
      <c r="AK323" s="189"/>
      <c r="AV323" s="436"/>
      <c r="AW323" s="437"/>
      <c r="AX323" s="108"/>
      <c r="AY323" s="108"/>
      <c r="AZ323" s="108"/>
      <c r="BA323" s="189"/>
      <c r="BL323" s="436"/>
      <c r="BM323" s="437"/>
      <c r="BN323" s="108"/>
      <c r="BO323" s="108"/>
      <c r="BP323" s="108"/>
      <c r="BQ323" s="189"/>
      <c r="CB323" s="436"/>
      <c r="CC323" s="437"/>
      <c r="CD323" s="108"/>
      <c r="CE323" s="108"/>
      <c r="CF323" s="108"/>
      <c r="CG323" s="189"/>
      <c r="CR323" s="436"/>
      <c r="CS323" s="437"/>
      <c r="CT323" s="108"/>
      <c r="CU323" s="108"/>
      <c r="CV323" s="108"/>
      <c r="CW323" s="189"/>
      <c r="DH323" s="436"/>
      <c r="DI323" s="437"/>
      <c r="DJ323" s="108"/>
      <c r="DK323" s="108"/>
      <c r="DL323" s="108"/>
      <c r="DM323" s="189"/>
      <c r="DN323" s="436"/>
      <c r="DX323" s="436"/>
      <c r="DY323" s="437"/>
      <c r="DZ323" s="108"/>
      <c r="EA323" s="108"/>
      <c r="EB323" s="108"/>
    </row>
    <row r="324" spans="1:132" ht="14.25" customHeight="1">
      <c r="A324" s="152"/>
      <c r="C324" s="289"/>
      <c r="D324" s="289"/>
      <c r="E324" s="189"/>
      <c r="P324" s="436"/>
      <c r="Q324" s="437"/>
      <c r="R324" s="108"/>
      <c r="S324" s="108"/>
      <c r="T324" s="108"/>
      <c r="U324" s="189"/>
      <c r="AF324" s="436"/>
      <c r="AG324" s="437"/>
      <c r="AH324" s="108"/>
      <c r="AI324" s="108"/>
      <c r="AJ324" s="108"/>
      <c r="AK324" s="189"/>
      <c r="AV324" s="436"/>
      <c r="AW324" s="437"/>
      <c r="AX324" s="108"/>
      <c r="AY324" s="108"/>
      <c r="AZ324" s="108"/>
      <c r="BA324" s="189"/>
      <c r="BL324" s="436"/>
      <c r="BM324" s="437"/>
      <c r="BN324" s="108"/>
      <c r="BO324" s="108"/>
      <c r="BP324" s="108"/>
      <c r="BQ324" s="189"/>
      <c r="CB324" s="436"/>
      <c r="CC324" s="437"/>
      <c r="CD324" s="108"/>
      <c r="CE324" s="108"/>
      <c r="CF324" s="108"/>
      <c r="CG324" s="189"/>
      <c r="CR324" s="436"/>
      <c r="CS324" s="437"/>
      <c r="CT324" s="108"/>
      <c r="CU324" s="108"/>
      <c r="CV324" s="108"/>
      <c r="CW324" s="189"/>
      <c r="DH324" s="436"/>
      <c r="DI324" s="437"/>
      <c r="DJ324" s="108"/>
      <c r="DK324" s="108"/>
      <c r="DL324" s="108"/>
      <c r="DM324" s="189"/>
      <c r="DN324" s="436"/>
      <c r="DX324" s="436"/>
      <c r="DY324" s="437"/>
      <c r="DZ324" s="108"/>
      <c r="EA324" s="108"/>
      <c r="EB324" s="108"/>
    </row>
  </sheetData>
  <autoFilter ref="A28:EB124"/>
  <mergeCells count="73">
    <mergeCell ref="CP13:CQ13"/>
    <mergeCell ref="CX13:CY13"/>
    <mergeCell ref="BV13:BW13"/>
    <mergeCell ref="BX13:BY13"/>
    <mergeCell ref="BB13:BC13"/>
    <mergeCell ref="BD13:BE13"/>
    <mergeCell ref="BF13:BG13"/>
    <mergeCell ref="BH13:BI13"/>
    <mergeCell ref="BJ13:BK13"/>
    <mergeCell ref="BR13:BS13"/>
    <mergeCell ref="BT13:BU13"/>
    <mergeCell ref="CW8:DL8"/>
    <mergeCell ref="DM8:EB8"/>
    <mergeCell ref="E7:DY7"/>
    <mergeCell ref="E8:T8"/>
    <mergeCell ref="U8:AJ8"/>
    <mergeCell ref="AK8:AZ8"/>
    <mergeCell ref="BA8:BP8"/>
    <mergeCell ref="BQ8:CF8"/>
    <mergeCell ref="CG8:CV8"/>
    <mergeCell ref="CX9:DI9"/>
    <mergeCell ref="DN9:DY9"/>
    <mergeCell ref="F9:Q9"/>
    <mergeCell ref="F10:Q10"/>
    <mergeCell ref="V10:AG10"/>
    <mergeCell ref="AL10:AW10"/>
    <mergeCell ref="BB10:BM10"/>
    <mergeCell ref="BR10:CC10"/>
    <mergeCell ref="CH10:CS10"/>
    <mergeCell ref="CX10:DI10"/>
    <mergeCell ref="DN10:DY10"/>
    <mergeCell ref="V9:AG9"/>
    <mergeCell ref="AL9:AW9"/>
    <mergeCell ref="BB9:BM9"/>
    <mergeCell ref="BR9:CC9"/>
    <mergeCell ref="CH9:CS9"/>
    <mergeCell ref="F12:Q12"/>
    <mergeCell ref="F13:G13"/>
    <mergeCell ref="H13:I13"/>
    <mergeCell ref="J13:K13"/>
    <mergeCell ref="L13:M13"/>
    <mergeCell ref="N13:O13"/>
    <mergeCell ref="V13:W13"/>
    <mergeCell ref="V12:AG12"/>
    <mergeCell ref="AL12:AW12"/>
    <mergeCell ref="BB12:BM12"/>
    <mergeCell ref="BR12:CC12"/>
    <mergeCell ref="BZ13:CA13"/>
    <mergeCell ref="AR13:AS13"/>
    <mergeCell ref="AT13:AU13"/>
    <mergeCell ref="X13:Y13"/>
    <mergeCell ref="Z13:AA13"/>
    <mergeCell ref="AB13:AC13"/>
    <mergeCell ref="AD13:AE13"/>
    <mergeCell ref="AL13:AM13"/>
    <mergeCell ref="AN13:AO13"/>
    <mergeCell ref="AP13:AQ13"/>
    <mergeCell ref="CH12:CS12"/>
    <mergeCell ref="CX12:DI12"/>
    <mergeCell ref="DN12:DY12"/>
    <mergeCell ref="DT13:DU13"/>
    <mergeCell ref="DV13:DW13"/>
    <mergeCell ref="DD13:DE13"/>
    <mergeCell ref="DF13:DG13"/>
    <mergeCell ref="DN13:DO13"/>
    <mergeCell ref="DP13:DQ13"/>
    <mergeCell ref="DR13:DS13"/>
    <mergeCell ref="CZ13:DA13"/>
    <mergeCell ref="DB13:DC13"/>
    <mergeCell ref="CH13:CI13"/>
    <mergeCell ref="CJ13:CK13"/>
    <mergeCell ref="CL13:CM13"/>
    <mergeCell ref="CN13:CO13"/>
  </mergeCells>
  <conditionalFormatting sqref="F12">
    <cfRule type="cellIs" dxfId="62" priority="26" operator="equal">
      <formula>3</formula>
    </cfRule>
    <cfRule type="cellIs" dxfId="61" priority="27" operator="equal">
      <formula>2</formula>
    </cfRule>
    <cfRule type="cellIs" dxfId="60" priority="28" operator="equal">
      <formula>1</formula>
    </cfRule>
  </conditionalFormatting>
  <conditionalFormatting sqref="F29:P121">
    <cfRule type="colorScale" priority="31">
      <colorScale>
        <cfvo type="min"/>
        <cfvo type="percentile" val="50"/>
        <cfvo type="max"/>
        <color rgb="FF63BE7B"/>
        <color rgb="FFFFEB84"/>
        <color rgb="FFF8696B"/>
      </colorScale>
    </cfRule>
  </conditionalFormatting>
  <conditionalFormatting sqref="F1:DY1">
    <cfRule type="colorScale" priority="24">
      <colorScale>
        <cfvo type="min"/>
        <cfvo type="percentile" val="50"/>
        <cfvo type="max"/>
        <color rgb="FF63BE7B"/>
        <color rgb="FFFFEB84"/>
        <color rgb="FFF8696B"/>
      </colorScale>
    </cfRule>
  </conditionalFormatting>
  <conditionalFormatting sqref="P28">
    <cfRule type="cellIs" dxfId="59" priority="29" operator="lessThan">
      <formula>0.5</formula>
    </cfRule>
  </conditionalFormatting>
  <conditionalFormatting sqref="V12">
    <cfRule type="cellIs" dxfId="58" priority="20" operator="equal">
      <formula>3</formula>
    </cfRule>
    <cfRule type="cellIs" dxfId="57" priority="21" operator="equal">
      <formula>2</formula>
    </cfRule>
    <cfRule type="cellIs" dxfId="56" priority="22" operator="equal">
      <formula>1</formula>
    </cfRule>
  </conditionalFormatting>
  <conditionalFormatting sqref="V29:AE121">
    <cfRule type="colorScale" priority="32">
      <colorScale>
        <cfvo type="min"/>
        <cfvo type="percentile" val="50"/>
        <cfvo type="max"/>
        <color rgb="FF63BE7B"/>
        <color rgb="FFFFEB84"/>
        <color rgb="FFF8696B"/>
      </colorScale>
    </cfRule>
  </conditionalFormatting>
  <conditionalFormatting sqref="AF28">
    <cfRule type="cellIs" dxfId="55" priority="23" operator="lessThan">
      <formula>0.5</formula>
    </cfRule>
  </conditionalFormatting>
  <conditionalFormatting sqref="AL12:AT12">
    <cfRule type="cellIs" dxfId="54" priority="18" operator="equal">
      <formula>2</formula>
    </cfRule>
    <cfRule type="cellIs" dxfId="53" priority="19" operator="equal">
      <formula>1</formula>
    </cfRule>
    <cfRule type="cellIs" dxfId="52" priority="17" operator="equal">
      <formula>3</formula>
    </cfRule>
  </conditionalFormatting>
  <conditionalFormatting sqref="AL29:AU121">
    <cfRule type="colorScale" priority="33">
      <colorScale>
        <cfvo type="min"/>
        <cfvo type="percentile" val="50"/>
        <cfvo type="max"/>
        <color rgb="FF63BE7B"/>
        <color rgb="FFFFEB84"/>
        <color rgb="FFF8696B"/>
      </colorScale>
    </cfRule>
  </conditionalFormatting>
  <conditionalFormatting sqref="AV28 BL28 CB28 CR28 DH28 DX28">
    <cfRule type="cellIs" dxfId="51" priority="4" operator="lessThan">
      <formula>0.5</formula>
    </cfRule>
  </conditionalFormatting>
  <conditionalFormatting sqref="BB12:BJ12">
    <cfRule type="cellIs" dxfId="50" priority="14" operator="equal">
      <formula>3</formula>
    </cfRule>
    <cfRule type="cellIs" dxfId="49" priority="15" operator="equal">
      <formula>2</formula>
    </cfRule>
    <cfRule type="cellIs" dxfId="48" priority="16" operator="equal">
      <formula>1</formula>
    </cfRule>
  </conditionalFormatting>
  <conditionalFormatting sqref="BB29:BK121">
    <cfRule type="colorScale" priority="34">
      <colorScale>
        <cfvo type="min"/>
        <cfvo type="percentile" val="50"/>
        <cfvo type="max"/>
        <color rgb="FF63BE7B"/>
        <color rgb="FFFFEB84"/>
        <color rgb="FFF8696B"/>
      </colorScale>
    </cfRule>
  </conditionalFormatting>
  <conditionalFormatting sqref="BR12:BZ12">
    <cfRule type="cellIs" dxfId="47" priority="11" operator="equal">
      <formula>3</formula>
    </cfRule>
    <cfRule type="cellIs" dxfId="46" priority="12" operator="equal">
      <formula>2</formula>
    </cfRule>
    <cfRule type="cellIs" dxfId="45" priority="13" operator="equal">
      <formula>1</formula>
    </cfRule>
  </conditionalFormatting>
  <conditionalFormatting sqref="BR29:CA121">
    <cfRule type="colorScale" priority="35">
      <colorScale>
        <cfvo type="min"/>
        <cfvo type="percentile" val="50"/>
        <cfvo type="max"/>
        <color rgb="FF63BE7B"/>
        <color rgb="FFFFEB84"/>
        <color rgb="FFF8696B"/>
      </colorScale>
    </cfRule>
  </conditionalFormatting>
  <conditionalFormatting sqref="CH12:CP12">
    <cfRule type="cellIs" dxfId="44" priority="8" operator="equal">
      <formula>3</formula>
    </cfRule>
    <cfRule type="cellIs" dxfId="43" priority="9" operator="equal">
      <formula>2</formula>
    </cfRule>
    <cfRule type="cellIs" dxfId="42" priority="10" operator="equal">
      <formula>1</formula>
    </cfRule>
  </conditionalFormatting>
  <conditionalFormatting sqref="CH29:CQ121">
    <cfRule type="colorScale" priority="36">
      <colorScale>
        <cfvo type="min"/>
        <cfvo type="percentile" val="50"/>
        <cfvo type="max"/>
        <color rgb="FF63BE7B"/>
        <color rgb="FFFFEB84"/>
        <color rgb="FFF8696B"/>
      </colorScale>
    </cfRule>
  </conditionalFormatting>
  <conditionalFormatting sqref="CX12:DF12">
    <cfRule type="cellIs" dxfId="41" priority="5" operator="equal">
      <formula>3</formula>
    </cfRule>
    <cfRule type="cellIs" dxfId="40" priority="6" operator="equal">
      <formula>2</formula>
    </cfRule>
    <cfRule type="cellIs" dxfId="39" priority="7" operator="equal">
      <formula>1</formula>
    </cfRule>
  </conditionalFormatting>
  <conditionalFormatting sqref="CX29:DG121">
    <cfRule type="colorScale" priority="37">
      <colorScale>
        <cfvo type="min"/>
        <cfvo type="percentile" val="50"/>
        <cfvo type="max"/>
        <color rgb="FF63BE7B"/>
        <color rgb="FFFFEB84"/>
        <color rgb="FFF8696B"/>
      </colorScale>
    </cfRule>
  </conditionalFormatting>
  <conditionalFormatting sqref="DN12:DV12">
    <cfRule type="cellIs" dxfId="38" priority="2" operator="equal">
      <formula>2</formula>
    </cfRule>
    <cfRule type="cellIs" dxfId="37" priority="3" operator="equal">
      <formula>1</formula>
    </cfRule>
    <cfRule type="cellIs" dxfId="36" priority="1" operator="equal">
      <formula>3</formula>
    </cfRule>
  </conditionalFormatting>
  <conditionalFormatting sqref="DN29:DW121">
    <cfRule type="colorScale" priority="38">
      <colorScale>
        <cfvo type="min"/>
        <cfvo type="percentile" val="50"/>
        <cfvo type="max"/>
        <color rgb="FF63BE7B"/>
        <color rgb="FFFFEB84"/>
        <color rgb="FFF8696B"/>
      </colorScale>
    </cfRule>
  </conditionalFormatting>
  <conditionalFormatting sqref="DZ1:EB1">
    <cfRule type="colorScale" priority="30">
      <colorScale>
        <cfvo type="min"/>
        <cfvo type="percentile" val="50"/>
        <cfvo type="max"/>
        <color rgb="FF63BE7B"/>
        <color rgb="FFFFEB84"/>
        <color rgb="FFF8696B"/>
      </colorScale>
    </cfRule>
  </conditionalFormatting>
  <conditionalFormatting sqref="EC29:EF124">
    <cfRule type="colorScale" priority="25">
      <colorScale>
        <cfvo type="min"/>
        <cfvo type="percentile" val="50"/>
        <cfvo type="max"/>
        <color rgb="FF63BE7B"/>
        <color rgb="FFFFEB84"/>
        <color rgb="FFF8696B"/>
      </colorScale>
    </cfRule>
  </conditionalFormatting>
  <pageMargins left="0.7" right="0.7" top="0.78740157499999996" bottom="0.78740157499999996" header="0" footer="0"/>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EG324"/>
  <sheetViews>
    <sheetView zoomScale="55" zoomScaleNormal="55" workbookViewId="0">
      <pane xSplit="4" ySplit="14" topLeftCell="DT15" activePane="bottomRight" state="frozen"/>
      <selection activeCell="F121" sqref="F121"/>
      <selection pane="topRight" activeCell="F121" sqref="F121"/>
      <selection pane="bottomLeft" activeCell="F121" sqref="F121"/>
      <selection pane="bottomRight"/>
    </sheetView>
  </sheetViews>
  <sheetFormatPr baseColWidth="10" defaultColWidth="14.33203125" defaultRowHeight="15" customHeight="1" outlineLevelCol="1"/>
  <cols>
    <col min="1" max="1" width="23.5546875" customWidth="1"/>
    <col min="2" max="2" width="21.33203125" customWidth="1"/>
    <col min="3" max="3" width="41" customWidth="1"/>
    <col min="4" max="4" width="20.33203125" customWidth="1"/>
    <col min="5" max="5" width="42.33203125" customWidth="1" outlineLevel="1"/>
    <col min="6" max="6" width="12" customWidth="1" outlineLevel="1"/>
    <col min="7" max="12" width="11.33203125" customWidth="1" outlineLevel="1"/>
    <col min="13" max="14" width="12.6640625" customWidth="1" outlineLevel="1"/>
    <col min="15" max="15" width="11.33203125" customWidth="1" outlineLevel="1"/>
    <col min="16" max="16" width="14.5546875" customWidth="1" outlineLevel="1"/>
    <col min="17" max="19" width="15.5546875" customWidth="1" outlineLevel="1"/>
    <col min="20" max="20" width="15.5546875" customWidth="1"/>
    <col min="21" max="21" width="42.33203125" customWidth="1" outlineLevel="1"/>
    <col min="22" max="22" width="13.33203125" customWidth="1" outlineLevel="1"/>
    <col min="23" max="31" width="11.33203125" customWidth="1" outlineLevel="1"/>
    <col min="32" max="32" width="15" customWidth="1" outlineLevel="1"/>
    <col min="33" max="35" width="15.33203125" customWidth="1" outlineLevel="1"/>
    <col min="36" max="36" width="15.33203125" customWidth="1"/>
    <col min="37" max="37" width="42.33203125" customWidth="1" outlineLevel="1"/>
    <col min="38" max="46" width="14.5546875" customWidth="1" outlineLevel="1"/>
    <col min="47" max="47" width="11.33203125" customWidth="1" outlineLevel="1"/>
    <col min="48" max="48" width="15" customWidth="1" outlineLevel="1"/>
    <col min="49" max="51" width="15.5546875" customWidth="1" outlineLevel="1"/>
    <col min="52" max="52" width="15.5546875" customWidth="1"/>
    <col min="53" max="53" width="42.33203125" customWidth="1" outlineLevel="1"/>
    <col min="54" max="62" width="14.33203125" customWidth="1" outlineLevel="1"/>
    <col min="63" max="63" width="11.33203125" customWidth="1" outlineLevel="1"/>
    <col min="64" max="64" width="15" customWidth="1" outlineLevel="1"/>
    <col min="65" max="67" width="14.33203125" customWidth="1" outlineLevel="1"/>
    <col min="68" max="68" width="14.33203125" customWidth="1"/>
    <col min="69" max="69" width="42.33203125" customWidth="1" outlineLevel="1"/>
    <col min="70" max="78" width="14.33203125" customWidth="1" outlineLevel="1"/>
    <col min="79" max="79" width="11.33203125" customWidth="1" outlineLevel="1"/>
    <col min="80" max="80" width="15" customWidth="1" outlineLevel="1"/>
    <col min="81" max="83" width="14.33203125" customWidth="1" outlineLevel="1"/>
    <col min="84" max="84" width="14.33203125" customWidth="1"/>
    <col min="85" max="85" width="42.33203125" customWidth="1" outlineLevel="1"/>
    <col min="86" max="94" width="14.5546875" customWidth="1" outlineLevel="1"/>
    <col min="95" max="96" width="11.33203125" customWidth="1" outlineLevel="1"/>
    <col min="97" max="99" width="13.5546875" customWidth="1" outlineLevel="1"/>
    <col min="100" max="100" width="13.5546875" customWidth="1"/>
    <col min="101" max="101" width="42.33203125" customWidth="1" outlineLevel="1"/>
    <col min="102" max="110" width="13.6640625" customWidth="1" outlineLevel="1"/>
    <col min="111" max="112" width="11.33203125" customWidth="1" outlineLevel="1"/>
    <col min="113" max="115" width="14.33203125" customWidth="1" outlineLevel="1"/>
    <col min="116" max="116" width="14.33203125" customWidth="1"/>
    <col min="117" max="117" width="42.33203125" customWidth="1" outlineLevel="1"/>
    <col min="118" max="126" width="15.33203125" customWidth="1" outlineLevel="1"/>
    <col min="127" max="127" width="11.33203125" customWidth="1" outlineLevel="1"/>
    <col min="128" max="128" width="15" customWidth="1" outlineLevel="1"/>
    <col min="129" max="129" width="13.6640625" customWidth="1" outlineLevel="1"/>
    <col min="130" max="131" width="14.33203125" customWidth="1" outlineLevel="1"/>
    <col min="132" max="132" width="14.33203125" customWidth="1"/>
    <col min="133" max="136" width="11.33203125" hidden="1" customWidth="1" outlineLevel="1"/>
    <col min="137" max="137" width="14.33203125" collapsed="1"/>
  </cols>
  <sheetData>
    <row r="1" spans="1:136" ht="14.25" customHeight="1">
      <c r="A1" t="s">
        <v>3191</v>
      </c>
      <c r="B1" t="e">
        <f>VLOOKUP(Fragenkatalog!F8,'Rechtsformen und -gruppen'!A9:B47,2,FALSE)</f>
        <v>#N/A</v>
      </c>
      <c r="C1" s="289"/>
      <c r="D1" s="289"/>
      <c r="F1" s="157">
        <f>SUM(F29:F127)</f>
        <v>45.2</v>
      </c>
      <c r="G1" s="157"/>
      <c r="H1" s="157">
        <f>SUM(H29:H127)</f>
        <v>45.100000000000009</v>
      </c>
      <c r="I1" s="157"/>
      <c r="J1" s="157">
        <f>SUM(J29:J127)</f>
        <v>44.4</v>
      </c>
      <c r="K1" s="157"/>
      <c r="L1" s="157">
        <f>SUM(L29:L127)</f>
        <v>45.100000000000009</v>
      </c>
      <c r="M1" s="157"/>
      <c r="N1" s="157">
        <f>SUM(N29:N127)</f>
        <v>43.5</v>
      </c>
      <c r="O1" s="157"/>
      <c r="P1" s="157"/>
      <c r="Q1" s="157"/>
      <c r="R1" s="157" t="e">
        <f>SUM(R29:R127)</f>
        <v>#N/A</v>
      </c>
      <c r="S1" s="157" t="e">
        <f>SUM(S29:S127)</f>
        <v>#N/A</v>
      </c>
      <c r="T1" s="157"/>
      <c r="U1" s="157"/>
      <c r="V1" s="157">
        <f>SUM(V29:V127)</f>
        <v>47.599999999999994</v>
      </c>
      <c r="W1" s="157"/>
      <c r="X1" s="157">
        <f>SUM(X29:X127)</f>
        <v>47.849999999999994</v>
      </c>
      <c r="Y1" s="157"/>
      <c r="Z1" s="157">
        <f>SUM(Z29:Z127)</f>
        <v>47.599999999999994</v>
      </c>
      <c r="AA1" s="157"/>
      <c r="AB1" s="157">
        <f>SUM(AB29:AB127)</f>
        <v>48.3</v>
      </c>
      <c r="AC1" s="157"/>
      <c r="AD1" s="157">
        <f>SUM(AD29:AD127)</f>
        <v>46.64</v>
      </c>
      <c r="AE1" s="157"/>
      <c r="AF1" s="157"/>
      <c r="AG1" s="157"/>
      <c r="AH1" s="157" t="e">
        <f>SUM(AH29:AH127)</f>
        <v>#N/A</v>
      </c>
      <c r="AI1" s="157" t="e">
        <f>SUM(AI29:AI127)</f>
        <v>#N/A</v>
      </c>
      <c r="AJ1" s="157"/>
      <c r="AK1" s="157"/>
      <c r="AL1" s="157">
        <f>SUM(AL29:AL127)</f>
        <v>52.5</v>
      </c>
      <c r="AM1" s="157"/>
      <c r="AN1" s="157">
        <f>SUM(AN29:AN127)</f>
        <v>52.7</v>
      </c>
      <c r="AO1" s="157"/>
      <c r="AP1" s="157">
        <f>SUM(AP29:AP127)</f>
        <v>52.1</v>
      </c>
      <c r="AQ1" s="157"/>
      <c r="AR1" s="157">
        <f>SUM(AR29:AR127)</f>
        <v>52.900000000000006</v>
      </c>
      <c r="AS1" s="157"/>
      <c r="AT1" s="157">
        <f>SUM(AT29:AT127)</f>
        <v>51.7</v>
      </c>
      <c r="AU1" s="157"/>
      <c r="AV1" s="157"/>
      <c r="AW1" s="157"/>
      <c r="AX1" s="157" t="e">
        <f>SUM(AX29:AX127)</f>
        <v>#N/A</v>
      </c>
      <c r="AY1" s="157" t="e">
        <f>SUM(AY29:AY127)</f>
        <v>#N/A</v>
      </c>
      <c r="AZ1" s="157"/>
      <c r="BA1" s="157"/>
      <c r="BB1" s="157">
        <f>SUM(BB29:BB127)</f>
        <v>52.4</v>
      </c>
      <c r="BC1" s="157"/>
      <c r="BD1" s="157">
        <f>SUM(BD29:BD127)</f>
        <v>53.000000000000007</v>
      </c>
      <c r="BE1" s="157"/>
      <c r="BF1" s="157">
        <f>SUM(BF29:BF127)</f>
        <v>52</v>
      </c>
      <c r="BG1" s="157"/>
      <c r="BH1" s="157">
        <f>SUM(BH29:BH127)</f>
        <v>52.7</v>
      </c>
      <c r="BI1" s="157"/>
      <c r="BJ1" s="157">
        <f>SUM(BJ29:BJ127)</f>
        <v>51.400000000000006</v>
      </c>
      <c r="BK1" s="157"/>
      <c r="BL1" s="157"/>
      <c r="BM1" s="157"/>
      <c r="BN1" s="157" t="e">
        <f>SUM(BN29:BN127)</f>
        <v>#N/A</v>
      </c>
      <c r="BO1" s="157" t="e">
        <f>SUM(BO29:BO127)</f>
        <v>#N/A</v>
      </c>
      <c r="BP1" s="157"/>
      <c r="BQ1" s="157"/>
      <c r="BR1" s="157">
        <f>SUM(BR29:BR127)</f>
        <v>53.3</v>
      </c>
      <c r="BS1" s="157"/>
      <c r="BT1" s="157">
        <f>SUM(BT29:BT127)</f>
        <v>53.900000000000006</v>
      </c>
      <c r="BU1" s="157"/>
      <c r="BV1" s="157">
        <f>SUM(BV29:BV127)</f>
        <v>52.9</v>
      </c>
      <c r="BW1" s="157"/>
      <c r="BX1" s="157">
        <f>SUM(BX29:BX127)</f>
        <v>53.600000000000009</v>
      </c>
      <c r="BY1" s="157"/>
      <c r="BZ1" s="157">
        <f>SUM(BZ29:BZ127)</f>
        <v>52.300000000000004</v>
      </c>
      <c r="CA1" s="157"/>
      <c r="CB1" s="157"/>
      <c r="CC1" s="157"/>
      <c r="CD1" s="157" t="e">
        <f>SUM(CD29:CD127)</f>
        <v>#N/A</v>
      </c>
      <c r="CE1" s="157" t="e">
        <f>SUM(CE29:CE127)</f>
        <v>#N/A</v>
      </c>
      <c r="CF1" s="157"/>
      <c r="CG1" s="157"/>
      <c r="CH1" s="157">
        <f>SUM(CH29:CH127)</f>
        <v>44.299999999999983</v>
      </c>
      <c r="CI1" s="157"/>
      <c r="CJ1" s="157">
        <f>SUM(CJ29:CJ127)</f>
        <v>45.29999999999999</v>
      </c>
      <c r="CK1" s="157"/>
      <c r="CL1" s="157">
        <f>SUM(CL29:CL127)</f>
        <v>45.29999999999999</v>
      </c>
      <c r="CM1" s="157"/>
      <c r="CN1" s="157">
        <f>SUM(CN29:CN127)</f>
        <v>45.599999999999987</v>
      </c>
      <c r="CO1" s="157"/>
      <c r="CP1" s="157">
        <f>SUM(CP29:CP127)</f>
        <v>44.299999999999983</v>
      </c>
      <c r="CQ1" s="157"/>
      <c r="CR1" s="157"/>
      <c r="CS1" s="157"/>
      <c r="CT1" s="157" t="e">
        <f>SUM(CT29:CT127)</f>
        <v>#N/A</v>
      </c>
      <c r="CU1" s="157" t="e">
        <f>SUM(CU29:CU127)</f>
        <v>#N/A</v>
      </c>
      <c r="CV1" s="157"/>
      <c r="CW1" s="157"/>
      <c r="CX1" s="157">
        <f>SUM(CX29:CX127)</f>
        <v>51.3</v>
      </c>
      <c r="CY1" s="157"/>
      <c r="CZ1" s="157">
        <f>SUM(CZ29:CZ127)</f>
        <v>51.900000000000006</v>
      </c>
      <c r="DA1" s="157"/>
      <c r="DB1" s="157">
        <f>SUM(DB29:DB127)</f>
        <v>51.100000000000009</v>
      </c>
      <c r="DC1" s="157"/>
      <c r="DD1" s="157">
        <f>SUM(DD29:DD127)</f>
        <v>51.900000000000006</v>
      </c>
      <c r="DE1" s="157"/>
      <c r="DF1" s="157">
        <f>SUM(DF29:DF127)</f>
        <v>50.340000000000011</v>
      </c>
      <c r="DG1" s="157"/>
      <c r="DH1" s="157"/>
      <c r="DI1" s="157"/>
      <c r="DJ1" s="157" t="e">
        <f>SUM(DJ29:DJ127)</f>
        <v>#N/A</v>
      </c>
      <c r="DK1" s="157" t="e">
        <f>SUM(DK29:DK127)</f>
        <v>#N/A</v>
      </c>
      <c r="DL1" s="157"/>
      <c r="DM1" s="157"/>
      <c r="DN1" s="157">
        <f>SUM(DN29:DN127)</f>
        <v>54.7</v>
      </c>
      <c r="DO1" s="157"/>
      <c r="DP1" s="157">
        <f>SUM(DP29:DP127)</f>
        <v>54.900000000000006</v>
      </c>
      <c r="DQ1" s="157"/>
      <c r="DR1" s="157">
        <f>SUM(DR29:DR127)</f>
        <v>54.300000000000004</v>
      </c>
      <c r="DS1" s="157"/>
      <c r="DT1" s="157">
        <f>SUM(DT29:DT127)</f>
        <v>55.900000000000006</v>
      </c>
      <c r="DU1" s="157"/>
      <c r="DV1" s="157">
        <f>SUM(DV29:DV127)</f>
        <v>53.540000000000006</v>
      </c>
      <c r="DW1" s="157"/>
      <c r="DX1" s="157"/>
      <c r="DY1" s="157"/>
      <c r="DZ1" s="157"/>
      <c r="EA1" s="157"/>
      <c r="EB1" s="157"/>
    </row>
    <row r="2" spans="1:136" ht="14.25" customHeight="1">
      <c r="A2" t="s">
        <v>3192</v>
      </c>
      <c r="B2" t="e">
        <f>VLOOKUP(Fragenkatalog!K8,'Rechtsformen und -gruppen'!A9:B47,2,FALSE)</f>
        <v>#N/A</v>
      </c>
      <c r="C2" s="289"/>
      <c r="D2" s="289"/>
      <c r="Q2" s="108"/>
      <c r="R2" s="108"/>
      <c r="S2" s="108"/>
      <c r="T2" s="108"/>
      <c r="AG2" s="108"/>
      <c r="AH2" s="108"/>
      <c r="AI2" s="108"/>
      <c r="AJ2" s="108"/>
      <c r="AW2" s="108"/>
      <c r="AX2" s="108"/>
      <c r="AY2" s="108"/>
      <c r="AZ2" s="108"/>
      <c r="BM2" s="108"/>
      <c r="BN2" s="108"/>
      <c r="BO2" s="108"/>
      <c r="BP2" s="108"/>
      <c r="CC2" s="108"/>
      <c r="CD2" s="108"/>
      <c r="CE2" s="108"/>
      <c r="CF2" s="108"/>
      <c r="CS2" s="108"/>
      <c r="CT2" s="108"/>
      <c r="CU2" s="108"/>
      <c r="CV2" s="108"/>
      <c r="DI2" s="108"/>
      <c r="DJ2" s="108"/>
      <c r="DK2" s="108"/>
      <c r="DL2" s="108"/>
      <c r="DY2" s="108"/>
      <c r="DZ2" s="108"/>
      <c r="EA2" s="108"/>
      <c r="EB2" s="108"/>
    </row>
    <row r="3" spans="1:136" ht="14.25" customHeight="1">
      <c r="C3" s="289"/>
      <c r="D3" s="289"/>
      <c r="Q3" s="108"/>
      <c r="R3" s="108"/>
      <c r="S3" s="108"/>
      <c r="T3" s="108"/>
      <c r="AG3" s="108"/>
      <c r="AH3" s="108"/>
      <c r="AI3" s="108"/>
      <c r="AJ3" s="108"/>
      <c r="AW3" s="108"/>
      <c r="AX3" s="108"/>
      <c r="AY3" s="108"/>
      <c r="AZ3" s="108"/>
      <c r="BM3" s="108"/>
      <c r="BN3" s="108"/>
      <c r="BO3" s="108"/>
      <c r="BP3" s="108"/>
      <c r="CC3" s="108"/>
      <c r="CD3" s="108"/>
      <c r="CE3" s="108"/>
      <c r="CF3" s="108"/>
      <c r="CS3" s="108"/>
      <c r="CT3" s="108"/>
      <c r="CU3" s="108"/>
      <c r="CV3" s="108"/>
      <c r="DI3" s="108"/>
      <c r="DJ3" s="108"/>
      <c r="DK3" s="108"/>
      <c r="DL3" s="108"/>
      <c r="DY3" s="108"/>
      <c r="DZ3" s="108"/>
      <c r="EA3" s="108"/>
      <c r="EB3" s="108"/>
    </row>
    <row r="4" spans="1:136" ht="14.25" customHeight="1">
      <c r="C4" s="289"/>
      <c r="D4" s="289"/>
      <c r="Q4" s="108"/>
      <c r="R4" s="108"/>
      <c r="S4" s="108"/>
      <c r="T4" s="108"/>
      <c r="AG4" s="108"/>
      <c r="AH4" s="108"/>
      <c r="AI4" s="108"/>
      <c r="AJ4" s="108"/>
      <c r="AW4" s="108"/>
      <c r="AX4" s="108"/>
      <c r="AY4" s="108"/>
      <c r="AZ4" s="108"/>
      <c r="BM4" s="108"/>
      <c r="BN4" s="108"/>
      <c r="BO4" s="108"/>
      <c r="BP4" s="108"/>
      <c r="CC4" s="108"/>
      <c r="CD4" s="108"/>
      <c r="CE4" s="108"/>
      <c r="CF4" s="108"/>
      <c r="CS4" s="108"/>
      <c r="CT4" s="108"/>
      <c r="CU4" s="108"/>
      <c r="CV4" s="108"/>
      <c r="DI4" s="108"/>
      <c r="DJ4" s="108"/>
      <c r="DK4" s="108"/>
      <c r="DL4" s="108"/>
      <c r="DY4" s="108"/>
      <c r="DZ4" s="108"/>
      <c r="EA4" s="108"/>
      <c r="EB4" s="108"/>
    </row>
    <row r="5" spans="1:136" ht="14.25" customHeight="1">
      <c r="A5" s="152"/>
      <c r="C5" s="289"/>
      <c r="D5" s="289"/>
      <c r="E5" s="189"/>
      <c r="Q5" s="108"/>
      <c r="R5" s="108"/>
      <c r="S5" s="108"/>
      <c r="T5" s="108"/>
      <c r="AG5" s="108"/>
      <c r="AH5" s="108"/>
      <c r="AI5" s="108"/>
      <c r="AJ5" s="108"/>
      <c r="AW5" s="108"/>
      <c r="AX5" s="108"/>
      <c r="AY5" s="108"/>
      <c r="AZ5" s="108"/>
      <c r="BM5" s="108"/>
      <c r="BN5" s="108"/>
      <c r="BO5" s="108"/>
      <c r="BP5" s="108"/>
      <c r="CC5" s="108"/>
      <c r="CD5" s="108"/>
      <c r="CE5" s="108"/>
      <c r="CF5" s="108"/>
      <c r="CS5" s="108"/>
      <c r="CT5" s="108"/>
      <c r="CU5" s="108"/>
      <c r="CV5" s="108"/>
      <c r="DI5" s="108"/>
      <c r="DJ5" s="108"/>
      <c r="DK5" s="108"/>
      <c r="DL5" s="108"/>
      <c r="DY5" s="290"/>
      <c r="DZ5" s="108"/>
      <c r="EA5" s="108"/>
      <c r="EB5" s="108"/>
    </row>
    <row r="6" spans="1:136" ht="14.25" customHeight="1">
      <c r="A6" s="152"/>
      <c r="C6" s="289"/>
      <c r="D6" s="289"/>
      <c r="E6" s="189"/>
      <c r="Q6" s="108"/>
      <c r="R6" s="108"/>
      <c r="S6" s="108"/>
      <c r="T6" s="108"/>
      <c r="AG6" s="108"/>
      <c r="AH6" s="108"/>
      <c r="AI6" s="108"/>
      <c r="AJ6" s="108"/>
      <c r="AW6" s="108"/>
      <c r="AX6" s="108"/>
      <c r="AY6" s="108"/>
      <c r="AZ6" s="108"/>
      <c r="BM6" s="108"/>
      <c r="BN6" s="108"/>
      <c r="BO6" s="108"/>
      <c r="BP6" s="108"/>
      <c r="CC6" s="108"/>
      <c r="CD6" s="108"/>
      <c r="CE6" s="108"/>
      <c r="CF6" s="108"/>
      <c r="CS6" s="108"/>
      <c r="CT6" s="108"/>
      <c r="CU6" s="108"/>
      <c r="CV6" s="108"/>
      <c r="DI6" s="108"/>
      <c r="DJ6" s="108"/>
      <c r="DK6" s="108"/>
      <c r="DL6" s="108"/>
      <c r="DY6" s="290"/>
      <c r="DZ6" s="108"/>
      <c r="EA6" s="108"/>
      <c r="EB6" s="108"/>
    </row>
    <row r="7" spans="1:136" ht="14.25" customHeight="1">
      <c r="A7" s="291"/>
      <c r="B7" s="292"/>
      <c r="C7" s="293"/>
      <c r="D7" s="293"/>
      <c r="E7" s="1133"/>
      <c r="F7" s="1125"/>
      <c r="G7" s="1125"/>
      <c r="H7" s="1125"/>
      <c r="I7" s="1125"/>
      <c r="J7" s="1125"/>
      <c r="K7" s="1125"/>
      <c r="L7" s="1125"/>
      <c r="M7" s="1125"/>
      <c r="N7" s="1125"/>
      <c r="O7" s="1125"/>
      <c r="P7" s="1125"/>
      <c r="Q7" s="1125"/>
      <c r="R7" s="1125"/>
      <c r="S7" s="1125"/>
      <c r="T7" s="1125"/>
      <c r="U7" s="1125"/>
      <c r="V7" s="1125"/>
      <c r="W7" s="1125"/>
      <c r="X7" s="1125"/>
      <c r="Y7" s="1125"/>
      <c r="Z7" s="1125"/>
      <c r="AA7" s="1125"/>
      <c r="AB7" s="1125"/>
      <c r="AC7" s="1125"/>
      <c r="AD7" s="1125"/>
      <c r="AE7" s="1125"/>
      <c r="AF7" s="1125"/>
      <c r="AG7" s="1125"/>
      <c r="AH7" s="1125"/>
      <c r="AI7" s="1125"/>
      <c r="AJ7" s="1125"/>
      <c r="AK7" s="1125"/>
      <c r="AL7" s="1125"/>
      <c r="AM7" s="1125"/>
      <c r="AN7" s="1125"/>
      <c r="AO7" s="1125"/>
      <c r="AP7" s="1125"/>
      <c r="AQ7" s="1125"/>
      <c r="AR7" s="1125"/>
      <c r="AS7" s="1125"/>
      <c r="AT7" s="1125"/>
      <c r="AU7" s="1125"/>
      <c r="AV7" s="1125"/>
      <c r="AW7" s="1125"/>
      <c r="AX7" s="1125"/>
      <c r="AY7" s="1125"/>
      <c r="AZ7" s="1125"/>
      <c r="BA7" s="1125"/>
      <c r="BB7" s="1125"/>
      <c r="BC7" s="1125"/>
      <c r="BD7" s="1125"/>
      <c r="BE7" s="1125"/>
      <c r="BF7" s="1125"/>
      <c r="BG7" s="1125"/>
      <c r="BH7" s="1125"/>
      <c r="BI7" s="1125"/>
      <c r="BJ7" s="1125"/>
      <c r="BK7" s="1125"/>
      <c r="BL7" s="1125"/>
      <c r="BM7" s="1125"/>
      <c r="BN7" s="1125"/>
      <c r="BO7" s="1125"/>
      <c r="BP7" s="1125"/>
      <c r="BQ7" s="1125"/>
      <c r="BR7" s="1125"/>
      <c r="BS7" s="1125"/>
      <c r="BT7" s="1125"/>
      <c r="BU7" s="1125"/>
      <c r="BV7" s="1125"/>
      <c r="BW7" s="1125"/>
      <c r="BX7" s="1125"/>
      <c r="BY7" s="1125"/>
      <c r="BZ7" s="1125"/>
      <c r="CA7" s="1125"/>
      <c r="CB7" s="1125"/>
      <c r="CC7" s="1125"/>
      <c r="CD7" s="1125"/>
      <c r="CE7" s="1125"/>
      <c r="CF7" s="1125"/>
      <c r="CG7" s="1125"/>
      <c r="CH7" s="1125"/>
      <c r="CI7" s="1125"/>
      <c r="CJ7" s="1125"/>
      <c r="CK7" s="1125"/>
      <c r="CL7" s="1125"/>
      <c r="CM7" s="1125"/>
      <c r="CN7" s="1125"/>
      <c r="CO7" s="1125"/>
      <c r="CP7" s="1125"/>
      <c r="CQ7" s="1125"/>
      <c r="CR7" s="1125"/>
      <c r="CS7" s="1125"/>
      <c r="CT7" s="1125"/>
      <c r="CU7" s="1125"/>
      <c r="CV7" s="1125"/>
      <c r="CW7" s="1125"/>
      <c r="CX7" s="1125"/>
      <c r="CY7" s="1125"/>
      <c r="CZ7" s="1125"/>
      <c r="DA7" s="1125"/>
      <c r="DB7" s="1125"/>
      <c r="DC7" s="1125"/>
      <c r="DD7" s="1125"/>
      <c r="DE7" s="1125"/>
      <c r="DF7" s="1125"/>
      <c r="DG7" s="1125"/>
      <c r="DH7" s="1125"/>
      <c r="DI7" s="1125"/>
      <c r="DJ7" s="1125"/>
      <c r="DK7" s="1125"/>
      <c r="DL7" s="1125"/>
      <c r="DM7" s="1125"/>
      <c r="DN7" s="1125"/>
      <c r="DO7" s="1125"/>
      <c r="DP7" s="1125"/>
      <c r="DQ7" s="1125"/>
      <c r="DR7" s="1125"/>
      <c r="DS7" s="1125"/>
      <c r="DT7" s="1125"/>
      <c r="DU7" s="1125"/>
      <c r="DV7" s="1125"/>
      <c r="DW7" s="1125"/>
      <c r="DX7" s="1125"/>
      <c r="DY7" s="1126"/>
    </row>
    <row r="8" spans="1:136" ht="14.25" customHeight="1">
      <c r="A8" s="294"/>
      <c r="B8" s="295"/>
      <c r="C8" s="296" t="s">
        <v>3116</v>
      </c>
      <c r="D8" s="296"/>
      <c r="E8" s="1132" t="s">
        <v>3193</v>
      </c>
      <c r="F8" s="1085"/>
      <c r="G8" s="1085"/>
      <c r="H8" s="1085"/>
      <c r="I8" s="1085"/>
      <c r="J8" s="1085"/>
      <c r="K8" s="1085"/>
      <c r="L8" s="1085"/>
      <c r="M8" s="1085"/>
      <c r="N8" s="1085"/>
      <c r="O8" s="1085"/>
      <c r="P8" s="1085"/>
      <c r="Q8" s="1085"/>
      <c r="R8" s="1085"/>
      <c r="S8" s="1085"/>
      <c r="T8" s="1084"/>
      <c r="U8" s="1132" t="s">
        <v>2795</v>
      </c>
      <c r="V8" s="1085"/>
      <c r="W8" s="1085"/>
      <c r="X8" s="1085"/>
      <c r="Y8" s="1085"/>
      <c r="Z8" s="1085"/>
      <c r="AA8" s="1085"/>
      <c r="AB8" s="1085"/>
      <c r="AC8" s="1085"/>
      <c r="AD8" s="1085"/>
      <c r="AE8" s="1085"/>
      <c r="AF8" s="1085"/>
      <c r="AG8" s="1085"/>
      <c r="AH8" s="1085"/>
      <c r="AI8" s="1085"/>
      <c r="AJ8" s="1084"/>
      <c r="AK8" s="1132" t="s">
        <v>3194</v>
      </c>
      <c r="AL8" s="1085"/>
      <c r="AM8" s="1085"/>
      <c r="AN8" s="1085"/>
      <c r="AO8" s="1085"/>
      <c r="AP8" s="1085"/>
      <c r="AQ8" s="1085"/>
      <c r="AR8" s="1085"/>
      <c r="AS8" s="1085"/>
      <c r="AT8" s="1085"/>
      <c r="AU8" s="1085"/>
      <c r="AV8" s="1085"/>
      <c r="AW8" s="1085"/>
      <c r="AX8" s="1085"/>
      <c r="AY8" s="1085"/>
      <c r="AZ8" s="1084"/>
      <c r="BA8" s="1132" t="s">
        <v>2393</v>
      </c>
      <c r="BB8" s="1085"/>
      <c r="BC8" s="1085"/>
      <c r="BD8" s="1085"/>
      <c r="BE8" s="1085"/>
      <c r="BF8" s="1085"/>
      <c r="BG8" s="1085"/>
      <c r="BH8" s="1085"/>
      <c r="BI8" s="1085"/>
      <c r="BJ8" s="1085"/>
      <c r="BK8" s="1085"/>
      <c r="BL8" s="1085"/>
      <c r="BM8" s="1085"/>
      <c r="BN8" s="1085"/>
      <c r="BO8" s="1085"/>
      <c r="BP8" s="1084"/>
      <c r="BQ8" s="1132" t="s">
        <v>3195</v>
      </c>
      <c r="BR8" s="1085"/>
      <c r="BS8" s="1085"/>
      <c r="BT8" s="1085"/>
      <c r="BU8" s="1085"/>
      <c r="BV8" s="1085"/>
      <c r="BW8" s="1085"/>
      <c r="BX8" s="1085"/>
      <c r="BY8" s="1085"/>
      <c r="BZ8" s="1085"/>
      <c r="CA8" s="1085"/>
      <c r="CB8" s="1085"/>
      <c r="CC8" s="1085"/>
      <c r="CD8" s="1085"/>
      <c r="CE8" s="1085"/>
      <c r="CF8" s="1084"/>
      <c r="CG8" s="1132" t="s">
        <v>2400</v>
      </c>
      <c r="CH8" s="1085"/>
      <c r="CI8" s="1085"/>
      <c r="CJ8" s="1085"/>
      <c r="CK8" s="1085"/>
      <c r="CL8" s="1085"/>
      <c r="CM8" s="1085"/>
      <c r="CN8" s="1085"/>
      <c r="CO8" s="1085"/>
      <c r="CP8" s="1085"/>
      <c r="CQ8" s="1085"/>
      <c r="CR8" s="1085"/>
      <c r="CS8" s="1085"/>
      <c r="CT8" s="1085"/>
      <c r="CU8" s="1085"/>
      <c r="CV8" s="1084"/>
      <c r="CW8" s="1132" t="s">
        <v>2401</v>
      </c>
      <c r="CX8" s="1085"/>
      <c r="CY8" s="1085"/>
      <c r="CZ8" s="1085"/>
      <c r="DA8" s="1085"/>
      <c r="DB8" s="1085"/>
      <c r="DC8" s="1085"/>
      <c r="DD8" s="1085"/>
      <c r="DE8" s="1085"/>
      <c r="DF8" s="1085"/>
      <c r="DG8" s="1085"/>
      <c r="DH8" s="1085"/>
      <c r="DI8" s="1085"/>
      <c r="DJ8" s="1085"/>
      <c r="DK8" s="1085"/>
      <c r="DL8" s="1084"/>
      <c r="DM8" s="1132" t="s">
        <v>2402</v>
      </c>
      <c r="DN8" s="1085"/>
      <c r="DO8" s="1085"/>
      <c r="DP8" s="1085"/>
      <c r="DQ8" s="1085"/>
      <c r="DR8" s="1085"/>
      <c r="DS8" s="1085"/>
      <c r="DT8" s="1085"/>
      <c r="DU8" s="1085"/>
      <c r="DV8" s="1085"/>
      <c r="DW8" s="1085"/>
      <c r="DX8" s="1085"/>
      <c r="DY8" s="1085"/>
      <c r="DZ8" s="1085"/>
      <c r="EA8" s="1085"/>
      <c r="EB8" s="1084"/>
    </row>
    <row r="9" spans="1:136" ht="14.25" customHeight="1">
      <c r="A9" s="297"/>
      <c r="B9" s="295"/>
      <c r="C9" s="296" t="s">
        <v>3196</v>
      </c>
      <c r="D9" s="296"/>
      <c r="E9" s="298" t="s">
        <v>3197</v>
      </c>
      <c r="F9" s="1129" t="s">
        <v>3198</v>
      </c>
      <c r="G9" s="1032"/>
      <c r="H9" s="1032"/>
      <c r="I9" s="1032"/>
      <c r="J9" s="1032"/>
      <c r="K9" s="1032"/>
      <c r="L9" s="1032"/>
      <c r="M9" s="1032"/>
      <c r="N9" s="1032"/>
      <c r="O9" s="1032"/>
      <c r="P9" s="1032"/>
      <c r="Q9" s="1130"/>
      <c r="R9" s="299"/>
      <c r="S9" s="299"/>
      <c r="T9" s="299"/>
      <c r="U9" s="298" t="s">
        <v>3197</v>
      </c>
      <c r="V9" s="1129" t="s">
        <v>3198</v>
      </c>
      <c r="W9" s="1032"/>
      <c r="X9" s="1032"/>
      <c r="Y9" s="1032"/>
      <c r="Z9" s="1032"/>
      <c r="AA9" s="1032"/>
      <c r="AB9" s="1032"/>
      <c r="AC9" s="1032"/>
      <c r="AD9" s="1032"/>
      <c r="AE9" s="1032"/>
      <c r="AF9" s="1032"/>
      <c r="AG9" s="1130"/>
      <c r="AH9" s="299"/>
      <c r="AI9" s="299"/>
      <c r="AJ9" s="299"/>
      <c r="AK9" s="298" t="s">
        <v>3197</v>
      </c>
      <c r="AL9" s="1129" t="s">
        <v>3198</v>
      </c>
      <c r="AM9" s="1032"/>
      <c r="AN9" s="1032"/>
      <c r="AO9" s="1032"/>
      <c r="AP9" s="1032"/>
      <c r="AQ9" s="1032"/>
      <c r="AR9" s="1032"/>
      <c r="AS9" s="1032"/>
      <c r="AT9" s="1032"/>
      <c r="AU9" s="1032"/>
      <c r="AV9" s="1032"/>
      <c r="AW9" s="1130"/>
      <c r="AX9" s="299"/>
      <c r="AY9" s="299"/>
      <c r="AZ9" s="299"/>
      <c r="BA9" s="298" t="s">
        <v>3197</v>
      </c>
      <c r="BB9" s="1129" t="s">
        <v>3198</v>
      </c>
      <c r="BC9" s="1032"/>
      <c r="BD9" s="1032"/>
      <c r="BE9" s="1032"/>
      <c r="BF9" s="1032"/>
      <c r="BG9" s="1032"/>
      <c r="BH9" s="1032"/>
      <c r="BI9" s="1032"/>
      <c r="BJ9" s="1032"/>
      <c r="BK9" s="1032"/>
      <c r="BL9" s="1032"/>
      <c r="BM9" s="1130"/>
      <c r="BN9" s="299"/>
      <c r="BO9" s="299"/>
      <c r="BP9" s="299"/>
      <c r="BQ9" s="298" t="s">
        <v>3197</v>
      </c>
      <c r="BR9" s="1129" t="s">
        <v>3198</v>
      </c>
      <c r="BS9" s="1032"/>
      <c r="BT9" s="1032"/>
      <c r="BU9" s="1032"/>
      <c r="BV9" s="1032"/>
      <c r="BW9" s="1032"/>
      <c r="BX9" s="1032"/>
      <c r="BY9" s="1032"/>
      <c r="BZ9" s="1032"/>
      <c r="CA9" s="1032"/>
      <c r="CB9" s="1032"/>
      <c r="CC9" s="1130"/>
      <c r="CD9" s="299"/>
      <c r="CE9" s="299"/>
      <c r="CF9" s="299"/>
      <c r="CG9" s="298" t="s">
        <v>3197</v>
      </c>
      <c r="CH9" s="1129" t="s">
        <v>3198</v>
      </c>
      <c r="CI9" s="1032"/>
      <c r="CJ9" s="1032"/>
      <c r="CK9" s="1032"/>
      <c r="CL9" s="1032"/>
      <c r="CM9" s="1032"/>
      <c r="CN9" s="1032"/>
      <c r="CO9" s="1032"/>
      <c r="CP9" s="1032"/>
      <c r="CQ9" s="1032"/>
      <c r="CR9" s="1032"/>
      <c r="CS9" s="1130"/>
      <c r="CT9" s="299"/>
      <c r="CU9" s="299"/>
      <c r="CV9" s="299"/>
      <c r="CW9" s="298" t="s">
        <v>3197</v>
      </c>
      <c r="CX9" s="1129" t="s">
        <v>3198</v>
      </c>
      <c r="CY9" s="1032"/>
      <c r="CZ9" s="1032"/>
      <c r="DA9" s="1032"/>
      <c r="DB9" s="1032"/>
      <c r="DC9" s="1032"/>
      <c r="DD9" s="1032"/>
      <c r="DE9" s="1032"/>
      <c r="DF9" s="1032"/>
      <c r="DG9" s="1032"/>
      <c r="DH9" s="1032"/>
      <c r="DI9" s="1130"/>
      <c r="DJ9" s="299"/>
      <c r="DK9" s="299"/>
      <c r="DL9" s="299"/>
      <c r="DM9" s="298" t="s">
        <v>3197</v>
      </c>
      <c r="DN9" s="1129" t="s">
        <v>3198</v>
      </c>
      <c r="DO9" s="1032"/>
      <c r="DP9" s="1032"/>
      <c r="DQ9" s="1032"/>
      <c r="DR9" s="1032"/>
      <c r="DS9" s="1032"/>
      <c r="DT9" s="1032"/>
      <c r="DU9" s="1032"/>
      <c r="DV9" s="1032"/>
      <c r="DW9" s="1032"/>
      <c r="DX9" s="1032"/>
      <c r="DY9" s="1130"/>
      <c r="DZ9" s="299"/>
      <c r="EA9" s="299"/>
      <c r="EB9" s="299"/>
    </row>
    <row r="10" spans="1:136" ht="14.25" customHeight="1">
      <c r="A10" s="294"/>
      <c r="B10" s="295"/>
      <c r="C10" s="296" t="s">
        <v>3199</v>
      </c>
      <c r="D10" s="296"/>
      <c r="E10" s="298" t="s">
        <v>3200</v>
      </c>
      <c r="F10" s="1131"/>
      <c r="G10" s="1032"/>
      <c r="H10" s="1032"/>
      <c r="I10" s="1032"/>
      <c r="J10" s="1032"/>
      <c r="K10" s="1032"/>
      <c r="L10" s="1032"/>
      <c r="M10" s="1032"/>
      <c r="N10" s="1032"/>
      <c r="O10" s="1032"/>
      <c r="P10" s="1032"/>
      <c r="Q10" s="1130"/>
      <c r="R10" s="300"/>
      <c r="S10" s="300"/>
      <c r="T10" s="300"/>
      <c r="U10" s="298" t="s">
        <v>3201</v>
      </c>
      <c r="V10" s="1131"/>
      <c r="W10" s="1032"/>
      <c r="X10" s="1032"/>
      <c r="Y10" s="1032"/>
      <c r="Z10" s="1032"/>
      <c r="AA10" s="1032"/>
      <c r="AB10" s="1032"/>
      <c r="AC10" s="1032"/>
      <c r="AD10" s="1032"/>
      <c r="AE10" s="1032"/>
      <c r="AF10" s="1032"/>
      <c r="AG10" s="1130"/>
      <c r="AH10" s="300"/>
      <c r="AI10" s="300"/>
      <c r="AJ10" s="300"/>
      <c r="AK10" s="298" t="s">
        <v>3202</v>
      </c>
      <c r="AL10" s="1131"/>
      <c r="AM10" s="1032"/>
      <c r="AN10" s="1032"/>
      <c r="AO10" s="1032"/>
      <c r="AP10" s="1032"/>
      <c r="AQ10" s="1032"/>
      <c r="AR10" s="1032"/>
      <c r="AS10" s="1032"/>
      <c r="AT10" s="1032"/>
      <c r="AU10" s="1032"/>
      <c r="AV10" s="1032"/>
      <c r="AW10" s="1130"/>
      <c r="AX10" s="300"/>
      <c r="AY10" s="300"/>
      <c r="AZ10" s="300"/>
      <c r="BA10" s="298" t="s">
        <v>3203</v>
      </c>
      <c r="BB10" s="1131"/>
      <c r="BC10" s="1032"/>
      <c r="BD10" s="1032"/>
      <c r="BE10" s="1032"/>
      <c r="BF10" s="1032"/>
      <c r="BG10" s="1032"/>
      <c r="BH10" s="1032"/>
      <c r="BI10" s="1032"/>
      <c r="BJ10" s="1032"/>
      <c r="BK10" s="1032"/>
      <c r="BL10" s="1032"/>
      <c r="BM10" s="1130"/>
      <c r="BN10" s="300"/>
      <c r="BO10" s="300"/>
      <c r="BP10" s="300"/>
      <c r="BQ10" s="298" t="s">
        <v>3203</v>
      </c>
      <c r="BR10" s="1131"/>
      <c r="BS10" s="1032"/>
      <c r="BT10" s="1032"/>
      <c r="BU10" s="1032"/>
      <c r="BV10" s="1032"/>
      <c r="BW10" s="1032"/>
      <c r="BX10" s="1032"/>
      <c r="BY10" s="1032"/>
      <c r="BZ10" s="1032"/>
      <c r="CA10" s="1032"/>
      <c r="CB10" s="1032"/>
      <c r="CC10" s="1130"/>
      <c r="CD10" s="300"/>
      <c r="CE10" s="300"/>
      <c r="CF10" s="300"/>
      <c r="CG10" s="298" t="s">
        <v>3204</v>
      </c>
      <c r="CH10" s="1131"/>
      <c r="CI10" s="1032"/>
      <c r="CJ10" s="1032"/>
      <c r="CK10" s="1032"/>
      <c r="CL10" s="1032"/>
      <c r="CM10" s="1032"/>
      <c r="CN10" s="1032"/>
      <c r="CO10" s="1032"/>
      <c r="CP10" s="1032"/>
      <c r="CQ10" s="1032"/>
      <c r="CR10" s="1032"/>
      <c r="CS10" s="1130"/>
      <c r="CT10" s="300"/>
      <c r="CU10" s="300"/>
      <c r="CV10" s="300"/>
      <c r="CW10" s="298" t="s">
        <v>3203</v>
      </c>
      <c r="CX10" s="1131"/>
      <c r="CY10" s="1032"/>
      <c r="CZ10" s="1032"/>
      <c r="DA10" s="1032"/>
      <c r="DB10" s="1032"/>
      <c r="DC10" s="1032"/>
      <c r="DD10" s="1032"/>
      <c r="DE10" s="1032"/>
      <c r="DF10" s="1032"/>
      <c r="DG10" s="1032"/>
      <c r="DH10" s="1032"/>
      <c r="DI10" s="1130"/>
      <c r="DJ10" s="300"/>
      <c r="DK10" s="300"/>
      <c r="DL10" s="300"/>
      <c r="DM10" s="298" t="s">
        <v>3205</v>
      </c>
      <c r="DN10" s="1131"/>
      <c r="DO10" s="1032"/>
      <c r="DP10" s="1032"/>
      <c r="DQ10" s="1032"/>
      <c r="DR10" s="1032"/>
      <c r="DS10" s="1032"/>
      <c r="DT10" s="1032"/>
      <c r="DU10" s="1032"/>
      <c r="DV10" s="1032"/>
      <c r="DW10" s="1032"/>
      <c r="DX10" s="1032"/>
      <c r="DY10" s="1130"/>
      <c r="DZ10" s="300"/>
      <c r="EA10" s="300"/>
      <c r="EB10" s="300"/>
    </row>
    <row r="11" spans="1:136" ht="14.25" customHeight="1">
      <c r="A11" s="294"/>
      <c r="B11" s="295"/>
      <c r="C11" s="296"/>
      <c r="D11" s="296"/>
      <c r="E11" s="298"/>
      <c r="F11" s="292"/>
      <c r="G11" s="292"/>
      <c r="H11" s="292"/>
      <c r="I11" s="292"/>
      <c r="J11" s="292"/>
      <c r="K11" s="292"/>
      <c r="L11" s="292"/>
      <c r="M11" s="292"/>
      <c r="N11" s="292"/>
      <c r="O11" s="292"/>
      <c r="P11" s="292"/>
      <c r="Q11" s="301"/>
      <c r="R11" s="302"/>
      <c r="S11" s="302"/>
      <c r="T11" s="302"/>
      <c r="U11" s="298"/>
      <c r="V11" s="292"/>
      <c r="W11" s="292"/>
      <c r="X11" s="292"/>
      <c r="Y11" s="292"/>
      <c r="Z11" s="292"/>
      <c r="AA11" s="292"/>
      <c r="AB11" s="292"/>
      <c r="AC11" s="292"/>
      <c r="AD11" s="292"/>
      <c r="AE11" s="292"/>
      <c r="AF11" s="292"/>
      <c r="AG11" s="301"/>
      <c r="AH11" s="302"/>
      <c r="AI11" s="302"/>
      <c r="AJ11" s="302"/>
      <c r="AK11" s="298"/>
      <c r="AL11" s="292"/>
      <c r="AM11" s="292"/>
      <c r="AN11" s="292"/>
      <c r="AO11" s="292"/>
      <c r="AP11" s="292"/>
      <c r="AQ11" s="292"/>
      <c r="AR11" s="292"/>
      <c r="AS11" s="292"/>
      <c r="AT11" s="292"/>
      <c r="AU11" s="292"/>
      <c r="AV11" s="292"/>
      <c r="AW11" s="301"/>
      <c r="AX11" s="302"/>
      <c r="AY11" s="302"/>
      <c r="AZ11" s="302"/>
      <c r="BA11" s="298"/>
      <c r="BB11" s="292"/>
      <c r="BC11" s="292"/>
      <c r="BD11" s="292"/>
      <c r="BE11" s="292"/>
      <c r="BF11" s="292"/>
      <c r="BG11" s="292"/>
      <c r="BH11" s="292"/>
      <c r="BI11" s="292"/>
      <c r="BJ11" s="292"/>
      <c r="BK11" s="292"/>
      <c r="BL11" s="292"/>
      <c r="BM11" s="301"/>
      <c r="BN11" s="302"/>
      <c r="BO11" s="302"/>
      <c r="BP11" s="302"/>
      <c r="BQ11" s="298"/>
      <c r="BR11" s="292"/>
      <c r="BS11" s="292"/>
      <c r="BT11" s="292"/>
      <c r="BU11" s="292"/>
      <c r="BV11" s="292"/>
      <c r="BW11" s="292"/>
      <c r="BX11" s="292"/>
      <c r="BY11" s="292"/>
      <c r="BZ11" s="292"/>
      <c r="CA11" s="292"/>
      <c r="CB11" s="292"/>
      <c r="CC11" s="301"/>
      <c r="CD11" s="302"/>
      <c r="CE11" s="302"/>
      <c r="CF11" s="302"/>
      <c r="CG11" s="298"/>
      <c r="CH11" s="292"/>
      <c r="CI11" s="292"/>
      <c r="CJ11" s="292"/>
      <c r="CK11" s="292"/>
      <c r="CL11" s="292"/>
      <c r="CM11" s="292"/>
      <c r="CN11" s="292"/>
      <c r="CO11" s="292"/>
      <c r="CP11" s="292"/>
      <c r="CQ11" s="292"/>
      <c r="CR11" s="292"/>
      <c r="CS11" s="301"/>
      <c r="CT11" s="302"/>
      <c r="CU11" s="302"/>
      <c r="CV11" s="302"/>
      <c r="CW11" s="298"/>
      <c r="CX11" s="292"/>
      <c r="CY11" s="292"/>
      <c r="CZ11" s="292"/>
      <c r="DA11" s="292"/>
      <c r="DB11" s="292"/>
      <c r="DC11" s="292"/>
      <c r="DD11" s="292"/>
      <c r="DE11" s="292"/>
      <c r="DF11" s="292"/>
      <c r="DG11" s="292"/>
      <c r="DH11" s="292"/>
      <c r="DI11" s="301"/>
      <c r="DJ11" s="302"/>
      <c r="DK11" s="302"/>
      <c r="DL11" s="302"/>
      <c r="DM11" s="298"/>
      <c r="DN11" s="292"/>
      <c r="DO11" s="292"/>
      <c r="DP11" s="292"/>
      <c r="DQ11" s="292"/>
      <c r="DR11" s="292"/>
      <c r="DS11" s="292"/>
      <c r="DT11" s="292"/>
      <c r="DU11" s="292"/>
      <c r="DV11" s="292"/>
      <c r="DW11" s="292"/>
      <c r="DX11" s="292"/>
      <c r="DY11" s="301"/>
      <c r="DZ11" s="302"/>
      <c r="EA11" s="302"/>
      <c r="EB11" s="302"/>
    </row>
    <row r="12" spans="1:136" ht="14.25" customHeight="1">
      <c r="A12" s="294"/>
      <c r="B12" s="295"/>
      <c r="C12" s="296" t="s">
        <v>3206</v>
      </c>
      <c r="D12" s="296"/>
      <c r="E12" s="303"/>
      <c r="F12" s="1124"/>
      <c r="G12" s="1125"/>
      <c r="H12" s="1125"/>
      <c r="I12" s="1125"/>
      <c r="J12" s="1125"/>
      <c r="K12" s="1125"/>
      <c r="L12" s="1125"/>
      <c r="M12" s="1125"/>
      <c r="N12" s="1125"/>
      <c r="O12" s="1125"/>
      <c r="P12" s="1125"/>
      <c r="Q12" s="1126"/>
      <c r="R12" s="304"/>
      <c r="S12" s="304"/>
      <c r="T12" s="304"/>
      <c r="U12" s="305"/>
      <c r="V12" s="1124"/>
      <c r="W12" s="1125"/>
      <c r="X12" s="1125"/>
      <c r="Y12" s="1125"/>
      <c r="Z12" s="1125"/>
      <c r="AA12" s="1125"/>
      <c r="AB12" s="1125"/>
      <c r="AC12" s="1125"/>
      <c r="AD12" s="1125"/>
      <c r="AE12" s="1125"/>
      <c r="AF12" s="1125"/>
      <c r="AG12" s="1126"/>
      <c r="AH12" s="304"/>
      <c r="AI12" s="304"/>
      <c r="AJ12" s="304"/>
      <c r="AK12" s="305"/>
      <c r="AL12" s="1124"/>
      <c r="AM12" s="1125"/>
      <c r="AN12" s="1125"/>
      <c r="AO12" s="1125"/>
      <c r="AP12" s="1125"/>
      <c r="AQ12" s="1125"/>
      <c r="AR12" s="1125"/>
      <c r="AS12" s="1125"/>
      <c r="AT12" s="1125"/>
      <c r="AU12" s="1125"/>
      <c r="AV12" s="1125"/>
      <c r="AW12" s="1126"/>
      <c r="AX12" s="304"/>
      <c r="AY12" s="304"/>
      <c r="AZ12" s="304"/>
      <c r="BA12" s="305"/>
      <c r="BB12" s="1124"/>
      <c r="BC12" s="1125"/>
      <c r="BD12" s="1125"/>
      <c r="BE12" s="1125"/>
      <c r="BF12" s="1125"/>
      <c r="BG12" s="1125"/>
      <c r="BH12" s="1125"/>
      <c r="BI12" s="1125"/>
      <c r="BJ12" s="1125"/>
      <c r="BK12" s="1125"/>
      <c r="BL12" s="1125"/>
      <c r="BM12" s="1126"/>
      <c r="BN12" s="304"/>
      <c r="BO12" s="304"/>
      <c r="BP12" s="304"/>
      <c r="BQ12" s="305"/>
      <c r="BR12" s="1124"/>
      <c r="BS12" s="1125"/>
      <c r="BT12" s="1125"/>
      <c r="BU12" s="1125"/>
      <c r="BV12" s="1125"/>
      <c r="BW12" s="1125"/>
      <c r="BX12" s="1125"/>
      <c r="BY12" s="1125"/>
      <c r="BZ12" s="1125"/>
      <c r="CA12" s="1125"/>
      <c r="CB12" s="1125"/>
      <c r="CC12" s="1126"/>
      <c r="CD12" s="304"/>
      <c r="CE12" s="304"/>
      <c r="CF12" s="304"/>
      <c r="CG12" s="305"/>
      <c r="CH12" s="1124"/>
      <c r="CI12" s="1125"/>
      <c r="CJ12" s="1125"/>
      <c r="CK12" s="1125"/>
      <c r="CL12" s="1125"/>
      <c r="CM12" s="1125"/>
      <c r="CN12" s="1125"/>
      <c r="CO12" s="1125"/>
      <c r="CP12" s="1125"/>
      <c r="CQ12" s="1125"/>
      <c r="CR12" s="1125"/>
      <c r="CS12" s="1126"/>
      <c r="CT12" s="304"/>
      <c r="CU12" s="304"/>
      <c r="CV12" s="304"/>
      <c r="CW12" s="305"/>
      <c r="CX12" s="1124"/>
      <c r="CY12" s="1125"/>
      <c r="CZ12" s="1125"/>
      <c r="DA12" s="1125"/>
      <c r="DB12" s="1125"/>
      <c r="DC12" s="1125"/>
      <c r="DD12" s="1125"/>
      <c r="DE12" s="1125"/>
      <c r="DF12" s="1125"/>
      <c r="DG12" s="1125"/>
      <c r="DH12" s="1125"/>
      <c r="DI12" s="1126"/>
      <c r="DJ12" s="304"/>
      <c r="DK12" s="304"/>
      <c r="DL12" s="304"/>
      <c r="DM12" s="305"/>
      <c r="DN12" s="1124"/>
      <c r="DO12" s="1125"/>
      <c r="DP12" s="1125"/>
      <c r="DQ12" s="1125"/>
      <c r="DR12" s="1125"/>
      <c r="DS12" s="1125"/>
      <c r="DT12" s="1125"/>
      <c r="DU12" s="1125"/>
      <c r="DV12" s="1125"/>
      <c r="DW12" s="1125"/>
      <c r="DX12" s="1125"/>
      <c r="DY12" s="1126"/>
      <c r="DZ12" s="304"/>
      <c r="EA12" s="304"/>
      <c r="EB12" s="304"/>
    </row>
    <row r="13" spans="1:136" ht="14.25" customHeight="1">
      <c r="A13" s="294"/>
      <c r="B13" s="306"/>
      <c r="C13" s="307"/>
      <c r="D13" s="308" t="s">
        <v>3207</v>
      </c>
      <c r="E13" s="309" t="s">
        <v>3208</v>
      </c>
      <c r="F13" s="1127" t="s">
        <v>3209</v>
      </c>
      <c r="G13" s="1128"/>
      <c r="H13" s="1127" t="s">
        <v>171</v>
      </c>
      <c r="I13" s="1128"/>
      <c r="J13" s="1127" t="s">
        <v>3210</v>
      </c>
      <c r="K13" s="1128"/>
      <c r="L13" s="1127" t="s">
        <v>3211</v>
      </c>
      <c r="M13" s="1128"/>
      <c r="N13" s="1127" t="s">
        <v>3212</v>
      </c>
      <c r="O13" s="1128"/>
      <c r="P13" s="310" t="s">
        <v>3213</v>
      </c>
      <c r="Q13" s="311" t="s">
        <v>3214</v>
      </c>
      <c r="R13" s="312" t="s">
        <v>3215</v>
      </c>
      <c r="S13" s="312" t="s">
        <v>3216</v>
      </c>
      <c r="T13" s="312"/>
      <c r="U13" s="309" t="s">
        <v>3208</v>
      </c>
      <c r="V13" s="1127" t="str">
        <f>'Rechtsformen und -gruppen'!$B$1</f>
        <v>Aktiengesellschaft</v>
      </c>
      <c r="W13" s="1128"/>
      <c r="X13" s="1127" t="str">
        <f>'Rechtsformen und -gruppen'!$B$2</f>
        <v>GmbH</v>
      </c>
      <c r="Y13" s="1128"/>
      <c r="Z13" s="1127" t="str">
        <f>'Rechtsformen und -gruppen'!$B$3</f>
        <v>Personengesellschaft</v>
      </c>
      <c r="AA13" s="1128"/>
      <c r="AB13" s="1127" t="str">
        <f>'Rechtsformen und -gruppen'!$B$4</f>
        <v>Gesellschaft döR</v>
      </c>
      <c r="AC13" s="1128"/>
      <c r="AD13" s="1127" t="str">
        <f>'Rechtsformen und -gruppen'!$B$5</f>
        <v>Berufsträger</v>
      </c>
      <c r="AE13" s="1128"/>
      <c r="AF13" s="310" t="s">
        <v>3213</v>
      </c>
      <c r="AG13" s="311" t="s">
        <v>3214</v>
      </c>
      <c r="AH13" s="312" t="s">
        <v>3215</v>
      </c>
      <c r="AI13" s="312" t="s">
        <v>3216</v>
      </c>
      <c r="AJ13" s="312"/>
      <c r="AK13" s="309" t="s">
        <v>3208</v>
      </c>
      <c r="AL13" s="1127" t="str">
        <f>'Rechtsformen und -gruppen'!$B$1</f>
        <v>Aktiengesellschaft</v>
      </c>
      <c r="AM13" s="1128"/>
      <c r="AN13" s="1127" t="str">
        <f>'Rechtsformen und -gruppen'!$B$2</f>
        <v>GmbH</v>
      </c>
      <c r="AO13" s="1128"/>
      <c r="AP13" s="1127" t="str">
        <f>'Rechtsformen und -gruppen'!$B$3</f>
        <v>Personengesellschaft</v>
      </c>
      <c r="AQ13" s="1128"/>
      <c r="AR13" s="1127" t="str">
        <f>'Rechtsformen und -gruppen'!$B$4</f>
        <v>Gesellschaft döR</v>
      </c>
      <c r="AS13" s="1128"/>
      <c r="AT13" s="1127" t="str">
        <f>'Rechtsformen und -gruppen'!$B$5</f>
        <v>Berufsträger</v>
      </c>
      <c r="AU13" s="1128"/>
      <c r="AV13" s="310" t="s">
        <v>3213</v>
      </c>
      <c r="AW13" s="311" t="s">
        <v>3214</v>
      </c>
      <c r="AX13" s="312" t="s">
        <v>3215</v>
      </c>
      <c r="AY13" s="312" t="s">
        <v>3216</v>
      </c>
      <c r="AZ13" s="312"/>
      <c r="BA13" s="309" t="s">
        <v>3208</v>
      </c>
      <c r="BB13" s="1127" t="str">
        <f>'Rechtsformen und -gruppen'!$B$1</f>
        <v>Aktiengesellschaft</v>
      </c>
      <c r="BC13" s="1128"/>
      <c r="BD13" s="1127" t="str">
        <f>'Rechtsformen und -gruppen'!$B$2</f>
        <v>GmbH</v>
      </c>
      <c r="BE13" s="1128"/>
      <c r="BF13" s="1127" t="str">
        <f>'Rechtsformen und -gruppen'!$B$3</f>
        <v>Personengesellschaft</v>
      </c>
      <c r="BG13" s="1128"/>
      <c r="BH13" s="1127" t="str">
        <f>'Rechtsformen und -gruppen'!$B$4</f>
        <v>Gesellschaft döR</v>
      </c>
      <c r="BI13" s="1128"/>
      <c r="BJ13" s="1127" t="str">
        <f>'Rechtsformen und -gruppen'!$B$5</f>
        <v>Berufsträger</v>
      </c>
      <c r="BK13" s="1128"/>
      <c r="BL13" s="310" t="s">
        <v>3213</v>
      </c>
      <c r="BM13" s="311" t="s">
        <v>3214</v>
      </c>
      <c r="BN13" s="312" t="s">
        <v>3215</v>
      </c>
      <c r="BO13" s="312" t="s">
        <v>3216</v>
      </c>
      <c r="BP13" s="312"/>
      <c r="BQ13" s="309" t="s">
        <v>3208</v>
      </c>
      <c r="BR13" s="1127" t="str">
        <f>'Rechtsformen und -gruppen'!$B$1</f>
        <v>Aktiengesellschaft</v>
      </c>
      <c r="BS13" s="1128"/>
      <c r="BT13" s="1127" t="str">
        <f>'Rechtsformen und -gruppen'!$B$2</f>
        <v>GmbH</v>
      </c>
      <c r="BU13" s="1128"/>
      <c r="BV13" s="1127" t="str">
        <f>'Rechtsformen und -gruppen'!$B$3</f>
        <v>Personengesellschaft</v>
      </c>
      <c r="BW13" s="1128"/>
      <c r="BX13" s="1127" t="str">
        <f>'Rechtsformen und -gruppen'!$B$4</f>
        <v>Gesellschaft döR</v>
      </c>
      <c r="BY13" s="1128"/>
      <c r="BZ13" s="1127" t="str">
        <f>'Rechtsformen und -gruppen'!$B$5</f>
        <v>Berufsträger</v>
      </c>
      <c r="CA13" s="1128"/>
      <c r="CB13" s="310" t="s">
        <v>3213</v>
      </c>
      <c r="CC13" s="311" t="s">
        <v>3214</v>
      </c>
      <c r="CD13" s="312" t="s">
        <v>3215</v>
      </c>
      <c r="CE13" s="312" t="s">
        <v>3216</v>
      </c>
      <c r="CF13" s="312"/>
      <c r="CG13" s="309" t="s">
        <v>3208</v>
      </c>
      <c r="CH13" s="1127" t="str">
        <f>'Rechtsformen und -gruppen'!$B$1</f>
        <v>Aktiengesellschaft</v>
      </c>
      <c r="CI13" s="1128"/>
      <c r="CJ13" s="1127" t="str">
        <f>'Rechtsformen und -gruppen'!$B$2</f>
        <v>GmbH</v>
      </c>
      <c r="CK13" s="1128"/>
      <c r="CL13" s="1127" t="str">
        <f>'Rechtsformen und -gruppen'!$B$3</f>
        <v>Personengesellschaft</v>
      </c>
      <c r="CM13" s="1128"/>
      <c r="CN13" s="1127" t="str">
        <f>'Rechtsformen und -gruppen'!$B$4</f>
        <v>Gesellschaft döR</v>
      </c>
      <c r="CO13" s="1128"/>
      <c r="CP13" s="1127" t="str">
        <f>'Rechtsformen und -gruppen'!$B$5</f>
        <v>Berufsträger</v>
      </c>
      <c r="CQ13" s="1128"/>
      <c r="CR13" s="310" t="s">
        <v>3213</v>
      </c>
      <c r="CS13" s="311" t="s">
        <v>3214</v>
      </c>
      <c r="CT13" s="312" t="s">
        <v>3215</v>
      </c>
      <c r="CU13" s="312" t="s">
        <v>3216</v>
      </c>
      <c r="CV13" s="312"/>
      <c r="CW13" s="309" t="s">
        <v>3208</v>
      </c>
      <c r="CX13" s="1127" t="str">
        <f>'Rechtsformen und -gruppen'!$B$1</f>
        <v>Aktiengesellschaft</v>
      </c>
      <c r="CY13" s="1128"/>
      <c r="CZ13" s="1127" t="str">
        <f>'Rechtsformen und -gruppen'!$B$2</f>
        <v>GmbH</v>
      </c>
      <c r="DA13" s="1128"/>
      <c r="DB13" s="1127" t="str">
        <f>'Rechtsformen und -gruppen'!$B$3</f>
        <v>Personengesellschaft</v>
      </c>
      <c r="DC13" s="1128"/>
      <c r="DD13" s="1127" t="str">
        <f>'Rechtsformen und -gruppen'!$B$4</f>
        <v>Gesellschaft döR</v>
      </c>
      <c r="DE13" s="1128"/>
      <c r="DF13" s="1127" t="str">
        <f>'Rechtsformen und -gruppen'!$B$5</f>
        <v>Berufsträger</v>
      </c>
      <c r="DG13" s="1128"/>
      <c r="DH13" s="310" t="s">
        <v>3213</v>
      </c>
      <c r="DI13" s="311" t="s">
        <v>3214</v>
      </c>
      <c r="DJ13" s="312" t="s">
        <v>3215</v>
      </c>
      <c r="DK13" s="312" t="s">
        <v>3216</v>
      </c>
      <c r="DL13" s="312"/>
      <c r="DM13" s="309" t="s">
        <v>3208</v>
      </c>
      <c r="DN13" s="1127" t="str">
        <f>'Rechtsformen und -gruppen'!$B$1</f>
        <v>Aktiengesellschaft</v>
      </c>
      <c r="DO13" s="1128"/>
      <c r="DP13" s="1127" t="str">
        <f>'Rechtsformen und -gruppen'!$B$2</f>
        <v>GmbH</v>
      </c>
      <c r="DQ13" s="1128"/>
      <c r="DR13" s="1127" t="str">
        <f>'Rechtsformen und -gruppen'!$B$3</f>
        <v>Personengesellschaft</v>
      </c>
      <c r="DS13" s="1128"/>
      <c r="DT13" s="1127" t="str">
        <f>'Rechtsformen und -gruppen'!$B$4</f>
        <v>Gesellschaft döR</v>
      </c>
      <c r="DU13" s="1128"/>
      <c r="DV13" s="1127" t="str">
        <f>'Rechtsformen und -gruppen'!$B$5</f>
        <v>Berufsträger</v>
      </c>
      <c r="DW13" s="1128"/>
      <c r="DX13" s="310" t="s">
        <v>3213</v>
      </c>
      <c r="DY13" s="311" t="s">
        <v>3214</v>
      </c>
      <c r="DZ13" s="312" t="s">
        <v>3215</v>
      </c>
      <c r="EA13" s="312" t="s">
        <v>3216</v>
      </c>
      <c r="EB13" s="312"/>
      <c r="EC13" s="313" t="s">
        <v>3218</v>
      </c>
      <c r="ED13" s="313" t="s">
        <v>3219</v>
      </c>
      <c r="EE13" s="313" t="s">
        <v>3220</v>
      </c>
      <c r="EF13" s="313" t="s">
        <v>3221</v>
      </c>
    </row>
    <row r="14" spans="1:136" ht="14.25" customHeight="1">
      <c r="A14" s="291"/>
      <c r="B14" s="295" t="s">
        <v>3222</v>
      </c>
      <c r="C14" s="314" t="s">
        <v>3223</v>
      </c>
      <c r="D14" s="314"/>
      <c r="E14" s="315"/>
      <c r="F14" s="316" t="s">
        <v>3224</v>
      </c>
      <c r="G14" s="317" t="s">
        <v>3225</v>
      </c>
      <c r="H14" s="316" t="s">
        <v>3224</v>
      </c>
      <c r="I14" s="317" t="s">
        <v>3225</v>
      </c>
      <c r="J14" s="316" t="s">
        <v>3224</v>
      </c>
      <c r="K14" s="317" t="s">
        <v>3225</v>
      </c>
      <c r="L14" s="316" t="s">
        <v>3224</v>
      </c>
      <c r="M14" s="317" t="s">
        <v>3225</v>
      </c>
      <c r="N14" s="316" t="s">
        <v>3224</v>
      </c>
      <c r="O14" s="317" t="s">
        <v>3225</v>
      </c>
      <c r="P14" s="318"/>
      <c r="Q14" s="319"/>
      <c r="R14" s="292" t="e">
        <f>SUM(R29:R124)</f>
        <v>#N/A</v>
      </c>
      <c r="S14" s="292" t="e">
        <f>SUM(S29:S124)</f>
        <v>#N/A</v>
      </c>
      <c r="T14" s="292"/>
      <c r="U14" s="320"/>
      <c r="V14" s="321" t="s">
        <v>3224</v>
      </c>
      <c r="W14" s="322" t="s">
        <v>3225</v>
      </c>
      <c r="X14" s="321" t="s">
        <v>3224</v>
      </c>
      <c r="Y14" s="322" t="s">
        <v>3225</v>
      </c>
      <c r="Z14" s="321" t="s">
        <v>3224</v>
      </c>
      <c r="AA14" s="322" t="s">
        <v>3225</v>
      </c>
      <c r="AB14" s="321" t="s">
        <v>3224</v>
      </c>
      <c r="AC14" s="322" t="s">
        <v>3225</v>
      </c>
      <c r="AD14" s="321" t="s">
        <v>3224</v>
      </c>
      <c r="AE14" s="322" t="s">
        <v>3225</v>
      </c>
      <c r="AF14" s="323"/>
      <c r="AG14" s="324"/>
      <c r="AH14" s="292" t="e">
        <f>SUM(AH29:AH124)</f>
        <v>#N/A</v>
      </c>
      <c r="AI14" s="292" t="e">
        <f>SUM(AI29:AI124)</f>
        <v>#N/A</v>
      </c>
      <c r="AJ14" s="292"/>
      <c r="AK14" s="320"/>
      <c r="AL14" s="321" t="s">
        <v>3224</v>
      </c>
      <c r="AM14" s="322" t="s">
        <v>3225</v>
      </c>
      <c r="AN14" s="321" t="s">
        <v>3224</v>
      </c>
      <c r="AO14" s="322" t="s">
        <v>3225</v>
      </c>
      <c r="AP14" s="321" t="s">
        <v>3224</v>
      </c>
      <c r="AQ14" s="322" t="s">
        <v>3225</v>
      </c>
      <c r="AR14" s="321" t="s">
        <v>3224</v>
      </c>
      <c r="AS14" s="322" t="s">
        <v>3225</v>
      </c>
      <c r="AT14" s="321" t="s">
        <v>3224</v>
      </c>
      <c r="AU14" s="322" t="s">
        <v>3225</v>
      </c>
      <c r="AV14" s="323"/>
      <c r="AW14" s="324"/>
      <c r="AX14" s="292" t="e">
        <f>SUM(AX29:AX124)</f>
        <v>#N/A</v>
      </c>
      <c r="AY14" s="292" t="e">
        <f>SUM(AY29:AY124)</f>
        <v>#N/A</v>
      </c>
      <c r="AZ14" s="292"/>
      <c r="BA14" s="320"/>
      <c r="BB14" s="321" t="s">
        <v>3224</v>
      </c>
      <c r="BC14" s="322" t="s">
        <v>3225</v>
      </c>
      <c r="BD14" s="321" t="s">
        <v>3224</v>
      </c>
      <c r="BE14" s="322" t="s">
        <v>3225</v>
      </c>
      <c r="BF14" s="321" t="s">
        <v>3224</v>
      </c>
      <c r="BG14" s="322" t="s">
        <v>3225</v>
      </c>
      <c r="BH14" s="321" t="s">
        <v>3224</v>
      </c>
      <c r="BI14" s="322" t="s">
        <v>3225</v>
      </c>
      <c r="BJ14" s="321" t="s">
        <v>3224</v>
      </c>
      <c r="BK14" s="322" t="s">
        <v>3225</v>
      </c>
      <c r="BL14" s="323"/>
      <c r="BM14" s="324"/>
      <c r="BN14" s="292" t="e">
        <f>SUM(BN29:BN124)</f>
        <v>#N/A</v>
      </c>
      <c r="BO14" s="292" t="e">
        <f>SUM(BO29:BO124)</f>
        <v>#N/A</v>
      </c>
      <c r="BP14" s="292"/>
      <c r="BQ14" s="320"/>
      <c r="BR14" s="321" t="s">
        <v>3224</v>
      </c>
      <c r="BS14" s="322" t="s">
        <v>3225</v>
      </c>
      <c r="BT14" s="321" t="s">
        <v>3224</v>
      </c>
      <c r="BU14" s="322" t="s">
        <v>3225</v>
      </c>
      <c r="BV14" s="321" t="s">
        <v>3224</v>
      </c>
      <c r="BW14" s="322" t="s">
        <v>3225</v>
      </c>
      <c r="BX14" s="321" t="s">
        <v>3224</v>
      </c>
      <c r="BY14" s="322" t="s">
        <v>3225</v>
      </c>
      <c r="BZ14" s="321" t="s">
        <v>3224</v>
      </c>
      <c r="CA14" s="322" t="s">
        <v>3225</v>
      </c>
      <c r="CB14" s="323"/>
      <c r="CC14" s="324"/>
      <c r="CD14" s="292" t="e">
        <f>SUM(CD29:CD124)</f>
        <v>#N/A</v>
      </c>
      <c r="CE14" s="292" t="e">
        <f>SUM(CE29:CE124)</f>
        <v>#N/A</v>
      </c>
      <c r="CF14" s="292"/>
      <c r="CG14" s="320"/>
      <c r="CH14" s="321" t="s">
        <v>3224</v>
      </c>
      <c r="CI14" s="322" t="s">
        <v>3225</v>
      </c>
      <c r="CJ14" s="321" t="s">
        <v>3224</v>
      </c>
      <c r="CK14" s="322" t="s">
        <v>3225</v>
      </c>
      <c r="CL14" s="321" t="s">
        <v>3224</v>
      </c>
      <c r="CM14" s="322" t="s">
        <v>3225</v>
      </c>
      <c r="CN14" s="321" t="s">
        <v>3224</v>
      </c>
      <c r="CO14" s="322" t="s">
        <v>3225</v>
      </c>
      <c r="CP14" s="321" t="s">
        <v>3224</v>
      </c>
      <c r="CQ14" s="322" t="s">
        <v>3225</v>
      </c>
      <c r="CR14" s="323"/>
      <c r="CS14" s="324"/>
      <c r="CT14" s="292" t="e">
        <f>SUM(CT29:CT124)</f>
        <v>#N/A</v>
      </c>
      <c r="CU14" s="292" t="e">
        <f>SUM(CU29:CU124)</f>
        <v>#N/A</v>
      </c>
      <c r="CV14" s="292"/>
      <c r="CW14" s="320"/>
      <c r="CX14" s="321" t="s">
        <v>3224</v>
      </c>
      <c r="CY14" s="322" t="s">
        <v>3225</v>
      </c>
      <c r="CZ14" s="321" t="s">
        <v>3224</v>
      </c>
      <c r="DA14" s="322" t="s">
        <v>3225</v>
      </c>
      <c r="DB14" s="321" t="s">
        <v>3224</v>
      </c>
      <c r="DC14" s="322" t="s">
        <v>3225</v>
      </c>
      <c r="DD14" s="321" t="s">
        <v>3224</v>
      </c>
      <c r="DE14" s="322" t="s">
        <v>3225</v>
      </c>
      <c r="DF14" s="321" t="s">
        <v>3224</v>
      </c>
      <c r="DG14" s="322" t="s">
        <v>3225</v>
      </c>
      <c r="DH14" s="323"/>
      <c r="DI14" s="324"/>
      <c r="DJ14" s="292" t="e">
        <f>SUM(DJ29:DJ124)</f>
        <v>#N/A</v>
      </c>
      <c r="DK14" s="292" t="e">
        <f>SUM(DK29:DK124)</f>
        <v>#N/A</v>
      </c>
      <c r="DL14" s="292"/>
      <c r="DM14" s="320"/>
      <c r="DN14" s="321" t="s">
        <v>3224</v>
      </c>
      <c r="DO14" s="322" t="s">
        <v>3225</v>
      </c>
      <c r="DP14" s="321" t="s">
        <v>3224</v>
      </c>
      <c r="DQ14" s="322" t="s">
        <v>3225</v>
      </c>
      <c r="DR14" s="321" t="s">
        <v>3224</v>
      </c>
      <c r="DS14" s="322" t="s">
        <v>3225</v>
      </c>
      <c r="DT14" s="321" t="s">
        <v>3224</v>
      </c>
      <c r="DU14" s="322" t="s">
        <v>3225</v>
      </c>
      <c r="DV14" s="321" t="s">
        <v>3224</v>
      </c>
      <c r="DW14" s="322" t="s">
        <v>3225</v>
      </c>
      <c r="DX14" s="323"/>
      <c r="DY14" s="324"/>
      <c r="DZ14" s="292" t="e">
        <f>SUM(DZ29:DZ124)</f>
        <v>#N/A</v>
      </c>
      <c r="EA14" s="292" t="e">
        <f>SUM(EA29:EA124)</f>
        <v>#N/A</v>
      </c>
      <c r="EB14" s="292"/>
    </row>
    <row r="15" spans="1:136" ht="14.25" customHeight="1">
      <c r="A15" s="291"/>
      <c r="B15" s="292"/>
      <c r="C15" s="325" t="s">
        <v>3226</v>
      </c>
      <c r="D15" s="325"/>
      <c r="E15" s="320"/>
      <c r="F15" s="326"/>
      <c r="G15" s="327"/>
      <c r="H15" s="326"/>
      <c r="I15" s="327"/>
      <c r="J15" s="326"/>
      <c r="K15" s="327"/>
      <c r="L15" s="326"/>
      <c r="M15" s="327"/>
      <c r="N15" s="326"/>
      <c r="O15" s="327"/>
      <c r="P15" s="328">
        <v>150000000</v>
      </c>
      <c r="Q15" s="329"/>
      <c r="R15" s="292"/>
      <c r="S15" s="292"/>
      <c r="T15" s="292"/>
      <c r="U15" s="320"/>
      <c r="V15" s="326"/>
      <c r="W15" s="327"/>
      <c r="X15" s="326"/>
      <c r="Y15" s="327"/>
      <c r="Z15" s="326"/>
      <c r="AA15" s="327"/>
      <c r="AB15" s="326"/>
      <c r="AC15" s="327"/>
      <c r="AD15" s="326"/>
      <c r="AE15" s="327"/>
      <c r="AF15" s="330">
        <v>0</v>
      </c>
      <c r="AG15" s="324"/>
      <c r="AH15" s="292"/>
      <c r="AI15" s="292"/>
      <c r="AJ15" s="292"/>
      <c r="AK15" s="320"/>
      <c r="AL15" s="326"/>
      <c r="AM15" s="327"/>
      <c r="AN15" s="326"/>
      <c r="AO15" s="327"/>
      <c r="AP15" s="326"/>
      <c r="AQ15" s="327"/>
      <c r="AR15" s="326"/>
      <c r="AS15" s="327"/>
      <c r="AT15" s="326"/>
      <c r="AU15" s="327"/>
      <c r="AV15" s="330">
        <v>0</v>
      </c>
      <c r="AW15" s="324"/>
      <c r="AX15" s="292"/>
      <c r="AY15" s="292"/>
      <c r="AZ15" s="292"/>
      <c r="BA15" s="320"/>
      <c r="BB15" s="326"/>
      <c r="BC15" s="327"/>
      <c r="BD15" s="326"/>
      <c r="BE15" s="327"/>
      <c r="BF15" s="326"/>
      <c r="BG15" s="327"/>
      <c r="BH15" s="326"/>
      <c r="BI15" s="327"/>
      <c r="BJ15" s="326"/>
      <c r="BK15" s="327"/>
      <c r="BL15" s="330">
        <v>150000000</v>
      </c>
      <c r="BM15" s="324"/>
      <c r="BN15" s="292"/>
      <c r="BO15" s="292"/>
      <c r="BP15" s="292"/>
      <c r="BQ15" s="320"/>
      <c r="BR15" s="326"/>
      <c r="BS15" s="327"/>
      <c r="BT15" s="326"/>
      <c r="BU15" s="327"/>
      <c r="BV15" s="326"/>
      <c r="BW15" s="327"/>
      <c r="BX15" s="326"/>
      <c r="BY15" s="327"/>
      <c r="BZ15" s="326"/>
      <c r="CA15" s="327"/>
      <c r="CB15" s="330">
        <v>150000000</v>
      </c>
      <c r="CC15" s="324"/>
      <c r="CD15" s="292"/>
      <c r="CE15" s="292"/>
      <c r="CF15" s="292"/>
      <c r="CG15" s="320"/>
      <c r="CH15" s="326"/>
      <c r="CI15" s="327"/>
      <c r="CJ15" s="326"/>
      <c r="CK15" s="327"/>
      <c r="CL15" s="326"/>
      <c r="CM15" s="327"/>
      <c r="CN15" s="326"/>
      <c r="CO15" s="327"/>
      <c r="CP15" s="326"/>
      <c r="CQ15" s="327"/>
      <c r="CR15" s="330">
        <v>0</v>
      </c>
      <c r="CS15" s="324"/>
      <c r="CT15" s="292"/>
      <c r="CU15" s="292"/>
      <c r="CV15" s="292"/>
      <c r="CW15" s="320"/>
      <c r="CX15" s="326"/>
      <c r="CY15" s="327"/>
      <c r="CZ15" s="326"/>
      <c r="DA15" s="327"/>
      <c r="DB15" s="326"/>
      <c r="DC15" s="327"/>
      <c r="DD15" s="326"/>
      <c r="DE15" s="327"/>
      <c r="DF15" s="326"/>
      <c r="DG15" s="327"/>
      <c r="DH15" s="330">
        <v>0</v>
      </c>
      <c r="DI15" s="324"/>
      <c r="DJ15" s="292"/>
      <c r="DK15" s="292"/>
      <c r="DL15" s="292"/>
      <c r="DM15" s="320"/>
      <c r="DN15" s="326"/>
      <c r="DO15" s="327"/>
      <c r="DP15" s="326"/>
      <c r="DQ15" s="327"/>
      <c r="DR15" s="326"/>
      <c r="DS15" s="327"/>
      <c r="DT15" s="326"/>
      <c r="DU15" s="327"/>
      <c r="DV15" s="326"/>
      <c r="DW15" s="327"/>
      <c r="DX15" s="330">
        <v>0</v>
      </c>
      <c r="DY15" s="331"/>
      <c r="DZ15" s="292"/>
      <c r="EA15" s="292"/>
      <c r="EB15" s="292"/>
    </row>
    <row r="16" spans="1:136" ht="14.25" customHeight="1">
      <c r="A16" s="291"/>
      <c r="B16" s="292"/>
      <c r="C16" s="325" t="s">
        <v>3227</v>
      </c>
      <c r="D16" s="325"/>
      <c r="E16" s="320"/>
      <c r="F16" s="332"/>
      <c r="G16" s="333"/>
      <c r="H16" s="332"/>
      <c r="I16" s="333"/>
      <c r="J16" s="332"/>
      <c r="K16" s="333"/>
      <c r="L16" s="332"/>
      <c r="M16" s="333"/>
      <c r="N16" s="332"/>
      <c r="O16" s="333"/>
      <c r="P16" s="328">
        <v>500000000</v>
      </c>
      <c r="Q16" s="329"/>
      <c r="R16" s="292"/>
      <c r="S16" s="292"/>
      <c r="T16" s="292"/>
      <c r="U16" s="320"/>
      <c r="V16" s="332"/>
      <c r="W16" s="333"/>
      <c r="X16" s="332"/>
      <c r="Y16" s="333"/>
      <c r="Z16" s="332"/>
      <c r="AA16" s="333"/>
      <c r="AB16" s="332"/>
      <c r="AC16" s="333"/>
      <c r="AD16" s="332"/>
      <c r="AE16" s="333"/>
      <c r="AF16" s="334" t="s">
        <v>3228</v>
      </c>
      <c r="AG16" s="324"/>
      <c r="AH16" s="292"/>
      <c r="AI16" s="292"/>
      <c r="AJ16" s="292"/>
      <c r="AK16" s="320"/>
      <c r="AL16" s="332"/>
      <c r="AM16" s="333"/>
      <c r="AN16" s="332"/>
      <c r="AO16" s="333"/>
      <c r="AP16" s="332"/>
      <c r="AQ16" s="333"/>
      <c r="AR16" s="332"/>
      <c r="AS16" s="333"/>
      <c r="AT16" s="332"/>
      <c r="AU16" s="333"/>
      <c r="AV16" s="334">
        <v>150000000</v>
      </c>
      <c r="AW16" s="324"/>
      <c r="AX16" s="292"/>
      <c r="AY16" s="292"/>
      <c r="AZ16" s="292"/>
      <c r="BA16" s="320"/>
      <c r="BB16" s="332"/>
      <c r="BC16" s="333"/>
      <c r="BD16" s="332"/>
      <c r="BE16" s="333"/>
      <c r="BF16" s="332"/>
      <c r="BG16" s="333"/>
      <c r="BH16" s="332"/>
      <c r="BI16" s="333"/>
      <c r="BJ16" s="332"/>
      <c r="BK16" s="333"/>
      <c r="BL16" s="334">
        <v>300000000</v>
      </c>
      <c r="BM16" s="324"/>
      <c r="BN16" s="292"/>
      <c r="BO16" s="292"/>
      <c r="BP16" s="292"/>
      <c r="BQ16" s="320"/>
      <c r="BR16" s="332"/>
      <c r="BS16" s="333"/>
      <c r="BT16" s="332"/>
      <c r="BU16" s="333"/>
      <c r="BV16" s="332"/>
      <c r="BW16" s="333"/>
      <c r="BX16" s="332"/>
      <c r="BY16" s="333"/>
      <c r="BZ16" s="332"/>
      <c r="CA16" s="333"/>
      <c r="CB16" s="334">
        <v>300000000</v>
      </c>
      <c r="CC16" s="324"/>
      <c r="CD16" s="292"/>
      <c r="CE16" s="292"/>
      <c r="CF16" s="292"/>
      <c r="CG16" s="320"/>
      <c r="CH16" s="332"/>
      <c r="CI16" s="333"/>
      <c r="CJ16" s="332"/>
      <c r="CK16" s="333"/>
      <c r="CL16" s="332"/>
      <c r="CM16" s="333"/>
      <c r="CN16" s="332"/>
      <c r="CO16" s="333"/>
      <c r="CP16" s="332"/>
      <c r="CQ16" s="333"/>
      <c r="CR16" s="334" t="s">
        <v>3228</v>
      </c>
      <c r="CS16" s="324"/>
      <c r="CT16" s="292"/>
      <c r="CU16" s="292"/>
      <c r="CV16" s="292"/>
      <c r="CW16" s="320"/>
      <c r="CX16" s="332"/>
      <c r="CY16" s="333"/>
      <c r="CZ16" s="332"/>
      <c r="DA16" s="333"/>
      <c r="DB16" s="332"/>
      <c r="DC16" s="333"/>
      <c r="DD16" s="332"/>
      <c r="DE16" s="333"/>
      <c r="DF16" s="332"/>
      <c r="DG16" s="333"/>
      <c r="DH16" s="334" t="s">
        <v>3228</v>
      </c>
      <c r="DI16" s="324"/>
      <c r="DJ16" s="292"/>
      <c r="DK16" s="292"/>
      <c r="DL16" s="292"/>
      <c r="DM16" s="320"/>
      <c r="DN16" s="332"/>
      <c r="DO16" s="333"/>
      <c r="DP16" s="332"/>
      <c r="DQ16" s="333"/>
      <c r="DR16" s="332"/>
      <c r="DS16" s="333"/>
      <c r="DT16" s="332"/>
      <c r="DU16" s="333"/>
      <c r="DV16" s="332"/>
      <c r="DW16" s="333"/>
      <c r="DX16" s="334">
        <v>150000000</v>
      </c>
      <c r="DY16" s="331"/>
      <c r="DZ16" s="292"/>
      <c r="EA16" s="292"/>
      <c r="EB16" s="292"/>
    </row>
    <row r="17" spans="1:136" ht="14.25" customHeight="1">
      <c r="A17" s="291"/>
      <c r="B17" s="292"/>
      <c r="C17" s="325"/>
      <c r="D17" s="325"/>
      <c r="E17" s="320"/>
      <c r="F17" s="332"/>
      <c r="G17" s="333"/>
      <c r="H17" s="332"/>
      <c r="I17" s="333"/>
      <c r="J17" s="332"/>
      <c r="K17" s="333"/>
      <c r="L17" s="332"/>
      <c r="M17" s="333"/>
      <c r="N17" s="332"/>
      <c r="O17" s="333"/>
      <c r="P17" s="323"/>
      <c r="Q17" s="329"/>
      <c r="R17" s="292"/>
      <c r="S17" s="292"/>
      <c r="T17" s="292"/>
      <c r="U17" s="320"/>
      <c r="V17" s="332"/>
      <c r="W17" s="333"/>
      <c r="X17" s="332"/>
      <c r="Y17" s="333"/>
      <c r="Z17" s="332"/>
      <c r="AA17" s="333"/>
      <c r="AB17" s="332"/>
      <c r="AC17" s="333"/>
      <c r="AD17" s="332"/>
      <c r="AE17" s="333"/>
      <c r="AF17" s="323"/>
      <c r="AG17" s="324"/>
      <c r="AH17" s="292"/>
      <c r="AI17" s="292"/>
      <c r="AJ17" s="292"/>
      <c r="AK17" s="320"/>
      <c r="AL17" s="332"/>
      <c r="AM17" s="333"/>
      <c r="AN17" s="332"/>
      <c r="AO17" s="333"/>
      <c r="AP17" s="332"/>
      <c r="AQ17" s="333"/>
      <c r="AR17" s="332"/>
      <c r="AS17" s="333"/>
      <c r="AT17" s="332"/>
      <c r="AU17" s="333"/>
      <c r="AV17" s="324"/>
      <c r="AW17" s="324"/>
      <c r="AX17" s="292"/>
      <c r="AY17" s="292"/>
      <c r="AZ17" s="292"/>
      <c r="BA17" s="320"/>
      <c r="BB17" s="332"/>
      <c r="BC17" s="333"/>
      <c r="BD17" s="332"/>
      <c r="BE17" s="333"/>
      <c r="BF17" s="332"/>
      <c r="BG17" s="333"/>
      <c r="BH17" s="332"/>
      <c r="BI17" s="333"/>
      <c r="BJ17" s="332"/>
      <c r="BK17" s="333"/>
      <c r="BL17" s="324"/>
      <c r="BM17" s="324"/>
      <c r="BN17" s="292"/>
      <c r="BO17" s="292"/>
      <c r="BP17" s="292"/>
      <c r="BQ17" s="320"/>
      <c r="BR17" s="332"/>
      <c r="BS17" s="333"/>
      <c r="BT17" s="332"/>
      <c r="BU17" s="333"/>
      <c r="BV17" s="332"/>
      <c r="BW17" s="333"/>
      <c r="BX17" s="332"/>
      <c r="BY17" s="333"/>
      <c r="BZ17" s="332"/>
      <c r="CA17" s="333"/>
      <c r="CB17" s="324"/>
      <c r="CC17" s="324"/>
      <c r="CD17" s="292"/>
      <c r="CE17" s="292"/>
      <c r="CF17" s="292"/>
      <c r="CG17" s="320"/>
      <c r="CH17" s="332"/>
      <c r="CI17" s="333"/>
      <c r="CJ17" s="332"/>
      <c r="CK17" s="333"/>
      <c r="CL17" s="332"/>
      <c r="CM17" s="333"/>
      <c r="CN17" s="332"/>
      <c r="CO17" s="333"/>
      <c r="CP17" s="332"/>
      <c r="CQ17" s="333"/>
      <c r="CR17" s="324"/>
      <c r="CS17" s="324"/>
      <c r="CT17" s="292"/>
      <c r="CU17" s="292"/>
      <c r="CV17" s="292"/>
      <c r="CW17" s="320"/>
      <c r="CX17" s="332"/>
      <c r="CY17" s="333"/>
      <c r="CZ17" s="332"/>
      <c r="DA17" s="333"/>
      <c r="DB17" s="332"/>
      <c r="DC17" s="333"/>
      <c r="DD17" s="332"/>
      <c r="DE17" s="333"/>
      <c r="DF17" s="332"/>
      <c r="DG17" s="333"/>
      <c r="DH17" s="324"/>
      <c r="DI17" s="324"/>
      <c r="DJ17" s="292"/>
      <c r="DK17" s="292"/>
      <c r="DL17" s="292"/>
      <c r="DM17" s="320"/>
      <c r="DN17" s="332"/>
      <c r="DO17" s="333"/>
      <c r="DP17" s="332"/>
      <c r="DQ17" s="333"/>
      <c r="DR17" s="332"/>
      <c r="DS17" s="333"/>
      <c r="DT17" s="332"/>
      <c r="DU17" s="333"/>
      <c r="DV17" s="332"/>
      <c r="DW17" s="333"/>
      <c r="DX17" s="324"/>
      <c r="DY17" s="331"/>
      <c r="DZ17" s="292"/>
      <c r="EA17" s="292"/>
      <c r="EB17" s="292"/>
    </row>
    <row r="18" spans="1:136" ht="14.25" customHeight="1">
      <c r="A18" s="291"/>
      <c r="B18" s="292"/>
      <c r="C18" s="325"/>
      <c r="D18" s="325"/>
      <c r="E18" s="320"/>
      <c r="F18" s="332"/>
      <c r="G18" s="333"/>
      <c r="H18" s="332"/>
      <c r="I18" s="333"/>
      <c r="J18" s="332"/>
      <c r="K18" s="333"/>
      <c r="L18" s="332"/>
      <c r="M18" s="333"/>
      <c r="N18" s="332"/>
      <c r="O18" s="333"/>
      <c r="P18" s="323"/>
      <c r="Q18" s="329"/>
      <c r="R18" s="292"/>
      <c r="S18" s="292"/>
      <c r="T18" s="292"/>
      <c r="U18" s="320"/>
      <c r="V18" s="332"/>
      <c r="W18" s="333"/>
      <c r="X18" s="332"/>
      <c r="Y18" s="333"/>
      <c r="Z18" s="332"/>
      <c r="AA18" s="333"/>
      <c r="AB18" s="332"/>
      <c r="AC18" s="333"/>
      <c r="AD18" s="332"/>
      <c r="AE18" s="333"/>
      <c r="AF18" s="323"/>
      <c r="AG18" s="324"/>
      <c r="AH18" s="292"/>
      <c r="AI18" s="292"/>
      <c r="AJ18" s="292"/>
      <c r="AK18" s="320"/>
      <c r="AL18" s="332"/>
      <c r="AM18" s="333"/>
      <c r="AN18" s="332"/>
      <c r="AO18" s="333"/>
      <c r="AP18" s="332"/>
      <c r="AQ18" s="333"/>
      <c r="AR18" s="332"/>
      <c r="AS18" s="333"/>
      <c r="AT18" s="332"/>
      <c r="AU18" s="333"/>
      <c r="AV18" s="324"/>
      <c r="AW18" s="324"/>
      <c r="AX18" s="292"/>
      <c r="AY18" s="292"/>
      <c r="AZ18" s="292"/>
      <c r="BA18" s="320"/>
      <c r="BB18" s="332"/>
      <c r="BC18" s="333"/>
      <c r="BD18" s="332"/>
      <c r="BE18" s="333"/>
      <c r="BF18" s="332"/>
      <c r="BG18" s="333"/>
      <c r="BH18" s="332"/>
      <c r="BI18" s="333"/>
      <c r="BJ18" s="332"/>
      <c r="BK18" s="333"/>
      <c r="BL18" s="324"/>
      <c r="BM18" s="324"/>
      <c r="BN18" s="292"/>
      <c r="BO18" s="292"/>
      <c r="BP18" s="292"/>
      <c r="BQ18" s="320"/>
      <c r="BR18" s="332"/>
      <c r="BS18" s="333"/>
      <c r="BT18" s="332"/>
      <c r="BU18" s="333"/>
      <c r="BV18" s="332"/>
      <c r="BW18" s="333"/>
      <c r="BX18" s="332"/>
      <c r="BY18" s="333"/>
      <c r="BZ18" s="332"/>
      <c r="CA18" s="333"/>
      <c r="CB18" s="324"/>
      <c r="CC18" s="324"/>
      <c r="CD18" s="292"/>
      <c r="CE18" s="292"/>
      <c r="CF18" s="292"/>
      <c r="CG18" s="320"/>
      <c r="CH18" s="332"/>
      <c r="CI18" s="333"/>
      <c r="CJ18" s="332"/>
      <c r="CK18" s="333"/>
      <c r="CL18" s="332"/>
      <c r="CM18" s="333"/>
      <c r="CN18" s="332"/>
      <c r="CO18" s="333"/>
      <c r="CP18" s="332"/>
      <c r="CQ18" s="333"/>
      <c r="CR18" s="324"/>
      <c r="CS18" s="324"/>
      <c r="CT18" s="292"/>
      <c r="CU18" s="292"/>
      <c r="CV18" s="292"/>
      <c r="CW18" s="320"/>
      <c r="CX18" s="332"/>
      <c r="CY18" s="333"/>
      <c r="CZ18" s="332"/>
      <c r="DA18" s="333"/>
      <c r="DB18" s="332"/>
      <c r="DC18" s="333"/>
      <c r="DD18" s="332"/>
      <c r="DE18" s="333"/>
      <c r="DF18" s="332"/>
      <c r="DG18" s="333"/>
      <c r="DH18" s="324"/>
      <c r="DI18" s="324"/>
      <c r="DJ18" s="292"/>
      <c r="DK18" s="292"/>
      <c r="DL18" s="292"/>
      <c r="DM18" s="320"/>
      <c r="DN18" s="332"/>
      <c r="DO18" s="333"/>
      <c r="DP18" s="332"/>
      <c r="DQ18" s="333"/>
      <c r="DR18" s="332"/>
      <c r="DS18" s="333"/>
      <c r="DT18" s="332"/>
      <c r="DU18" s="333"/>
      <c r="DV18" s="332"/>
      <c r="DW18" s="333"/>
      <c r="DX18" s="324"/>
      <c r="DY18" s="331"/>
      <c r="DZ18" s="292"/>
      <c r="EA18" s="292"/>
      <c r="EB18" s="292"/>
    </row>
    <row r="19" spans="1:136" ht="14.25" customHeight="1">
      <c r="A19" s="291"/>
      <c r="B19" s="292"/>
      <c r="C19" s="325"/>
      <c r="D19" s="325"/>
      <c r="E19" s="320"/>
      <c r="F19" s="332"/>
      <c r="G19" s="333"/>
      <c r="H19" s="332"/>
      <c r="I19" s="333"/>
      <c r="J19" s="332"/>
      <c r="K19" s="333"/>
      <c r="L19" s="332"/>
      <c r="M19" s="333"/>
      <c r="N19" s="332"/>
      <c r="O19" s="333"/>
      <c r="P19" s="323"/>
      <c r="Q19" s="329"/>
      <c r="R19" s="292"/>
      <c r="S19" s="292"/>
      <c r="T19" s="292"/>
      <c r="U19" s="320"/>
      <c r="V19" s="332"/>
      <c r="W19" s="333"/>
      <c r="X19" s="332"/>
      <c r="Y19" s="333"/>
      <c r="Z19" s="332"/>
      <c r="AA19" s="333"/>
      <c r="AB19" s="332"/>
      <c r="AC19" s="333"/>
      <c r="AD19" s="332"/>
      <c r="AE19" s="333"/>
      <c r="AF19" s="323"/>
      <c r="AG19" s="324"/>
      <c r="AH19" s="292"/>
      <c r="AI19" s="292"/>
      <c r="AJ19" s="292"/>
      <c r="AK19" s="320"/>
      <c r="AL19" s="332"/>
      <c r="AM19" s="333"/>
      <c r="AN19" s="332"/>
      <c r="AO19" s="333"/>
      <c r="AP19" s="332"/>
      <c r="AQ19" s="333"/>
      <c r="AR19" s="332"/>
      <c r="AS19" s="333"/>
      <c r="AT19" s="332"/>
      <c r="AU19" s="333"/>
      <c r="AV19" s="324"/>
      <c r="AW19" s="324"/>
      <c r="AX19" s="292"/>
      <c r="AY19" s="292"/>
      <c r="AZ19" s="292"/>
      <c r="BA19" s="320"/>
      <c r="BB19" s="332"/>
      <c r="BC19" s="333"/>
      <c r="BD19" s="332"/>
      <c r="BE19" s="333"/>
      <c r="BF19" s="332"/>
      <c r="BG19" s="333"/>
      <c r="BH19" s="332"/>
      <c r="BI19" s="333"/>
      <c r="BJ19" s="332"/>
      <c r="BK19" s="333"/>
      <c r="BL19" s="324"/>
      <c r="BM19" s="324"/>
      <c r="BN19" s="292"/>
      <c r="BO19" s="292"/>
      <c r="BP19" s="292"/>
      <c r="BQ19" s="320"/>
      <c r="BR19" s="332"/>
      <c r="BS19" s="333"/>
      <c r="BT19" s="332"/>
      <c r="BU19" s="333"/>
      <c r="BV19" s="332"/>
      <c r="BW19" s="333"/>
      <c r="BX19" s="332"/>
      <c r="BY19" s="333"/>
      <c r="BZ19" s="332"/>
      <c r="CA19" s="333"/>
      <c r="CB19" s="324"/>
      <c r="CC19" s="324"/>
      <c r="CD19" s="292"/>
      <c r="CE19" s="292"/>
      <c r="CF19" s="292"/>
      <c r="CG19" s="320"/>
      <c r="CH19" s="332"/>
      <c r="CI19" s="333"/>
      <c r="CJ19" s="332"/>
      <c r="CK19" s="333"/>
      <c r="CL19" s="332"/>
      <c r="CM19" s="333"/>
      <c r="CN19" s="332"/>
      <c r="CO19" s="333"/>
      <c r="CP19" s="332"/>
      <c r="CQ19" s="333"/>
      <c r="CR19" s="324"/>
      <c r="CS19" s="324"/>
      <c r="CT19" s="292"/>
      <c r="CU19" s="292"/>
      <c r="CV19" s="292"/>
      <c r="CW19" s="320"/>
      <c r="CX19" s="332"/>
      <c r="CY19" s="333"/>
      <c r="CZ19" s="332"/>
      <c r="DA19" s="333"/>
      <c r="DB19" s="332"/>
      <c r="DC19" s="333"/>
      <c r="DD19" s="332"/>
      <c r="DE19" s="333"/>
      <c r="DF19" s="332"/>
      <c r="DG19" s="333"/>
      <c r="DH19" s="324"/>
      <c r="DI19" s="324"/>
      <c r="DJ19" s="292"/>
      <c r="DK19" s="292"/>
      <c r="DL19" s="292"/>
      <c r="DM19" s="320"/>
      <c r="DN19" s="332"/>
      <c r="DO19" s="333"/>
      <c r="DP19" s="332"/>
      <c r="DQ19" s="333"/>
      <c r="DR19" s="332"/>
      <c r="DS19" s="333"/>
      <c r="DT19" s="332"/>
      <c r="DU19" s="333"/>
      <c r="DV19" s="332"/>
      <c r="DW19" s="333"/>
      <c r="DX19" s="324"/>
      <c r="DY19" s="331"/>
      <c r="DZ19" s="292"/>
      <c r="EA19" s="292"/>
      <c r="EB19" s="292"/>
    </row>
    <row r="20" spans="1:136" ht="14.25" customHeight="1">
      <c r="A20" s="291"/>
      <c r="B20" s="292"/>
      <c r="C20" s="325"/>
      <c r="D20" s="325"/>
      <c r="E20" s="320"/>
      <c r="F20" s="332"/>
      <c r="G20" s="333"/>
      <c r="H20" s="332"/>
      <c r="I20" s="333"/>
      <c r="J20" s="332"/>
      <c r="K20" s="333"/>
      <c r="L20" s="332"/>
      <c r="M20" s="333"/>
      <c r="N20" s="332"/>
      <c r="O20" s="333"/>
      <c r="P20" s="324"/>
      <c r="Q20" s="329"/>
      <c r="R20" s="292"/>
      <c r="S20" s="292"/>
      <c r="T20" s="292"/>
      <c r="U20" s="320"/>
      <c r="V20" s="332"/>
      <c r="W20" s="333"/>
      <c r="X20" s="332"/>
      <c r="Y20" s="333"/>
      <c r="Z20" s="332"/>
      <c r="AA20" s="333"/>
      <c r="AB20" s="332"/>
      <c r="AC20" s="333"/>
      <c r="AD20" s="332"/>
      <c r="AE20" s="333"/>
      <c r="AF20" s="324"/>
      <c r="AG20" s="324"/>
      <c r="AH20" s="292"/>
      <c r="AI20" s="292"/>
      <c r="AJ20" s="292"/>
      <c r="AK20" s="320"/>
      <c r="AL20" s="332"/>
      <c r="AM20" s="333"/>
      <c r="AN20" s="332"/>
      <c r="AO20" s="333"/>
      <c r="AP20" s="332"/>
      <c r="AQ20" s="333"/>
      <c r="AR20" s="332"/>
      <c r="AS20" s="333"/>
      <c r="AT20" s="332"/>
      <c r="AU20" s="333"/>
      <c r="AV20" s="324"/>
      <c r="AW20" s="324"/>
      <c r="AX20" s="292"/>
      <c r="AY20" s="292"/>
      <c r="AZ20" s="292"/>
      <c r="BA20" s="320"/>
      <c r="BB20" s="332"/>
      <c r="BC20" s="333"/>
      <c r="BD20" s="332"/>
      <c r="BE20" s="333"/>
      <c r="BF20" s="332"/>
      <c r="BG20" s="333"/>
      <c r="BH20" s="332"/>
      <c r="BI20" s="333"/>
      <c r="BJ20" s="332"/>
      <c r="BK20" s="333"/>
      <c r="BL20" s="324"/>
      <c r="BM20" s="324"/>
      <c r="BN20" s="292"/>
      <c r="BO20" s="292"/>
      <c r="BP20" s="292"/>
      <c r="BQ20" s="320"/>
      <c r="BR20" s="332"/>
      <c r="BS20" s="333"/>
      <c r="BT20" s="332"/>
      <c r="BU20" s="333"/>
      <c r="BV20" s="332"/>
      <c r="BW20" s="333"/>
      <c r="BX20" s="332"/>
      <c r="BY20" s="333"/>
      <c r="BZ20" s="332"/>
      <c r="CA20" s="333"/>
      <c r="CB20" s="324"/>
      <c r="CC20" s="324"/>
      <c r="CD20" s="292"/>
      <c r="CE20" s="292"/>
      <c r="CF20" s="292"/>
      <c r="CG20" s="320"/>
      <c r="CH20" s="332"/>
      <c r="CI20" s="333"/>
      <c r="CJ20" s="332"/>
      <c r="CK20" s="333"/>
      <c r="CL20" s="332"/>
      <c r="CM20" s="333"/>
      <c r="CN20" s="332"/>
      <c r="CO20" s="333"/>
      <c r="CP20" s="332"/>
      <c r="CQ20" s="333"/>
      <c r="CR20" s="324"/>
      <c r="CS20" s="324"/>
      <c r="CT20" s="292"/>
      <c r="CU20" s="292"/>
      <c r="CV20" s="292"/>
      <c r="CW20" s="320"/>
      <c r="CX20" s="332"/>
      <c r="CY20" s="333"/>
      <c r="CZ20" s="332"/>
      <c r="DA20" s="333"/>
      <c r="DB20" s="332"/>
      <c r="DC20" s="333"/>
      <c r="DD20" s="332"/>
      <c r="DE20" s="333"/>
      <c r="DF20" s="332"/>
      <c r="DG20" s="333"/>
      <c r="DH20" s="324"/>
      <c r="DI20" s="324"/>
      <c r="DJ20" s="292"/>
      <c r="DK20" s="292"/>
      <c r="DL20" s="292"/>
      <c r="DM20" s="320"/>
      <c r="DN20" s="332"/>
      <c r="DO20" s="333"/>
      <c r="DP20" s="332"/>
      <c r="DQ20" s="333"/>
      <c r="DR20" s="332"/>
      <c r="DS20" s="333"/>
      <c r="DT20" s="332"/>
      <c r="DU20" s="333"/>
      <c r="DV20" s="332"/>
      <c r="DW20" s="333"/>
      <c r="DX20" s="324"/>
      <c r="DY20" s="331"/>
      <c r="DZ20" s="292"/>
      <c r="EA20" s="292"/>
      <c r="EB20" s="292"/>
    </row>
    <row r="21" spans="1:136" ht="14.25" customHeight="1">
      <c r="A21" s="291"/>
      <c r="B21" s="292"/>
      <c r="C21" s="325"/>
      <c r="D21" s="325"/>
      <c r="E21" s="320"/>
      <c r="F21" s="332"/>
      <c r="G21" s="333"/>
      <c r="H21" s="332"/>
      <c r="I21" s="333"/>
      <c r="J21" s="332"/>
      <c r="K21" s="333"/>
      <c r="L21" s="332"/>
      <c r="M21" s="333"/>
      <c r="N21" s="332"/>
      <c r="O21" s="333"/>
      <c r="P21" s="324"/>
      <c r="Q21" s="329"/>
      <c r="R21" s="292"/>
      <c r="S21" s="292"/>
      <c r="T21" s="292"/>
      <c r="U21" s="320"/>
      <c r="V21" s="332"/>
      <c r="W21" s="333"/>
      <c r="X21" s="332"/>
      <c r="Y21" s="333"/>
      <c r="Z21" s="332"/>
      <c r="AA21" s="333"/>
      <c r="AB21" s="332"/>
      <c r="AC21" s="333"/>
      <c r="AD21" s="332"/>
      <c r="AE21" s="333"/>
      <c r="AF21" s="324"/>
      <c r="AG21" s="324"/>
      <c r="AH21" s="292"/>
      <c r="AI21" s="292"/>
      <c r="AJ21" s="292"/>
      <c r="AK21" s="320"/>
      <c r="AL21" s="332"/>
      <c r="AM21" s="333"/>
      <c r="AN21" s="332"/>
      <c r="AO21" s="333"/>
      <c r="AP21" s="332"/>
      <c r="AQ21" s="333"/>
      <c r="AR21" s="332"/>
      <c r="AS21" s="333"/>
      <c r="AT21" s="332"/>
      <c r="AU21" s="333"/>
      <c r="AV21" s="324"/>
      <c r="AW21" s="324"/>
      <c r="AX21" s="292"/>
      <c r="AY21" s="292"/>
      <c r="AZ21" s="292"/>
      <c r="BA21" s="320"/>
      <c r="BB21" s="332"/>
      <c r="BC21" s="333"/>
      <c r="BD21" s="332"/>
      <c r="BE21" s="333"/>
      <c r="BF21" s="332"/>
      <c r="BG21" s="333"/>
      <c r="BH21" s="332"/>
      <c r="BI21" s="333"/>
      <c r="BJ21" s="332"/>
      <c r="BK21" s="333"/>
      <c r="BL21" s="324"/>
      <c r="BM21" s="324"/>
      <c r="BN21" s="292"/>
      <c r="BO21" s="292"/>
      <c r="BP21" s="292"/>
      <c r="BQ21" s="320"/>
      <c r="BR21" s="332"/>
      <c r="BS21" s="333"/>
      <c r="BT21" s="332"/>
      <c r="BU21" s="333"/>
      <c r="BV21" s="332"/>
      <c r="BW21" s="333"/>
      <c r="BX21" s="332"/>
      <c r="BY21" s="333"/>
      <c r="BZ21" s="332"/>
      <c r="CA21" s="333"/>
      <c r="CB21" s="324"/>
      <c r="CC21" s="324"/>
      <c r="CD21" s="292"/>
      <c r="CE21" s="292"/>
      <c r="CF21" s="292"/>
      <c r="CG21" s="320"/>
      <c r="CH21" s="332"/>
      <c r="CI21" s="333"/>
      <c r="CJ21" s="332"/>
      <c r="CK21" s="333"/>
      <c r="CL21" s="332"/>
      <c r="CM21" s="333"/>
      <c r="CN21" s="332"/>
      <c r="CO21" s="333"/>
      <c r="CP21" s="332"/>
      <c r="CQ21" s="333"/>
      <c r="CR21" s="324"/>
      <c r="CS21" s="324"/>
      <c r="CT21" s="292"/>
      <c r="CU21" s="292"/>
      <c r="CV21" s="292"/>
      <c r="CW21" s="320"/>
      <c r="CX21" s="332"/>
      <c r="CY21" s="333"/>
      <c r="CZ21" s="332"/>
      <c r="DA21" s="333"/>
      <c r="DB21" s="332"/>
      <c r="DC21" s="333"/>
      <c r="DD21" s="332"/>
      <c r="DE21" s="333"/>
      <c r="DF21" s="332"/>
      <c r="DG21" s="333"/>
      <c r="DH21" s="324"/>
      <c r="DI21" s="324"/>
      <c r="DJ21" s="292"/>
      <c r="DK21" s="292"/>
      <c r="DL21" s="292"/>
      <c r="DM21" s="320"/>
      <c r="DN21" s="332"/>
      <c r="DO21" s="333"/>
      <c r="DP21" s="332"/>
      <c r="DQ21" s="333"/>
      <c r="DR21" s="332"/>
      <c r="DS21" s="333"/>
      <c r="DT21" s="332"/>
      <c r="DU21" s="333"/>
      <c r="DV21" s="332"/>
      <c r="DW21" s="333"/>
      <c r="DX21" s="324"/>
      <c r="DY21" s="331"/>
      <c r="DZ21" s="292"/>
      <c r="EA21" s="292"/>
      <c r="EB21" s="292"/>
    </row>
    <row r="22" spans="1:136" ht="14.25" customHeight="1">
      <c r="A22" s="291"/>
      <c r="B22" s="292"/>
      <c r="C22" s="325"/>
      <c r="D22" s="325"/>
      <c r="E22" s="320"/>
      <c r="F22" s="332"/>
      <c r="G22" s="333"/>
      <c r="H22" s="332"/>
      <c r="I22" s="333"/>
      <c r="J22" s="332"/>
      <c r="K22" s="333"/>
      <c r="L22" s="332"/>
      <c r="M22" s="333"/>
      <c r="N22" s="332"/>
      <c r="O22" s="333"/>
      <c r="P22" s="324"/>
      <c r="Q22" s="329"/>
      <c r="R22" s="292"/>
      <c r="S22" s="292"/>
      <c r="T22" s="292"/>
      <c r="U22" s="320"/>
      <c r="V22" s="332"/>
      <c r="W22" s="333"/>
      <c r="X22" s="332"/>
      <c r="Y22" s="333"/>
      <c r="Z22" s="332"/>
      <c r="AA22" s="333"/>
      <c r="AB22" s="332"/>
      <c r="AC22" s="333"/>
      <c r="AD22" s="332"/>
      <c r="AE22" s="333"/>
      <c r="AF22" s="324"/>
      <c r="AG22" s="324"/>
      <c r="AH22" s="292"/>
      <c r="AI22" s="292"/>
      <c r="AJ22" s="292"/>
      <c r="AK22" s="320"/>
      <c r="AL22" s="332"/>
      <c r="AM22" s="333"/>
      <c r="AN22" s="332"/>
      <c r="AO22" s="333"/>
      <c r="AP22" s="332"/>
      <c r="AQ22" s="333"/>
      <c r="AR22" s="332"/>
      <c r="AS22" s="333"/>
      <c r="AT22" s="332"/>
      <c r="AU22" s="333"/>
      <c r="AV22" s="324"/>
      <c r="AW22" s="324"/>
      <c r="AX22" s="292"/>
      <c r="AY22" s="292"/>
      <c r="AZ22" s="292"/>
      <c r="BA22" s="320"/>
      <c r="BB22" s="332"/>
      <c r="BC22" s="333"/>
      <c r="BD22" s="332"/>
      <c r="BE22" s="333"/>
      <c r="BF22" s="332"/>
      <c r="BG22" s="333"/>
      <c r="BH22" s="332"/>
      <c r="BI22" s="333"/>
      <c r="BJ22" s="332"/>
      <c r="BK22" s="333"/>
      <c r="BL22" s="324"/>
      <c r="BM22" s="324"/>
      <c r="BN22" s="292"/>
      <c r="BO22" s="292"/>
      <c r="BP22" s="292"/>
      <c r="BQ22" s="320"/>
      <c r="BR22" s="332"/>
      <c r="BS22" s="333"/>
      <c r="BT22" s="332"/>
      <c r="BU22" s="333"/>
      <c r="BV22" s="332"/>
      <c r="BW22" s="333"/>
      <c r="BX22" s="332"/>
      <c r="BY22" s="333"/>
      <c r="BZ22" s="332"/>
      <c r="CA22" s="333"/>
      <c r="CB22" s="324"/>
      <c r="CC22" s="324"/>
      <c r="CD22" s="292"/>
      <c r="CE22" s="292"/>
      <c r="CF22" s="292"/>
      <c r="CG22" s="320"/>
      <c r="CH22" s="332"/>
      <c r="CI22" s="333"/>
      <c r="CJ22" s="332"/>
      <c r="CK22" s="333"/>
      <c r="CL22" s="332"/>
      <c r="CM22" s="333"/>
      <c r="CN22" s="332"/>
      <c r="CO22" s="333"/>
      <c r="CP22" s="332"/>
      <c r="CQ22" s="333"/>
      <c r="CR22" s="324"/>
      <c r="CS22" s="324"/>
      <c r="CT22" s="292"/>
      <c r="CU22" s="292"/>
      <c r="CV22" s="292"/>
      <c r="CW22" s="320"/>
      <c r="CX22" s="332"/>
      <c r="CY22" s="333"/>
      <c r="CZ22" s="332"/>
      <c r="DA22" s="333"/>
      <c r="DB22" s="332"/>
      <c r="DC22" s="333"/>
      <c r="DD22" s="332"/>
      <c r="DE22" s="333"/>
      <c r="DF22" s="332"/>
      <c r="DG22" s="333"/>
      <c r="DH22" s="324"/>
      <c r="DI22" s="324"/>
      <c r="DJ22" s="292"/>
      <c r="DK22" s="292"/>
      <c r="DL22" s="292"/>
      <c r="DM22" s="320"/>
      <c r="DN22" s="332"/>
      <c r="DO22" s="333"/>
      <c r="DP22" s="332"/>
      <c r="DQ22" s="333"/>
      <c r="DR22" s="332"/>
      <c r="DS22" s="333"/>
      <c r="DT22" s="332"/>
      <c r="DU22" s="333"/>
      <c r="DV22" s="332"/>
      <c r="DW22" s="333"/>
      <c r="DX22" s="324"/>
      <c r="DY22" s="331"/>
      <c r="DZ22" s="292"/>
      <c r="EA22" s="292"/>
      <c r="EB22" s="292"/>
    </row>
    <row r="23" spans="1:136" ht="14.25" customHeight="1">
      <c r="A23" s="291"/>
      <c r="B23" s="292"/>
      <c r="C23" s="325"/>
      <c r="D23" s="325"/>
      <c r="E23" s="320"/>
      <c r="F23" s="332"/>
      <c r="G23" s="333"/>
      <c r="H23" s="332"/>
      <c r="I23" s="333"/>
      <c r="J23" s="332"/>
      <c r="K23" s="333"/>
      <c r="L23" s="332"/>
      <c r="M23" s="333"/>
      <c r="N23" s="332"/>
      <c r="O23" s="333"/>
      <c r="P23" s="324"/>
      <c r="Q23" s="329"/>
      <c r="R23" s="292"/>
      <c r="S23" s="292"/>
      <c r="T23" s="292"/>
      <c r="U23" s="320"/>
      <c r="V23" s="332"/>
      <c r="W23" s="333"/>
      <c r="X23" s="332"/>
      <c r="Y23" s="333"/>
      <c r="Z23" s="332"/>
      <c r="AA23" s="333"/>
      <c r="AB23" s="332"/>
      <c r="AC23" s="333"/>
      <c r="AD23" s="332"/>
      <c r="AE23" s="333"/>
      <c r="AF23" s="324"/>
      <c r="AG23" s="324"/>
      <c r="AH23" s="292"/>
      <c r="AI23" s="292"/>
      <c r="AJ23" s="292"/>
      <c r="AK23" s="320"/>
      <c r="AL23" s="332"/>
      <c r="AM23" s="333"/>
      <c r="AN23" s="332"/>
      <c r="AO23" s="333"/>
      <c r="AP23" s="332"/>
      <c r="AQ23" s="333"/>
      <c r="AR23" s="332"/>
      <c r="AS23" s="333"/>
      <c r="AT23" s="332"/>
      <c r="AU23" s="333"/>
      <c r="AV23" s="324"/>
      <c r="AW23" s="324"/>
      <c r="AX23" s="292"/>
      <c r="AY23" s="292"/>
      <c r="AZ23" s="292"/>
      <c r="BA23" s="320"/>
      <c r="BB23" s="332"/>
      <c r="BC23" s="333"/>
      <c r="BD23" s="332"/>
      <c r="BE23" s="333"/>
      <c r="BF23" s="332"/>
      <c r="BG23" s="333"/>
      <c r="BH23" s="332"/>
      <c r="BI23" s="333"/>
      <c r="BJ23" s="332"/>
      <c r="BK23" s="333"/>
      <c r="BL23" s="324"/>
      <c r="BM23" s="324"/>
      <c r="BN23" s="292"/>
      <c r="BO23" s="292"/>
      <c r="BP23" s="292"/>
      <c r="BQ23" s="320"/>
      <c r="BR23" s="332"/>
      <c r="BS23" s="333"/>
      <c r="BT23" s="332"/>
      <c r="BU23" s="333"/>
      <c r="BV23" s="332"/>
      <c r="BW23" s="333"/>
      <c r="BX23" s="332"/>
      <c r="BY23" s="333"/>
      <c r="BZ23" s="332"/>
      <c r="CA23" s="333"/>
      <c r="CB23" s="324"/>
      <c r="CC23" s="324"/>
      <c r="CD23" s="292"/>
      <c r="CE23" s="292"/>
      <c r="CF23" s="292"/>
      <c r="CG23" s="320"/>
      <c r="CH23" s="332"/>
      <c r="CI23" s="333"/>
      <c r="CJ23" s="332"/>
      <c r="CK23" s="333"/>
      <c r="CL23" s="332"/>
      <c r="CM23" s="333"/>
      <c r="CN23" s="332"/>
      <c r="CO23" s="333"/>
      <c r="CP23" s="332"/>
      <c r="CQ23" s="333"/>
      <c r="CR23" s="324"/>
      <c r="CS23" s="324"/>
      <c r="CT23" s="292"/>
      <c r="CU23" s="292"/>
      <c r="CV23" s="292"/>
      <c r="CW23" s="320"/>
      <c r="CX23" s="332"/>
      <c r="CY23" s="333"/>
      <c r="CZ23" s="332"/>
      <c r="DA23" s="333"/>
      <c r="DB23" s="332"/>
      <c r="DC23" s="333"/>
      <c r="DD23" s="332"/>
      <c r="DE23" s="333"/>
      <c r="DF23" s="332"/>
      <c r="DG23" s="333"/>
      <c r="DH23" s="324"/>
      <c r="DI23" s="324"/>
      <c r="DJ23" s="292"/>
      <c r="DK23" s="292"/>
      <c r="DL23" s="292"/>
      <c r="DM23" s="320"/>
      <c r="DN23" s="332"/>
      <c r="DO23" s="333"/>
      <c r="DP23" s="332"/>
      <c r="DQ23" s="333"/>
      <c r="DR23" s="332"/>
      <c r="DS23" s="333"/>
      <c r="DT23" s="332"/>
      <c r="DU23" s="333"/>
      <c r="DV23" s="332"/>
      <c r="DW23" s="333"/>
      <c r="DX23" s="324"/>
      <c r="DY23" s="331"/>
      <c r="DZ23" s="292"/>
      <c r="EA23" s="292"/>
      <c r="EB23" s="292"/>
    </row>
    <row r="24" spans="1:136" ht="14.25" customHeight="1">
      <c r="A24" s="291"/>
      <c r="B24" s="292"/>
      <c r="C24" s="325"/>
      <c r="D24" s="325"/>
      <c r="E24" s="320"/>
      <c r="F24" s="332"/>
      <c r="G24" s="333"/>
      <c r="H24" s="332"/>
      <c r="I24" s="333"/>
      <c r="J24" s="332"/>
      <c r="K24" s="333"/>
      <c r="L24" s="332"/>
      <c r="M24" s="333"/>
      <c r="N24" s="332"/>
      <c r="O24" s="333"/>
      <c r="P24" s="324"/>
      <c r="Q24" s="329"/>
      <c r="R24" s="292"/>
      <c r="S24" s="292"/>
      <c r="T24" s="292"/>
      <c r="U24" s="320"/>
      <c r="V24" s="332"/>
      <c r="W24" s="333"/>
      <c r="X24" s="332"/>
      <c r="Y24" s="333"/>
      <c r="Z24" s="332"/>
      <c r="AA24" s="333"/>
      <c r="AB24" s="332"/>
      <c r="AC24" s="333"/>
      <c r="AD24" s="332"/>
      <c r="AE24" s="333"/>
      <c r="AF24" s="324"/>
      <c r="AG24" s="324"/>
      <c r="AH24" s="292"/>
      <c r="AI24" s="292"/>
      <c r="AJ24" s="292"/>
      <c r="AK24" s="320"/>
      <c r="AL24" s="332"/>
      <c r="AM24" s="333"/>
      <c r="AN24" s="332"/>
      <c r="AO24" s="333"/>
      <c r="AP24" s="332"/>
      <c r="AQ24" s="333"/>
      <c r="AR24" s="332"/>
      <c r="AS24" s="333"/>
      <c r="AT24" s="332"/>
      <c r="AU24" s="333"/>
      <c r="AV24" s="324"/>
      <c r="AW24" s="324"/>
      <c r="AX24" s="292"/>
      <c r="AY24" s="292"/>
      <c r="AZ24" s="292"/>
      <c r="BA24" s="320"/>
      <c r="BB24" s="332"/>
      <c r="BC24" s="333"/>
      <c r="BD24" s="332"/>
      <c r="BE24" s="333"/>
      <c r="BF24" s="332"/>
      <c r="BG24" s="333"/>
      <c r="BH24" s="332"/>
      <c r="BI24" s="333"/>
      <c r="BJ24" s="332"/>
      <c r="BK24" s="333"/>
      <c r="BL24" s="324"/>
      <c r="BM24" s="324"/>
      <c r="BN24" s="292"/>
      <c r="BO24" s="292"/>
      <c r="BP24" s="292"/>
      <c r="BQ24" s="320"/>
      <c r="BR24" s="332"/>
      <c r="BS24" s="333"/>
      <c r="BT24" s="332"/>
      <c r="BU24" s="333"/>
      <c r="BV24" s="332"/>
      <c r="BW24" s="333"/>
      <c r="BX24" s="332"/>
      <c r="BY24" s="333"/>
      <c r="BZ24" s="332"/>
      <c r="CA24" s="333"/>
      <c r="CB24" s="324"/>
      <c r="CC24" s="324"/>
      <c r="CD24" s="292"/>
      <c r="CE24" s="292"/>
      <c r="CF24" s="292"/>
      <c r="CG24" s="320"/>
      <c r="CH24" s="332"/>
      <c r="CI24" s="333"/>
      <c r="CJ24" s="332"/>
      <c r="CK24" s="333"/>
      <c r="CL24" s="332"/>
      <c r="CM24" s="333"/>
      <c r="CN24" s="332"/>
      <c r="CO24" s="333"/>
      <c r="CP24" s="332"/>
      <c r="CQ24" s="333"/>
      <c r="CR24" s="324"/>
      <c r="CS24" s="324"/>
      <c r="CT24" s="292"/>
      <c r="CU24" s="292"/>
      <c r="CV24" s="292"/>
      <c r="CW24" s="320"/>
      <c r="CX24" s="332"/>
      <c r="CY24" s="333"/>
      <c r="CZ24" s="332"/>
      <c r="DA24" s="333"/>
      <c r="DB24" s="332"/>
      <c r="DC24" s="333"/>
      <c r="DD24" s="332"/>
      <c r="DE24" s="333"/>
      <c r="DF24" s="332"/>
      <c r="DG24" s="333"/>
      <c r="DH24" s="324"/>
      <c r="DI24" s="324"/>
      <c r="DJ24" s="292"/>
      <c r="DK24" s="292"/>
      <c r="DL24" s="292"/>
      <c r="DM24" s="320"/>
      <c r="DN24" s="332"/>
      <c r="DO24" s="333"/>
      <c r="DP24" s="332"/>
      <c r="DQ24" s="333"/>
      <c r="DR24" s="332"/>
      <c r="DS24" s="333"/>
      <c r="DT24" s="332"/>
      <c r="DU24" s="333"/>
      <c r="DV24" s="332"/>
      <c r="DW24" s="333"/>
      <c r="DX24" s="335"/>
      <c r="DY24" s="331"/>
      <c r="DZ24" s="292"/>
      <c r="EA24" s="292"/>
      <c r="EB24" s="292"/>
    </row>
    <row r="25" spans="1:136" ht="14.25" customHeight="1">
      <c r="A25" s="291"/>
      <c r="B25" s="292"/>
      <c r="C25" s="325"/>
      <c r="D25" s="325"/>
      <c r="E25" s="320"/>
      <c r="F25" s="332"/>
      <c r="G25" s="333"/>
      <c r="H25" s="332"/>
      <c r="I25" s="333"/>
      <c r="J25" s="332"/>
      <c r="K25" s="333"/>
      <c r="L25" s="332"/>
      <c r="M25" s="333"/>
      <c r="N25" s="332"/>
      <c r="O25" s="333"/>
      <c r="P25" s="335"/>
      <c r="Q25" s="329"/>
      <c r="R25" s="292"/>
      <c r="S25" s="292"/>
      <c r="T25" s="292"/>
      <c r="U25" s="320"/>
      <c r="V25" s="332"/>
      <c r="W25" s="333"/>
      <c r="X25" s="332"/>
      <c r="Y25" s="333"/>
      <c r="Z25" s="332"/>
      <c r="AA25" s="333"/>
      <c r="AB25" s="332"/>
      <c r="AC25" s="333"/>
      <c r="AD25" s="332"/>
      <c r="AE25" s="333"/>
      <c r="AF25" s="335"/>
      <c r="AG25" s="324"/>
      <c r="AH25" s="292"/>
      <c r="AI25" s="292"/>
      <c r="AJ25" s="292"/>
      <c r="AK25" s="320"/>
      <c r="AL25" s="332"/>
      <c r="AM25" s="333"/>
      <c r="AN25" s="332"/>
      <c r="AO25" s="333"/>
      <c r="AP25" s="332"/>
      <c r="AQ25" s="333"/>
      <c r="AR25" s="332"/>
      <c r="AS25" s="333"/>
      <c r="AT25" s="332"/>
      <c r="AU25" s="333"/>
      <c r="AV25" s="335"/>
      <c r="AW25" s="324"/>
      <c r="AX25" s="292"/>
      <c r="AY25" s="292"/>
      <c r="AZ25" s="292"/>
      <c r="BA25" s="320"/>
      <c r="BB25" s="332"/>
      <c r="BC25" s="333"/>
      <c r="BD25" s="332"/>
      <c r="BE25" s="333"/>
      <c r="BF25" s="332"/>
      <c r="BG25" s="333"/>
      <c r="BH25" s="332"/>
      <c r="BI25" s="333"/>
      <c r="BJ25" s="332"/>
      <c r="BK25" s="333"/>
      <c r="BL25" s="335"/>
      <c r="BM25" s="324"/>
      <c r="BN25" s="292"/>
      <c r="BO25" s="292"/>
      <c r="BP25" s="292"/>
      <c r="BQ25" s="320"/>
      <c r="BR25" s="332"/>
      <c r="BS25" s="333"/>
      <c r="BT25" s="332"/>
      <c r="BU25" s="333"/>
      <c r="BV25" s="332"/>
      <c r="BW25" s="333"/>
      <c r="BX25" s="332"/>
      <c r="BY25" s="333"/>
      <c r="BZ25" s="332"/>
      <c r="CA25" s="333"/>
      <c r="CB25" s="335"/>
      <c r="CC25" s="324"/>
      <c r="CD25" s="292"/>
      <c r="CE25" s="292"/>
      <c r="CF25" s="292"/>
      <c r="CG25" s="320"/>
      <c r="CH25" s="332"/>
      <c r="CI25" s="333"/>
      <c r="CJ25" s="332"/>
      <c r="CK25" s="333"/>
      <c r="CL25" s="332"/>
      <c r="CM25" s="333"/>
      <c r="CN25" s="332"/>
      <c r="CO25" s="333"/>
      <c r="CP25" s="332"/>
      <c r="CQ25" s="333"/>
      <c r="CR25" s="335"/>
      <c r="CS25" s="324"/>
      <c r="CT25" s="292"/>
      <c r="CU25" s="292"/>
      <c r="CV25" s="292"/>
      <c r="CW25" s="320"/>
      <c r="CX25" s="332"/>
      <c r="CY25" s="333"/>
      <c r="CZ25" s="332"/>
      <c r="DA25" s="333"/>
      <c r="DB25" s="332"/>
      <c r="DC25" s="333"/>
      <c r="DD25" s="332"/>
      <c r="DE25" s="333"/>
      <c r="DF25" s="332"/>
      <c r="DG25" s="333"/>
      <c r="DH25" s="335"/>
      <c r="DI25" s="324"/>
      <c r="DJ25" s="292"/>
      <c r="DK25" s="292"/>
      <c r="DL25" s="292"/>
      <c r="DM25" s="320"/>
      <c r="DN25" s="332"/>
      <c r="DO25" s="333"/>
      <c r="DP25" s="332"/>
      <c r="DQ25" s="333"/>
      <c r="DR25" s="332"/>
      <c r="DS25" s="333"/>
      <c r="DT25" s="332"/>
      <c r="DU25" s="333"/>
      <c r="DV25" s="332"/>
      <c r="DW25" s="333"/>
      <c r="DX25" s="335"/>
      <c r="DY25" s="331"/>
      <c r="DZ25" s="292"/>
      <c r="EA25" s="292"/>
      <c r="EB25" s="292"/>
    </row>
    <row r="26" spans="1:136" ht="14.25" customHeight="1">
      <c r="A26" s="291"/>
      <c r="B26" s="292"/>
      <c r="C26" s="325"/>
      <c r="D26" s="325"/>
      <c r="E26" s="320"/>
      <c r="F26" s="332"/>
      <c r="G26" s="333"/>
      <c r="H26" s="332"/>
      <c r="I26" s="333"/>
      <c r="J26" s="332"/>
      <c r="K26" s="333"/>
      <c r="L26" s="332"/>
      <c r="M26" s="333"/>
      <c r="N26" s="332"/>
      <c r="O26" s="333"/>
      <c r="P26" s="335"/>
      <c r="Q26" s="329"/>
      <c r="R26" s="292"/>
      <c r="S26" s="292"/>
      <c r="T26" s="292"/>
      <c r="U26" s="320"/>
      <c r="V26" s="332"/>
      <c r="W26" s="333"/>
      <c r="X26" s="332"/>
      <c r="Y26" s="333"/>
      <c r="Z26" s="332"/>
      <c r="AA26" s="333"/>
      <c r="AB26" s="332"/>
      <c r="AC26" s="333"/>
      <c r="AD26" s="332"/>
      <c r="AE26" s="333"/>
      <c r="AF26" s="335"/>
      <c r="AG26" s="324"/>
      <c r="AH26" s="292"/>
      <c r="AI26" s="292"/>
      <c r="AJ26" s="292"/>
      <c r="AK26" s="320"/>
      <c r="AL26" s="332"/>
      <c r="AM26" s="333"/>
      <c r="AN26" s="332"/>
      <c r="AO26" s="333"/>
      <c r="AP26" s="332"/>
      <c r="AQ26" s="333"/>
      <c r="AR26" s="332"/>
      <c r="AS26" s="333"/>
      <c r="AT26" s="332"/>
      <c r="AU26" s="333"/>
      <c r="AV26" s="335"/>
      <c r="AW26" s="324"/>
      <c r="AX26" s="292"/>
      <c r="AY26" s="292"/>
      <c r="AZ26" s="292"/>
      <c r="BA26" s="320"/>
      <c r="BB26" s="332"/>
      <c r="BC26" s="333"/>
      <c r="BD26" s="332"/>
      <c r="BE26" s="333"/>
      <c r="BF26" s="332"/>
      <c r="BG26" s="333"/>
      <c r="BH26" s="332"/>
      <c r="BI26" s="333"/>
      <c r="BJ26" s="332"/>
      <c r="BK26" s="333"/>
      <c r="BL26" s="335"/>
      <c r="BM26" s="324"/>
      <c r="BN26" s="292"/>
      <c r="BO26" s="292"/>
      <c r="BP26" s="292"/>
      <c r="BQ26" s="320"/>
      <c r="BR26" s="332"/>
      <c r="BS26" s="333"/>
      <c r="BT26" s="332"/>
      <c r="BU26" s="333"/>
      <c r="BV26" s="332"/>
      <c r="BW26" s="333"/>
      <c r="BX26" s="332"/>
      <c r="BY26" s="333"/>
      <c r="BZ26" s="332"/>
      <c r="CA26" s="333"/>
      <c r="CB26" s="335"/>
      <c r="CC26" s="324"/>
      <c r="CD26" s="292"/>
      <c r="CE26" s="292"/>
      <c r="CF26" s="292"/>
      <c r="CG26" s="320"/>
      <c r="CH26" s="332"/>
      <c r="CI26" s="333"/>
      <c r="CJ26" s="332"/>
      <c r="CK26" s="333"/>
      <c r="CL26" s="332"/>
      <c r="CM26" s="333"/>
      <c r="CN26" s="332"/>
      <c r="CO26" s="333"/>
      <c r="CP26" s="332"/>
      <c r="CQ26" s="333"/>
      <c r="CR26" s="335"/>
      <c r="CS26" s="324"/>
      <c r="CT26" s="292"/>
      <c r="CU26" s="292"/>
      <c r="CV26" s="292"/>
      <c r="CW26" s="320"/>
      <c r="CX26" s="332"/>
      <c r="CY26" s="333"/>
      <c r="CZ26" s="332"/>
      <c r="DA26" s="333"/>
      <c r="DB26" s="332"/>
      <c r="DC26" s="333"/>
      <c r="DD26" s="332"/>
      <c r="DE26" s="333"/>
      <c r="DF26" s="332"/>
      <c r="DG26" s="333"/>
      <c r="DH26" s="335"/>
      <c r="DI26" s="324"/>
      <c r="DJ26" s="292"/>
      <c r="DK26" s="292"/>
      <c r="DL26" s="292"/>
      <c r="DM26" s="320"/>
      <c r="DN26" s="332"/>
      <c r="DO26" s="333"/>
      <c r="DP26" s="332"/>
      <c r="DQ26" s="333"/>
      <c r="DR26" s="332"/>
      <c r="DS26" s="333"/>
      <c r="DT26" s="332"/>
      <c r="DU26" s="333"/>
      <c r="DV26" s="332"/>
      <c r="DW26" s="333"/>
      <c r="DX26" s="335"/>
      <c r="DY26" s="331"/>
      <c r="DZ26" s="292"/>
      <c r="EA26" s="292"/>
      <c r="EB26" s="292"/>
    </row>
    <row r="27" spans="1:136" ht="14.25" customHeight="1">
      <c r="A27" s="291"/>
      <c r="B27" s="292"/>
      <c r="C27" s="325"/>
      <c r="D27" s="325"/>
      <c r="E27" s="320"/>
      <c r="F27" s="332"/>
      <c r="G27" s="333"/>
      <c r="H27" s="332"/>
      <c r="I27" s="333"/>
      <c r="J27" s="332"/>
      <c r="K27" s="333"/>
      <c r="L27" s="332"/>
      <c r="M27" s="333"/>
      <c r="N27" s="332"/>
      <c r="O27" s="333"/>
      <c r="P27" s="335"/>
      <c r="Q27" s="329"/>
      <c r="R27" s="292"/>
      <c r="S27" s="292"/>
      <c r="T27" s="292"/>
      <c r="U27" s="320"/>
      <c r="V27" s="332"/>
      <c r="W27" s="333"/>
      <c r="X27" s="332"/>
      <c r="Y27" s="333"/>
      <c r="Z27" s="332"/>
      <c r="AA27" s="333"/>
      <c r="AB27" s="332"/>
      <c r="AC27" s="333"/>
      <c r="AD27" s="332"/>
      <c r="AE27" s="333"/>
      <c r="AF27" s="335"/>
      <c r="AG27" s="324"/>
      <c r="AH27" s="292"/>
      <c r="AI27" s="292"/>
      <c r="AJ27" s="292"/>
      <c r="AK27" s="320"/>
      <c r="AL27" s="332"/>
      <c r="AM27" s="333"/>
      <c r="AN27" s="332"/>
      <c r="AO27" s="333"/>
      <c r="AP27" s="332"/>
      <c r="AQ27" s="333"/>
      <c r="AR27" s="332"/>
      <c r="AS27" s="333"/>
      <c r="AT27" s="332"/>
      <c r="AU27" s="333"/>
      <c r="AV27" s="335"/>
      <c r="AW27" s="324"/>
      <c r="AX27" s="292"/>
      <c r="AY27" s="292"/>
      <c r="AZ27" s="292"/>
      <c r="BA27" s="320"/>
      <c r="BB27" s="332"/>
      <c r="BC27" s="333"/>
      <c r="BD27" s="332"/>
      <c r="BE27" s="333"/>
      <c r="BF27" s="332"/>
      <c r="BG27" s="333"/>
      <c r="BH27" s="332"/>
      <c r="BI27" s="333"/>
      <c r="BJ27" s="332"/>
      <c r="BK27" s="333"/>
      <c r="BL27" s="335"/>
      <c r="BM27" s="324"/>
      <c r="BN27" s="292"/>
      <c r="BO27" s="292"/>
      <c r="BP27" s="292"/>
      <c r="BQ27" s="320"/>
      <c r="BR27" s="332"/>
      <c r="BS27" s="333"/>
      <c r="BT27" s="332"/>
      <c r="BU27" s="333"/>
      <c r="BV27" s="332"/>
      <c r="BW27" s="333"/>
      <c r="BX27" s="332"/>
      <c r="BY27" s="333"/>
      <c r="BZ27" s="332"/>
      <c r="CA27" s="333"/>
      <c r="CB27" s="335"/>
      <c r="CC27" s="324"/>
      <c r="CD27" s="292"/>
      <c r="CE27" s="292"/>
      <c r="CF27" s="292"/>
      <c r="CG27" s="320"/>
      <c r="CH27" s="332"/>
      <c r="CI27" s="333"/>
      <c r="CJ27" s="332"/>
      <c r="CK27" s="333"/>
      <c r="CL27" s="332"/>
      <c r="CM27" s="333"/>
      <c r="CN27" s="332"/>
      <c r="CO27" s="333"/>
      <c r="CP27" s="332"/>
      <c r="CQ27" s="333"/>
      <c r="CR27" s="335"/>
      <c r="CS27" s="324"/>
      <c r="CT27" s="292"/>
      <c r="CU27" s="292"/>
      <c r="CV27" s="292"/>
      <c r="CW27" s="320"/>
      <c r="CX27" s="332"/>
      <c r="CY27" s="333"/>
      <c r="CZ27" s="332"/>
      <c r="DA27" s="333"/>
      <c r="DB27" s="332"/>
      <c r="DC27" s="333"/>
      <c r="DD27" s="332"/>
      <c r="DE27" s="333"/>
      <c r="DF27" s="332"/>
      <c r="DG27" s="333"/>
      <c r="DH27" s="335"/>
      <c r="DI27" s="324"/>
      <c r="DJ27" s="292"/>
      <c r="DK27" s="292"/>
      <c r="DL27" s="292"/>
      <c r="DM27" s="320"/>
      <c r="DN27" s="332"/>
      <c r="DO27" s="333"/>
      <c r="DP27" s="332"/>
      <c r="DQ27" s="333"/>
      <c r="DR27" s="332"/>
      <c r="DS27" s="333"/>
      <c r="DT27" s="332"/>
      <c r="DU27" s="333"/>
      <c r="DV27" s="332"/>
      <c r="DW27" s="333"/>
      <c r="DX27" s="335"/>
      <c r="DY27" s="331"/>
      <c r="DZ27" s="292"/>
      <c r="EA27" s="292"/>
      <c r="EB27" s="292"/>
    </row>
    <row r="28" spans="1:136" ht="14.25" customHeight="1">
      <c r="A28" s="336" t="s">
        <v>3229</v>
      </c>
      <c r="B28" s="337" t="s">
        <v>3230</v>
      </c>
      <c r="C28" s="337"/>
      <c r="D28" s="337"/>
      <c r="E28" s="338"/>
      <c r="F28" s="339"/>
      <c r="G28" s="340"/>
      <c r="H28" s="339"/>
      <c r="I28" s="340"/>
      <c r="J28" s="339"/>
      <c r="K28" s="340"/>
      <c r="L28" s="339"/>
      <c r="M28" s="340"/>
      <c r="N28" s="339"/>
      <c r="O28" s="340"/>
      <c r="P28" s="341"/>
      <c r="Q28" s="443" t="e">
        <f>$A$28*(SUM(Q29:Q63))</f>
        <v>#VALUE!</v>
      </c>
      <c r="R28" s="343"/>
      <c r="S28" s="343"/>
      <c r="T28" s="343"/>
      <c r="U28" s="338"/>
      <c r="V28" s="339"/>
      <c r="W28" s="340"/>
      <c r="X28" s="339"/>
      <c r="Y28" s="340"/>
      <c r="Z28" s="339"/>
      <c r="AA28" s="340"/>
      <c r="AB28" s="339"/>
      <c r="AC28" s="340"/>
      <c r="AD28" s="339"/>
      <c r="AE28" s="340"/>
      <c r="AF28" s="341"/>
      <c r="AG28" s="443" t="e">
        <f>$A$28*(SUM(AG29:AG63))</f>
        <v>#VALUE!</v>
      </c>
      <c r="AH28" s="343"/>
      <c r="AI28" s="343"/>
      <c r="AJ28" s="343"/>
      <c r="AK28" s="338"/>
      <c r="AL28" s="339"/>
      <c r="AM28" s="340"/>
      <c r="AN28" s="339"/>
      <c r="AO28" s="340"/>
      <c r="AP28" s="339"/>
      <c r="AQ28" s="340"/>
      <c r="AR28" s="339"/>
      <c r="AS28" s="340"/>
      <c r="AT28" s="339"/>
      <c r="AU28" s="340"/>
      <c r="AV28" s="341"/>
      <c r="AW28" s="443" t="e">
        <f>$A$28*(SUM(AW29:AW63))</f>
        <v>#VALUE!</v>
      </c>
      <c r="AX28" s="343"/>
      <c r="AY28" s="343"/>
      <c r="AZ28" s="343"/>
      <c r="BA28" s="338"/>
      <c r="BB28" s="339"/>
      <c r="BC28" s="340"/>
      <c r="BD28" s="339"/>
      <c r="BE28" s="340"/>
      <c r="BF28" s="339"/>
      <c r="BG28" s="340"/>
      <c r="BH28" s="339"/>
      <c r="BI28" s="340"/>
      <c r="BJ28" s="339"/>
      <c r="BK28" s="340"/>
      <c r="BL28" s="341"/>
      <c r="BM28" s="443" t="e">
        <f>$A$28*(SUM(BM29:BM63))</f>
        <v>#VALUE!</v>
      </c>
      <c r="BN28" s="343"/>
      <c r="BO28" s="343"/>
      <c r="BP28" s="343"/>
      <c r="BQ28" s="338"/>
      <c r="BR28" s="339"/>
      <c r="BS28" s="340"/>
      <c r="BT28" s="339"/>
      <c r="BU28" s="340"/>
      <c r="BV28" s="339"/>
      <c r="BW28" s="340"/>
      <c r="BX28" s="339"/>
      <c r="BY28" s="340"/>
      <c r="BZ28" s="339"/>
      <c r="CA28" s="340"/>
      <c r="CB28" s="341"/>
      <c r="CC28" s="443" t="e">
        <f>$A$28*(SUM(CC29:CC63))</f>
        <v>#VALUE!</v>
      </c>
      <c r="CD28" s="343"/>
      <c r="CE28" s="343"/>
      <c r="CF28" s="343"/>
      <c r="CG28" s="338"/>
      <c r="CH28" s="339"/>
      <c r="CI28" s="340"/>
      <c r="CJ28" s="339"/>
      <c r="CK28" s="340"/>
      <c r="CL28" s="339"/>
      <c r="CM28" s="340"/>
      <c r="CN28" s="339"/>
      <c r="CO28" s="340"/>
      <c r="CP28" s="339"/>
      <c r="CQ28" s="340"/>
      <c r="CR28" s="341"/>
      <c r="CS28" s="443" t="e">
        <f>$A$28*(SUM(CS29:CS63))</f>
        <v>#VALUE!</v>
      </c>
      <c r="CT28" s="343"/>
      <c r="CU28" s="343"/>
      <c r="CV28" s="343"/>
      <c r="CW28" s="338"/>
      <c r="CX28" s="339"/>
      <c r="CY28" s="340"/>
      <c r="CZ28" s="339"/>
      <c r="DA28" s="340"/>
      <c r="DB28" s="339"/>
      <c r="DC28" s="340"/>
      <c r="DD28" s="339"/>
      <c r="DE28" s="340"/>
      <c r="DF28" s="339"/>
      <c r="DG28" s="340"/>
      <c r="DH28" s="341"/>
      <c r="DI28" s="443" t="e">
        <f>$A$28*(SUM(DI29:DI63))</f>
        <v>#VALUE!</v>
      </c>
      <c r="DJ28" s="343"/>
      <c r="DK28" s="343"/>
      <c r="DL28" s="343"/>
      <c r="DM28" s="338"/>
      <c r="DN28" s="339"/>
      <c r="DO28" s="340"/>
      <c r="DP28" s="339"/>
      <c r="DQ28" s="340"/>
      <c r="DR28" s="339"/>
      <c r="DS28" s="340"/>
      <c r="DT28" s="339"/>
      <c r="DU28" s="340"/>
      <c r="DV28" s="339"/>
      <c r="DW28" s="340"/>
      <c r="DX28" s="341"/>
      <c r="DY28" s="443" t="e">
        <f>$A$28*(SUM(DY29:DY63))</f>
        <v>#VALUE!</v>
      </c>
      <c r="DZ28" s="343"/>
      <c r="EA28" s="343"/>
      <c r="EB28" s="343"/>
    </row>
    <row r="29" spans="1:136" ht="14.25" customHeight="1">
      <c r="A29" s="444" t="b">
        <f t="shared" ref="A29:A63" si="0">EXACT(MAX(F29,H29,J29,L29,N29,V29,X29,Z29,AB29,AD29,AL29,AN29,AP29,AR29,AT29,BB29,BD29,BF29,BH29,BJ29,BR29,BT29,BV29,BX29,BZ29,CH29,CJ29,CL29,CN29,CP29,CX29,CZ29,DB29,DD29,DF29),MIN(F29,H29,J29,L29,N29,V29,X29,Z29,AB29,AD29,AL29,AN29,AP29,AR29,AT29,BB29,BD29,BF29,BH29,BJ29,BR29,BT29,BV29,BX29,BZ29,CH29,CJ29,CL29,CN29,CP29,CX29,CZ29,DB29,DD29,DF29))</f>
        <v>0</v>
      </c>
      <c r="B29" s="292"/>
      <c r="C29" s="344" t="s">
        <v>3231</v>
      </c>
      <c r="D29" s="345"/>
      <c r="E29" s="346" t="s">
        <v>3232</v>
      </c>
      <c r="F29" s="347">
        <v>0</v>
      </c>
      <c r="G29" s="348"/>
      <c r="H29" s="347">
        <v>0</v>
      </c>
      <c r="I29" s="348"/>
      <c r="J29" s="347">
        <v>0</v>
      </c>
      <c r="K29" s="348"/>
      <c r="L29" s="347">
        <v>0</v>
      </c>
      <c r="M29" s="348"/>
      <c r="N29" s="347">
        <v>0</v>
      </c>
      <c r="O29" s="348"/>
      <c r="P29" s="349"/>
      <c r="Q29" s="350">
        <v>1</v>
      </c>
      <c r="R29" s="351" t="e">
        <f>IF('Inhaltliche Bewertung - GI'!RechtsformGI=H$13,H29*Q29,IF('Inhaltliche Bewertung - GI'!RechtsformGI=J$13,J29*Q29,IF('Inhaltliche Bewertung - GI'!RechtsformGI=L$13,L29*Q29,IF('Inhaltliche Bewertung - GI'!RechtsformGI=N$13,N29*Q29,IF('Inhaltliche Bewertung - GI'!RechtsformGI=F$13,F29*Q29,"")))))</f>
        <v>#N/A</v>
      </c>
      <c r="S29" s="351" t="e">
        <f>IF('Inhaltliche Bewertung - GI'!RechtsformAngebot=H$13,H29*Q29,IF('Inhaltliche Bewertung - GI'!RechtsformAngebot=J$13,J29*Q29,IF('Inhaltliche Bewertung - GI'!RechtsformAngebot=L$13,L29*Q29,IF('Inhaltliche Bewertung - GI'!RechtsformAngebot=N$13,N29*Q29,IF('Inhaltliche Bewertung - GI'!RechtsformAngebot=F$13,F29*Q29,"")))))</f>
        <v>#N/A</v>
      </c>
      <c r="T29" s="351"/>
      <c r="U29" s="346" t="s">
        <v>3233</v>
      </c>
      <c r="V29" s="347">
        <v>1</v>
      </c>
      <c r="W29" s="348"/>
      <c r="X29" s="347">
        <v>1</v>
      </c>
      <c r="Y29" s="348"/>
      <c r="Z29" s="347">
        <v>1</v>
      </c>
      <c r="AA29" s="348"/>
      <c r="AB29" s="347">
        <v>1</v>
      </c>
      <c r="AC29" s="348"/>
      <c r="AD29" s="347">
        <v>1</v>
      </c>
      <c r="AE29" s="348"/>
      <c r="AF29" s="349"/>
      <c r="AG29" s="350">
        <v>1</v>
      </c>
      <c r="AH29" s="351" t="e">
        <f>IF('Inhaltliche Bewertung - GI'!RechtsformGI=X$13,X29*AG29,IF('Inhaltliche Bewertung - GI'!RechtsformGI=Z$13,Z29*AG29,IF('Inhaltliche Bewertung - GI'!RechtsformGI=AB$13,AB29*AG29,IF('Inhaltliche Bewertung - GI'!RechtsformGI=AD$13,AD29*AG29,IF('Inhaltliche Bewertung - GI'!RechtsformGI=V$13,V29*AG29,"")))))</f>
        <v>#N/A</v>
      </c>
      <c r="AI29" s="351" t="e">
        <f>IF('Inhaltliche Bewertung - GI'!RechtsformAngebot=X$13,X29*AG29,IF('Inhaltliche Bewertung - GI'!RechtsformAngebot=Z$13,Z29*AG29,IF('Inhaltliche Bewertung - GI'!RechtsformAngebot=AB$13,AB29*AG29,IF('Inhaltliche Bewertung - GI'!RechtsformAngebot=AD$13,AD29*AG29,IF('Inhaltliche Bewertung - GI'!RechtsformAngebot=V$13,V29*AG29,"")))))</f>
        <v>#N/A</v>
      </c>
      <c r="AJ29" s="351"/>
      <c r="AK29" s="352" t="s">
        <v>3234</v>
      </c>
      <c r="AL29" s="353">
        <v>0</v>
      </c>
      <c r="AM29" s="354"/>
      <c r="AN29" s="353">
        <v>0</v>
      </c>
      <c r="AO29" s="354"/>
      <c r="AP29" s="353">
        <v>0</v>
      </c>
      <c r="AQ29" s="354"/>
      <c r="AR29" s="353">
        <v>0</v>
      </c>
      <c r="AS29" s="354"/>
      <c r="AT29" s="353">
        <v>0</v>
      </c>
      <c r="AU29" s="354"/>
      <c r="AV29" s="354"/>
      <c r="AW29" s="350">
        <v>1</v>
      </c>
      <c r="AX29" s="351" t="e">
        <f>IF('Inhaltliche Bewertung - GI'!RechtsformGI=AN$13,AN29*AW29,IF('Inhaltliche Bewertung - GI'!RechtsformGI=AP$13,AP29*AW29,IF('Inhaltliche Bewertung - GI'!RechtsformGI=AR$13,AR29*AW29,IF('Inhaltliche Bewertung - GI'!RechtsformGI=AT$13,AT29*AW29,IF('Inhaltliche Bewertung - GI'!RechtsformGI=AL$13,AL29*AW29,"")))))</f>
        <v>#N/A</v>
      </c>
      <c r="AY29" s="351" t="e">
        <f>IF('Inhaltliche Bewertung - GI'!RechtsformAngebot=AN$13,AN29*AW29,IF('Inhaltliche Bewertung - GI'!RechtsformAngebot=AP$13,AP29*AW29,IF('Inhaltliche Bewertung - GI'!RechtsformAngebot=AR$13,AR29*AW29,IF('Inhaltliche Bewertung - GI'!RechtsformAngebot=AT$13,AT29*AW29,IF('Inhaltliche Bewertung - GI'!RechtsformAngebot=AL$13,AL29*AW29,"")))))</f>
        <v>#N/A</v>
      </c>
      <c r="AZ29" s="351"/>
      <c r="BA29" s="346" t="s">
        <v>3233</v>
      </c>
      <c r="BB29" s="347">
        <v>1</v>
      </c>
      <c r="BC29" s="348"/>
      <c r="BD29" s="347">
        <v>1</v>
      </c>
      <c r="BE29" s="348"/>
      <c r="BF29" s="347">
        <v>1</v>
      </c>
      <c r="BG29" s="348"/>
      <c r="BH29" s="347">
        <v>1</v>
      </c>
      <c r="BI29" s="348"/>
      <c r="BJ29" s="347">
        <v>1</v>
      </c>
      <c r="BK29" s="348"/>
      <c r="BL29" s="349"/>
      <c r="BM29" s="350">
        <v>1</v>
      </c>
      <c r="BN29" s="351" t="e">
        <f>IF('Inhaltliche Bewertung - GI'!RechtsformGI=BD$13,BD29*BM29,IF('Inhaltliche Bewertung - GI'!RechtsformGI=BF$13,BF29*BM29,IF('Inhaltliche Bewertung - GI'!RechtsformGI=BH$13,BH29*BM29,IF('Inhaltliche Bewertung - GI'!RechtsformGI=BJ$13,BJ29*BM29,IF('Inhaltliche Bewertung - GI'!RechtsformGI=BB$13,BB29*BM29,"")))))</f>
        <v>#N/A</v>
      </c>
      <c r="BO29" s="351" t="e">
        <f>IF('Inhaltliche Bewertung - GI'!RechtsformAngebot=BD$13,BD29*BM29,IF('Inhaltliche Bewertung - GI'!RechtsformAngebot=BF$13,BF29*BM29,IF('Inhaltliche Bewertung - GI'!RechtsformAngebot=BH$13,BH29*BM29,IF('Inhaltliche Bewertung - GI'!RechtsformAngebot=BJ$13,BJ29*BM29,IF('Inhaltliche Bewertung - GI'!RechtsformAngebot=BB$13,BB29*BM29,"")))))</f>
        <v>#N/A</v>
      </c>
      <c r="BP29" s="351"/>
      <c r="BQ29" s="346" t="s">
        <v>3233</v>
      </c>
      <c r="BR29" s="347">
        <v>1</v>
      </c>
      <c r="BS29" s="348"/>
      <c r="BT29" s="347">
        <v>1</v>
      </c>
      <c r="BU29" s="348"/>
      <c r="BV29" s="347">
        <v>1</v>
      </c>
      <c r="BW29" s="348"/>
      <c r="BX29" s="347">
        <v>1</v>
      </c>
      <c r="BY29" s="348"/>
      <c r="BZ29" s="347">
        <v>1</v>
      </c>
      <c r="CA29" s="348"/>
      <c r="CB29" s="349"/>
      <c r="CC29" s="350">
        <v>1</v>
      </c>
      <c r="CD29" s="351" t="e">
        <f>IF('Inhaltliche Bewertung - GI'!RechtsformGI=BT$13,BT29*CC29,IF('Inhaltliche Bewertung - GI'!RechtsformGI=BV$13,BV29*CC29,IF('Inhaltliche Bewertung - GI'!RechtsformGI=BX$13,BX29*CC29,IF('Inhaltliche Bewertung - GI'!RechtsformGI=BZ$13,BZ29*CC29,IF('Inhaltliche Bewertung - GI'!RechtsformGI=BR$13,BR29*CC29,"")))))</f>
        <v>#N/A</v>
      </c>
      <c r="CE29" s="351" t="e">
        <f>IF('Inhaltliche Bewertung - GI'!RechtsformAngebot=BT$13,BT29*CC29,IF('Inhaltliche Bewertung - GI'!RechtsformAngebot=BV$13,BV29*CC29,IF('Inhaltliche Bewertung - GI'!RechtsformAngebot=BX$13,BX29*CC29,IF('Inhaltliche Bewertung - GI'!RechtsformAngebot=BZ$13,BZ29*CC29,IF('Inhaltliche Bewertung - GI'!RechtsformAngebot=BR$13,BR29*CC29,"")))))</f>
        <v>#N/A</v>
      </c>
      <c r="CF29" s="351"/>
      <c r="CG29" s="346" t="s">
        <v>3233</v>
      </c>
      <c r="CH29" s="347">
        <v>0.8</v>
      </c>
      <c r="CI29" s="348"/>
      <c r="CJ29" s="347">
        <v>0.8</v>
      </c>
      <c r="CK29" s="348"/>
      <c r="CL29" s="347">
        <v>0.8</v>
      </c>
      <c r="CM29" s="348"/>
      <c r="CN29" s="347">
        <v>0.8</v>
      </c>
      <c r="CO29" s="348"/>
      <c r="CP29" s="347">
        <v>0.8</v>
      </c>
      <c r="CQ29" s="348"/>
      <c r="CR29" s="349"/>
      <c r="CS29" s="350">
        <v>1</v>
      </c>
      <c r="CT29" s="351" t="e">
        <f>IF('Inhaltliche Bewertung - GI'!RechtsformGI=CJ$13,CJ29*CS29,IF('Inhaltliche Bewertung - GI'!RechtsformGI=CL$13,CL29*CS29,IF('Inhaltliche Bewertung - GI'!RechtsformGI=CN$13,CN29*CS29,IF('Inhaltliche Bewertung - GI'!RechtsformGI=CP$13,CP29*CS29,IF('Inhaltliche Bewertung - GI'!RechtsformGI=CH$13,CH29*CS29,"")))))</f>
        <v>#N/A</v>
      </c>
      <c r="CU29" s="351" t="e">
        <f>IF('Inhaltliche Bewertung - GI'!RechtsformAngebot=CJ$13,CJ29*CS29,IF('Inhaltliche Bewertung - GI'!RechtsformAngebot=CL$13,CL29*CS29,IF('Inhaltliche Bewertung - GI'!RechtsformAngebot=CN$13,CN29*CS29,IF('Inhaltliche Bewertung - GI'!RechtsformAngebot=CP$13,CP29*CS29,IF('Inhaltliche Bewertung - GI'!RechtsformAngebot=CH$13,CH29*CS29,"")))))</f>
        <v>#N/A</v>
      </c>
      <c r="CV29" s="351"/>
      <c r="CW29" s="346" t="s">
        <v>3233</v>
      </c>
      <c r="CX29" s="347">
        <v>0.8</v>
      </c>
      <c r="CY29" s="348"/>
      <c r="CZ29" s="347">
        <v>0.8</v>
      </c>
      <c r="DA29" s="348"/>
      <c r="DB29" s="347">
        <v>0.8</v>
      </c>
      <c r="DC29" s="348"/>
      <c r="DD29" s="347">
        <v>0.8</v>
      </c>
      <c r="DE29" s="348"/>
      <c r="DF29" s="347">
        <v>0.8</v>
      </c>
      <c r="DG29" s="348"/>
      <c r="DH29" s="349"/>
      <c r="DI29" s="350">
        <v>1</v>
      </c>
      <c r="DJ29" s="351" t="e">
        <f>IF('Inhaltliche Bewertung - GI'!RechtsformGI=CZ$13,CZ29*DI29,IF('Inhaltliche Bewertung - GI'!RechtsformGI=DB$13,DB29*DI29,IF('Inhaltliche Bewertung - GI'!RechtsformGI=DD$13,DD29*DI29,IF('Inhaltliche Bewertung - GI'!RechtsformGI=DF$13,DF29*DI29,IF('Inhaltliche Bewertung - GI'!RechtsformGI=CX$13,CX29*DI29,"")))))</f>
        <v>#N/A</v>
      </c>
      <c r="DK29" s="351" t="e">
        <f>IF('Inhaltliche Bewertung - GI'!RechtsformAngebot=CZ$13,CZ29*DI29,IF('Inhaltliche Bewertung - GI'!RechtsformAngebot=DB$13,DB29*DI29,IF('Inhaltliche Bewertung - GI'!RechtsformAngebot=DD$13,DD29*DI29,IF('Inhaltliche Bewertung - GI'!RechtsformAngebot=DF$13,DF29*DI29,IF('Inhaltliche Bewertung - GI'!RechtsformAngebot=CX$13,CX29*DI29,"")))))</f>
        <v>#N/A</v>
      </c>
      <c r="DL29" s="351"/>
      <c r="DM29" s="346" t="s">
        <v>3233</v>
      </c>
      <c r="DN29" s="347">
        <v>0.8</v>
      </c>
      <c r="DO29" s="348"/>
      <c r="DP29" s="347">
        <v>0.8</v>
      </c>
      <c r="DQ29" s="348"/>
      <c r="DR29" s="347">
        <v>0.8</v>
      </c>
      <c r="DS29" s="348"/>
      <c r="DT29" s="347">
        <v>0.8</v>
      </c>
      <c r="DU29" s="348"/>
      <c r="DV29" s="347">
        <v>0.8</v>
      </c>
      <c r="DW29" s="348"/>
      <c r="DX29" s="349"/>
      <c r="DY29" s="350">
        <v>1</v>
      </c>
      <c r="DZ29" s="351" t="e">
        <f>IF('Inhaltliche Bewertung - GI'!RechtsformGI=DP$13,DP29*DY29,IF('Inhaltliche Bewertung - GI'!RechtsformGI=DR$13,DR29*DY29,IF('Inhaltliche Bewertung - GI'!RechtsformGI=DT$13,DT29*DY29,IF('Inhaltliche Bewertung - GI'!RechtsformGI=DV$13,DV29*DY29,IF('Inhaltliche Bewertung - GI'!RechtsformGI=DN$13,DN29*DY29,"")))))</f>
        <v>#N/A</v>
      </c>
      <c r="EA29" s="351" t="e">
        <f>IF('Inhaltliche Bewertung - GI'!RechtsformAngebot=DP$13,DP29*DY29,IF('Inhaltliche Bewertung - GI'!RechtsformAngebot=DR$13,DR29*DY29,IF('Inhaltliche Bewertung - GI'!RechtsformAngebot=DT$13,DT29*DY29,IF('Inhaltliche Bewertung - GI'!RechtsformAngebot=DV$13,DV29*DY29,IF('Inhaltliche Bewertung - GI'!RechtsformAngebot=DN$13,DN29*DY29,"")))))</f>
        <v>#N/A</v>
      </c>
      <c r="EB29" s="351"/>
      <c r="EC29" s="157">
        <f t="shared" ref="EC29:EC124" si="1">MIN(F29:O29,V29:AE29,AL29:AU29,BB29:BK29,BR29:CA29,CH29:CQ29,CX29:DG29,DN29:DW29)</f>
        <v>0</v>
      </c>
      <c r="ED29" s="157">
        <f t="shared" ref="ED29:ED124" si="2">MAX(F29:O29,V29:AE29,AL29:AU29,BB29:BK29,BR29:CA29,CH29:CQ29,CX29:DG29,DN29:DW29)</f>
        <v>1</v>
      </c>
      <c r="EE29" s="157">
        <f t="shared" ref="EE29:EE124" si="3">AVERAGE(F29:O29,V29:AE29,AL29:AU29,BB29:BK29,BR29:CA29,CH29:CQ29,CX29:DG29,DN29:DW29)</f>
        <v>0.67500000000000027</v>
      </c>
      <c r="EF29" s="157">
        <f t="shared" ref="EF29:EF124" si="4">MEDIAN(F29:O29,V29:AE29,AL29:AU29,BB29:BK29,BR29:CA29,CH29:CQ29,CX29:DG29,DN29:DW29)</f>
        <v>0.8</v>
      </c>
    </row>
    <row r="30" spans="1:136" ht="14.25" customHeight="1">
      <c r="A30" s="444" t="b">
        <f t="shared" si="0"/>
        <v>0</v>
      </c>
      <c r="B30" s="292"/>
      <c r="C30" s="355" t="s">
        <v>3235</v>
      </c>
      <c r="D30" s="345"/>
      <c r="E30" s="356" t="s">
        <v>3234</v>
      </c>
      <c r="F30" s="357">
        <v>0</v>
      </c>
      <c r="G30" s="358"/>
      <c r="H30" s="357">
        <v>0</v>
      </c>
      <c r="I30" s="358"/>
      <c r="J30" s="357">
        <v>0</v>
      </c>
      <c r="K30" s="358"/>
      <c r="L30" s="357">
        <v>0</v>
      </c>
      <c r="M30" s="358"/>
      <c r="N30" s="357">
        <v>0</v>
      </c>
      <c r="O30" s="358"/>
      <c r="P30" s="359"/>
      <c r="Q30" s="360">
        <v>1</v>
      </c>
      <c r="R30" s="351" t="e">
        <f>IF('Inhaltliche Bewertung - GI'!RechtsformGI=H$13,H30*Q30,IF('Inhaltliche Bewertung - GI'!RechtsformGI=J$13,J30*Q30,IF('Inhaltliche Bewertung - GI'!RechtsformGI=L$13,L30*Q30,IF('Inhaltliche Bewertung - GI'!RechtsformGI=N$13,N30*Q30,IF('Inhaltliche Bewertung - GI'!RechtsformGI=F$13,F30*Q30,"")))))</f>
        <v>#N/A</v>
      </c>
      <c r="S30" s="351" t="e">
        <f>IF('Inhaltliche Bewertung - GI'!RechtsformAngebot=H$13,H30*Q30,IF('Inhaltliche Bewertung - GI'!RechtsformAngebot=J$13,J30*Q30,IF('Inhaltliche Bewertung - GI'!RechtsformAngebot=L$13,L30*Q30,IF('Inhaltliche Bewertung - GI'!RechtsformAngebot=N$13,N30*Q30,IF('Inhaltliche Bewertung - GI'!RechtsformAngebot=F$13,F30*Q30,"")))))</f>
        <v>#N/A</v>
      </c>
      <c r="T30" s="351"/>
      <c r="U30" s="361" t="s">
        <v>3233</v>
      </c>
      <c r="V30" s="362">
        <v>0.8</v>
      </c>
      <c r="W30" s="363"/>
      <c r="X30" s="364">
        <v>0.8</v>
      </c>
      <c r="Y30" s="363"/>
      <c r="Z30" s="364">
        <v>0.8</v>
      </c>
      <c r="AA30" s="363"/>
      <c r="AB30" s="364">
        <v>0.8</v>
      </c>
      <c r="AC30" s="363"/>
      <c r="AD30" s="364">
        <v>0.8</v>
      </c>
      <c r="AE30" s="363"/>
      <c r="AF30" s="363"/>
      <c r="AG30" s="360">
        <v>1</v>
      </c>
      <c r="AH30" s="351" t="e">
        <f>IF('Inhaltliche Bewertung - GI'!RechtsformGI=X$13,X30*AG30,IF('Inhaltliche Bewertung - GI'!RechtsformGI=Z$13,Z30*AG30,IF('Inhaltliche Bewertung - GI'!RechtsformGI=AB$13,AB30*AG30,IF('Inhaltliche Bewertung - GI'!RechtsformGI=AD$13,AD30*AG30,IF('Inhaltliche Bewertung - GI'!RechtsformGI=V$13,V30*AG30,"")))))</f>
        <v>#N/A</v>
      </c>
      <c r="AI30" s="351" t="e">
        <f>IF('Inhaltliche Bewertung - GI'!RechtsformAngebot=X$13,X30*AG30,IF('Inhaltliche Bewertung - GI'!RechtsformAngebot=Z$13,Z30*AG30,IF('Inhaltliche Bewertung - GI'!RechtsformAngebot=AB$13,AB30*AG30,IF('Inhaltliche Bewertung - GI'!RechtsformAngebot=AD$13,AD30*AG30,IF('Inhaltliche Bewertung - GI'!RechtsformAngebot=V$13,V30*AG30,"")))))</f>
        <v>#N/A</v>
      </c>
      <c r="AJ30" s="351"/>
      <c r="AK30" s="361" t="s">
        <v>3233</v>
      </c>
      <c r="AL30" s="362">
        <v>0.8</v>
      </c>
      <c r="AM30" s="365"/>
      <c r="AN30" s="362">
        <v>0.8</v>
      </c>
      <c r="AO30" s="365"/>
      <c r="AP30" s="362">
        <v>0.8</v>
      </c>
      <c r="AQ30" s="365"/>
      <c r="AR30" s="362">
        <v>0.8</v>
      </c>
      <c r="AS30" s="365"/>
      <c r="AT30" s="362">
        <v>0.8</v>
      </c>
      <c r="AU30" s="365"/>
      <c r="AV30" s="365"/>
      <c r="AW30" s="360">
        <v>1</v>
      </c>
      <c r="AX30" s="351" t="e">
        <f>IF('Inhaltliche Bewertung - GI'!RechtsformGI=AN$13,AN30*AW30,IF('Inhaltliche Bewertung - GI'!RechtsformGI=AP$13,AP30*AW30,IF('Inhaltliche Bewertung - GI'!RechtsformGI=AR$13,AR30*AW30,IF('Inhaltliche Bewertung - GI'!RechtsformGI=AT$13,AT30*AW30,IF('Inhaltliche Bewertung - GI'!RechtsformGI=AL$13,AL30*AW30,"")))))</f>
        <v>#N/A</v>
      </c>
      <c r="AY30" s="351" t="e">
        <f>IF('Inhaltliche Bewertung - GI'!RechtsformAngebot=AN$13,AN30*AW30,IF('Inhaltliche Bewertung - GI'!RechtsformAngebot=AP$13,AP30*AW30,IF('Inhaltliche Bewertung - GI'!RechtsformAngebot=AR$13,AR30*AW30,IF('Inhaltliche Bewertung - GI'!RechtsformAngebot=AT$13,AT30*AW30,IF('Inhaltliche Bewertung - GI'!RechtsformAngebot=AL$13,AL30*AW30,"")))))</f>
        <v>#N/A</v>
      </c>
      <c r="AZ30" s="351"/>
      <c r="BA30" s="361" t="s">
        <v>3233</v>
      </c>
      <c r="BB30" s="366">
        <v>0.8</v>
      </c>
      <c r="BC30" s="365"/>
      <c r="BD30" s="366">
        <v>0.8</v>
      </c>
      <c r="BE30" s="365"/>
      <c r="BF30" s="366">
        <v>0.8</v>
      </c>
      <c r="BG30" s="365"/>
      <c r="BH30" s="366">
        <v>0.8</v>
      </c>
      <c r="BI30" s="365"/>
      <c r="BJ30" s="366">
        <v>0.8</v>
      </c>
      <c r="BK30" s="365"/>
      <c r="BL30" s="365"/>
      <c r="BM30" s="360">
        <v>1</v>
      </c>
      <c r="BN30" s="351" t="e">
        <f>IF('Inhaltliche Bewertung - GI'!RechtsformGI=BD$13,BD30*BM30,IF('Inhaltliche Bewertung - GI'!RechtsformGI=BF$13,BF30*BM30,IF('Inhaltliche Bewertung - GI'!RechtsformGI=BH$13,BH30*BM30,IF('Inhaltliche Bewertung - GI'!RechtsformGI=BJ$13,BJ30*BM30,IF('Inhaltliche Bewertung - GI'!RechtsformGI=BB$13,BB30*BM30,"")))))</f>
        <v>#N/A</v>
      </c>
      <c r="BO30" s="351" t="e">
        <f>IF('Inhaltliche Bewertung - GI'!RechtsformAngebot=BD$13,BD30*BM30,IF('Inhaltliche Bewertung - GI'!RechtsformAngebot=BF$13,BF30*BM30,IF('Inhaltliche Bewertung - GI'!RechtsformAngebot=BH$13,BH30*BM30,IF('Inhaltliche Bewertung - GI'!RechtsformAngebot=BJ$13,BJ30*BM30,IF('Inhaltliche Bewertung - GI'!RechtsformAngebot=BB$13,BB30*BM30,"")))))</f>
        <v>#N/A</v>
      </c>
      <c r="BP30" s="351"/>
      <c r="BQ30" s="361" t="s">
        <v>3233</v>
      </c>
      <c r="BR30" s="367">
        <v>0.8</v>
      </c>
      <c r="BS30" s="368"/>
      <c r="BT30" s="367">
        <v>0.8</v>
      </c>
      <c r="BU30" s="368"/>
      <c r="BV30" s="367">
        <v>0.8</v>
      </c>
      <c r="BW30" s="368"/>
      <c r="BX30" s="367">
        <v>0.8</v>
      </c>
      <c r="BY30" s="368"/>
      <c r="BZ30" s="367">
        <v>0.8</v>
      </c>
      <c r="CA30" s="368"/>
      <c r="CB30" s="368"/>
      <c r="CC30" s="360">
        <v>1</v>
      </c>
      <c r="CD30" s="351" t="e">
        <f>IF('Inhaltliche Bewertung - GI'!RechtsformGI=BT$13,BT30*CC30,IF('Inhaltliche Bewertung - GI'!RechtsformGI=BV$13,BV30*CC30,IF('Inhaltliche Bewertung - GI'!RechtsformGI=BX$13,BX30*CC30,IF('Inhaltliche Bewertung - GI'!RechtsformGI=BZ$13,BZ30*CC30,IF('Inhaltliche Bewertung - GI'!RechtsformGI=BR$13,BR30*CC30,"")))))</f>
        <v>#N/A</v>
      </c>
      <c r="CE30" s="351" t="e">
        <f>IF('Inhaltliche Bewertung - GI'!RechtsformAngebot=BT$13,BT30*CC30,IF('Inhaltliche Bewertung - GI'!RechtsformAngebot=BV$13,BV30*CC30,IF('Inhaltliche Bewertung - GI'!RechtsformAngebot=BX$13,BX30*CC30,IF('Inhaltliche Bewertung - GI'!RechtsformAngebot=BZ$13,BZ30*CC30,IF('Inhaltliche Bewertung - GI'!RechtsformAngebot=BR$13,BR30*CC30,"")))))</f>
        <v>#N/A</v>
      </c>
      <c r="CF30" s="351"/>
      <c r="CG30" s="361" t="s">
        <v>3233</v>
      </c>
      <c r="CH30" s="367">
        <v>0.8</v>
      </c>
      <c r="CI30" s="368"/>
      <c r="CJ30" s="367">
        <v>0.8</v>
      </c>
      <c r="CK30" s="368"/>
      <c r="CL30" s="367">
        <v>0.8</v>
      </c>
      <c r="CM30" s="368"/>
      <c r="CN30" s="367">
        <v>0.8</v>
      </c>
      <c r="CO30" s="368"/>
      <c r="CP30" s="367">
        <v>0.8</v>
      </c>
      <c r="CQ30" s="368"/>
      <c r="CR30" s="368"/>
      <c r="CS30" s="360">
        <v>1</v>
      </c>
      <c r="CT30" s="351" t="e">
        <f>IF('Inhaltliche Bewertung - GI'!RechtsformGI=CJ$13,CJ30*CS30,IF('Inhaltliche Bewertung - GI'!RechtsformGI=CL$13,CL30*CS30,IF('Inhaltliche Bewertung - GI'!RechtsformGI=CN$13,CN30*CS30,IF('Inhaltliche Bewertung - GI'!RechtsformGI=CP$13,CP30*CS30,IF('Inhaltliche Bewertung - GI'!RechtsformGI=CH$13,CH30*CS30,"")))))</f>
        <v>#N/A</v>
      </c>
      <c r="CU30" s="351" t="e">
        <f>IF('Inhaltliche Bewertung - GI'!RechtsformAngebot=CJ$13,CJ30*CS30,IF('Inhaltliche Bewertung - GI'!RechtsformAngebot=CL$13,CL30*CS30,IF('Inhaltliche Bewertung - GI'!RechtsformAngebot=CN$13,CN30*CS30,IF('Inhaltliche Bewertung - GI'!RechtsformAngebot=CP$13,CP30*CS30,IF('Inhaltliche Bewertung - GI'!RechtsformAngebot=CH$13,CH30*CS30,"")))))</f>
        <v>#N/A</v>
      </c>
      <c r="CV30" s="351"/>
      <c r="CW30" s="361" t="s">
        <v>3233</v>
      </c>
      <c r="CX30" s="367">
        <v>0.8</v>
      </c>
      <c r="CY30" s="368"/>
      <c r="CZ30" s="347">
        <v>0.8</v>
      </c>
      <c r="DA30" s="369"/>
      <c r="DB30" s="367">
        <v>0.8</v>
      </c>
      <c r="DC30" s="368"/>
      <c r="DD30" s="367">
        <v>0.8</v>
      </c>
      <c r="DE30" s="368"/>
      <c r="DF30" s="367">
        <v>0.8</v>
      </c>
      <c r="DG30" s="368"/>
      <c r="DH30" s="368"/>
      <c r="DI30" s="360">
        <v>1</v>
      </c>
      <c r="DJ30" s="351" t="e">
        <f>IF('Inhaltliche Bewertung - GI'!RechtsformGI=CZ$13,CZ30*DI30,IF('Inhaltliche Bewertung - GI'!RechtsformGI=DB$13,DB30*DI30,IF('Inhaltliche Bewertung - GI'!RechtsformGI=DD$13,DD30*DI30,IF('Inhaltliche Bewertung - GI'!RechtsformGI=DF$13,DF30*DI30,IF('Inhaltliche Bewertung - GI'!RechtsformGI=CX$13,CX30*DI30,"")))))</f>
        <v>#N/A</v>
      </c>
      <c r="DK30" s="351" t="e">
        <f>IF('Inhaltliche Bewertung - GI'!RechtsformAngebot=CZ$13,CZ30*DI30,IF('Inhaltliche Bewertung - GI'!RechtsformAngebot=DB$13,DB30*DI30,IF('Inhaltliche Bewertung - GI'!RechtsformAngebot=DD$13,DD30*DI30,IF('Inhaltliche Bewertung - GI'!RechtsformAngebot=DF$13,DF30*DI30,IF('Inhaltliche Bewertung - GI'!RechtsformAngebot=CX$13,CX30*DI30,"")))))</f>
        <v>#N/A</v>
      </c>
      <c r="DL30" s="351"/>
      <c r="DM30" s="361" t="s">
        <v>3233</v>
      </c>
      <c r="DN30" s="367">
        <v>0.8</v>
      </c>
      <c r="DO30" s="368"/>
      <c r="DP30" s="367">
        <v>0.8</v>
      </c>
      <c r="DQ30" s="368"/>
      <c r="DR30" s="367">
        <v>0.8</v>
      </c>
      <c r="DS30" s="368"/>
      <c r="DT30" s="367">
        <v>0.8</v>
      </c>
      <c r="DU30" s="368"/>
      <c r="DV30" s="367">
        <v>0.8</v>
      </c>
      <c r="DW30" s="368"/>
      <c r="DX30" s="368"/>
      <c r="DY30" s="360">
        <v>1</v>
      </c>
      <c r="DZ30" s="351" t="e">
        <f>IF('Inhaltliche Bewertung - GI'!RechtsformGI=DP$13,DP30*DY30,IF('Inhaltliche Bewertung - GI'!RechtsformGI=DR$13,DR30*DY30,IF('Inhaltliche Bewertung - GI'!RechtsformGI=DT$13,DT30*DY30,IF('Inhaltliche Bewertung - GI'!RechtsformGI=DV$13,DV30*DY30,IF('Inhaltliche Bewertung - GI'!RechtsformGI=DN$13,DN30*DY30,"")))))</f>
        <v>#N/A</v>
      </c>
      <c r="EA30" s="351" t="e">
        <f>IF('Inhaltliche Bewertung - GI'!RechtsformAngebot=DP$13,DP30*DY30,IF('Inhaltliche Bewertung - GI'!RechtsformAngebot=DR$13,DR30*DY30,IF('Inhaltliche Bewertung - GI'!RechtsformAngebot=DT$13,DT30*DY30,IF('Inhaltliche Bewertung - GI'!RechtsformAngebot=DV$13,DV30*DY30,IF('Inhaltliche Bewertung - GI'!RechtsformAngebot=DN$13,DN30*DY30,"")))))</f>
        <v>#N/A</v>
      </c>
      <c r="EB30" s="351"/>
      <c r="EC30" s="157">
        <f t="shared" si="1"/>
        <v>0</v>
      </c>
      <c r="ED30" s="157">
        <f t="shared" si="2"/>
        <v>0.8</v>
      </c>
      <c r="EE30" s="157">
        <f t="shared" si="3"/>
        <v>0.7000000000000004</v>
      </c>
      <c r="EF30" s="157">
        <f t="shared" si="4"/>
        <v>0.8</v>
      </c>
    </row>
    <row r="31" spans="1:136" ht="14.25" customHeight="1">
      <c r="A31" s="444" t="b">
        <f t="shared" si="0"/>
        <v>0</v>
      </c>
      <c r="B31" s="292"/>
      <c r="C31" s="355" t="s">
        <v>3236</v>
      </c>
      <c r="D31" s="345"/>
      <c r="E31" s="361" t="s">
        <v>3237</v>
      </c>
      <c r="F31" s="362">
        <v>0.3</v>
      </c>
      <c r="G31" s="365"/>
      <c r="H31" s="362">
        <v>0.5</v>
      </c>
      <c r="I31" s="365"/>
      <c r="J31" s="362">
        <v>0.3</v>
      </c>
      <c r="K31" s="365"/>
      <c r="L31" s="362">
        <v>0.3</v>
      </c>
      <c r="M31" s="365"/>
      <c r="N31" s="362">
        <v>0.3</v>
      </c>
      <c r="O31" s="365"/>
      <c r="P31" s="370" t="s">
        <v>3238</v>
      </c>
      <c r="Q31" s="360">
        <v>1</v>
      </c>
      <c r="R31" s="351" t="e">
        <f>IF('Inhaltliche Bewertung - GI'!RechtsformGI=H$13,H31*Q31,IF('Inhaltliche Bewertung - GI'!RechtsformGI=J$13,J31*Q31,IF('Inhaltliche Bewertung - GI'!RechtsformGI=L$13,L31*Q31,IF('Inhaltliche Bewertung - GI'!RechtsformGI=N$13,N31*Q31,IF('Inhaltliche Bewertung - GI'!RechtsformGI=F$13,F31*Q31,"")))))</f>
        <v>#N/A</v>
      </c>
      <c r="S31" s="351" t="e">
        <f>IF('Inhaltliche Bewertung - GI'!RechtsformAngebot=H$13,H31*Q31,IF('Inhaltliche Bewertung - GI'!RechtsformAngebot=J$13,J31*Q31,IF('Inhaltliche Bewertung - GI'!RechtsformAngebot=L$13,L31*Q31,IF('Inhaltliche Bewertung - GI'!RechtsformAngebot=N$13,N31*Q31,IF('Inhaltliche Bewertung - GI'!RechtsformAngebot=F$13,F31*Q31,"")))))</f>
        <v>#N/A</v>
      </c>
      <c r="T31" s="351"/>
      <c r="U31" s="371" t="s">
        <v>3239</v>
      </c>
      <c r="V31" s="362">
        <v>0.3</v>
      </c>
      <c r="W31" s="365"/>
      <c r="X31" s="362">
        <v>0.5</v>
      </c>
      <c r="Y31" s="365"/>
      <c r="Z31" s="362">
        <v>0.3</v>
      </c>
      <c r="AA31" s="365"/>
      <c r="AB31" s="362">
        <v>0.3</v>
      </c>
      <c r="AC31" s="365"/>
      <c r="AD31" s="362">
        <v>0.3</v>
      </c>
      <c r="AE31" s="365"/>
      <c r="AF31" s="370" t="s">
        <v>3238</v>
      </c>
      <c r="AG31" s="360">
        <v>1</v>
      </c>
      <c r="AH31" s="351" t="e">
        <f>IF('Inhaltliche Bewertung - GI'!RechtsformGI=X$13,X31*AG31,IF('Inhaltliche Bewertung - GI'!RechtsformGI=Z$13,Z31*AG31,IF('Inhaltliche Bewertung - GI'!RechtsformGI=AB$13,AB31*AG31,IF('Inhaltliche Bewertung - GI'!RechtsformGI=AD$13,AD31*AG31,IF('Inhaltliche Bewertung - GI'!RechtsformGI=V$13,V31*AG31,"")))))</f>
        <v>#N/A</v>
      </c>
      <c r="AI31" s="351" t="e">
        <f>IF('Inhaltliche Bewertung - GI'!RechtsformAngebot=X$13,X31*AG31,IF('Inhaltliche Bewertung - GI'!RechtsformAngebot=Z$13,Z31*AG31,IF('Inhaltliche Bewertung - GI'!RechtsformAngebot=AB$13,AB31*AG31,IF('Inhaltliche Bewertung - GI'!RechtsformAngebot=AD$13,AD31*AG31,IF('Inhaltliche Bewertung - GI'!RechtsformAngebot=V$13,V31*AG31,"")))))</f>
        <v>#N/A</v>
      </c>
      <c r="AJ31" s="351"/>
      <c r="AK31" s="361" t="s">
        <v>3237</v>
      </c>
      <c r="AL31" s="362">
        <v>0.5</v>
      </c>
      <c r="AM31" s="365"/>
      <c r="AN31" s="362">
        <v>1</v>
      </c>
      <c r="AO31" s="365"/>
      <c r="AP31" s="362">
        <v>0.5</v>
      </c>
      <c r="AQ31" s="365"/>
      <c r="AR31" s="362">
        <v>0.5</v>
      </c>
      <c r="AS31" s="365"/>
      <c r="AT31" s="362">
        <v>0.5</v>
      </c>
      <c r="AU31" s="365"/>
      <c r="AV31" s="370" t="s">
        <v>3238</v>
      </c>
      <c r="AW31" s="360">
        <v>1</v>
      </c>
      <c r="AX31" s="351" t="e">
        <f>IF('Inhaltliche Bewertung - GI'!RechtsformGI=AN$13,AN31*AW31,IF('Inhaltliche Bewertung - GI'!RechtsformGI=AP$13,AP31*AW31,IF('Inhaltliche Bewertung - GI'!RechtsformGI=AR$13,AR31*AW31,IF('Inhaltliche Bewertung - GI'!RechtsformGI=AT$13,AT31*AW31,IF('Inhaltliche Bewertung - GI'!RechtsformGI=AL$13,AL31*AW31,"")))))</f>
        <v>#N/A</v>
      </c>
      <c r="AY31" s="351" t="e">
        <f>IF('Inhaltliche Bewertung - GI'!RechtsformAngebot=AN$13,AN31*AW31,IF('Inhaltliche Bewertung - GI'!RechtsformAngebot=AP$13,AP31*AW31,IF('Inhaltliche Bewertung - GI'!RechtsformAngebot=AR$13,AR31*AW31,IF('Inhaltliche Bewertung - GI'!RechtsformAngebot=AT$13,AT31*AW31,IF('Inhaltliche Bewertung - GI'!RechtsformAngebot=AL$13,AL31*AW31,"")))))</f>
        <v>#N/A</v>
      </c>
      <c r="AZ31" s="351"/>
      <c r="BA31" s="361" t="s">
        <v>3237</v>
      </c>
      <c r="BB31" s="362">
        <v>0.5</v>
      </c>
      <c r="BC31" s="365"/>
      <c r="BD31" s="362">
        <v>1</v>
      </c>
      <c r="BE31" s="365"/>
      <c r="BF31" s="362">
        <v>0.5</v>
      </c>
      <c r="BG31" s="365"/>
      <c r="BH31" s="362">
        <v>0.5</v>
      </c>
      <c r="BI31" s="365"/>
      <c r="BJ31" s="362">
        <v>0.5</v>
      </c>
      <c r="BK31" s="365"/>
      <c r="BL31" s="370" t="s">
        <v>3238</v>
      </c>
      <c r="BM31" s="360">
        <v>1</v>
      </c>
      <c r="BN31" s="351" t="e">
        <f>IF('Inhaltliche Bewertung - GI'!RechtsformGI=BD$13,BD31*BM31,IF('Inhaltliche Bewertung - GI'!RechtsformGI=BF$13,BF31*BM31,IF('Inhaltliche Bewertung - GI'!RechtsformGI=BH$13,BH31*BM31,IF('Inhaltliche Bewertung - GI'!RechtsformGI=BJ$13,BJ31*BM31,IF('Inhaltliche Bewertung - GI'!RechtsformGI=BB$13,BB31*BM31,"")))))</f>
        <v>#N/A</v>
      </c>
      <c r="BO31" s="351" t="e">
        <f>IF('Inhaltliche Bewertung - GI'!RechtsformAngebot=BD$13,BD31*BM31,IF('Inhaltliche Bewertung - GI'!RechtsformAngebot=BF$13,BF31*BM31,IF('Inhaltliche Bewertung - GI'!RechtsformAngebot=BH$13,BH31*BM31,IF('Inhaltliche Bewertung - GI'!RechtsformAngebot=BJ$13,BJ31*BM31,IF('Inhaltliche Bewertung - GI'!RechtsformAngebot=BB$13,BB31*BM31,"")))))</f>
        <v>#N/A</v>
      </c>
      <c r="BP31" s="351"/>
      <c r="BQ31" s="361" t="s">
        <v>3237</v>
      </c>
      <c r="BR31" s="362">
        <v>0.5</v>
      </c>
      <c r="BS31" s="365"/>
      <c r="BT31" s="362">
        <v>1</v>
      </c>
      <c r="BU31" s="365"/>
      <c r="BV31" s="362">
        <v>0.5</v>
      </c>
      <c r="BW31" s="365"/>
      <c r="BX31" s="362">
        <v>0.5</v>
      </c>
      <c r="BY31" s="365"/>
      <c r="BZ31" s="362">
        <v>0.5</v>
      </c>
      <c r="CA31" s="365"/>
      <c r="CB31" s="370" t="s">
        <v>3238</v>
      </c>
      <c r="CC31" s="360">
        <v>1</v>
      </c>
      <c r="CD31" s="351" t="e">
        <f>IF('Inhaltliche Bewertung - GI'!RechtsformGI=BT$13,BT31*CC31,IF('Inhaltliche Bewertung - GI'!RechtsformGI=BV$13,BV31*CC31,IF('Inhaltliche Bewertung - GI'!RechtsformGI=BX$13,BX31*CC31,IF('Inhaltliche Bewertung - GI'!RechtsformGI=BZ$13,BZ31*CC31,IF('Inhaltliche Bewertung - GI'!RechtsformGI=BR$13,BR31*CC31,"")))))</f>
        <v>#N/A</v>
      </c>
      <c r="CE31" s="351" t="e">
        <f>IF('Inhaltliche Bewertung - GI'!RechtsformAngebot=BT$13,BT31*CC31,IF('Inhaltliche Bewertung - GI'!RechtsformAngebot=BV$13,BV31*CC31,IF('Inhaltliche Bewertung - GI'!RechtsformAngebot=BX$13,BX31*CC31,IF('Inhaltliche Bewertung - GI'!RechtsformAngebot=BZ$13,BZ31*CC31,IF('Inhaltliche Bewertung - GI'!RechtsformAngebot=BR$13,BR31*CC31,"")))))</f>
        <v>#N/A</v>
      </c>
      <c r="CF31" s="351"/>
      <c r="CG31" s="361" t="s">
        <v>3237</v>
      </c>
      <c r="CH31" s="362">
        <v>0</v>
      </c>
      <c r="CI31" s="365"/>
      <c r="CJ31" s="362">
        <v>1</v>
      </c>
      <c r="CK31" s="365"/>
      <c r="CL31" s="362">
        <v>0</v>
      </c>
      <c r="CM31" s="365"/>
      <c r="CN31" s="362">
        <v>0</v>
      </c>
      <c r="CO31" s="365"/>
      <c r="CP31" s="362">
        <v>0</v>
      </c>
      <c r="CQ31" s="365"/>
      <c r="CR31" s="370" t="s">
        <v>3238</v>
      </c>
      <c r="CS31" s="360">
        <v>1</v>
      </c>
      <c r="CT31" s="351" t="e">
        <f>IF('Inhaltliche Bewertung - GI'!RechtsformGI=CJ$13,CJ31*CS31,IF('Inhaltliche Bewertung - GI'!RechtsformGI=CL$13,CL31*CS31,IF('Inhaltliche Bewertung - GI'!RechtsformGI=CN$13,CN31*CS31,IF('Inhaltliche Bewertung - GI'!RechtsformGI=CP$13,CP31*CS31,IF('Inhaltliche Bewertung - GI'!RechtsformGI=CH$13,CH31*CS31,"")))))</f>
        <v>#N/A</v>
      </c>
      <c r="CU31" s="351" t="e">
        <f>IF('Inhaltliche Bewertung - GI'!RechtsformAngebot=CJ$13,CJ31*CS31,IF('Inhaltliche Bewertung - GI'!RechtsformAngebot=CL$13,CL31*CS31,IF('Inhaltliche Bewertung - GI'!RechtsformAngebot=CN$13,CN31*CS31,IF('Inhaltliche Bewertung - GI'!RechtsformAngebot=CP$13,CP31*CS31,IF('Inhaltliche Bewertung - GI'!RechtsformAngebot=CH$13,CH31*CS31,"")))))</f>
        <v>#N/A</v>
      </c>
      <c r="CV31" s="351"/>
      <c r="CW31" s="371" t="s">
        <v>3240</v>
      </c>
      <c r="CX31" s="362">
        <v>0.5</v>
      </c>
      <c r="CY31" s="365"/>
      <c r="CZ31" s="362">
        <v>1</v>
      </c>
      <c r="DA31" s="365"/>
      <c r="DB31" s="362">
        <v>0.5</v>
      </c>
      <c r="DC31" s="365"/>
      <c r="DD31" s="362">
        <v>0.5</v>
      </c>
      <c r="DE31" s="365"/>
      <c r="DF31" s="362">
        <v>0.5</v>
      </c>
      <c r="DG31" s="365"/>
      <c r="DH31" s="370" t="s">
        <v>3238</v>
      </c>
      <c r="DI31" s="360">
        <v>1</v>
      </c>
      <c r="DJ31" s="351" t="e">
        <f>IF('Inhaltliche Bewertung - GI'!RechtsformGI=CZ$13,CZ31*DI31,IF('Inhaltliche Bewertung - GI'!RechtsformGI=DB$13,DB31*DI31,IF('Inhaltliche Bewertung - GI'!RechtsformGI=DD$13,DD31*DI31,IF('Inhaltliche Bewertung - GI'!RechtsformGI=DF$13,DF31*DI31,IF('Inhaltliche Bewertung - GI'!RechtsformGI=CX$13,CX31*DI31,"")))))</f>
        <v>#N/A</v>
      </c>
      <c r="DK31" s="351" t="e">
        <f>IF('Inhaltliche Bewertung - GI'!RechtsformAngebot=CZ$13,CZ31*DI31,IF('Inhaltliche Bewertung - GI'!RechtsformAngebot=DB$13,DB31*DI31,IF('Inhaltliche Bewertung - GI'!RechtsformAngebot=DD$13,DD31*DI31,IF('Inhaltliche Bewertung - GI'!RechtsformAngebot=DF$13,DF31*DI31,IF('Inhaltliche Bewertung - GI'!RechtsformAngebot=CX$13,CX31*DI31,"")))))</f>
        <v>#N/A</v>
      </c>
      <c r="DL31" s="351"/>
      <c r="DM31" s="361" t="s">
        <v>3237</v>
      </c>
      <c r="DN31" s="362">
        <v>0.5</v>
      </c>
      <c r="DO31" s="365"/>
      <c r="DP31" s="362">
        <v>1</v>
      </c>
      <c r="DQ31" s="365"/>
      <c r="DR31" s="362">
        <v>0.5</v>
      </c>
      <c r="DS31" s="365"/>
      <c r="DT31" s="362">
        <v>0.5</v>
      </c>
      <c r="DU31" s="365"/>
      <c r="DV31" s="362">
        <v>0.5</v>
      </c>
      <c r="DW31" s="365"/>
      <c r="DX31" s="370" t="s">
        <v>3238</v>
      </c>
      <c r="DY31" s="360">
        <v>1</v>
      </c>
      <c r="DZ31" s="351" t="e">
        <f>IF('Inhaltliche Bewertung - GI'!RechtsformGI=DP$13,DP31*DY31,IF('Inhaltliche Bewertung - GI'!RechtsformGI=DR$13,DR31*DY31,IF('Inhaltliche Bewertung - GI'!RechtsformGI=DT$13,DT31*DY31,IF('Inhaltliche Bewertung - GI'!RechtsformGI=DV$13,DV31*DY31,IF('Inhaltliche Bewertung - GI'!RechtsformGI=DN$13,DN31*DY31,"")))))</f>
        <v>#N/A</v>
      </c>
      <c r="EA31" s="351" t="e">
        <f>IF('Inhaltliche Bewertung - GI'!RechtsformAngebot=DP$13,DP31*DY31,IF('Inhaltliche Bewertung - GI'!RechtsformAngebot=DR$13,DR31*DY31,IF('Inhaltliche Bewertung - GI'!RechtsformAngebot=DT$13,DT31*DY31,IF('Inhaltliche Bewertung - GI'!RechtsformAngebot=DV$13,DV31*DY31,IF('Inhaltliche Bewertung - GI'!RechtsformAngebot=DN$13,DN31*DY31,"")))))</f>
        <v>#N/A</v>
      </c>
      <c r="EB31" s="351"/>
      <c r="EC31" s="157">
        <f t="shared" si="1"/>
        <v>0</v>
      </c>
      <c r="ED31" s="157">
        <f t="shared" si="2"/>
        <v>1</v>
      </c>
      <c r="EE31" s="157">
        <f t="shared" si="3"/>
        <v>0.48499999999999999</v>
      </c>
      <c r="EF31" s="157">
        <f t="shared" si="4"/>
        <v>0.5</v>
      </c>
    </row>
    <row r="32" spans="1:136" ht="14.25" customHeight="1">
      <c r="A32" s="444" t="b">
        <f t="shared" si="0"/>
        <v>1</v>
      </c>
      <c r="B32" s="292"/>
      <c r="C32" s="355" t="s">
        <v>3241</v>
      </c>
      <c r="D32" s="345"/>
      <c r="E32" s="361" t="s">
        <v>3242</v>
      </c>
      <c r="F32" s="362">
        <v>1</v>
      </c>
      <c r="G32" s="365"/>
      <c r="H32" s="362">
        <v>1</v>
      </c>
      <c r="I32" s="365"/>
      <c r="J32" s="362">
        <v>1</v>
      </c>
      <c r="K32" s="365"/>
      <c r="L32" s="362">
        <v>1</v>
      </c>
      <c r="M32" s="365"/>
      <c r="N32" s="362">
        <v>1</v>
      </c>
      <c r="O32" s="365"/>
      <c r="P32" s="370"/>
      <c r="Q32" s="360">
        <v>1</v>
      </c>
      <c r="R32" s="351" t="e">
        <f>IF('Inhaltliche Bewertung - GI'!RechtsformGI=H$13,H32*Q32,IF('Inhaltliche Bewertung - GI'!RechtsformGI=J$13,J32*Q32,IF('Inhaltliche Bewertung - GI'!RechtsformGI=L$13,L32*Q32,IF('Inhaltliche Bewertung - GI'!RechtsformGI=N$13,N32*Q32,IF('Inhaltliche Bewertung - GI'!RechtsformGI=F$13,F32*Q32,"")))))</f>
        <v>#N/A</v>
      </c>
      <c r="S32" s="351" t="e">
        <f>IF('Inhaltliche Bewertung - GI'!RechtsformAngebot=H$13,H32*Q32,IF('Inhaltliche Bewertung - GI'!RechtsformAngebot=J$13,J32*Q32,IF('Inhaltliche Bewertung - GI'!RechtsformAngebot=L$13,L32*Q32,IF('Inhaltliche Bewertung - GI'!RechtsformAngebot=N$13,N32*Q32,IF('Inhaltliche Bewertung - GI'!RechtsformAngebot=F$13,F32*Q32,"")))))</f>
        <v>#N/A</v>
      </c>
      <c r="T32" s="351"/>
      <c r="U32" s="361" t="s">
        <v>3243</v>
      </c>
      <c r="V32" s="362">
        <v>1</v>
      </c>
      <c r="W32" s="365"/>
      <c r="X32" s="362">
        <v>1</v>
      </c>
      <c r="Y32" s="365"/>
      <c r="Z32" s="362">
        <v>1</v>
      </c>
      <c r="AA32" s="365"/>
      <c r="AB32" s="362">
        <v>1</v>
      </c>
      <c r="AC32" s="365"/>
      <c r="AD32" s="362">
        <v>1</v>
      </c>
      <c r="AE32" s="365"/>
      <c r="AF32" s="370"/>
      <c r="AG32" s="360">
        <v>1</v>
      </c>
      <c r="AH32" s="351" t="e">
        <f>IF('Inhaltliche Bewertung - GI'!RechtsformGI=X$13,X32*AG32,IF('Inhaltliche Bewertung - GI'!RechtsformGI=Z$13,Z32*AG32,IF('Inhaltliche Bewertung - GI'!RechtsformGI=AB$13,AB32*AG32,IF('Inhaltliche Bewertung - GI'!RechtsformGI=AD$13,AD32*AG32,IF('Inhaltliche Bewertung - GI'!RechtsformGI=V$13,V32*AG32,"")))))</f>
        <v>#N/A</v>
      </c>
      <c r="AI32" s="351" t="e">
        <f>IF('Inhaltliche Bewertung - GI'!RechtsformAngebot=X$13,X32*AG32,IF('Inhaltliche Bewertung - GI'!RechtsformAngebot=Z$13,Z32*AG32,IF('Inhaltliche Bewertung - GI'!RechtsformAngebot=AB$13,AB32*AG32,IF('Inhaltliche Bewertung - GI'!RechtsformAngebot=AD$13,AD32*AG32,IF('Inhaltliche Bewertung - GI'!RechtsformAngebot=V$13,V32*AG32,"")))))</f>
        <v>#N/A</v>
      </c>
      <c r="AJ32" s="351"/>
      <c r="AK32" s="361" t="s">
        <v>3244</v>
      </c>
      <c r="AL32" s="362">
        <v>1</v>
      </c>
      <c r="AM32" s="365"/>
      <c r="AN32" s="362">
        <v>1</v>
      </c>
      <c r="AO32" s="365"/>
      <c r="AP32" s="362">
        <v>1</v>
      </c>
      <c r="AQ32" s="365"/>
      <c r="AR32" s="362">
        <v>1</v>
      </c>
      <c r="AS32" s="365"/>
      <c r="AT32" s="362">
        <v>1</v>
      </c>
      <c r="AU32" s="365"/>
      <c r="AV32" s="370"/>
      <c r="AW32" s="360">
        <v>1</v>
      </c>
      <c r="AX32" s="351" t="e">
        <f>IF('Inhaltliche Bewertung - GI'!RechtsformGI=AN$13,AN32*AW32,IF('Inhaltliche Bewertung - GI'!RechtsformGI=AP$13,AP32*AW32,IF('Inhaltliche Bewertung - GI'!RechtsformGI=AR$13,AR32*AW32,IF('Inhaltliche Bewertung - GI'!RechtsformGI=AT$13,AT32*AW32,IF('Inhaltliche Bewertung - GI'!RechtsformGI=AL$13,AL32*AW32,"")))))</f>
        <v>#N/A</v>
      </c>
      <c r="AY32" s="351" t="e">
        <f>IF('Inhaltliche Bewertung - GI'!RechtsformAngebot=AN$13,AN32*AW32,IF('Inhaltliche Bewertung - GI'!RechtsformAngebot=AP$13,AP32*AW32,IF('Inhaltliche Bewertung - GI'!RechtsformAngebot=AR$13,AR32*AW32,IF('Inhaltliche Bewertung - GI'!RechtsformAngebot=AT$13,AT32*AW32,IF('Inhaltliche Bewertung - GI'!RechtsformAngebot=AL$13,AL32*AW32,"")))))</f>
        <v>#N/A</v>
      </c>
      <c r="AZ32" s="351"/>
      <c r="BA32" s="361" t="s">
        <v>3245</v>
      </c>
      <c r="BB32" s="362">
        <v>1</v>
      </c>
      <c r="BC32" s="365"/>
      <c r="BD32" s="362">
        <v>1</v>
      </c>
      <c r="BE32" s="365"/>
      <c r="BF32" s="362">
        <v>1</v>
      </c>
      <c r="BG32" s="365"/>
      <c r="BH32" s="362">
        <v>1</v>
      </c>
      <c r="BI32" s="365"/>
      <c r="BJ32" s="362">
        <v>1</v>
      </c>
      <c r="BK32" s="365"/>
      <c r="BL32" s="370"/>
      <c r="BM32" s="360">
        <v>1</v>
      </c>
      <c r="BN32" s="351" t="e">
        <f>IF('Inhaltliche Bewertung - GI'!RechtsformGI=BD$13,BD32*BM32,IF('Inhaltliche Bewertung - GI'!RechtsformGI=BF$13,BF32*BM32,IF('Inhaltliche Bewertung - GI'!RechtsformGI=BH$13,BH32*BM32,IF('Inhaltliche Bewertung - GI'!RechtsformGI=BJ$13,BJ32*BM32,IF('Inhaltliche Bewertung - GI'!RechtsformGI=BB$13,BB32*BM32,"")))))</f>
        <v>#N/A</v>
      </c>
      <c r="BO32" s="351" t="e">
        <f>IF('Inhaltliche Bewertung - GI'!RechtsformAngebot=BD$13,BD32*BM32,IF('Inhaltliche Bewertung - GI'!RechtsformAngebot=BF$13,BF32*BM32,IF('Inhaltliche Bewertung - GI'!RechtsformAngebot=BH$13,BH32*BM32,IF('Inhaltliche Bewertung - GI'!RechtsformAngebot=BJ$13,BJ32*BM32,IF('Inhaltliche Bewertung - GI'!RechtsformAngebot=BB$13,BB32*BM32,"")))))</f>
        <v>#N/A</v>
      </c>
      <c r="BP32" s="351"/>
      <c r="BQ32" s="361" t="s">
        <v>3245</v>
      </c>
      <c r="BR32" s="362">
        <v>1</v>
      </c>
      <c r="BS32" s="365"/>
      <c r="BT32" s="362">
        <v>1</v>
      </c>
      <c r="BU32" s="365"/>
      <c r="BV32" s="362">
        <v>1</v>
      </c>
      <c r="BW32" s="365"/>
      <c r="BX32" s="362">
        <v>1</v>
      </c>
      <c r="BY32" s="365"/>
      <c r="BZ32" s="362">
        <v>1</v>
      </c>
      <c r="CA32" s="365"/>
      <c r="CB32" s="370"/>
      <c r="CC32" s="360">
        <v>1</v>
      </c>
      <c r="CD32" s="351" t="e">
        <f>IF('Inhaltliche Bewertung - GI'!RechtsformGI=BT$13,BT32*CC32,IF('Inhaltliche Bewertung - GI'!RechtsformGI=BV$13,BV32*CC32,IF('Inhaltliche Bewertung - GI'!RechtsformGI=BX$13,BX32*CC32,IF('Inhaltliche Bewertung - GI'!RechtsformGI=BZ$13,BZ32*CC32,IF('Inhaltliche Bewertung - GI'!RechtsformGI=BR$13,BR32*CC32,"")))))</f>
        <v>#N/A</v>
      </c>
      <c r="CE32" s="351" t="e">
        <f>IF('Inhaltliche Bewertung - GI'!RechtsformAngebot=BT$13,BT32*CC32,IF('Inhaltliche Bewertung - GI'!RechtsformAngebot=BV$13,BV32*CC32,IF('Inhaltliche Bewertung - GI'!RechtsformAngebot=BX$13,BX32*CC32,IF('Inhaltliche Bewertung - GI'!RechtsformAngebot=BZ$13,BZ32*CC32,IF('Inhaltliche Bewertung - GI'!RechtsformAngebot=BR$13,BR32*CC32,"")))))</f>
        <v>#N/A</v>
      </c>
      <c r="CF32" s="351"/>
      <c r="CG32" s="361" t="s">
        <v>3244</v>
      </c>
      <c r="CH32" s="362">
        <v>1</v>
      </c>
      <c r="CI32" s="365"/>
      <c r="CJ32" s="362">
        <v>1</v>
      </c>
      <c r="CK32" s="365"/>
      <c r="CL32" s="362">
        <v>1</v>
      </c>
      <c r="CM32" s="365"/>
      <c r="CN32" s="362">
        <v>1</v>
      </c>
      <c r="CO32" s="365"/>
      <c r="CP32" s="362">
        <v>1</v>
      </c>
      <c r="CQ32" s="365"/>
      <c r="CR32" s="370"/>
      <c r="CS32" s="360">
        <v>1</v>
      </c>
      <c r="CT32" s="351" t="e">
        <f>IF('Inhaltliche Bewertung - GI'!RechtsformGI=CJ$13,CJ32*CS32,IF('Inhaltliche Bewertung - GI'!RechtsformGI=CL$13,CL32*CS32,IF('Inhaltliche Bewertung - GI'!RechtsformGI=CN$13,CN32*CS32,IF('Inhaltliche Bewertung - GI'!RechtsformGI=CP$13,CP32*CS32,IF('Inhaltliche Bewertung - GI'!RechtsformGI=CH$13,CH32*CS32,"")))))</f>
        <v>#N/A</v>
      </c>
      <c r="CU32" s="351" t="e">
        <f>IF('Inhaltliche Bewertung - GI'!RechtsformAngebot=CJ$13,CJ32*CS32,IF('Inhaltliche Bewertung - GI'!RechtsformAngebot=CL$13,CL32*CS32,IF('Inhaltliche Bewertung - GI'!RechtsformAngebot=CN$13,CN32*CS32,IF('Inhaltliche Bewertung - GI'!RechtsformAngebot=CP$13,CP32*CS32,IF('Inhaltliche Bewertung - GI'!RechtsformAngebot=CH$13,CH32*CS32,"")))))</f>
        <v>#N/A</v>
      </c>
      <c r="CV32" s="351"/>
      <c r="CW32" s="361" t="s">
        <v>3245</v>
      </c>
      <c r="CX32" s="362">
        <v>1</v>
      </c>
      <c r="CY32" s="365"/>
      <c r="CZ32" s="362">
        <v>1</v>
      </c>
      <c r="DA32" s="365"/>
      <c r="DB32" s="362">
        <v>1</v>
      </c>
      <c r="DC32" s="365"/>
      <c r="DD32" s="362">
        <v>1</v>
      </c>
      <c r="DE32" s="365"/>
      <c r="DF32" s="362">
        <v>1</v>
      </c>
      <c r="DG32" s="365"/>
      <c r="DH32" s="370"/>
      <c r="DI32" s="360">
        <v>1</v>
      </c>
      <c r="DJ32" s="351" t="e">
        <f>IF('Inhaltliche Bewertung - GI'!RechtsformGI=CZ$13,CZ32*DI32,IF('Inhaltliche Bewertung - GI'!RechtsformGI=DB$13,DB32*DI32,IF('Inhaltliche Bewertung - GI'!RechtsformGI=DD$13,DD32*DI32,IF('Inhaltliche Bewertung - GI'!RechtsformGI=DF$13,DF32*DI32,IF('Inhaltliche Bewertung - GI'!RechtsformGI=CX$13,CX32*DI32,"")))))</f>
        <v>#N/A</v>
      </c>
      <c r="DK32" s="351" t="e">
        <f>IF('Inhaltliche Bewertung - GI'!RechtsformAngebot=CZ$13,CZ32*DI32,IF('Inhaltliche Bewertung - GI'!RechtsformAngebot=DB$13,DB32*DI32,IF('Inhaltliche Bewertung - GI'!RechtsformAngebot=DD$13,DD32*DI32,IF('Inhaltliche Bewertung - GI'!RechtsformAngebot=DF$13,DF32*DI32,IF('Inhaltliche Bewertung - GI'!RechtsformAngebot=CX$13,CX32*DI32,"")))))</f>
        <v>#N/A</v>
      </c>
      <c r="DL32" s="351"/>
      <c r="DM32" s="361" t="s">
        <v>3245</v>
      </c>
      <c r="DN32" s="362">
        <v>1</v>
      </c>
      <c r="DO32" s="365"/>
      <c r="DP32" s="362">
        <v>1</v>
      </c>
      <c r="DQ32" s="365"/>
      <c r="DR32" s="362">
        <v>1</v>
      </c>
      <c r="DS32" s="365"/>
      <c r="DT32" s="362">
        <v>1</v>
      </c>
      <c r="DU32" s="365"/>
      <c r="DV32" s="362">
        <v>1</v>
      </c>
      <c r="DW32" s="365"/>
      <c r="DX32" s="370"/>
      <c r="DY32" s="360">
        <v>1</v>
      </c>
      <c r="DZ32" s="351" t="e">
        <f>IF('Inhaltliche Bewertung - GI'!RechtsformGI=DP$13,DP32*DY32,IF('Inhaltliche Bewertung - GI'!RechtsformGI=DR$13,DR32*DY32,IF('Inhaltliche Bewertung - GI'!RechtsformGI=DT$13,DT32*DY32,IF('Inhaltliche Bewertung - GI'!RechtsformGI=DV$13,DV32*DY32,IF('Inhaltliche Bewertung - GI'!RechtsformGI=DN$13,DN32*DY32,"")))))</f>
        <v>#N/A</v>
      </c>
      <c r="EA32" s="351" t="e">
        <f>IF('Inhaltliche Bewertung - GI'!RechtsformAngebot=DP$13,DP32*DY32,IF('Inhaltliche Bewertung - GI'!RechtsformAngebot=DR$13,DR32*DY32,IF('Inhaltliche Bewertung - GI'!RechtsformAngebot=DT$13,DT32*DY32,IF('Inhaltliche Bewertung - GI'!RechtsformAngebot=DV$13,DV32*DY32,IF('Inhaltliche Bewertung - GI'!RechtsformAngebot=DN$13,DN32*DY32,"")))))</f>
        <v>#N/A</v>
      </c>
      <c r="EB32" s="351"/>
      <c r="EC32" s="157">
        <f t="shared" si="1"/>
        <v>1</v>
      </c>
      <c r="ED32" s="157">
        <f t="shared" si="2"/>
        <v>1</v>
      </c>
      <c r="EE32" s="157">
        <f t="shared" si="3"/>
        <v>1</v>
      </c>
      <c r="EF32" s="157">
        <f t="shared" si="4"/>
        <v>1</v>
      </c>
    </row>
    <row r="33" spans="1:136" ht="14.25" customHeight="1">
      <c r="A33" s="444" t="b">
        <f t="shared" si="0"/>
        <v>1</v>
      </c>
      <c r="B33" s="292"/>
      <c r="C33" s="355" t="s">
        <v>3246</v>
      </c>
      <c r="D33" s="345"/>
      <c r="E33" s="371" t="s">
        <v>3247</v>
      </c>
      <c r="F33" s="372">
        <v>0.8</v>
      </c>
      <c r="G33" s="358"/>
      <c r="H33" s="372">
        <v>0.8</v>
      </c>
      <c r="I33" s="358"/>
      <c r="J33" s="372">
        <v>0.8</v>
      </c>
      <c r="K33" s="358"/>
      <c r="L33" s="372">
        <v>0.8</v>
      </c>
      <c r="M33" s="358"/>
      <c r="N33" s="372">
        <v>0.8</v>
      </c>
      <c r="O33" s="358"/>
      <c r="P33" s="359"/>
      <c r="Q33" s="360">
        <v>1</v>
      </c>
      <c r="R33" s="351" t="e">
        <f>IF('Inhaltliche Bewertung - GI'!RechtsformGI=H$13,H33*Q33,IF('Inhaltliche Bewertung - GI'!RechtsformGI=J$13,J33*Q33,IF('Inhaltliche Bewertung - GI'!RechtsformGI=L$13,L33*Q33,IF('Inhaltliche Bewertung - GI'!RechtsformGI=N$13,N33*Q33,IF('Inhaltliche Bewertung - GI'!RechtsformGI=F$13,F33*Q33,"")))))</f>
        <v>#N/A</v>
      </c>
      <c r="S33" s="351" t="e">
        <f>IF('Inhaltliche Bewertung - GI'!RechtsformAngebot=H$13,H33*Q33,IF('Inhaltliche Bewertung - GI'!RechtsformAngebot=J$13,J33*Q33,IF('Inhaltliche Bewertung - GI'!RechtsformAngebot=L$13,L33*Q33,IF('Inhaltliche Bewertung - GI'!RechtsformAngebot=N$13,N33*Q33,IF('Inhaltliche Bewertung - GI'!RechtsformAngebot=F$13,F33*Q33,"")))))</f>
        <v>#N/A</v>
      </c>
      <c r="T33" s="351"/>
      <c r="U33" s="371" t="s">
        <v>3248</v>
      </c>
      <c r="V33" s="372">
        <v>0.8</v>
      </c>
      <c r="W33" s="358"/>
      <c r="X33" s="372">
        <v>0.8</v>
      </c>
      <c r="Y33" s="358"/>
      <c r="Z33" s="372">
        <v>0.8</v>
      </c>
      <c r="AA33" s="358"/>
      <c r="AB33" s="372">
        <v>0.8</v>
      </c>
      <c r="AC33" s="358"/>
      <c r="AD33" s="372">
        <v>0.8</v>
      </c>
      <c r="AE33" s="358"/>
      <c r="AF33" s="359"/>
      <c r="AG33" s="360">
        <v>1</v>
      </c>
      <c r="AH33" s="351" t="e">
        <f>IF('Inhaltliche Bewertung - GI'!RechtsformGI=X$13,X33*AG33,IF('Inhaltliche Bewertung - GI'!RechtsformGI=Z$13,Z33*AG33,IF('Inhaltliche Bewertung - GI'!RechtsformGI=AB$13,AB33*AG33,IF('Inhaltliche Bewertung - GI'!RechtsformGI=AD$13,AD33*AG33,IF('Inhaltliche Bewertung - GI'!RechtsformGI=V$13,V33*AG33,"")))))</f>
        <v>#N/A</v>
      </c>
      <c r="AI33" s="351" t="e">
        <f>IF('Inhaltliche Bewertung - GI'!RechtsformAngebot=X$13,X33*AG33,IF('Inhaltliche Bewertung - GI'!RechtsformAngebot=Z$13,Z33*AG33,IF('Inhaltliche Bewertung - GI'!RechtsformAngebot=AB$13,AB33*AG33,IF('Inhaltliche Bewertung - GI'!RechtsformAngebot=AD$13,AD33*AG33,IF('Inhaltliche Bewertung - GI'!RechtsformAngebot=V$13,V33*AG33,"")))))</f>
        <v>#N/A</v>
      </c>
      <c r="AJ33" s="351"/>
      <c r="AK33" s="371" t="s">
        <v>3249</v>
      </c>
      <c r="AL33" s="372">
        <v>0.8</v>
      </c>
      <c r="AM33" s="358"/>
      <c r="AN33" s="372">
        <v>0.8</v>
      </c>
      <c r="AO33" s="358"/>
      <c r="AP33" s="372">
        <v>0.8</v>
      </c>
      <c r="AQ33" s="358"/>
      <c r="AR33" s="372">
        <v>0.8</v>
      </c>
      <c r="AS33" s="358"/>
      <c r="AT33" s="372">
        <v>0.8</v>
      </c>
      <c r="AU33" s="358"/>
      <c r="AV33" s="359"/>
      <c r="AW33" s="360">
        <v>1</v>
      </c>
      <c r="AX33" s="351" t="e">
        <f>IF('Inhaltliche Bewertung - GI'!RechtsformGI=AN$13,AN33*AW33,IF('Inhaltliche Bewertung - GI'!RechtsformGI=AP$13,AP33*AW33,IF('Inhaltliche Bewertung - GI'!RechtsformGI=AR$13,AR33*AW33,IF('Inhaltliche Bewertung - GI'!RechtsformGI=AT$13,AT33*AW33,IF('Inhaltliche Bewertung - GI'!RechtsformGI=AL$13,AL33*AW33,"")))))</f>
        <v>#N/A</v>
      </c>
      <c r="AY33" s="351" t="e">
        <f>IF('Inhaltliche Bewertung - GI'!RechtsformAngebot=AN$13,AN33*AW33,IF('Inhaltliche Bewertung - GI'!RechtsformAngebot=AP$13,AP33*AW33,IF('Inhaltliche Bewertung - GI'!RechtsformAngebot=AR$13,AR33*AW33,IF('Inhaltliche Bewertung - GI'!RechtsformAngebot=AT$13,AT33*AW33,IF('Inhaltliche Bewertung - GI'!RechtsformAngebot=AL$13,AL33*AW33,"")))))</f>
        <v>#N/A</v>
      </c>
      <c r="AZ33" s="351"/>
      <c r="BA33" s="361" t="s">
        <v>3250</v>
      </c>
      <c r="BB33" s="372">
        <v>0.8</v>
      </c>
      <c r="BC33" s="358"/>
      <c r="BD33" s="372">
        <v>0.8</v>
      </c>
      <c r="BE33" s="358"/>
      <c r="BF33" s="372">
        <v>0.8</v>
      </c>
      <c r="BG33" s="358"/>
      <c r="BH33" s="372">
        <v>0.8</v>
      </c>
      <c r="BI33" s="358"/>
      <c r="BJ33" s="372">
        <v>0.8</v>
      </c>
      <c r="BK33" s="358"/>
      <c r="BL33" s="359"/>
      <c r="BM33" s="360">
        <v>1</v>
      </c>
      <c r="BN33" s="351" t="e">
        <f>IF('Inhaltliche Bewertung - GI'!RechtsformGI=BD$13,BD33*BM33,IF('Inhaltliche Bewertung - GI'!RechtsformGI=BF$13,BF33*BM33,IF('Inhaltliche Bewertung - GI'!RechtsformGI=BH$13,BH33*BM33,IF('Inhaltliche Bewertung - GI'!RechtsformGI=BJ$13,BJ33*BM33,IF('Inhaltliche Bewertung - GI'!RechtsformGI=BB$13,BB33*BM33,"")))))</f>
        <v>#N/A</v>
      </c>
      <c r="BO33" s="351" t="e">
        <f>IF('Inhaltliche Bewertung - GI'!RechtsformAngebot=BD$13,BD33*BM33,IF('Inhaltliche Bewertung - GI'!RechtsformAngebot=BF$13,BF33*BM33,IF('Inhaltliche Bewertung - GI'!RechtsformAngebot=BH$13,BH33*BM33,IF('Inhaltliche Bewertung - GI'!RechtsformAngebot=BJ$13,BJ33*BM33,IF('Inhaltliche Bewertung - GI'!RechtsformAngebot=BB$13,BB33*BM33,"")))))</f>
        <v>#N/A</v>
      </c>
      <c r="BP33" s="351"/>
      <c r="BQ33" s="361" t="s">
        <v>3251</v>
      </c>
      <c r="BR33" s="372">
        <v>0.8</v>
      </c>
      <c r="BS33" s="358"/>
      <c r="BT33" s="372">
        <v>0.8</v>
      </c>
      <c r="BU33" s="358"/>
      <c r="BV33" s="372">
        <v>0.8</v>
      </c>
      <c r="BW33" s="358"/>
      <c r="BX33" s="372">
        <v>0.8</v>
      </c>
      <c r="BY33" s="358"/>
      <c r="BZ33" s="372">
        <v>0.8</v>
      </c>
      <c r="CA33" s="358"/>
      <c r="CB33" s="359"/>
      <c r="CC33" s="360">
        <v>1</v>
      </c>
      <c r="CD33" s="351" t="e">
        <f>IF('Inhaltliche Bewertung - GI'!RechtsformGI=BT$13,BT33*CC33,IF('Inhaltliche Bewertung - GI'!RechtsformGI=BV$13,BV33*CC33,IF('Inhaltliche Bewertung - GI'!RechtsformGI=BX$13,BX33*CC33,IF('Inhaltliche Bewertung - GI'!RechtsformGI=BZ$13,BZ33*CC33,IF('Inhaltliche Bewertung - GI'!RechtsformGI=BR$13,BR33*CC33,"")))))</f>
        <v>#N/A</v>
      </c>
      <c r="CE33" s="351" t="e">
        <f>IF('Inhaltliche Bewertung - GI'!RechtsformAngebot=BT$13,BT33*CC33,IF('Inhaltliche Bewertung - GI'!RechtsformAngebot=BV$13,BV33*CC33,IF('Inhaltliche Bewertung - GI'!RechtsformAngebot=BX$13,BX33*CC33,IF('Inhaltliche Bewertung - GI'!RechtsformAngebot=BZ$13,BZ33*CC33,IF('Inhaltliche Bewertung - GI'!RechtsformAngebot=BR$13,BR33*CC33,"")))))</f>
        <v>#N/A</v>
      </c>
      <c r="CF33" s="351"/>
      <c r="CG33" s="361" t="s">
        <v>3252</v>
      </c>
      <c r="CH33" s="372">
        <v>0.8</v>
      </c>
      <c r="CI33" s="358"/>
      <c r="CJ33" s="372">
        <v>0.8</v>
      </c>
      <c r="CK33" s="358"/>
      <c r="CL33" s="372">
        <v>0.8</v>
      </c>
      <c r="CM33" s="358"/>
      <c r="CN33" s="372">
        <v>0.8</v>
      </c>
      <c r="CO33" s="358"/>
      <c r="CP33" s="372">
        <v>0.8</v>
      </c>
      <c r="CQ33" s="358"/>
      <c r="CR33" s="359"/>
      <c r="CS33" s="360">
        <v>1</v>
      </c>
      <c r="CT33" s="351" t="e">
        <f>IF('Inhaltliche Bewertung - GI'!RechtsformGI=CJ$13,CJ33*CS33,IF('Inhaltliche Bewertung - GI'!RechtsformGI=CL$13,CL33*CS33,IF('Inhaltliche Bewertung - GI'!RechtsformGI=CN$13,CN33*CS33,IF('Inhaltliche Bewertung - GI'!RechtsformGI=CP$13,CP33*CS33,IF('Inhaltliche Bewertung - GI'!RechtsformGI=CH$13,CH33*CS33,"")))))</f>
        <v>#N/A</v>
      </c>
      <c r="CU33" s="351" t="e">
        <f>IF('Inhaltliche Bewertung - GI'!RechtsformAngebot=CJ$13,CJ33*CS33,IF('Inhaltliche Bewertung - GI'!RechtsformAngebot=CL$13,CL33*CS33,IF('Inhaltliche Bewertung - GI'!RechtsformAngebot=CN$13,CN33*CS33,IF('Inhaltliche Bewertung - GI'!RechtsformAngebot=CP$13,CP33*CS33,IF('Inhaltliche Bewertung - GI'!RechtsformAngebot=CH$13,CH33*CS33,"")))))</f>
        <v>#N/A</v>
      </c>
      <c r="CV33" s="351"/>
      <c r="CW33" s="361" t="s">
        <v>3253</v>
      </c>
      <c r="CX33" s="372">
        <v>0.8</v>
      </c>
      <c r="CY33" s="358"/>
      <c r="CZ33" s="372">
        <v>0.8</v>
      </c>
      <c r="DA33" s="358"/>
      <c r="DB33" s="372">
        <v>0.8</v>
      </c>
      <c r="DC33" s="358"/>
      <c r="DD33" s="372">
        <v>0.8</v>
      </c>
      <c r="DE33" s="358"/>
      <c r="DF33" s="372">
        <v>0.8</v>
      </c>
      <c r="DG33" s="358"/>
      <c r="DH33" s="359"/>
      <c r="DI33" s="360">
        <v>1</v>
      </c>
      <c r="DJ33" s="351" t="e">
        <f>IF('Inhaltliche Bewertung - GI'!RechtsformGI=CZ$13,CZ33*DI33,IF('Inhaltliche Bewertung - GI'!RechtsformGI=DB$13,DB33*DI33,IF('Inhaltliche Bewertung - GI'!RechtsformGI=DD$13,DD33*DI33,IF('Inhaltliche Bewertung - GI'!RechtsformGI=DF$13,DF33*DI33,IF('Inhaltliche Bewertung - GI'!RechtsformGI=CX$13,CX33*DI33,"")))))</f>
        <v>#N/A</v>
      </c>
      <c r="DK33" s="351" t="e">
        <f>IF('Inhaltliche Bewertung - GI'!RechtsformAngebot=CZ$13,CZ33*DI33,IF('Inhaltliche Bewertung - GI'!RechtsformAngebot=DB$13,DB33*DI33,IF('Inhaltliche Bewertung - GI'!RechtsformAngebot=DD$13,DD33*DI33,IF('Inhaltliche Bewertung - GI'!RechtsformAngebot=DF$13,DF33*DI33,IF('Inhaltliche Bewertung - GI'!RechtsformAngebot=CX$13,CX33*DI33,"")))))</f>
        <v>#N/A</v>
      </c>
      <c r="DL33" s="351"/>
      <c r="DM33" s="361" t="s">
        <v>3254</v>
      </c>
      <c r="DN33" s="372">
        <v>0.8</v>
      </c>
      <c r="DO33" s="358"/>
      <c r="DP33" s="372">
        <v>0.8</v>
      </c>
      <c r="DQ33" s="358"/>
      <c r="DR33" s="372">
        <v>0.8</v>
      </c>
      <c r="DS33" s="358"/>
      <c r="DT33" s="372">
        <v>0.8</v>
      </c>
      <c r="DU33" s="358"/>
      <c r="DV33" s="372">
        <v>0.8</v>
      </c>
      <c r="DW33" s="358"/>
      <c r="DX33" s="359"/>
      <c r="DY33" s="360">
        <v>1</v>
      </c>
      <c r="DZ33" s="351" t="e">
        <f>IF('Inhaltliche Bewertung - GI'!RechtsformGI=DP$13,DP33*DY33,IF('Inhaltliche Bewertung - GI'!RechtsformGI=DR$13,DR33*DY33,IF('Inhaltliche Bewertung - GI'!RechtsformGI=DT$13,DT33*DY33,IF('Inhaltliche Bewertung - GI'!RechtsformGI=DV$13,DV33*DY33,IF('Inhaltliche Bewertung - GI'!RechtsformGI=DN$13,DN33*DY33,"")))))</f>
        <v>#N/A</v>
      </c>
      <c r="EA33" s="351" t="e">
        <f>IF('Inhaltliche Bewertung - GI'!RechtsformAngebot=DP$13,DP33*DY33,IF('Inhaltliche Bewertung - GI'!RechtsformAngebot=DR$13,DR33*DY33,IF('Inhaltliche Bewertung - GI'!RechtsformAngebot=DT$13,DT33*DY33,IF('Inhaltliche Bewertung - GI'!RechtsformAngebot=DV$13,DV33*DY33,IF('Inhaltliche Bewertung - GI'!RechtsformAngebot=DN$13,DN33*DY33,"")))))</f>
        <v>#N/A</v>
      </c>
      <c r="EB33" s="351"/>
      <c r="EC33" s="157">
        <f t="shared" si="1"/>
        <v>0.8</v>
      </c>
      <c r="ED33" s="157">
        <f t="shared" si="2"/>
        <v>0.8</v>
      </c>
      <c r="EE33" s="157">
        <f t="shared" si="3"/>
        <v>0.80000000000000038</v>
      </c>
      <c r="EF33" s="157">
        <f t="shared" si="4"/>
        <v>0.8</v>
      </c>
    </row>
    <row r="34" spans="1:136" ht="14.25" customHeight="1">
      <c r="A34" s="444" t="b">
        <f t="shared" si="0"/>
        <v>0</v>
      </c>
      <c r="B34" s="292"/>
      <c r="C34" s="355" t="s">
        <v>3255</v>
      </c>
      <c r="D34" s="345"/>
      <c r="E34" s="356" t="s">
        <v>3234</v>
      </c>
      <c r="F34" s="357">
        <v>0</v>
      </c>
      <c r="G34" s="358"/>
      <c r="H34" s="357">
        <v>0</v>
      </c>
      <c r="I34" s="358"/>
      <c r="J34" s="357">
        <v>0</v>
      </c>
      <c r="K34" s="358"/>
      <c r="L34" s="357">
        <v>0</v>
      </c>
      <c r="M34" s="358"/>
      <c r="N34" s="357">
        <v>0</v>
      </c>
      <c r="O34" s="358"/>
      <c r="P34" s="359"/>
      <c r="Q34" s="373">
        <v>1</v>
      </c>
      <c r="R34" s="351" t="e">
        <f>IF('Inhaltliche Bewertung - GI'!RechtsformGI=H$13,H34*Q34,IF('Inhaltliche Bewertung - GI'!RechtsformGI=J$13,J34*Q34,IF('Inhaltliche Bewertung - GI'!RechtsformGI=L$13,L34*Q34,IF('Inhaltliche Bewertung - GI'!RechtsformGI=N$13,N34*Q34,IF('Inhaltliche Bewertung - GI'!RechtsformGI=F$13,F34*Q34,"")))))</f>
        <v>#N/A</v>
      </c>
      <c r="S34" s="351" t="e">
        <f>IF('Inhaltliche Bewertung - GI'!RechtsformAngebot=H$13,H34*Q34,IF('Inhaltliche Bewertung - GI'!RechtsformAngebot=J$13,J34*Q34,IF('Inhaltliche Bewertung - GI'!RechtsformAngebot=L$13,L34*Q34,IF('Inhaltliche Bewertung - GI'!RechtsformAngebot=N$13,N34*Q34,IF('Inhaltliche Bewertung - GI'!RechtsformAngebot=F$13,F34*Q34,"")))))</f>
        <v>#N/A</v>
      </c>
      <c r="T34" s="351"/>
      <c r="U34" s="356" t="s">
        <v>3234</v>
      </c>
      <c r="V34" s="357">
        <v>0</v>
      </c>
      <c r="W34" s="374"/>
      <c r="X34" s="375">
        <v>0</v>
      </c>
      <c r="Y34" s="374"/>
      <c r="Z34" s="375">
        <v>0</v>
      </c>
      <c r="AA34" s="374"/>
      <c r="AB34" s="375">
        <v>0</v>
      </c>
      <c r="AC34" s="374"/>
      <c r="AD34" s="375">
        <v>0</v>
      </c>
      <c r="AE34" s="374"/>
      <c r="AF34" s="374"/>
      <c r="AG34" s="373">
        <v>1</v>
      </c>
      <c r="AH34" s="351" t="e">
        <f>IF('Inhaltliche Bewertung - GI'!RechtsformGI=X$13,X34*AG34,IF('Inhaltliche Bewertung - GI'!RechtsformGI=Z$13,Z34*AG34,IF('Inhaltliche Bewertung - GI'!RechtsformGI=AB$13,AB34*AG34,IF('Inhaltliche Bewertung - GI'!RechtsformGI=AD$13,AD34*AG34,IF('Inhaltliche Bewertung - GI'!RechtsformGI=V$13,V34*AG34,"")))))</f>
        <v>#N/A</v>
      </c>
      <c r="AI34" s="351" t="e">
        <f>IF('Inhaltliche Bewertung - GI'!RechtsformAngebot=X$13,X34*AG34,IF('Inhaltliche Bewertung - GI'!RechtsformAngebot=Z$13,Z34*AG34,IF('Inhaltliche Bewertung - GI'!RechtsformAngebot=AB$13,AB34*AG34,IF('Inhaltliche Bewertung - GI'!RechtsformAngebot=AD$13,AD34*AG34,IF('Inhaltliche Bewertung - GI'!RechtsformAngebot=V$13,V34*AG34,"")))))</f>
        <v>#N/A</v>
      </c>
      <c r="AJ34" s="351"/>
      <c r="AK34" s="356" t="s">
        <v>3234</v>
      </c>
      <c r="AL34" s="357">
        <v>0</v>
      </c>
      <c r="AM34" s="358"/>
      <c r="AN34" s="357">
        <v>0</v>
      </c>
      <c r="AO34" s="358"/>
      <c r="AP34" s="357">
        <v>0</v>
      </c>
      <c r="AQ34" s="358"/>
      <c r="AR34" s="357">
        <v>0</v>
      </c>
      <c r="AS34" s="358"/>
      <c r="AT34" s="357">
        <v>0</v>
      </c>
      <c r="AU34" s="358"/>
      <c r="AV34" s="358"/>
      <c r="AW34" s="373">
        <v>1</v>
      </c>
      <c r="AX34" s="351" t="e">
        <f>IF('Inhaltliche Bewertung - GI'!RechtsformGI=AN$13,AN34*AW34,IF('Inhaltliche Bewertung - GI'!RechtsformGI=AP$13,AP34*AW34,IF('Inhaltliche Bewertung - GI'!RechtsformGI=AR$13,AR34*AW34,IF('Inhaltliche Bewertung - GI'!RechtsformGI=AT$13,AT34*AW34,IF('Inhaltliche Bewertung - GI'!RechtsformGI=AL$13,AL34*AW34,"")))))</f>
        <v>#N/A</v>
      </c>
      <c r="AY34" s="351" t="e">
        <f>IF('Inhaltliche Bewertung - GI'!RechtsformAngebot=AN$13,AN34*AW34,IF('Inhaltliche Bewertung - GI'!RechtsformAngebot=AP$13,AP34*AW34,IF('Inhaltliche Bewertung - GI'!RechtsformAngebot=AR$13,AR34*AW34,IF('Inhaltliche Bewertung - GI'!RechtsformAngebot=AT$13,AT34*AW34,IF('Inhaltliche Bewertung - GI'!RechtsformAngebot=AL$13,AL34*AW34,"")))))</f>
        <v>#N/A</v>
      </c>
      <c r="AZ34" s="351"/>
      <c r="BA34" s="361" t="s">
        <v>3256</v>
      </c>
      <c r="BB34" s="366">
        <v>0.7</v>
      </c>
      <c r="BC34" s="365"/>
      <c r="BD34" s="366">
        <v>0.7</v>
      </c>
      <c r="BE34" s="365"/>
      <c r="BF34" s="366">
        <v>0.7</v>
      </c>
      <c r="BG34" s="365"/>
      <c r="BH34" s="366">
        <v>0.7</v>
      </c>
      <c r="BI34" s="365"/>
      <c r="BJ34" s="366">
        <v>0.7</v>
      </c>
      <c r="BK34" s="365"/>
      <c r="BL34" s="365"/>
      <c r="BM34" s="373">
        <v>1</v>
      </c>
      <c r="BN34" s="351" t="e">
        <f>IF('Inhaltliche Bewertung - GI'!RechtsformGI=BD$13,BD34*BM34,IF('Inhaltliche Bewertung - GI'!RechtsformGI=BF$13,BF34*BM34,IF('Inhaltliche Bewertung - GI'!RechtsformGI=BH$13,BH34*BM34,IF('Inhaltliche Bewertung - GI'!RechtsformGI=BJ$13,BJ34*BM34,IF('Inhaltliche Bewertung - GI'!RechtsformGI=BB$13,BB34*BM34,"")))))</f>
        <v>#N/A</v>
      </c>
      <c r="BO34" s="351" t="e">
        <f>IF('Inhaltliche Bewertung - GI'!RechtsformAngebot=BD$13,BD34*BM34,IF('Inhaltliche Bewertung - GI'!RechtsformAngebot=BF$13,BF34*BM34,IF('Inhaltliche Bewertung - GI'!RechtsformAngebot=BH$13,BH34*BM34,IF('Inhaltliche Bewertung - GI'!RechtsformAngebot=BJ$13,BJ34*BM34,IF('Inhaltliche Bewertung - GI'!RechtsformAngebot=BB$13,BB34*BM34,"")))))</f>
        <v>#N/A</v>
      </c>
      <c r="BP34" s="351"/>
      <c r="BQ34" s="361" t="s">
        <v>3257</v>
      </c>
      <c r="BR34" s="367">
        <v>0.7</v>
      </c>
      <c r="BS34" s="368"/>
      <c r="BT34" s="367">
        <v>0.7</v>
      </c>
      <c r="BU34" s="368"/>
      <c r="BV34" s="367">
        <v>0.7</v>
      </c>
      <c r="BW34" s="368"/>
      <c r="BX34" s="367">
        <v>0.7</v>
      </c>
      <c r="BY34" s="368"/>
      <c r="BZ34" s="367">
        <v>0.7</v>
      </c>
      <c r="CA34" s="368"/>
      <c r="CB34" s="368"/>
      <c r="CC34" s="373">
        <v>1</v>
      </c>
      <c r="CD34" s="351" t="e">
        <f>IF('Inhaltliche Bewertung - GI'!RechtsformGI=BT$13,BT34*CC34,IF('Inhaltliche Bewertung - GI'!RechtsformGI=BV$13,BV34*CC34,IF('Inhaltliche Bewertung - GI'!RechtsformGI=BX$13,BX34*CC34,IF('Inhaltliche Bewertung - GI'!RechtsformGI=BZ$13,BZ34*CC34,IF('Inhaltliche Bewertung - GI'!RechtsformGI=BR$13,BR34*CC34,"")))))</f>
        <v>#N/A</v>
      </c>
      <c r="CE34" s="351" t="e">
        <f>IF('Inhaltliche Bewertung - GI'!RechtsformAngebot=BT$13,BT34*CC34,IF('Inhaltliche Bewertung - GI'!RechtsformAngebot=BV$13,BV34*CC34,IF('Inhaltliche Bewertung - GI'!RechtsformAngebot=BX$13,BX34*CC34,IF('Inhaltliche Bewertung - GI'!RechtsformAngebot=BZ$13,BZ34*CC34,IF('Inhaltliche Bewertung - GI'!RechtsformAngebot=BR$13,BR34*CC34,"")))))</f>
        <v>#N/A</v>
      </c>
      <c r="CF34" s="351"/>
      <c r="CG34" s="356" t="s">
        <v>3234</v>
      </c>
      <c r="CH34" s="376">
        <v>0</v>
      </c>
      <c r="CI34" s="377"/>
      <c r="CJ34" s="376">
        <v>0</v>
      </c>
      <c r="CK34" s="377"/>
      <c r="CL34" s="376">
        <v>0</v>
      </c>
      <c r="CM34" s="377"/>
      <c r="CN34" s="376">
        <v>0</v>
      </c>
      <c r="CO34" s="377"/>
      <c r="CP34" s="376">
        <v>0</v>
      </c>
      <c r="CQ34" s="377"/>
      <c r="CR34" s="377"/>
      <c r="CS34" s="373">
        <v>1</v>
      </c>
      <c r="CT34" s="351" t="e">
        <f>IF('Inhaltliche Bewertung - GI'!RechtsformGI=CJ$13,CJ34*CS34,IF('Inhaltliche Bewertung - GI'!RechtsformGI=CL$13,CL34*CS34,IF('Inhaltliche Bewertung - GI'!RechtsformGI=CN$13,CN34*CS34,IF('Inhaltliche Bewertung - GI'!RechtsformGI=CP$13,CP34*CS34,IF('Inhaltliche Bewertung - GI'!RechtsformGI=CH$13,CH34*CS34,"")))))</f>
        <v>#N/A</v>
      </c>
      <c r="CU34" s="351" t="e">
        <f>IF('Inhaltliche Bewertung - GI'!RechtsformAngebot=CJ$13,CJ34*CS34,IF('Inhaltliche Bewertung - GI'!RechtsformAngebot=CL$13,CL34*CS34,IF('Inhaltliche Bewertung - GI'!RechtsformAngebot=CN$13,CN34*CS34,IF('Inhaltliche Bewertung - GI'!RechtsformAngebot=CP$13,CP34*CS34,IF('Inhaltliche Bewertung - GI'!RechtsformAngebot=CH$13,CH34*CS34,"")))))</f>
        <v>#N/A</v>
      </c>
      <c r="CV34" s="351"/>
      <c r="CW34" s="361" t="s">
        <v>3256</v>
      </c>
      <c r="CX34" s="367">
        <v>1</v>
      </c>
      <c r="CY34" s="368"/>
      <c r="CZ34" s="367">
        <v>1</v>
      </c>
      <c r="DA34" s="369"/>
      <c r="DB34" s="367">
        <v>1</v>
      </c>
      <c r="DC34" s="368"/>
      <c r="DD34" s="367">
        <v>1</v>
      </c>
      <c r="DE34" s="368"/>
      <c r="DF34" s="367">
        <v>1</v>
      </c>
      <c r="DG34" s="368"/>
      <c r="DH34" s="368"/>
      <c r="DI34" s="373">
        <v>1</v>
      </c>
      <c r="DJ34" s="351" t="e">
        <f>IF('Inhaltliche Bewertung - GI'!RechtsformGI=CZ$13,CZ34*DI34,IF('Inhaltliche Bewertung - GI'!RechtsformGI=DB$13,DB34*DI34,IF('Inhaltliche Bewertung - GI'!RechtsformGI=DD$13,DD34*DI34,IF('Inhaltliche Bewertung - GI'!RechtsformGI=DF$13,DF34*DI34,IF('Inhaltliche Bewertung - GI'!RechtsformGI=CX$13,CX34*DI34,"")))))</f>
        <v>#N/A</v>
      </c>
      <c r="DK34" s="351" t="e">
        <f>IF('Inhaltliche Bewertung - GI'!RechtsformAngebot=CZ$13,CZ34*DI34,IF('Inhaltliche Bewertung - GI'!RechtsformAngebot=DB$13,DB34*DI34,IF('Inhaltliche Bewertung - GI'!RechtsformAngebot=DD$13,DD34*DI34,IF('Inhaltliche Bewertung - GI'!RechtsformAngebot=DF$13,DF34*DI34,IF('Inhaltliche Bewertung - GI'!RechtsformAngebot=CX$13,CX34*DI34,"")))))</f>
        <v>#N/A</v>
      </c>
      <c r="DL34" s="351"/>
      <c r="DM34" s="356" t="s">
        <v>3234</v>
      </c>
      <c r="DN34" s="376">
        <v>0</v>
      </c>
      <c r="DO34" s="377"/>
      <c r="DP34" s="376">
        <v>0</v>
      </c>
      <c r="DQ34" s="377"/>
      <c r="DR34" s="376">
        <v>0</v>
      </c>
      <c r="DS34" s="377"/>
      <c r="DT34" s="376">
        <v>0</v>
      </c>
      <c r="DU34" s="377"/>
      <c r="DV34" s="376">
        <v>0</v>
      </c>
      <c r="DW34" s="377"/>
      <c r="DX34" s="377"/>
      <c r="DY34" s="373">
        <v>1</v>
      </c>
      <c r="DZ34" s="351" t="e">
        <f>IF('Inhaltliche Bewertung - GI'!RechtsformGI=DP$13,DP34*DY34,IF('Inhaltliche Bewertung - GI'!RechtsformGI=DR$13,DR34*DY34,IF('Inhaltliche Bewertung - GI'!RechtsformGI=DT$13,DT34*DY34,IF('Inhaltliche Bewertung - GI'!RechtsformGI=DV$13,DV34*DY34,IF('Inhaltliche Bewertung - GI'!RechtsformGI=DN$13,DN34*DY34,"")))))</f>
        <v>#N/A</v>
      </c>
      <c r="EA34" s="351" t="e">
        <f>IF('Inhaltliche Bewertung - GI'!RechtsformAngebot=DP$13,DP34*DY34,IF('Inhaltliche Bewertung - GI'!RechtsformAngebot=DR$13,DR34*DY34,IF('Inhaltliche Bewertung - GI'!RechtsformAngebot=DT$13,DT34*DY34,IF('Inhaltliche Bewertung - GI'!RechtsformAngebot=DV$13,DV34*DY34,IF('Inhaltliche Bewertung - GI'!RechtsformAngebot=DN$13,DN34*DY34,"")))))</f>
        <v>#N/A</v>
      </c>
      <c r="EB34" s="351"/>
      <c r="EC34" s="157">
        <f t="shared" si="1"/>
        <v>0</v>
      </c>
      <c r="ED34" s="157">
        <f t="shared" si="2"/>
        <v>1</v>
      </c>
      <c r="EE34" s="157">
        <f t="shared" si="3"/>
        <v>0.3</v>
      </c>
      <c r="EF34" s="157">
        <f t="shared" si="4"/>
        <v>0</v>
      </c>
    </row>
    <row r="35" spans="1:136" ht="14.25" customHeight="1">
      <c r="A35" s="444" t="b">
        <f t="shared" si="0"/>
        <v>0</v>
      </c>
      <c r="B35" s="292"/>
      <c r="C35" s="355" t="s">
        <v>3258</v>
      </c>
      <c r="D35" s="345" t="s">
        <v>3259</v>
      </c>
      <c r="E35" s="361" t="s">
        <v>3232</v>
      </c>
      <c r="F35" s="362">
        <v>0</v>
      </c>
      <c r="G35" s="365"/>
      <c r="H35" s="362">
        <v>0</v>
      </c>
      <c r="I35" s="365"/>
      <c r="J35" s="362">
        <v>0</v>
      </c>
      <c r="K35" s="365"/>
      <c r="L35" s="362">
        <v>0</v>
      </c>
      <c r="M35" s="365"/>
      <c r="N35" s="362">
        <v>0</v>
      </c>
      <c r="O35" s="365"/>
      <c r="P35" s="370" t="s">
        <v>3260</v>
      </c>
      <c r="Q35" s="360">
        <v>1</v>
      </c>
      <c r="R35" s="351" t="e">
        <f>IF('Inhaltliche Bewertung - GI'!RechtsformGI=H$13,H35*Q35,IF('Inhaltliche Bewertung - GI'!RechtsformGI=J$13,J35*Q35,IF('Inhaltliche Bewertung - GI'!RechtsformGI=L$13,L35*Q35,IF('Inhaltliche Bewertung - GI'!RechtsformGI=N$13,N35*Q35,IF('Inhaltliche Bewertung - GI'!RechtsformGI=F$13,F35*Q35,"")))))</f>
        <v>#N/A</v>
      </c>
      <c r="S35" s="351" t="e">
        <f>IF('Inhaltliche Bewertung - GI'!RechtsformAngebot=H$13,H35*Q35,IF('Inhaltliche Bewertung - GI'!RechtsformAngebot=J$13,J35*Q35,IF('Inhaltliche Bewertung - GI'!RechtsformAngebot=L$13,L35*Q35,IF('Inhaltliche Bewertung - GI'!RechtsformAngebot=N$13,N35*Q35,IF('Inhaltliche Bewertung - GI'!RechtsformAngebot=F$13,F35*Q35,"")))))</f>
        <v>#N/A</v>
      </c>
      <c r="T35" s="351"/>
      <c r="U35" s="361" t="s">
        <v>3261</v>
      </c>
      <c r="V35" s="362">
        <v>0</v>
      </c>
      <c r="W35" s="365" t="s">
        <v>3262</v>
      </c>
      <c r="X35" s="362">
        <v>0.05</v>
      </c>
      <c r="Y35" s="365"/>
      <c r="Z35" s="362">
        <v>0.5</v>
      </c>
      <c r="AA35" s="365"/>
      <c r="AB35" s="362">
        <v>0.5</v>
      </c>
      <c r="AC35" s="365"/>
      <c r="AD35" s="362">
        <v>0.5</v>
      </c>
      <c r="AE35" s="365"/>
      <c r="AF35" s="370" t="s">
        <v>3260</v>
      </c>
      <c r="AG35" s="360">
        <v>1</v>
      </c>
      <c r="AH35" s="351" t="e">
        <f>IF('Inhaltliche Bewertung - GI'!RechtsformGI=X$13,X35*AG35,IF('Inhaltliche Bewertung - GI'!RechtsformGI=Z$13,Z35*AG35,IF('Inhaltliche Bewertung - GI'!RechtsformGI=AB$13,AB35*AG35,IF('Inhaltliche Bewertung - GI'!RechtsformGI=AD$13,AD35*AG35,IF('Inhaltliche Bewertung - GI'!RechtsformGI=V$13,V35*AG35,"")))))</f>
        <v>#N/A</v>
      </c>
      <c r="AI35" s="351" t="e">
        <f>IF('Inhaltliche Bewertung - GI'!RechtsformAngebot=X$13,X35*AG35,IF('Inhaltliche Bewertung - GI'!RechtsformAngebot=Z$13,Z35*AG35,IF('Inhaltliche Bewertung - GI'!RechtsformAngebot=AB$13,AB35*AG35,IF('Inhaltliche Bewertung - GI'!RechtsformAngebot=AD$13,AD35*AG35,IF('Inhaltliche Bewertung - GI'!RechtsformAngebot=V$13,V35*AG35,"")))))</f>
        <v>#N/A</v>
      </c>
      <c r="AJ35" s="351"/>
      <c r="AK35" s="361" t="s">
        <v>3261</v>
      </c>
      <c r="AL35" s="362">
        <v>0.5</v>
      </c>
      <c r="AM35" s="365" t="s">
        <v>3262</v>
      </c>
      <c r="AN35" s="362">
        <v>0.5</v>
      </c>
      <c r="AO35" s="365"/>
      <c r="AP35" s="362">
        <v>0.5</v>
      </c>
      <c r="AQ35" s="365"/>
      <c r="AR35" s="362">
        <v>0.5</v>
      </c>
      <c r="AS35" s="365"/>
      <c r="AT35" s="362">
        <v>0.5</v>
      </c>
      <c r="AU35" s="365"/>
      <c r="AV35" s="370" t="s">
        <v>3260</v>
      </c>
      <c r="AW35" s="360">
        <v>1</v>
      </c>
      <c r="AX35" s="351" t="e">
        <f>IF('Inhaltliche Bewertung - GI'!RechtsformGI=AN$13,AN35*AW35,IF('Inhaltliche Bewertung - GI'!RechtsformGI=AP$13,AP35*AW35,IF('Inhaltliche Bewertung - GI'!RechtsformGI=AR$13,AR35*AW35,IF('Inhaltliche Bewertung - GI'!RechtsformGI=AT$13,AT35*AW35,IF('Inhaltliche Bewertung - GI'!RechtsformGI=AL$13,AL35*AW35,"")))))</f>
        <v>#N/A</v>
      </c>
      <c r="AY35" s="351" t="e">
        <f>IF('Inhaltliche Bewertung - GI'!RechtsformAngebot=AN$13,AN35*AW35,IF('Inhaltliche Bewertung - GI'!RechtsformAngebot=AP$13,AP35*AW35,IF('Inhaltliche Bewertung - GI'!RechtsformAngebot=AR$13,AR35*AW35,IF('Inhaltliche Bewertung - GI'!RechtsformAngebot=AT$13,AT35*AW35,IF('Inhaltliche Bewertung - GI'!RechtsformAngebot=AL$13,AL35*AW35,"")))))</f>
        <v>#N/A</v>
      </c>
      <c r="AZ35" s="351"/>
      <c r="BA35" s="361" t="s">
        <v>3263</v>
      </c>
      <c r="BB35" s="362">
        <v>0.5</v>
      </c>
      <c r="BC35" s="365" t="s">
        <v>3262</v>
      </c>
      <c r="BD35" s="362">
        <v>0.5</v>
      </c>
      <c r="BE35" s="365"/>
      <c r="BF35" s="362">
        <v>0.5</v>
      </c>
      <c r="BG35" s="365"/>
      <c r="BH35" s="362">
        <v>0.5</v>
      </c>
      <c r="BI35" s="365"/>
      <c r="BJ35" s="362">
        <v>0.5</v>
      </c>
      <c r="BK35" s="365"/>
      <c r="BL35" s="370" t="s">
        <v>3260</v>
      </c>
      <c r="BM35" s="360">
        <v>1</v>
      </c>
      <c r="BN35" s="351" t="e">
        <f>IF('Inhaltliche Bewertung - GI'!RechtsformGI=BD$13,BD35*BM35,IF('Inhaltliche Bewertung - GI'!RechtsformGI=BF$13,BF35*BM35,IF('Inhaltliche Bewertung - GI'!RechtsformGI=BH$13,BH35*BM35,IF('Inhaltliche Bewertung - GI'!RechtsformGI=BJ$13,BJ35*BM35,IF('Inhaltliche Bewertung - GI'!RechtsformGI=BB$13,BB35*BM35,"")))))</f>
        <v>#N/A</v>
      </c>
      <c r="BO35" s="351" t="e">
        <f>IF('Inhaltliche Bewertung - GI'!RechtsformAngebot=BD$13,BD35*BM35,IF('Inhaltliche Bewertung - GI'!RechtsformAngebot=BF$13,BF35*BM35,IF('Inhaltliche Bewertung - GI'!RechtsformAngebot=BH$13,BH35*BM35,IF('Inhaltliche Bewertung - GI'!RechtsformAngebot=BJ$13,BJ35*BM35,IF('Inhaltliche Bewertung - GI'!RechtsformAngebot=BB$13,BB35*BM35,"")))))</f>
        <v>#N/A</v>
      </c>
      <c r="BP35" s="351"/>
      <c r="BQ35" s="361" t="s">
        <v>3263</v>
      </c>
      <c r="BR35" s="362">
        <v>0.5</v>
      </c>
      <c r="BS35" s="365" t="s">
        <v>3262</v>
      </c>
      <c r="BT35" s="362">
        <v>0.5</v>
      </c>
      <c r="BU35" s="365"/>
      <c r="BV35" s="362">
        <v>0.5</v>
      </c>
      <c r="BW35" s="365"/>
      <c r="BX35" s="362">
        <v>0.5</v>
      </c>
      <c r="BY35" s="365"/>
      <c r="BZ35" s="362">
        <v>0.5</v>
      </c>
      <c r="CA35" s="365"/>
      <c r="CB35" s="370" t="s">
        <v>3260</v>
      </c>
      <c r="CC35" s="360">
        <v>1</v>
      </c>
      <c r="CD35" s="351" t="e">
        <f>IF('Inhaltliche Bewertung - GI'!RechtsformGI=BT$13,BT35*CC35,IF('Inhaltliche Bewertung - GI'!RechtsformGI=BV$13,BV35*CC35,IF('Inhaltliche Bewertung - GI'!RechtsformGI=BX$13,BX35*CC35,IF('Inhaltliche Bewertung - GI'!RechtsformGI=BZ$13,BZ35*CC35,IF('Inhaltliche Bewertung - GI'!RechtsformGI=BR$13,BR35*CC35,"")))))</f>
        <v>#N/A</v>
      </c>
      <c r="CE35" s="351" t="e">
        <f>IF('Inhaltliche Bewertung - GI'!RechtsformAngebot=BT$13,BT35*CC35,IF('Inhaltliche Bewertung - GI'!RechtsformAngebot=BV$13,BV35*CC35,IF('Inhaltliche Bewertung - GI'!RechtsformAngebot=BX$13,BX35*CC35,IF('Inhaltliche Bewertung - GI'!RechtsformAngebot=BZ$13,BZ35*CC35,IF('Inhaltliche Bewertung - GI'!RechtsformAngebot=BR$13,BR35*CC35,"")))))</f>
        <v>#N/A</v>
      </c>
      <c r="CF35" s="351"/>
      <c r="CG35" s="361" t="s">
        <v>3263</v>
      </c>
      <c r="CH35" s="362">
        <v>0</v>
      </c>
      <c r="CI35" s="365" t="s">
        <v>3262</v>
      </c>
      <c r="CJ35" s="362">
        <v>0</v>
      </c>
      <c r="CK35" s="365"/>
      <c r="CL35" s="362">
        <v>0</v>
      </c>
      <c r="CM35" s="365"/>
      <c r="CN35" s="362">
        <v>0</v>
      </c>
      <c r="CO35" s="365"/>
      <c r="CP35" s="362">
        <v>0</v>
      </c>
      <c r="CQ35" s="365"/>
      <c r="CR35" s="370" t="s">
        <v>3260</v>
      </c>
      <c r="CS35" s="360">
        <v>1</v>
      </c>
      <c r="CT35" s="351" t="e">
        <f>IF('Inhaltliche Bewertung - GI'!RechtsformGI=CJ$13,CJ35*CS35,IF('Inhaltliche Bewertung - GI'!RechtsformGI=CL$13,CL35*CS35,IF('Inhaltliche Bewertung - GI'!RechtsformGI=CN$13,CN35*CS35,IF('Inhaltliche Bewertung - GI'!RechtsformGI=CP$13,CP35*CS35,IF('Inhaltliche Bewertung - GI'!RechtsformGI=CH$13,CH35*CS35,"")))))</f>
        <v>#N/A</v>
      </c>
      <c r="CU35" s="351" t="e">
        <f>IF('Inhaltliche Bewertung - GI'!RechtsformAngebot=CJ$13,CJ35*CS35,IF('Inhaltliche Bewertung - GI'!RechtsformAngebot=CL$13,CL35*CS35,IF('Inhaltliche Bewertung - GI'!RechtsformAngebot=CN$13,CN35*CS35,IF('Inhaltliche Bewertung - GI'!RechtsformAngebot=CP$13,CP35*CS35,IF('Inhaltliche Bewertung - GI'!RechtsformAngebot=CH$13,CH35*CS35,"")))))</f>
        <v>#N/A</v>
      </c>
      <c r="CV35" s="351"/>
      <c r="CW35" s="356"/>
      <c r="CX35" s="376">
        <v>0</v>
      </c>
      <c r="CY35" s="377"/>
      <c r="CZ35" s="378">
        <v>0</v>
      </c>
      <c r="DA35" s="379"/>
      <c r="DB35" s="376">
        <v>0</v>
      </c>
      <c r="DC35" s="377"/>
      <c r="DD35" s="376">
        <v>0</v>
      </c>
      <c r="DE35" s="377"/>
      <c r="DF35" s="376">
        <v>0</v>
      </c>
      <c r="DG35" s="377"/>
      <c r="DH35" s="377"/>
      <c r="DI35" s="360">
        <v>1</v>
      </c>
      <c r="DJ35" s="351" t="e">
        <f>IF('Inhaltliche Bewertung - GI'!RechtsformGI=CZ$13,CZ35*DI35,IF('Inhaltliche Bewertung - GI'!RechtsformGI=DB$13,DB35*DI35,IF('Inhaltliche Bewertung - GI'!RechtsformGI=DD$13,DD35*DI35,IF('Inhaltliche Bewertung - GI'!RechtsformGI=DF$13,DF35*DI35,IF('Inhaltliche Bewertung - GI'!RechtsformGI=CX$13,CX35*DI35,"")))))</f>
        <v>#N/A</v>
      </c>
      <c r="DK35" s="351" t="e">
        <f>IF('Inhaltliche Bewertung - GI'!RechtsformAngebot=CZ$13,CZ35*DI35,IF('Inhaltliche Bewertung - GI'!RechtsformAngebot=DB$13,DB35*DI35,IF('Inhaltliche Bewertung - GI'!RechtsformAngebot=DD$13,DD35*DI35,IF('Inhaltliche Bewertung - GI'!RechtsformAngebot=DF$13,DF35*DI35,IF('Inhaltliche Bewertung - GI'!RechtsformAngebot=CX$13,CX35*DI35,"")))))</f>
        <v>#N/A</v>
      </c>
      <c r="DL35" s="351"/>
      <c r="DM35" s="361" t="s">
        <v>3264</v>
      </c>
      <c r="DN35" s="362">
        <v>0</v>
      </c>
      <c r="DO35" s="365" t="s">
        <v>3262</v>
      </c>
      <c r="DP35" s="362">
        <v>0</v>
      </c>
      <c r="DQ35" s="365"/>
      <c r="DR35" s="362">
        <v>0</v>
      </c>
      <c r="DS35" s="365"/>
      <c r="DT35" s="362">
        <v>0.8</v>
      </c>
      <c r="DU35" s="365"/>
      <c r="DV35" s="362">
        <v>0</v>
      </c>
      <c r="DW35" s="365"/>
      <c r="DX35" s="370" t="s">
        <v>3260</v>
      </c>
      <c r="DY35" s="360">
        <v>1</v>
      </c>
      <c r="DZ35" s="351" t="e">
        <f>IF('Inhaltliche Bewertung - GI'!RechtsformGI=DP$13,DP35*DY35,IF('Inhaltliche Bewertung - GI'!RechtsformGI=DR$13,DR35*DY35,IF('Inhaltliche Bewertung - GI'!RechtsformGI=DT$13,DT35*DY35,IF('Inhaltliche Bewertung - GI'!RechtsformGI=DV$13,DV35*DY35,IF('Inhaltliche Bewertung - GI'!RechtsformGI=DN$13,DN35*DY35,"")))))</f>
        <v>#N/A</v>
      </c>
      <c r="EA35" s="351" t="e">
        <f>IF('Inhaltliche Bewertung - GI'!RechtsformAngebot=DP$13,DP35*DY35,IF('Inhaltliche Bewertung - GI'!RechtsformAngebot=DR$13,DR35*DY35,IF('Inhaltliche Bewertung - GI'!RechtsformAngebot=DT$13,DT35*DY35,IF('Inhaltliche Bewertung - GI'!RechtsformAngebot=DV$13,DV35*DY35,IF('Inhaltliche Bewertung - GI'!RechtsformAngebot=DN$13,DN35*DY35,"")))))</f>
        <v>#N/A</v>
      </c>
      <c r="EB35" s="351"/>
      <c r="EC35" s="157">
        <f t="shared" si="1"/>
        <v>0</v>
      </c>
      <c r="ED35" s="157">
        <f t="shared" si="2"/>
        <v>0.8</v>
      </c>
      <c r="EE35" s="157">
        <f t="shared" si="3"/>
        <v>0.24625000000000002</v>
      </c>
      <c r="EF35" s="157">
        <f t="shared" si="4"/>
        <v>2.5000000000000001E-2</v>
      </c>
    </row>
    <row r="36" spans="1:136" ht="14.25" customHeight="1">
      <c r="A36" s="444" t="b">
        <f t="shared" si="0"/>
        <v>1</v>
      </c>
      <c r="B36" s="292"/>
      <c r="C36" s="355" t="s">
        <v>3265</v>
      </c>
      <c r="D36" s="345"/>
      <c r="E36" s="361" t="s">
        <v>3266</v>
      </c>
      <c r="F36" s="362">
        <v>0.5</v>
      </c>
      <c r="G36" s="365"/>
      <c r="H36" s="362">
        <v>0.5</v>
      </c>
      <c r="I36" s="365"/>
      <c r="J36" s="362">
        <v>0.5</v>
      </c>
      <c r="K36" s="365"/>
      <c r="L36" s="362">
        <v>0.5</v>
      </c>
      <c r="M36" s="365"/>
      <c r="N36" s="362">
        <v>0.5</v>
      </c>
      <c r="O36" s="365"/>
      <c r="P36" s="370"/>
      <c r="Q36" s="360">
        <v>1</v>
      </c>
      <c r="R36" s="351" t="e">
        <f>IF('Inhaltliche Bewertung - GI'!RechtsformGI=H$13,H36*Q36,IF('Inhaltliche Bewertung - GI'!RechtsformGI=J$13,J36*Q36,IF('Inhaltliche Bewertung - GI'!RechtsformGI=L$13,L36*Q36,IF('Inhaltliche Bewertung - GI'!RechtsformGI=N$13,N36*Q36,IF('Inhaltliche Bewertung - GI'!RechtsformGI=F$13,F36*Q36,"")))))</f>
        <v>#N/A</v>
      </c>
      <c r="S36" s="351" t="e">
        <f>IF('Inhaltliche Bewertung - GI'!RechtsformAngebot=H$13,H36*Q36,IF('Inhaltliche Bewertung - GI'!RechtsformAngebot=J$13,J36*Q36,IF('Inhaltliche Bewertung - GI'!RechtsformAngebot=L$13,L36*Q36,IF('Inhaltliche Bewertung - GI'!RechtsformAngebot=N$13,N36*Q36,IF('Inhaltliche Bewertung - GI'!RechtsformAngebot=F$13,F36*Q36,"")))))</f>
        <v>#N/A</v>
      </c>
      <c r="T36" s="351"/>
      <c r="U36" s="361" t="s">
        <v>3267</v>
      </c>
      <c r="V36" s="362">
        <v>0.5</v>
      </c>
      <c r="W36" s="365"/>
      <c r="X36" s="362">
        <v>0.5</v>
      </c>
      <c r="Y36" s="365"/>
      <c r="Z36" s="362">
        <v>0.5</v>
      </c>
      <c r="AA36" s="365"/>
      <c r="AB36" s="362">
        <v>0.5</v>
      </c>
      <c r="AC36" s="365"/>
      <c r="AD36" s="362">
        <v>0.5</v>
      </c>
      <c r="AE36" s="365"/>
      <c r="AF36" s="370"/>
      <c r="AG36" s="360">
        <v>1</v>
      </c>
      <c r="AH36" s="351" t="e">
        <f>IF('Inhaltliche Bewertung - GI'!RechtsformGI=X$13,X36*AG36,IF('Inhaltliche Bewertung - GI'!RechtsformGI=Z$13,Z36*AG36,IF('Inhaltliche Bewertung - GI'!RechtsformGI=AB$13,AB36*AG36,IF('Inhaltliche Bewertung - GI'!RechtsformGI=AD$13,AD36*AG36,IF('Inhaltliche Bewertung - GI'!RechtsformGI=V$13,V36*AG36,"")))))</f>
        <v>#N/A</v>
      </c>
      <c r="AI36" s="351" t="e">
        <f>IF('Inhaltliche Bewertung - GI'!RechtsformAngebot=X$13,X36*AG36,IF('Inhaltliche Bewertung - GI'!RechtsformAngebot=Z$13,Z36*AG36,IF('Inhaltliche Bewertung - GI'!RechtsformAngebot=AB$13,AB36*AG36,IF('Inhaltliche Bewertung - GI'!RechtsformAngebot=AD$13,AD36*AG36,IF('Inhaltliche Bewertung - GI'!RechtsformAngebot=V$13,V36*AG36,"")))))</f>
        <v>#N/A</v>
      </c>
      <c r="AJ36" s="351"/>
      <c r="AK36" s="361" t="s">
        <v>3267</v>
      </c>
      <c r="AL36" s="362">
        <v>0.5</v>
      </c>
      <c r="AM36" s="365"/>
      <c r="AN36" s="362">
        <v>0.5</v>
      </c>
      <c r="AO36" s="365"/>
      <c r="AP36" s="362">
        <v>0.5</v>
      </c>
      <c r="AQ36" s="365"/>
      <c r="AR36" s="362">
        <v>0.5</v>
      </c>
      <c r="AS36" s="365"/>
      <c r="AT36" s="362">
        <v>0.5</v>
      </c>
      <c r="AU36" s="365"/>
      <c r="AV36" s="370"/>
      <c r="AW36" s="360">
        <v>1</v>
      </c>
      <c r="AX36" s="351" t="e">
        <f>IF('Inhaltliche Bewertung - GI'!RechtsformGI=AN$13,AN36*AW36,IF('Inhaltliche Bewertung - GI'!RechtsformGI=AP$13,AP36*AW36,IF('Inhaltliche Bewertung - GI'!RechtsformGI=AR$13,AR36*AW36,IF('Inhaltliche Bewertung - GI'!RechtsformGI=AT$13,AT36*AW36,IF('Inhaltliche Bewertung - GI'!RechtsformGI=AL$13,AL36*AW36,"")))))</f>
        <v>#N/A</v>
      </c>
      <c r="AY36" s="351" t="e">
        <f>IF('Inhaltliche Bewertung - GI'!RechtsformAngebot=AN$13,AN36*AW36,IF('Inhaltliche Bewertung - GI'!RechtsformAngebot=AP$13,AP36*AW36,IF('Inhaltliche Bewertung - GI'!RechtsformAngebot=AR$13,AR36*AW36,IF('Inhaltliche Bewertung - GI'!RechtsformAngebot=AT$13,AT36*AW36,IF('Inhaltliche Bewertung - GI'!RechtsformAngebot=AL$13,AL36*AW36,"")))))</f>
        <v>#N/A</v>
      </c>
      <c r="AZ36" s="351"/>
      <c r="BA36" s="361" t="s">
        <v>3267</v>
      </c>
      <c r="BB36" s="362">
        <v>0.5</v>
      </c>
      <c r="BC36" s="365"/>
      <c r="BD36" s="362">
        <v>0.5</v>
      </c>
      <c r="BE36" s="365"/>
      <c r="BF36" s="362">
        <v>0.5</v>
      </c>
      <c r="BG36" s="365"/>
      <c r="BH36" s="362">
        <v>0.5</v>
      </c>
      <c r="BI36" s="365"/>
      <c r="BJ36" s="362">
        <v>0.5</v>
      </c>
      <c r="BK36" s="365"/>
      <c r="BL36" s="370"/>
      <c r="BM36" s="360">
        <v>1</v>
      </c>
      <c r="BN36" s="351" t="e">
        <f>IF('Inhaltliche Bewertung - GI'!RechtsformGI=BD$13,BD36*BM36,IF('Inhaltliche Bewertung - GI'!RechtsformGI=BF$13,BF36*BM36,IF('Inhaltliche Bewertung - GI'!RechtsformGI=BH$13,BH36*BM36,IF('Inhaltliche Bewertung - GI'!RechtsformGI=BJ$13,BJ36*BM36,IF('Inhaltliche Bewertung - GI'!RechtsformGI=BB$13,BB36*BM36,"")))))</f>
        <v>#N/A</v>
      </c>
      <c r="BO36" s="351" t="e">
        <f>IF('Inhaltliche Bewertung - GI'!RechtsformAngebot=BD$13,BD36*BM36,IF('Inhaltliche Bewertung - GI'!RechtsformAngebot=BF$13,BF36*BM36,IF('Inhaltliche Bewertung - GI'!RechtsformAngebot=BH$13,BH36*BM36,IF('Inhaltliche Bewertung - GI'!RechtsformAngebot=BJ$13,BJ36*BM36,IF('Inhaltliche Bewertung - GI'!RechtsformAngebot=BB$13,BB36*BM36,"")))))</f>
        <v>#N/A</v>
      </c>
      <c r="BP36" s="351"/>
      <c r="BQ36" s="361" t="s">
        <v>3267</v>
      </c>
      <c r="BR36" s="362">
        <v>0.5</v>
      </c>
      <c r="BS36" s="365"/>
      <c r="BT36" s="362">
        <v>0.5</v>
      </c>
      <c r="BU36" s="365"/>
      <c r="BV36" s="362">
        <v>0.5</v>
      </c>
      <c r="BW36" s="365"/>
      <c r="BX36" s="362">
        <v>0.5</v>
      </c>
      <c r="BY36" s="365"/>
      <c r="BZ36" s="362">
        <v>0.5</v>
      </c>
      <c r="CA36" s="365"/>
      <c r="CB36" s="370"/>
      <c r="CC36" s="360">
        <v>1</v>
      </c>
      <c r="CD36" s="351" t="e">
        <f>IF('Inhaltliche Bewertung - GI'!RechtsformGI=BT$13,BT36*CC36,IF('Inhaltliche Bewertung - GI'!RechtsformGI=BV$13,BV36*CC36,IF('Inhaltliche Bewertung - GI'!RechtsformGI=BX$13,BX36*CC36,IF('Inhaltliche Bewertung - GI'!RechtsformGI=BZ$13,BZ36*CC36,IF('Inhaltliche Bewertung - GI'!RechtsformGI=BR$13,BR36*CC36,"")))))</f>
        <v>#N/A</v>
      </c>
      <c r="CE36" s="351" t="e">
        <f>IF('Inhaltliche Bewertung - GI'!RechtsformAngebot=BT$13,BT36*CC36,IF('Inhaltliche Bewertung - GI'!RechtsformAngebot=BV$13,BV36*CC36,IF('Inhaltliche Bewertung - GI'!RechtsformAngebot=BX$13,BX36*CC36,IF('Inhaltliche Bewertung - GI'!RechtsformAngebot=BZ$13,BZ36*CC36,IF('Inhaltliche Bewertung - GI'!RechtsformAngebot=BR$13,BR36*CC36,"")))))</f>
        <v>#N/A</v>
      </c>
      <c r="CF36" s="351"/>
      <c r="CG36" s="361" t="s">
        <v>3267</v>
      </c>
      <c r="CH36" s="362">
        <v>0.5</v>
      </c>
      <c r="CI36" s="365"/>
      <c r="CJ36" s="362">
        <v>0.5</v>
      </c>
      <c r="CK36" s="365"/>
      <c r="CL36" s="362">
        <v>0.5</v>
      </c>
      <c r="CM36" s="365"/>
      <c r="CN36" s="362">
        <v>0.5</v>
      </c>
      <c r="CO36" s="365"/>
      <c r="CP36" s="362">
        <v>0.5</v>
      </c>
      <c r="CQ36" s="365"/>
      <c r="CR36" s="370"/>
      <c r="CS36" s="360">
        <v>1</v>
      </c>
      <c r="CT36" s="351" t="e">
        <f>IF('Inhaltliche Bewertung - GI'!RechtsformGI=CJ$13,CJ36*CS36,IF('Inhaltliche Bewertung - GI'!RechtsformGI=CL$13,CL36*CS36,IF('Inhaltliche Bewertung - GI'!RechtsformGI=CN$13,CN36*CS36,IF('Inhaltliche Bewertung - GI'!RechtsformGI=CP$13,CP36*CS36,IF('Inhaltliche Bewertung - GI'!RechtsformGI=CH$13,CH36*CS36,"")))))</f>
        <v>#N/A</v>
      </c>
      <c r="CU36" s="351" t="e">
        <f>IF('Inhaltliche Bewertung - GI'!RechtsformAngebot=CJ$13,CJ36*CS36,IF('Inhaltliche Bewertung - GI'!RechtsformAngebot=CL$13,CL36*CS36,IF('Inhaltliche Bewertung - GI'!RechtsformAngebot=CN$13,CN36*CS36,IF('Inhaltliche Bewertung - GI'!RechtsformAngebot=CP$13,CP36*CS36,IF('Inhaltliche Bewertung - GI'!RechtsformAngebot=CH$13,CH36*CS36,"")))))</f>
        <v>#N/A</v>
      </c>
      <c r="CV36" s="351"/>
      <c r="CW36" s="361" t="s">
        <v>3267</v>
      </c>
      <c r="CX36" s="362">
        <v>0.5</v>
      </c>
      <c r="CY36" s="365"/>
      <c r="CZ36" s="362">
        <v>0.5</v>
      </c>
      <c r="DA36" s="365"/>
      <c r="DB36" s="362">
        <v>0.5</v>
      </c>
      <c r="DC36" s="365"/>
      <c r="DD36" s="362">
        <v>0.5</v>
      </c>
      <c r="DE36" s="365"/>
      <c r="DF36" s="362">
        <v>0.5</v>
      </c>
      <c r="DG36" s="365"/>
      <c r="DH36" s="370"/>
      <c r="DI36" s="360">
        <v>1</v>
      </c>
      <c r="DJ36" s="351" t="e">
        <f>IF('Inhaltliche Bewertung - GI'!RechtsformGI=CZ$13,CZ36*DI36,IF('Inhaltliche Bewertung - GI'!RechtsformGI=DB$13,DB36*DI36,IF('Inhaltliche Bewertung - GI'!RechtsformGI=DD$13,DD36*DI36,IF('Inhaltliche Bewertung - GI'!RechtsformGI=DF$13,DF36*DI36,IF('Inhaltliche Bewertung - GI'!RechtsformGI=CX$13,CX36*DI36,"")))))</f>
        <v>#N/A</v>
      </c>
      <c r="DK36" s="351" t="e">
        <f>IF('Inhaltliche Bewertung - GI'!RechtsformAngebot=CZ$13,CZ36*DI36,IF('Inhaltliche Bewertung - GI'!RechtsformAngebot=DB$13,DB36*DI36,IF('Inhaltliche Bewertung - GI'!RechtsformAngebot=DD$13,DD36*DI36,IF('Inhaltliche Bewertung - GI'!RechtsformAngebot=DF$13,DF36*DI36,IF('Inhaltliche Bewertung - GI'!RechtsformAngebot=CX$13,CX36*DI36,"")))))</f>
        <v>#N/A</v>
      </c>
      <c r="DL36" s="351"/>
      <c r="DM36" s="361" t="s">
        <v>3267</v>
      </c>
      <c r="DN36" s="362">
        <v>0.5</v>
      </c>
      <c r="DO36" s="365"/>
      <c r="DP36" s="362">
        <v>0.5</v>
      </c>
      <c r="DQ36" s="365"/>
      <c r="DR36" s="362">
        <v>0.5</v>
      </c>
      <c r="DS36" s="365"/>
      <c r="DT36" s="362">
        <v>0.5</v>
      </c>
      <c r="DU36" s="365"/>
      <c r="DV36" s="362">
        <v>0.5</v>
      </c>
      <c r="DW36" s="365"/>
      <c r="DX36" s="370"/>
      <c r="DY36" s="360">
        <v>1</v>
      </c>
      <c r="DZ36" s="351" t="e">
        <f>IF('Inhaltliche Bewertung - GI'!RechtsformGI=DP$13,DP36*DY36,IF('Inhaltliche Bewertung - GI'!RechtsformGI=DR$13,DR36*DY36,IF('Inhaltliche Bewertung - GI'!RechtsformGI=DT$13,DT36*DY36,IF('Inhaltliche Bewertung - GI'!RechtsformGI=DV$13,DV36*DY36,IF('Inhaltliche Bewertung - GI'!RechtsformGI=DN$13,DN36*DY36,"")))))</f>
        <v>#N/A</v>
      </c>
      <c r="EA36" s="351" t="e">
        <f>IF('Inhaltliche Bewertung - GI'!RechtsformAngebot=DP$13,DP36*DY36,IF('Inhaltliche Bewertung - GI'!RechtsformAngebot=DR$13,DR36*DY36,IF('Inhaltliche Bewertung - GI'!RechtsformAngebot=DT$13,DT36*DY36,IF('Inhaltliche Bewertung - GI'!RechtsformAngebot=DV$13,DV36*DY36,IF('Inhaltliche Bewertung - GI'!RechtsformAngebot=DN$13,DN36*DY36,"")))))</f>
        <v>#N/A</v>
      </c>
      <c r="EB36" s="351"/>
      <c r="EC36" s="157">
        <f t="shared" si="1"/>
        <v>0.5</v>
      </c>
      <c r="ED36" s="157">
        <f t="shared" si="2"/>
        <v>0.5</v>
      </c>
      <c r="EE36" s="157">
        <f t="shared" si="3"/>
        <v>0.5</v>
      </c>
      <c r="EF36" s="157">
        <f t="shared" si="4"/>
        <v>0.5</v>
      </c>
    </row>
    <row r="37" spans="1:136" ht="14.25" customHeight="1">
      <c r="A37" s="444" t="b">
        <f t="shared" si="0"/>
        <v>1</v>
      </c>
      <c r="B37" s="292"/>
      <c r="C37" s="355" t="s">
        <v>3268</v>
      </c>
      <c r="D37" s="345" t="s">
        <v>3269</v>
      </c>
      <c r="E37" s="361" t="s">
        <v>3234</v>
      </c>
      <c r="F37" s="362">
        <v>0</v>
      </c>
      <c r="G37" s="365"/>
      <c r="H37" s="362">
        <v>0</v>
      </c>
      <c r="I37" s="365"/>
      <c r="J37" s="362">
        <v>0</v>
      </c>
      <c r="K37" s="365"/>
      <c r="L37" s="362">
        <v>0</v>
      </c>
      <c r="M37" s="365"/>
      <c r="N37" s="362">
        <v>0</v>
      </c>
      <c r="O37" s="365"/>
      <c r="P37" s="370"/>
      <c r="Q37" s="373">
        <v>1</v>
      </c>
      <c r="R37" s="351" t="e">
        <f>IF('Inhaltliche Bewertung - GI'!RechtsformGI=H$13,H37*Q37,IF('Inhaltliche Bewertung - GI'!RechtsformGI=J$13,J37*Q37,IF('Inhaltliche Bewertung - GI'!RechtsformGI=L$13,L37*Q37,IF('Inhaltliche Bewertung - GI'!RechtsformGI=N$13,N37*Q37,IF('Inhaltliche Bewertung - GI'!RechtsformGI=F$13,F37*Q37,"")))))</f>
        <v>#N/A</v>
      </c>
      <c r="S37" s="351" t="e">
        <f>IF('Inhaltliche Bewertung - GI'!RechtsformAngebot=H$13,H37*Q37,IF('Inhaltliche Bewertung - GI'!RechtsformAngebot=J$13,J37*Q37,IF('Inhaltliche Bewertung - GI'!RechtsformAngebot=L$13,L37*Q37,IF('Inhaltliche Bewertung - GI'!RechtsformAngebot=N$13,N37*Q37,IF('Inhaltliche Bewertung - GI'!RechtsformAngebot=F$13,F37*Q37,"")))))</f>
        <v>#N/A</v>
      </c>
      <c r="T37" s="351"/>
      <c r="U37" s="356" t="s">
        <v>3234</v>
      </c>
      <c r="V37" s="357">
        <v>0</v>
      </c>
      <c r="W37" s="374"/>
      <c r="X37" s="375">
        <v>0</v>
      </c>
      <c r="Y37" s="374"/>
      <c r="Z37" s="375">
        <v>0</v>
      </c>
      <c r="AA37" s="374"/>
      <c r="AB37" s="375">
        <v>0</v>
      </c>
      <c r="AC37" s="374"/>
      <c r="AD37" s="375">
        <v>0</v>
      </c>
      <c r="AE37" s="374" t="s">
        <v>3270</v>
      </c>
      <c r="AF37" s="374"/>
      <c r="AG37" s="373">
        <v>1</v>
      </c>
      <c r="AH37" s="351" t="e">
        <f>IF('Inhaltliche Bewertung - GI'!RechtsformGI=X$13,X37*AG37,IF('Inhaltliche Bewertung - GI'!RechtsformGI=Z$13,Z37*AG37,IF('Inhaltliche Bewertung - GI'!RechtsformGI=AB$13,AB37*AG37,IF('Inhaltliche Bewertung - GI'!RechtsformGI=AD$13,AD37*AG37,IF('Inhaltliche Bewertung - GI'!RechtsformGI=V$13,V37*AG37,"")))))</f>
        <v>#N/A</v>
      </c>
      <c r="AI37" s="351" t="e">
        <f>IF('Inhaltliche Bewertung - GI'!RechtsformAngebot=X$13,X37*AG37,IF('Inhaltliche Bewertung - GI'!RechtsformAngebot=Z$13,Z37*AG37,IF('Inhaltliche Bewertung - GI'!RechtsformAngebot=AB$13,AB37*AG37,IF('Inhaltliche Bewertung - GI'!RechtsformAngebot=AD$13,AD37*AG37,IF('Inhaltliche Bewertung - GI'!RechtsformAngebot=V$13,V37*AG37,"")))))</f>
        <v>#N/A</v>
      </c>
      <c r="AJ37" s="351"/>
      <c r="AK37" s="356" t="s">
        <v>3234</v>
      </c>
      <c r="AL37" s="357">
        <v>0</v>
      </c>
      <c r="AM37" s="358" t="s">
        <v>3271</v>
      </c>
      <c r="AN37" s="357">
        <v>0</v>
      </c>
      <c r="AO37" s="358"/>
      <c r="AP37" s="357">
        <v>0</v>
      </c>
      <c r="AQ37" s="358"/>
      <c r="AR37" s="357">
        <v>0</v>
      </c>
      <c r="AS37" s="358"/>
      <c r="AT37" s="357">
        <v>0</v>
      </c>
      <c r="AU37" s="358"/>
      <c r="AV37" s="358"/>
      <c r="AW37" s="373">
        <v>1</v>
      </c>
      <c r="AX37" s="351" t="e">
        <f>IF('Inhaltliche Bewertung - GI'!RechtsformGI=AN$13,AN37*AW37,IF('Inhaltliche Bewertung - GI'!RechtsformGI=AP$13,AP37*AW37,IF('Inhaltliche Bewertung - GI'!RechtsformGI=AR$13,AR37*AW37,IF('Inhaltliche Bewertung - GI'!RechtsformGI=AT$13,AT37*AW37,IF('Inhaltliche Bewertung - GI'!RechtsformGI=AL$13,AL37*AW37,"")))))</f>
        <v>#N/A</v>
      </c>
      <c r="AY37" s="351" t="e">
        <f>IF('Inhaltliche Bewertung - GI'!RechtsformAngebot=AN$13,AN37*AW37,IF('Inhaltliche Bewertung - GI'!RechtsformAngebot=AP$13,AP37*AW37,IF('Inhaltliche Bewertung - GI'!RechtsformAngebot=AR$13,AR37*AW37,IF('Inhaltliche Bewertung - GI'!RechtsformAngebot=AT$13,AT37*AW37,IF('Inhaltliche Bewertung - GI'!RechtsformAngebot=AL$13,AL37*AW37,"")))))</f>
        <v>#N/A</v>
      </c>
      <c r="AZ37" s="351"/>
      <c r="BA37" s="361" t="s">
        <v>3272</v>
      </c>
      <c r="BB37" s="362">
        <v>0</v>
      </c>
      <c r="BC37" s="365" t="s">
        <v>3273</v>
      </c>
      <c r="BD37" s="362">
        <v>0</v>
      </c>
      <c r="BE37" s="365" t="s">
        <v>3273</v>
      </c>
      <c r="BF37" s="362">
        <v>0</v>
      </c>
      <c r="BG37" s="365"/>
      <c r="BH37" s="362">
        <v>0</v>
      </c>
      <c r="BI37" s="365"/>
      <c r="BJ37" s="362">
        <v>0</v>
      </c>
      <c r="BK37" s="365"/>
      <c r="BL37" s="370" t="s">
        <v>3273</v>
      </c>
      <c r="BM37" s="373">
        <v>1</v>
      </c>
      <c r="BN37" s="351" t="e">
        <f>IF('Inhaltliche Bewertung - GI'!RechtsformGI=BD$13,BD37*BM37,IF('Inhaltliche Bewertung - GI'!RechtsformGI=BF$13,BF37*BM37,IF('Inhaltliche Bewertung - GI'!RechtsformGI=BH$13,BH37*BM37,IF('Inhaltliche Bewertung - GI'!RechtsformGI=BJ$13,BJ37*BM37,IF('Inhaltliche Bewertung - GI'!RechtsformGI=BB$13,BB37*BM37,"")))))</f>
        <v>#N/A</v>
      </c>
      <c r="BO37" s="351" t="e">
        <f>IF('Inhaltliche Bewertung - GI'!RechtsformAngebot=BD$13,BD37*BM37,IF('Inhaltliche Bewertung - GI'!RechtsformAngebot=BF$13,BF37*BM37,IF('Inhaltliche Bewertung - GI'!RechtsformAngebot=BH$13,BH37*BM37,IF('Inhaltliche Bewertung - GI'!RechtsformAngebot=BJ$13,BJ37*BM37,IF('Inhaltliche Bewertung - GI'!RechtsformAngebot=BB$13,BB37*BM37,"")))))</f>
        <v>#N/A</v>
      </c>
      <c r="BP37" s="351"/>
      <c r="BQ37" s="361" t="s">
        <v>3272</v>
      </c>
      <c r="BR37" s="362">
        <v>0</v>
      </c>
      <c r="BS37" s="365" t="s">
        <v>3273</v>
      </c>
      <c r="BT37" s="362">
        <v>0</v>
      </c>
      <c r="BU37" s="365" t="s">
        <v>3273</v>
      </c>
      <c r="BV37" s="362">
        <v>0</v>
      </c>
      <c r="BW37" s="365"/>
      <c r="BX37" s="362">
        <v>0</v>
      </c>
      <c r="BY37" s="365"/>
      <c r="BZ37" s="362">
        <v>0</v>
      </c>
      <c r="CA37" s="365"/>
      <c r="CB37" s="370" t="s">
        <v>3273</v>
      </c>
      <c r="CC37" s="373">
        <v>1</v>
      </c>
      <c r="CD37" s="351" t="e">
        <f>IF('Inhaltliche Bewertung - GI'!RechtsformGI=BT$13,BT37*CC37,IF('Inhaltliche Bewertung - GI'!RechtsformGI=BV$13,BV37*CC37,IF('Inhaltliche Bewertung - GI'!RechtsformGI=BX$13,BX37*CC37,IF('Inhaltliche Bewertung - GI'!RechtsformGI=BZ$13,BZ37*CC37,IF('Inhaltliche Bewertung - GI'!RechtsformGI=BR$13,BR37*CC37,"")))))</f>
        <v>#N/A</v>
      </c>
      <c r="CE37" s="351" t="e">
        <f>IF('Inhaltliche Bewertung - GI'!RechtsformAngebot=BT$13,BT37*CC37,IF('Inhaltliche Bewertung - GI'!RechtsformAngebot=BV$13,BV37*CC37,IF('Inhaltliche Bewertung - GI'!RechtsformAngebot=BX$13,BX37*CC37,IF('Inhaltliche Bewertung - GI'!RechtsformAngebot=BZ$13,BZ37*CC37,IF('Inhaltliche Bewertung - GI'!RechtsformAngebot=BR$13,BR37*CC37,"")))))</f>
        <v>#N/A</v>
      </c>
      <c r="CF37" s="351"/>
      <c r="CG37" s="361" t="s">
        <v>3274</v>
      </c>
      <c r="CH37" s="362">
        <v>0</v>
      </c>
      <c r="CI37" s="365" t="s">
        <v>3273</v>
      </c>
      <c r="CJ37" s="362">
        <v>0</v>
      </c>
      <c r="CK37" s="365" t="s">
        <v>3273</v>
      </c>
      <c r="CL37" s="362">
        <v>0</v>
      </c>
      <c r="CM37" s="365"/>
      <c r="CN37" s="362">
        <v>0</v>
      </c>
      <c r="CO37" s="365"/>
      <c r="CP37" s="362">
        <v>0</v>
      </c>
      <c r="CQ37" s="365"/>
      <c r="CR37" s="370" t="s">
        <v>3273</v>
      </c>
      <c r="CS37" s="373">
        <v>1</v>
      </c>
      <c r="CT37" s="351" t="e">
        <f>IF('Inhaltliche Bewertung - GI'!RechtsformGI=CJ$13,CJ37*CS37,IF('Inhaltliche Bewertung - GI'!RechtsformGI=CL$13,CL37*CS37,IF('Inhaltliche Bewertung - GI'!RechtsformGI=CN$13,CN37*CS37,IF('Inhaltliche Bewertung - GI'!RechtsformGI=CP$13,CP37*CS37,IF('Inhaltliche Bewertung - GI'!RechtsformGI=CH$13,CH37*CS37,"")))))</f>
        <v>#N/A</v>
      </c>
      <c r="CU37" s="351" t="e">
        <f>IF('Inhaltliche Bewertung - GI'!RechtsformAngebot=CJ$13,CJ37*CS37,IF('Inhaltliche Bewertung - GI'!RechtsformAngebot=CL$13,CL37*CS37,IF('Inhaltliche Bewertung - GI'!RechtsformAngebot=CN$13,CN37*CS37,IF('Inhaltliche Bewertung - GI'!RechtsformAngebot=CP$13,CP37*CS37,IF('Inhaltliche Bewertung - GI'!RechtsformAngebot=CH$13,CH37*CS37,"")))))</f>
        <v>#N/A</v>
      </c>
      <c r="CV37" s="351"/>
      <c r="CW37" s="361" t="s">
        <v>3275</v>
      </c>
      <c r="CX37" s="362">
        <v>0</v>
      </c>
      <c r="CY37" s="365" t="s">
        <v>3273</v>
      </c>
      <c r="CZ37" s="362">
        <v>0</v>
      </c>
      <c r="DA37" s="365" t="s">
        <v>3273</v>
      </c>
      <c r="DB37" s="362">
        <v>0</v>
      </c>
      <c r="DC37" s="365"/>
      <c r="DD37" s="362">
        <v>0</v>
      </c>
      <c r="DE37" s="365"/>
      <c r="DF37" s="362">
        <v>0</v>
      </c>
      <c r="DG37" s="365"/>
      <c r="DH37" s="370" t="s">
        <v>3273</v>
      </c>
      <c r="DI37" s="373">
        <v>1</v>
      </c>
      <c r="DJ37" s="351" t="e">
        <f>IF('Inhaltliche Bewertung - GI'!RechtsformGI=CZ$13,CZ37*DI37,IF('Inhaltliche Bewertung - GI'!RechtsformGI=DB$13,DB37*DI37,IF('Inhaltliche Bewertung - GI'!RechtsformGI=DD$13,DD37*DI37,IF('Inhaltliche Bewertung - GI'!RechtsformGI=DF$13,DF37*DI37,IF('Inhaltliche Bewertung - GI'!RechtsformGI=CX$13,CX37*DI37,"")))))</f>
        <v>#N/A</v>
      </c>
      <c r="DK37" s="351" t="e">
        <f>IF('Inhaltliche Bewertung - GI'!RechtsformAngebot=CZ$13,CZ37*DI37,IF('Inhaltliche Bewertung - GI'!RechtsformAngebot=DB$13,DB37*DI37,IF('Inhaltliche Bewertung - GI'!RechtsformAngebot=DD$13,DD37*DI37,IF('Inhaltliche Bewertung - GI'!RechtsformAngebot=DF$13,DF37*DI37,IF('Inhaltliche Bewertung - GI'!RechtsformAngebot=CX$13,CX37*DI37,"")))))</f>
        <v>#N/A</v>
      </c>
      <c r="DL37" s="351"/>
      <c r="DM37" s="356" t="s">
        <v>3234</v>
      </c>
      <c r="DN37" s="376">
        <v>0</v>
      </c>
      <c r="DO37" s="345" t="s">
        <v>3271</v>
      </c>
      <c r="DP37" s="376">
        <v>0</v>
      </c>
      <c r="DQ37" s="377"/>
      <c r="DR37" s="376">
        <v>0</v>
      </c>
      <c r="DS37" s="377"/>
      <c r="DT37" s="376">
        <v>0</v>
      </c>
      <c r="DU37" s="377"/>
      <c r="DV37" s="376">
        <v>0</v>
      </c>
      <c r="DW37" s="377"/>
      <c r="DX37" s="377"/>
      <c r="DY37" s="373">
        <v>1</v>
      </c>
      <c r="DZ37" s="351" t="e">
        <f>IF('Inhaltliche Bewertung - GI'!RechtsformGI=DP$13,DP37*DY37,IF('Inhaltliche Bewertung - GI'!RechtsformGI=DR$13,DR37*DY37,IF('Inhaltliche Bewertung - GI'!RechtsformGI=DT$13,DT37*DY37,IF('Inhaltliche Bewertung - GI'!RechtsformGI=DV$13,DV37*DY37,IF('Inhaltliche Bewertung - GI'!RechtsformGI=DN$13,DN37*DY37,"")))))</f>
        <v>#N/A</v>
      </c>
      <c r="EA37" s="351" t="e">
        <f>IF('Inhaltliche Bewertung - GI'!RechtsformAngebot=DP$13,DP37*DY37,IF('Inhaltliche Bewertung - GI'!RechtsformAngebot=DR$13,DR37*DY37,IF('Inhaltliche Bewertung - GI'!RechtsformAngebot=DT$13,DT37*DY37,IF('Inhaltliche Bewertung - GI'!RechtsformAngebot=DV$13,DV37*DY37,IF('Inhaltliche Bewertung - GI'!RechtsformAngebot=DN$13,DN37*DY37,"")))))</f>
        <v>#N/A</v>
      </c>
      <c r="EB37" s="351"/>
      <c r="EC37" s="157">
        <f t="shared" si="1"/>
        <v>0</v>
      </c>
      <c r="ED37" s="157">
        <f t="shared" si="2"/>
        <v>0</v>
      </c>
      <c r="EE37" s="157">
        <f t="shared" si="3"/>
        <v>0</v>
      </c>
      <c r="EF37" s="157">
        <f t="shared" si="4"/>
        <v>0</v>
      </c>
    </row>
    <row r="38" spans="1:136" ht="14.25" customHeight="1">
      <c r="A38" s="444" t="b">
        <f t="shared" si="0"/>
        <v>1</v>
      </c>
      <c r="B38" s="292"/>
      <c r="C38" s="355" t="s">
        <v>3276</v>
      </c>
      <c r="D38" s="345" t="s">
        <v>3277</v>
      </c>
      <c r="E38" s="361" t="s">
        <v>3278</v>
      </c>
      <c r="F38" s="362">
        <v>0</v>
      </c>
      <c r="G38" s="365" t="s">
        <v>3279</v>
      </c>
      <c r="H38" s="362">
        <v>0</v>
      </c>
      <c r="I38" s="365"/>
      <c r="J38" s="362">
        <v>0</v>
      </c>
      <c r="K38" s="365"/>
      <c r="L38" s="362">
        <v>0</v>
      </c>
      <c r="M38" s="365"/>
      <c r="N38" s="362">
        <v>0</v>
      </c>
      <c r="O38" s="365"/>
      <c r="P38" s="370" t="s">
        <v>3280</v>
      </c>
      <c r="Q38" s="360">
        <v>1</v>
      </c>
      <c r="R38" s="351" t="e">
        <f>IF('Inhaltliche Bewertung - GI'!RechtsformGI=H$13,H38*Q38,IF('Inhaltliche Bewertung - GI'!RechtsformGI=J$13,J38*Q38,IF('Inhaltliche Bewertung - GI'!RechtsformGI=L$13,L38*Q38,IF('Inhaltliche Bewertung - GI'!RechtsformGI=N$13,N38*Q38,IF('Inhaltliche Bewertung - GI'!RechtsformGI=F$13,F38*Q38,"")))))</f>
        <v>#N/A</v>
      </c>
      <c r="S38" s="351" t="e">
        <f>IF('Inhaltliche Bewertung - GI'!RechtsformAngebot=H$13,H38*Q38,IF('Inhaltliche Bewertung - GI'!RechtsformAngebot=J$13,J38*Q38,IF('Inhaltliche Bewertung - GI'!RechtsformAngebot=L$13,L38*Q38,IF('Inhaltliche Bewertung - GI'!RechtsformAngebot=N$13,N38*Q38,IF('Inhaltliche Bewertung - GI'!RechtsformAngebot=F$13,F38*Q38,"")))))</f>
        <v>#N/A</v>
      </c>
      <c r="T38" s="351"/>
      <c r="U38" s="361" t="s">
        <v>3281</v>
      </c>
      <c r="V38" s="362">
        <v>0</v>
      </c>
      <c r="W38" s="365" t="s">
        <v>3279</v>
      </c>
      <c r="X38" s="362">
        <v>0</v>
      </c>
      <c r="Y38" s="365"/>
      <c r="Z38" s="362">
        <v>0</v>
      </c>
      <c r="AA38" s="365"/>
      <c r="AB38" s="362">
        <v>0</v>
      </c>
      <c r="AC38" s="365"/>
      <c r="AD38" s="362">
        <v>0</v>
      </c>
      <c r="AE38" s="365"/>
      <c r="AF38" s="370" t="s">
        <v>3280</v>
      </c>
      <c r="AG38" s="360">
        <v>1</v>
      </c>
      <c r="AH38" s="351" t="e">
        <f>IF('Inhaltliche Bewertung - GI'!RechtsformGI=X$13,X38*AG38,IF('Inhaltliche Bewertung - GI'!RechtsformGI=Z$13,Z38*AG38,IF('Inhaltliche Bewertung - GI'!RechtsformGI=AB$13,AB38*AG38,IF('Inhaltliche Bewertung - GI'!RechtsformGI=AD$13,AD38*AG38,IF('Inhaltliche Bewertung - GI'!RechtsformGI=V$13,V38*AG38,"")))))</f>
        <v>#N/A</v>
      </c>
      <c r="AI38" s="351" t="e">
        <f>IF('Inhaltliche Bewertung - GI'!RechtsformAngebot=X$13,X38*AG38,IF('Inhaltliche Bewertung - GI'!RechtsformAngebot=Z$13,Z38*AG38,IF('Inhaltliche Bewertung - GI'!RechtsformAngebot=AB$13,AB38*AG38,IF('Inhaltliche Bewertung - GI'!RechtsformAngebot=AD$13,AD38*AG38,IF('Inhaltliche Bewertung - GI'!RechtsformAngebot=V$13,V38*AG38,"")))))</f>
        <v>#N/A</v>
      </c>
      <c r="AJ38" s="351"/>
      <c r="AK38" s="361" t="s">
        <v>3282</v>
      </c>
      <c r="AL38" s="362">
        <v>0</v>
      </c>
      <c r="AM38" s="365" t="s">
        <v>3279</v>
      </c>
      <c r="AN38" s="362">
        <v>0</v>
      </c>
      <c r="AO38" s="365"/>
      <c r="AP38" s="362">
        <v>0</v>
      </c>
      <c r="AQ38" s="365"/>
      <c r="AR38" s="362">
        <v>0</v>
      </c>
      <c r="AS38" s="365"/>
      <c r="AT38" s="362">
        <v>0</v>
      </c>
      <c r="AU38" s="365"/>
      <c r="AV38" s="370" t="s">
        <v>3280</v>
      </c>
      <c r="AW38" s="360">
        <v>1</v>
      </c>
      <c r="AX38" s="351" t="e">
        <f>IF('Inhaltliche Bewertung - GI'!RechtsformGI=AN$13,AN38*AW38,IF('Inhaltliche Bewertung - GI'!RechtsformGI=AP$13,AP38*AW38,IF('Inhaltliche Bewertung - GI'!RechtsformGI=AR$13,AR38*AW38,IF('Inhaltliche Bewertung - GI'!RechtsformGI=AT$13,AT38*AW38,IF('Inhaltliche Bewertung - GI'!RechtsformGI=AL$13,AL38*AW38,"")))))</f>
        <v>#N/A</v>
      </c>
      <c r="AY38" s="351" t="e">
        <f>IF('Inhaltliche Bewertung - GI'!RechtsformAngebot=AN$13,AN38*AW38,IF('Inhaltliche Bewertung - GI'!RechtsformAngebot=AP$13,AP38*AW38,IF('Inhaltliche Bewertung - GI'!RechtsformAngebot=AR$13,AR38*AW38,IF('Inhaltliche Bewertung - GI'!RechtsformAngebot=AT$13,AT38*AW38,IF('Inhaltliche Bewertung - GI'!RechtsformAngebot=AL$13,AL38*AW38,"")))))</f>
        <v>#N/A</v>
      </c>
      <c r="AZ38" s="351"/>
      <c r="BA38" s="361" t="s">
        <v>3283</v>
      </c>
      <c r="BB38" s="362">
        <v>0</v>
      </c>
      <c r="BC38" s="365" t="s">
        <v>3279</v>
      </c>
      <c r="BD38" s="362">
        <v>0</v>
      </c>
      <c r="BE38" s="365"/>
      <c r="BF38" s="362">
        <v>0</v>
      </c>
      <c r="BG38" s="365"/>
      <c r="BH38" s="362">
        <v>0</v>
      </c>
      <c r="BI38" s="365"/>
      <c r="BJ38" s="362">
        <v>0</v>
      </c>
      <c r="BK38" s="365"/>
      <c r="BL38" s="370" t="s">
        <v>3280</v>
      </c>
      <c r="BM38" s="360">
        <v>1</v>
      </c>
      <c r="BN38" s="351" t="e">
        <f>IF('Inhaltliche Bewertung - GI'!RechtsformGI=BD$13,BD38*BM38,IF('Inhaltliche Bewertung - GI'!RechtsformGI=BF$13,BF38*BM38,IF('Inhaltliche Bewertung - GI'!RechtsformGI=BH$13,BH38*BM38,IF('Inhaltliche Bewertung - GI'!RechtsformGI=BJ$13,BJ38*BM38,IF('Inhaltliche Bewertung - GI'!RechtsformGI=BB$13,BB38*BM38,"")))))</f>
        <v>#N/A</v>
      </c>
      <c r="BO38" s="351" t="e">
        <f>IF('Inhaltliche Bewertung - GI'!RechtsformAngebot=BD$13,BD38*BM38,IF('Inhaltliche Bewertung - GI'!RechtsformAngebot=BF$13,BF38*BM38,IF('Inhaltliche Bewertung - GI'!RechtsformAngebot=BH$13,BH38*BM38,IF('Inhaltliche Bewertung - GI'!RechtsformAngebot=BJ$13,BJ38*BM38,IF('Inhaltliche Bewertung - GI'!RechtsformAngebot=BB$13,BB38*BM38,"")))))</f>
        <v>#N/A</v>
      </c>
      <c r="BP38" s="351"/>
      <c r="BQ38" s="361" t="s">
        <v>3283</v>
      </c>
      <c r="BR38" s="362">
        <v>0</v>
      </c>
      <c r="BS38" s="365" t="s">
        <v>3279</v>
      </c>
      <c r="BT38" s="362">
        <v>0</v>
      </c>
      <c r="BU38" s="365"/>
      <c r="BV38" s="362">
        <v>0</v>
      </c>
      <c r="BW38" s="365"/>
      <c r="BX38" s="362">
        <v>0</v>
      </c>
      <c r="BY38" s="365"/>
      <c r="BZ38" s="362">
        <v>0</v>
      </c>
      <c r="CA38" s="365"/>
      <c r="CB38" s="370" t="s">
        <v>3280</v>
      </c>
      <c r="CC38" s="360">
        <v>1</v>
      </c>
      <c r="CD38" s="351" t="e">
        <f>IF('Inhaltliche Bewertung - GI'!RechtsformGI=BT$13,BT38*CC38,IF('Inhaltliche Bewertung - GI'!RechtsformGI=BV$13,BV38*CC38,IF('Inhaltliche Bewertung - GI'!RechtsformGI=BX$13,BX38*CC38,IF('Inhaltliche Bewertung - GI'!RechtsformGI=BZ$13,BZ38*CC38,IF('Inhaltliche Bewertung - GI'!RechtsformGI=BR$13,BR38*CC38,"")))))</f>
        <v>#N/A</v>
      </c>
      <c r="CE38" s="351" t="e">
        <f>IF('Inhaltliche Bewertung - GI'!RechtsformAngebot=BT$13,BT38*CC38,IF('Inhaltliche Bewertung - GI'!RechtsformAngebot=BV$13,BV38*CC38,IF('Inhaltliche Bewertung - GI'!RechtsformAngebot=BX$13,BX38*CC38,IF('Inhaltliche Bewertung - GI'!RechtsformAngebot=BZ$13,BZ38*CC38,IF('Inhaltliche Bewertung - GI'!RechtsformAngebot=BR$13,BR38*CC38,"")))))</f>
        <v>#N/A</v>
      </c>
      <c r="CF38" s="351"/>
      <c r="CG38" s="361" t="s">
        <v>3281</v>
      </c>
      <c r="CH38" s="362">
        <v>0</v>
      </c>
      <c r="CI38" s="365" t="s">
        <v>3279</v>
      </c>
      <c r="CJ38" s="362">
        <v>0</v>
      </c>
      <c r="CK38" s="365"/>
      <c r="CL38" s="362">
        <v>0</v>
      </c>
      <c r="CM38" s="365"/>
      <c r="CN38" s="362">
        <v>0</v>
      </c>
      <c r="CO38" s="365"/>
      <c r="CP38" s="362">
        <v>0</v>
      </c>
      <c r="CQ38" s="365"/>
      <c r="CR38" s="370" t="s">
        <v>3280</v>
      </c>
      <c r="CS38" s="360">
        <v>1</v>
      </c>
      <c r="CT38" s="351" t="e">
        <f>IF('Inhaltliche Bewertung - GI'!RechtsformGI=CJ$13,CJ38*CS38,IF('Inhaltliche Bewertung - GI'!RechtsformGI=CL$13,CL38*CS38,IF('Inhaltliche Bewertung - GI'!RechtsformGI=CN$13,CN38*CS38,IF('Inhaltliche Bewertung - GI'!RechtsformGI=CP$13,CP38*CS38,IF('Inhaltliche Bewertung - GI'!RechtsformGI=CH$13,CH38*CS38,"")))))</f>
        <v>#N/A</v>
      </c>
      <c r="CU38" s="351" t="e">
        <f>IF('Inhaltliche Bewertung - GI'!RechtsformAngebot=CJ$13,CJ38*CS38,IF('Inhaltliche Bewertung - GI'!RechtsformAngebot=CL$13,CL38*CS38,IF('Inhaltliche Bewertung - GI'!RechtsformAngebot=CN$13,CN38*CS38,IF('Inhaltliche Bewertung - GI'!RechtsformAngebot=CP$13,CP38*CS38,IF('Inhaltliche Bewertung - GI'!RechtsformAngebot=CH$13,CH38*CS38,"")))))</f>
        <v>#N/A</v>
      </c>
      <c r="CV38" s="351"/>
      <c r="CW38" s="361" t="s">
        <v>3284</v>
      </c>
      <c r="CX38" s="362">
        <v>0</v>
      </c>
      <c r="CY38" s="365" t="s">
        <v>3279</v>
      </c>
      <c r="CZ38" s="362">
        <v>0</v>
      </c>
      <c r="DA38" s="365"/>
      <c r="DB38" s="362">
        <v>0</v>
      </c>
      <c r="DC38" s="365"/>
      <c r="DD38" s="362">
        <v>0</v>
      </c>
      <c r="DE38" s="365"/>
      <c r="DF38" s="362">
        <v>0</v>
      </c>
      <c r="DG38" s="365"/>
      <c r="DH38" s="370" t="s">
        <v>3280</v>
      </c>
      <c r="DI38" s="360">
        <v>1</v>
      </c>
      <c r="DJ38" s="351" t="e">
        <f>IF('Inhaltliche Bewertung - GI'!RechtsformGI=CZ$13,CZ38*DI38,IF('Inhaltliche Bewertung - GI'!RechtsformGI=DB$13,DB38*DI38,IF('Inhaltliche Bewertung - GI'!RechtsformGI=DD$13,DD38*DI38,IF('Inhaltliche Bewertung - GI'!RechtsformGI=DF$13,DF38*DI38,IF('Inhaltliche Bewertung - GI'!RechtsformGI=CX$13,CX38*DI38,"")))))</f>
        <v>#N/A</v>
      </c>
      <c r="DK38" s="351" t="e">
        <f>IF('Inhaltliche Bewertung - GI'!RechtsformAngebot=CZ$13,CZ38*DI38,IF('Inhaltliche Bewertung - GI'!RechtsformAngebot=DB$13,DB38*DI38,IF('Inhaltliche Bewertung - GI'!RechtsformAngebot=DD$13,DD38*DI38,IF('Inhaltliche Bewertung - GI'!RechtsformAngebot=DF$13,DF38*DI38,IF('Inhaltliche Bewertung - GI'!RechtsformAngebot=CX$13,CX38*DI38,"")))))</f>
        <v>#N/A</v>
      </c>
      <c r="DL38" s="351"/>
      <c r="DM38" s="361" t="s">
        <v>3282</v>
      </c>
      <c r="DN38" s="362">
        <v>0</v>
      </c>
      <c r="DO38" s="365" t="s">
        <v>3279</v>
      </c>
      <c r="DP38" s="362">
        <v>0</v>
      </c>
      <c r="DQ38" s="365"/>
      <c r="DR38" s="362">
        <v>0</v>
      </c>
      <c r="DS38" s="365"/>
      <c r="DT38" s="362">
        <v>0</v>
      </c>
      <c r="DU38" s="365"/>
      <c r="DV38" s="362">
        <v>0</v>
      </c>
      <c r="DW38" s="365"/>
      <c r="DX38" s="370" t="s">
        <v>3280</v>
      </c>
      <c r="DY38" s="360">
        <v>1</v>
      </c>
      <c r="DZ38" s="351" t="e">
        <f>IF('Inhaltliche Bewertung - GI'!RechtsformGI=DP$13,DP38*DY38,IF('Inhaltliche Bewertung - GI'!RechtsformGI=DR$13,DR38*DY38,IF('Inhaltliche Bewertung - GI'!RechtsformGI=DT$13,DT38*DY38,IF('Inhaltliche Bewertung - GI'!RechtsformGI=DV$13,DV38*DY38,IF('Inhaltliche Bewertung - GI'!RechtsformGI=DN$13,DN38*DY38,"")))))</f>
        <v>#N/A</v>
      </c>
      <c r="EA38" s="351" t="e">
        <f>IF('Inhaltliche Bewertung - GI'!RechtsformAngebot=DP$13,DP38*DY38,IF('Inhaltliche Bewertung - GI'!RechtsformAngebot=DR$13,DR38*DY38,IF('Inhaltliche Bewertung - GI'!RechtsformAngebot=DT$13,DT38*DY38,IF('Inhaltliche Bewertung - GI'!RechtsformAngebot=DV$13,DV38*DY38,IF('Inhaltliche Bewertung - GI'!RechtsformAngebot=DN$13,DN38*DY38,"")))))</f>
        <v>#N/A</v>
      </c>
      <c r="EB38" s="351"/>
      <c r="EC38" s="157">
        <f t="shared" si="1"/>
        <v>0</v>
      </c>
      <c r="ED38" s="157">
        <f t="shared" si="2"/>
        <v>0</v>
      </c>
      <c r="EE38" s="157">
        <f t="shared" si="3"/>
        <v>0</v>
      </c>
      <c r="EF38" s="157">
        <f t="shared" si="4"/>
        <v>0</v>
      </c>
    </row>
    <row r="39" spans="1:136" ht="14.25" customHeight="1">
      <c r="A39" s="444" t="b">
        <f t="shared" si="0"/>
        <v>1</v>
      </c>
      <c r="B39" s="292"/>
      <c r="C39" s="355" t="s">
        <v>3285</v>
      </c>
      <c r="D39" s="345" t="s">
        <v>3286</v>
      </c>
      <c r="E39" s="361" t="s">
        <v>3232</v>
      </c>
      <c r="F39" s="362">
        <v>0</v>
      </c>
      <c r="G39" s="365"/>
      <c r="H39" s="362">
        <v>0</v>
      </c>
      <c r="I39" s="365"/>
      <c r="J39" s="362">
        <v>0</v>
      </c>
      <c r="K39" s="365"/>
      <c r="L39" s="362">
        <v>0</v>
      </c>
      <c r="M39" s="365"/>
      <c r="N39" s="362">
        <v>0</v>
      </c>
      <c r="O39" s="365"/>
      <c r="P39" s="368"/>
      <c r="Q39" s="360">
        <v>1</v>
      </c>
      <c r="R39" s="351" t="e">
        <f>IF('Inhaltliche Bewertung - GI'!RechtsformGI=H$13,H39*Q39,IF('Inhaltliche Bewertung - GI'!RechtsformGI=J$13,J39*Q39,IF('Inhaltliche Bewertung - GI'!RechtsformGI=L$13,L39*Q39,IF('Inhaltliche Bewertung - GI'!RechtsformGI=N$13,N39*Q39,IF('Inhaltliche Bewertung - GI'!RechtsformGI=F$13,F39*Q39,"")))))</f>
        <v>#N/A</v>
      </c>
      <c r="S39" s="351" t="e">
        <f>IF('Inhaltliche Bewertung - GI'!RechtsformAngebot=H$13,H39*Q39,IF('Inhaltliche Bewertung - GI'!RechtsformAngebot=J$13,J39*Q39,IF('Inhaltliche Bewertung - GI'!RechtsformAngebot=L$13,L39*Q39,IF('Inhaltliche Bewertung - GI'!RechtsformAngebot=N$13,N39*Q39,IF('Inhaltliche Bewertung - GI'!RechtsformAngebot=F$13,F39*Q39,"")))))</f>
        <v>#N/A</v>
      </c>
      <c r="T39" s="351"/>
      <c r="U39" s="361" t="s">
        <v>3287</v>
      </c>
      <c r="V39" s="362">
        <v>0</v>
      </c>
      <c r="W39" s="365"/>
      <c r="X39" s="362">
        <v>0</v>
      </c>
      <c r="Y39" s="365"/>
      <c r="Z39" s="362">
        <v>0</v>
      </c>
      <c r="AA39" s="365"/>
      <c r="AB39" s="362">
        <v>0</v>
      </c>
      <c r="AC39" s="365"/>
      <c r="AD39" s="362">
        <v>0</v>
      </c>
      <c r="AE39" s="365"/>
      <c r="AF39" s="368" t="s">
        <v>3288</v>
      </c>
      <c r="AG39" s="360">
        <v>1</v>
      </c>
      <c r="AH39" s="351" t="e">
        <f>IF('Inhaltliche Bewertung - GI'!RechtsformGI=X$13,X39*AG39,IF('Inhaltliche Bewertung - GI'!RechtsformGI=Z$13,Z39*AG39,IF('Inhaltliche Bewertung - GI'!RechtsformGI=AB$13,AB39*AG39,IF('Inhaltliche Bewertung - GI'!RechtsformGI=AD$13,AD39*AG39,IF('Inhaltliche Bewertung - GI'!RechtsformGI=V$13,V39*AG39,"")))))</f>
        <v>#N/A</v>
      </c>
      <c r="AI39" s="351" t="e">
        <f>IF('Inhaltliche Bewertung - GI'!RechtsformAngebot=X$13,X39*AG39,IF('Inhaltliche Bewertung - GI'!RechtsformAngebot=Z$13,Z39*AG39,IF('Inhaltliche Bewertung - GI'!RechtsformAngebot=AB$13,AB39*AG39,IF('Inhaltliche Bewertung - GI'!RechtsformAngebot=AD$13,AD39*AG39,IF('Inhaltliche Bewertung - GI'!RechtsformAngebot=V$13,V39*AG39,"")))))</f>
        <v>#N/A</v>
      </c>
      <c r="AJ39" s="351"/>
      <c r="AK39" s="361" t="s">
        <v>3289</v>
      </c>
      <c r="AL39" s="362">
        <v>0</v>
      </c>
      <c r="AM39" s="365"/>
      <c r="AN39" s="362">
        <v>0</v>
      </c>
      <c r="AO39" s="365"/>
      <c r="AP39" s="362">
        <v>0</v>
      </c>
      <c r="AQ39" s="365"/>
      <c r="AR39" s="362">
        <v>0</v>
      </c>
      <c r="AS39" s="365"/>
      <c r="AT39" s="362">
        <v>0</v>
      </c>
      <c r="AU39" s="365"/>
      <c r="AV39" s="368" t="s">
        <v>3288</v>
      </c>
      <c r="AW39" s="360">
        <v>1</v>
      </c>
      <c r="AX39" s="351" t="e">
        <f>IF('Inhaltliche Bewertung - GI'!RechtsformGI=AN$13,AN39*AW39,IF('Inhaltliche Bewertung - GI'!RechtsformGI=AP$13,AP39*AW39,IF('Inhaltliche Bewertung - GI'!RechtsformGI=AR$13,AR39*AW39,IF('Inhaltliche Bewertung - GI'!RechtsformGI=AT$13,AT39*AW39,IF('Inhaltliche Bewertung - GI'!RechtsformGI=AL$13,AL39*AW39,"")))))</f>
        <v>#N/A</v>
      </c>
      <c r="AY39" s="351" t="e">
        <f>IF('Inhaltliche Bewertung - GI'!RechtsformAngebot=AN$13,AN39*AW39,IF('Inhaltliche Bewertung - GI'!RechtsformAngebot=AP$13,AP39*AW39,IF('Inhaltliche Bewertung - GI'!RechtsformAngebot=AR$13,AR39*AW39,IF('Inhaltliche Bewertung - GI'!RechtsformAngebot=AT$13,AT39*AW39,IF('Inhaltliche Bewertung - GI'!RechtsformAngebot=AL$13,AL39*AW39,"")))))</f>
        <v>#N/A</v>
      </c>
      <c r="AZ39" s="351"/>
      <c r="BA39" s="361" t="s">
        <v>3289</v>
      </c>
      <c r="BB39" s="362">
        <v>0</v>
      </c>
      <c r="BC39" s="365"/>
      <c r="BD39" s="362">
        <v>0</v>
      </c>
      <c r="BE39" s="365"/>
      <c r="BF39" s="362">
        <v>0</v>
      </c>
      <c r="BG39" s="365"/>
      <c r="BH39" s="362">
        <v>0</v>
      </c>
      <c r="BI39" s="365"/>
      <c r="BJ39" s="362">
        <v>0</v>
      </c>
      <c r="BK39" s="365"/>
      <c r="BL39" s="368" t="s">
        <v>3288</v>
      </c>
      <c r="BM39" s="360">
        <v>1</v>
      </c>
      <c r="BN39" s="351" t="e">
        <f>IF('Inhaltliche Bewertung - GI'!RechtsformGI=BD$13,BD39*BM39,IF('Inhaltliche Bewertung - GI'!RechtsformGI=BF$13,BF39*BM39,IF('Inhaltliche Bewertung - GI'!RechtsformGI=BH$13,BH39*BM39,IF('Inhaltliche Bewertung - GI'!RechtsformGI=BJ$13,BJ39*BM39,IF('Inhaltliche Bewertung - GI'!RechtsformGI=BB$13,BB39*BM39,"")))))</f>
        <v>#N/A</v>
      </c>
      <c r="BO39" s="351" t="e">
        <f>IF('Inhaltliche Bewertung - GI'!RechtsformAngebot=BD$13,BD39*BM39,IF('Inhaltliche Bewertung - GI'!RechtsformAngebot=BF$13,BF39*BM39,IF('Inhaltliche Bewertung - GI'!RechtsformAngebot=BH$13,BH39*BM39,IF('Inhaltliche Bewertung - GI'!RechtsformAngebot=BJ$13,BJ39*BM39,IF('Inhaltliche Bewertung - GI'!RechtsformAngebot=BB$13,BB39*BM39,"")))))</f>
        <v>#N/A</v>
      </c>
      <c r="BP39" s="351"/>
      <c r="BQ39" s="361" t="s">
        <v>3289</v>
      </c>
      <c r="BR39" s="362">
        <v>0</v>
      </c>
      <c r="BS39" s="365"/>
      <c r="BT39" s="362">
        <v>0</v>
      </c>
      <c r="BU39" s="365"/>
      <c r="BV39" s="362">
        <v>0</v>
      </c>
      <c r="BW39" s="365"/>
      <c r="BX39" s="362">
        <v>0</v>
      </c>
      <c r="BY39" s="365"/>
      <c r="BZ39" s="362">
        <v>0</v>
      </c>
      <c r="CA39" s="365"/>
      <c r="CB39" s="368" t="s">
        <v>3288</v>
      </c>
      <c r="CC39" s="360">
        <v>1</v>
      </c>
      <c r="CD39" s="351" t="e">
        <f>IF('Inhaltliche Bewertung - GI'!RechtsformGI=BT$13,BT39*CC39,IF('Inhaltliche Bewertung - GI'!RechtsformGI=BV$13,BV39*CC39,IF('Inhaltliche Bewertung - GI'!RechtsformGI=BX$13,BX39*CC39,IF('Inhaltliche Bewertung - GI'!RechtsformGI=BZ$13,BZ39*CC39,IF('Inhaltliche Bewertung - GI'!RechtsformGI=BR$13,BR39*CC39,"")))))</f>
        <v>#N/A</v>
      </c>
      <c r="CE39" s="351" t="e">
        <f>IF('Inhaltliche Bewertung - GI'!RechtsformAngebot=BT$13,BT39*CC39,IF('Inhaltliche Bewertung - GI'!RechtsformAngebot=BV$13,BV39*CC39,IF('Inhaltliche Bewertung - GI'!RechtsformAngebot=BX$13,BX39*CC39,IF('Inhaltliche Bewertung - GI'!RechtsformAngebot=BZ$13,BZ39*CC39,IF('Inhaltliche Bewertung - GI'!RechtsformAngebot=BR$13,BR39*CC39,"")))))</f>
        <v>#N/A</v>
      </c>
      <c r="CF39" s="351"/>
      <c r="CG39" s="356" t="s">
        <v>3234</v>
      </c>
      <c r="CH39" s="376">
        <v>0</v>
      </c>
      <c r="CI39" s="377"/>
      <c r="CJ39" s="376">
        <v>0</v>
      </c>
      <c r="CK39" s="377"/>
      <c r="CL39" s="376">
        <v>0</v>
      </c>
      <c r="CM39" s="377"/>
      <c r="CN39" s="376">
        <v>0</v>
      </c>
      <c r="CO39" s="377"/>
      <c r="CP39" s="376">
        <v>0</v>
      </c>
      <c r="CQ39" s="377"/>
      <c r="CR39" s="377" t="s">
        <v>3290</v>
      </c>
      <c r="CS39" s="360">
        <v>1</v>
      </c>
      <c r="CT39" s="351" t="e">
        <f>IF('Inhaltliche Bewertung - GI'!RechtsformGI=CJ$13,CJ39*CS39,IF('Inhaltliche Bewertung - GI'!RechtsformGI=CL$13,CL39*CS39,IF('Inhaltliche Bewertung - GI'!RechtsformGI=CN$13,CN39*CS39,IF('Inhaltliche Bewertung - GI'!RechtsformGI=CP$13,CP39*CS39,IF('Inhaltliche Bewertung - GI'!RechtsformGI=CH$13,CH39*CS39,"")))))</f>
        <v>#N/A</v>
      </c>
      <c r="CU39" s="351" t="e">
        <f>IF('Inhaltliche Bewertung - GI'!RechtsformAngebot=CJ$13,CJ39*CS39,IF('Inhaltliche Bewertung - GI'!RechtsformAngebot=CL$13,CL39*CS39,IF('Inhaltliche Bewertung - GI'!RechtsformAngebot=CN$13,CN39*CS39,IF('Inhaltliche Bewertung - GI'!RechtsformAngebot=CP$13,CP39*CS39,IF('Inhaltliche Bewertung - GI'!RechtsformAngebot=CH$13,CH39*CS39,"")))))</f>
        <v>#N/A</v>
      </c>
      <c r="CV39" s="351"/>
      <c r="CW39" s="356" t="s">
        <v>3234</v>
      </c>
      <c r="CX39" s="376">
        <v>0</v>
      </c>
      <c r="CY39" s="377"/>
      <c r="CZ39" s="378">
        <v>0</v>
      </c>
      <c r="DA39" s="379"/>
      <c r="DB39" s="376">
        <v>0</v>
      </c>
      <c r="DC39" s="377"/>
      <c r="DD39" s="376">
        <v>0</v>
      </c>
      <c r="DE39" s="377"/>
      <c r="DF39" s="376">
        <v>0</v>
      </c>
      <c r="DG39" s="377"/>
      <c r="DH39" s="377" t="s">
        <v>3290</v>
      </c>
      <c r="DI39" s="360">
        <v>1</v>
      </c>
      <c r="DJ39" s="351" t="e">
        <f>IF('Inhaltliche Bewertung - GI'!RechtsformGI=CZ$13,CZ39*DI39,IF('Inhaltliche Bewertung - GI'!RechtsformGI=DB$13,DB39*DI39,IF('Inhaltliche Bewertung - GI'!RechtsformGI=DD$13,DD39*DI39,IF('Inhaltliche Bewertung - GI'!RechtsformGI=DF$13,DF39*DI39,IF('Inhaltliche Bewertung - GI'!RechtsformGI=CX$13,CX39*DI39,"")))))</f>
        <v>#N/A</v>
      </c>
      <c r="DK39" s="351" t="e">
        <f>IF('Inhaltliche Bewertung - GI'!RechtsformAngebot=CZ$13,CZ39*DI39,IF('Inhaltliche Bewertung - GI'!RechtsformAngebot=DB$13,DB39*DI39,IF('Inhaltliche Bewertung - GI'!RechtsformAngebot=DD$13,DD39*DI39,IF('Inhaltliche Bewertung - GI'!RechtsformAngebot=DF$13,DF39*DI39,IF('Inhaltliche Bewertung - GI'!RechtsformAngebot=CX$13,CX39*DI39,"")))))</f>
        <v>#N/A</v>
      </c>
      <c r="DL39" s="351"/>
      <c r="DM39" s="361" t="s">
        <v>3289</v>
      </c>
      <c r="DN39" s="362">
        <v>0</v>
      </c>
      <c r="DO39" s="365"/>
      <c r="DP39" s="362">
        <v>0</v>
      </c>
      <c r="DQ39" s="365"/>
      <c r="DR39" s="362">
        <v>0</v>
      </c>
      <c r="DS39" s="365"/>
      <c r="DT39" s="362">
        <v>0</v>
      </c>
      <c r="DU39" s="365"/>
      <c r="DV39" s="362">
        <v>0</v>
      </c>
      <c r="DW39" s="365"/>
      <c r="DX39" s="368" t="s">
        <v>3288</v>
      </c>
      <c r="DY39" s="360">
        <v>1</v>
      </c>
      <c r="DZ39" s="351" t="e">
        <f>IF('Inhaltliche Bewertung - GI'!RechtsformGI=DP$13,DP39*DY39,IF('Inhaltliche Bewertung - GI'!RechtsformGI=DR$13,DR39*DY39,IF('Inhaltliche Bewertung - GI'!RechtsformGI=DT$13,DT39*DY39,IF('Inhaltliche Bewertung - GI'!RechtsformGI=DV$13,DV39*DY39,IF('Inhaltliche Bewertung - GI'!RechtsformGI=DN$13,DN39*DY39,"")))))</f>
        <v>#N/A</v>
      </c>
      <c r="EA39" s="351" t="e">
        <f>IF('Inhaltliche Bewertung - GI'!RechtsformAngebot=DP$13,DP39*DY39,IF('Inhaltliche Bewertung - GI'!RechtsformAngebot=DR$13,DR39*DY39,IF('Inhaltliche Bewertung - GI'!RechtsformAngebot=DT$13,DT39*DY39,IF('Inhaltliche Bewertung - GI'!RechtsformAngebot=DV$13,DV39*DY39,IF('Inhaltliche Bewertung - GI'!RechtsformAngebot=DN$13,DN39*DY39,"")))))</f>
        <v>#N/A</v>
      </c>
      <c r="EB39" s="351"/>
      <c r="EC39" s="157">
        <f t="shared" si="1"/>
        <v>0</v>
      </c>
      <c r="ED39" s="157">
        <f t="shared" si="2"/>
        <v>0</v>
      </c>
      <c r="EE39" s="157">
        <f t="shared" si="3"/>
        <v>0</v>
      </c>
      <c r="EF39" s="157">
        <f t="shared" si="4"/>
        <v>0</v>
      </c>
    </row>
    <row r="40" spans="1:136" ht="14.25" customHeight="1">
      <c r="A40" s="444" t="b">
        <f t="shared" si="0"/>
        <v>1</v>
      </c>
      <c r="B40" s="292"/>
      <c r="C40" s="355" t="s">
        <v>3291</v>
      </c>
      <c r="D40" s="345"/>
      <c r="E40" s="361" t="s">
        <v>3292</v>
      </c>
      <c r="F40" s="362">
        <v>0.3</v>
      </c>
      <c r="G40" s="365"/>
      <c r="H40" s="362">
        <v>0.3</v>
      </c>
      <c r="I40" s="365"/>
      <c r="J40" s="362">
        <v>0.3</v>
      </c>
      <c r="K40" s="365"/>
      <c r="L40" s="362">
        <v>0.3</v>
      </c>
      <c r="M40" s="365"/>
      <c r="N40" s="362">
        <v>0.3</v>
      </c>
      <c r="O40" s="365"/>
      <c r="P40" s="370"/>
      <c r="Q40" s="360">
        <v>1</v>
      </c>
      <c r="R40" s="351" t="e">
        <f>IF('Inhaltliche Bewertung - GI'!RechtsformGI=H$13,H40*Q40,IF('Inhaltliche Bewertung - GI'!RechtsformGI=J$13,J40*Q40,IF('Inhaltliche Bewertung - GI'!RechtsformGI=L$13,L40*Q40,IF('Inhaltliche Bewertung - GI'!RechtsformGI=N$13,N40*Q40,IF('Inhaltliche Bewertung - GI'!RechtsformGI=F$13,F40*Q40,"")))))</f>
        <v>#N/A</v>
      </c>
      <c r="S40" s="351" t="e">
        <f>IF('Inhaltliche Bewertung - GI'!RechtsformAngebot=H$13,H40*Q40,IF('Inhaltliche Bewertung - GI'!RechtsformAngebot=J$13,J40*Q40,IF('Inhaltliche Bewertung - GI'!RechtsformAngebot=L$13,L40*Q40,IF('Inhaltliche Bewertung - GI'!RechtsformAngebot=N$13,N40*Q40,IF('Inhaltliche Bewertung - GI'!RechtsformAngebot=F$13,F40*Q40,"")))))</f>
        <v>#N/A</v>
      </c>
      <c r="T40" s="351"/>
      <c r="U40" s="361" t="s">
        <v>3292</v>
      </c>
      <c r="V40" s="362">
        <v>0.3</v>
      </c>
      <c r="W40" s="365"/>
      <c r="X40" s="362">
        <v>0.3</v>
      </c>
      <c r="Y40" s="365"/>
      <c r="Z40" s="362">
        <v>0.3</v>
      </c>
      <c r="AA40" s="365"/>
      <c r="AB40" s="362">
        <v>0.3</v>
      </c>
      <c r="AC40" s="365"/>
      <c r="AD40" s="362">
        <v>0.3</v>
      </c>
      <c r="AE40" s="365"/>
      <c r="AF40" s="370"/>
      <c r="AG40" s="360">
        <v>1</v>
      </c>
      <c r="AH40" s="351" t="e">
        <f>IF('Inhaltliche Bewertung - GI'!RechtsformGI=X$13,X40*AG40,IF('Inhaltliche Bewertung - GI'!RechtsformGI=Z$13,Z40*AG40,IF('Inhaltliche Bewertung - GI'!RechtsformGI=AB$13,AB40*AG40,IF('Inhaltliche Bewertung - GI'!RechtsformGI=AD$13,AD40*AG40,IF('Inhaltliche Bewertung - GI'!RechtsformGI=V$13,V40*AG40,"")))))</f>
        <v>#N/A</v>
      </c>
      <c r="AI40" s="351" t="e">
        <f>IF('Inhaltliche Bewertung - GI'!RechtsformAngebot=X$13,X40*AG40,IF('Inhaltliche Bewertung - GI'!RechtsformAngebot=Z$13,Z40*AG40,IF('Inhaltliche Bewertung - GI'!RechtsformAngebot=AB$13,AB40*AG40,IF('Inhaltliche Bewertung - GI'!RechtsformAngebot=AD$13,AD40*AG40,IF('Inhaltliche Bewertung - GI'!RechtsformAngebot=V$13,V40*AG40,"")))))</f>
        <v>#N/A</v>
      </c>
      <c r="AJ40" s="351"/>
      <c r="AK40" s="361" t="s">
        <v>3292</v>
      </c>
      <c r="AL40" s="362">
        <v>0.3</v>
      </c>
      <c r="AM40" s="365"/>
      <c r="AN40" s="362">
        <v>0.3</v>
      </c>
      <c r="AO40" s="365"/>
      <c r="AP40" s="362">
        <v>0.3</v>
      </c>
      <c r="AQ40" s="365"/>
      <c r="AR40" s="362">
        <v>0.3</v>
      </c>
      <c r="AS40" s="365"/>
      <c r="AT40" s="362">
        <v>0.3</v>
      </c>
      <c r="AU40" s="365"/>
      <c r="AV40" s="370"/>
      <c r="AW40" s="360">
        <v>1</v>
      </c>
      <c r="AX40" s="351" t="e">
        <f>IF('Inhaltliche Bewertung - GI'!RechtsformGI=AN$13,AN40*AW40,IF('Inhaltliche Bewertung - GI'!RechtsformGI=AP$13,AP40*AW40,IF('Inhaltliche Bewertung - GI'!RechtsformGI=AR$13,AR40*AW40,IF('Inhaltliche Bewertung - GI'!RechtsformGI=AT$13,AT40*AW40,IF('Inhaltliche Bewertung - GI'!RechtsformGI=AL$13,AL40*AW40,"")))))</f>
        <v>#N/A</v>
      </c>
      <c r="AY40" s="351" t="e">
        <f>IF('Inhaltliche Bewertung - GI'!RechtsformAngebot=AN$13,AN40*AW40,IF('Inhaltliche Bewertung - GI'!RechtsformAngebot=AP$13,AP40*AW40,IF('Inhaltliche Bewertung - GI'!RechtsformAngebot=AR$13,AR40*AW40,IF('Inhaltliche Bewertung - GI'!RechtsformAngebot=AT$13,AT40*AW40,IF('Inhaltliche Bewertung - GI'!RechtsformAngebot=AL$13,AL40*AW40,"")))))</f>
        <v>#N/A</v>
      </c>
      <c r="AZ40" s="351"/>
      <c r="BA40" s="361" t="s">
        <v>3292</v>
      </c>
      <c r="BB40" s="362">
        <v>0.3</v>
      </c>
      <c r="BC40" s="365"/>
      <c r="BD40" s="362">
        <v>0.3</v>
      </c>
      <c r="BE40" s="365"/>
      <c r="BF40" s="362">
        <v>0.3</v>
      </c>
      <c r="BG40" s="365"/>
      <c r="BH40" s="362">
        <v>0.3</v>
      </c>
      <c r="BI40" s="365"/>
      <c r="BJ40" s="362">
        <v>0.3</v>
      </c>
      <c r="BK40" s="365"/>
      <c r="BL40" s="370"/>
      <c r="BM40" s="360">
        <v>1</v>
      </c>
      <c r="BN40" s="351" t="e">
        <f>IF('Inhaltliche Bewertung - GI'!RechtsformGI=BD$13,BD40*BM40,IF('Inhaltliche Bewertung - GI'!RechtsformGI=BF$13,BF40*BM40,IF('Inhaltliche Bewertung - GI'!RechtsformGI=BH$13,BH40*BM40,IF('Inhaltliche Bewertung - GI'!RechtsformGI=BJ$13,BJ40*BM40,IF('Inhaltliche Bewertung - GI'!RechtsformGI=BB$13,BB40*BM40,"")))))</f>
        <v>#N/A</v>
      </c>
      <c r="BO40" s="351" t="e">
        <f>IF('Inhaltliche Bewertung - GI'!RechtsformAngebot=BD$13,BD40*BM40,IF('Inhaltliche Bewertung - GI'!RechtsformAngebot=BF$13,BF40*BM40,IF('Inhaltliche Bewertung - GI'!RechtsformAngebot=BH$13,BH40*BM40,IF('Inhaltliche Bewertung - GI'!RechtsformAngebot=BJ$13,BJ40*BM40,IF('Inhaltliche Bewertung - GI'!RechtsformAngebot=BB$13,BB40*BM40,"")))))</f>
        <v>#N/A</v>
      </c>
      <c r="BP40" s="351"/>
      <c r="BQ40" s="361" t="s">
        <v>3292</v>
      </c>
      <c r="BR40" s="362">
        <v>0.3</v>
      </c>
      <c r="BS40" s="365"/>
      <c r="BT40" s="362">
        <v>0.3</v>
      </c>
      <c r="BU40" s="365"/>
      <c r="BV40" s="362">
        <v>0.3</v>
      </c>
      <c r="BW40" s="365"/>
      <c r="BX40" s="362">
        <v>0.3</v>
      </c>
      <c r="BY40" s="365"/>
      <c r="BZ40" s="362">
        <v>0.3</v>
      </c>
      <c r="CA40" s="365"/>
      <c r="CB40" s="370"/>
      <c r="CC40" s="360">
        <v>1</v>
      </c>
      <c r="CD40" s="351" t="e">
        <f>IF('Inhaltliche Bewertung - GI'!RechtsformGI=BT$13,BT40*CC40,IF('Inhaltliche Bewertung - GI'!RechtsformGI=BV$13,BV40*CC40,IF('Inhaltliche Bewertung - GI'!RechtsformGI=BX$13,BX40*CC40,IF('Inhaltliche Bewertung - GI'!RechtsformGI=BZ$13,BZ40*CC40,IF('Inhaltliche Bewertung - GI'!RechtsformGI=BR$13,BR40*CC40,"")))))</f>
        <v>#N/A</v>
      </c>
      <c r="CE40" s="351" t="e">
        <f>IF('Inhaltliche Bewertung - GI'!RechtsformAngebot=BT$13,BT40*CC40,IF('Inhaltliche Bewertung - GI'!RechtsformAngebot=BV$13,BV40*CC40,IF('Inhaltliche Bewertung - GI'!RechtsformAngebot=BX$13,BX40*CC40,IF('Inhaltliche Bewertung - GI'!RechtsformAngebot=BZ$13,BZ40*CC40,IF('Inhaltliche Bewertung - GI'!RechtsformAngebot=BR$13,BR40*CC40,"")))))</f>
        <v>#N/A</v>
      </c>
      <c r="CF40" s="351"/>
      <c r="CG40" s="361" t="s">
        <v>3292</v>
      </c>
      <c r="CH40" s="362">
        <v>0.3</v>
      </c>
      <c r="CI40" s="365"/>
      <c r="CJ40" s="362">
        <v>0.3</v>
      </c>
      <c r="CK40" s="365"/>
      <c r="CL40" s="362">
        <v>0.3</v>
      </c>
      <c r="CM40" s="365"/>
      <c r="CN40" s="362">
        <v>0.3</v>
      </c>
      <c r="CO40" s="365"/>
      <c r="CP40" s="362">
        <v>0.3</v>
      </c>
      <c r="CQ40" s="365"/>
      <c r="CR40" s="370"/>
      <c r="CS40" s="360">
        <v>1</v>
      </c>
      <c r="CT40" s="351" t="e">
        <f>IF('Inhaltliche Bewertung - GI'!RechtsformGI=CJ$13,CJ40*CS40,IF('Inhaltliche Bewertung - GI'!RechtsformGI=CL$13,CL40*CS40,IF('Inhaltliche Bewertung - GI'!RechtsformGI=CN$13,CN40*CS40,IF('Inhaltliche Bewertung - GI'!RechtsformGI=CP$13,CP40*CS40,IF('Inhaltliche Bewertung - GI'!RechtsformGI=CH$13,CH40*CS40,"")))))</f>
        <v>#N/A</v>
      </c>
      <c r="CU40" s="351" t="e">
        <f>IF('Inhaltliche Bewertung - GI'!RechtsformAngebot=CJ$13,CJ40*CS40,IF('Inhaltliche Bewertung - GI'!RechtsformAngebot=CL$13,CL40*CS40,IF('Inhaltliche Bewertung - GI'!RechtsformAngebot=CN$13,CN40*CS40,IF('Inhaltliche Bewertung - GI'!RechtsformAngebot=CP$13,CP40*CS40,IF('Inhaltliche Bewertung - GI'!RechtsformAngebot=CH$13,CH40*CS40,"")))))</f>
        <v>#N/A</v>
      </c>
      <c r="CV40" s="351"/>
      <c r="CW40" s="361" t="s">
        <v>3292</v>
      </c>
      <c r="CX40" s="362">
        <v>0.3</v>
      </c>
      <c r="CY40" s="365"/>
      <c r="CZ40" s="362">
        <v>0.3</v>
      </c>
      <c r="DA40" s="365"/>
      <c r="DB40" s="362">
        <v>0.3</v>
      </c>
      <c r="DC40" s="365"/>
      <c r="DD40" s="362">
        <v>0.3</v>
      </c>
      <c r="DE40" s="365"/>
      <c r="DF40" s="362">
        <v>0.3</v>
      </c>
      <c r="DG40" s="365"/>
      <c r="DH40" s="370"/>
      <c r="DI40" s="360">
        <v>1</v>
      </c>
      <c r="DJ40" s="351" t="e">
        <f>IF('Inhaltliche Bewertung - GI'!RechtsformGI=CZ$13,CZ40*DI40,IF('Inhaltliche Bewertung - GI'!RechtsformGI=DB$13,DB40*DI40,IF('Inhaltliche Bewertung - GI'!RechtsformGI=DD$13,DD40*DI40,IF('Inhaltliche Bewertung - GI'!RechtsformGI=DF$13,DF40*DI40,IF('Inhaltliche Bewertung - GI'!RechtsformGI=CX$13,CX40*DI40,"")))))</f>
        <v>#N/A</v>
      </c>
      <c r="DK40" s="351" t="e">
        <f>IF('Inhaltliche Bewertung - GI'!RechtsformAngebot=CZ$13,CZ40*DI40,IF('Inhaltliche Bewertung - GI'!RechtsformAngebot=DB$13,DB40*DI40,IF('Inhaltliche Bewertung - GI'!RechtsformAngebot=DD$13,DD40*DI40,IF('Inhaltliche Bewertung - GI'!RechtsformAngebot=DF$13,DF40*DI40,IF('Inhaltliche Bewertung - GI'!RechtsformAngebot=CX$13,CX40*DI40,"")))))</f>
        <v>#N/A</v>
      </c>
      <c r="DL40" s="351"/>
      <c r="DM40" s="361" t="s">
        <v>3292</v>
      </c>
      <c r="DN40" s="362">
        <v>0.3</v>
      </c>
      <c r="DO40" s="365"/>
      <c r="DP40" s="362">
        <v>0.3</v>
      </c>
      <c r="DQ40" s="365"/>
      <c r="DR40" s="362">
        <v>0.3</v>
      </c>
      <c r="DS40" s="365"/>
      <c r="DT40" s="362">
        <v>0.3</v>
      </c>
      <c r="DU40" s="365"/>
      <c r="DV40" s="362">
        <v>0.3</v>
      </c>
      <c r="DW40" s="365"/>
      <c r="DX40" s="370"/>
      <c r="DY40" s="360">
        <v>1</v>
      </c>
      <c r="DZ40" s="351" t="e">
        <f>IF('Inhaltliche Bewertung - GI'!RechtsformGI=DP$13,DP40*DY40,IF('Inhaltliche Bewertung - GI'!RechtsformGI=DR$13,DR40*DY40,IF('Inhaltliche Bewertung - GI'!RechtsformGI=DT$13,DT40*DY40,IF('Inhaltliche Bewertung - GI'!RechtsformGI=DV$13,DV40*DY40,IF('Inhaltliche Bewertung - GI'!RechtsformGI=DN$13,DN40*DY40,"")))))</f>
        <v>#N/A</v>
      </c>
      <c r="EA40" s="351" t="e">
        <f>IF('Inhaltliche Bewertung - GI'!RechtsformAngebot=DP$13,DP40*DY40,IF('Inhaltliche Bewertung - GI'!RechtsformAngebot=DR$13,DR40*DY40,IF('Inhaltliche Bewertung - GI'!RechtsformAngebot=DT$13,DT40*DY40,IF('Inhaltliche Bewertung - GI'!RechtsformAngebot=DV$13,DV40*DY40,IF('Inhaltliche Bewertung - GI'!RechtsformAngebot=DN$13,DN40*DY40,"")))))</f>
        <v>#N/A</v>
      </c>
      <c r="EB40" s="351"/>
      <c r="EC40" s="157">
        <f t="shared" si="1"/>
        <v>0.3</v>
      </c>
      <c r="ED40" s="157">
        <f t="shared" si="2"/>
        <v>0.3</v>
      </c>
      <c r="EE40" s="157">
        <f t="shared" si="3"/>
        <v>0.30000000000000016</v>
      </c>
      <c r="EF40" s="157">
        <f t="shared" si="4"/>
        <v>0.3</v>
      </c>
    </row>
    <row r="41" spans="1:136" ht="14.25" customHeight="1">
      <c r="A41" s="444" t="b">
        <f t="shared" si="0"/>
        <v>1</v>
      </c>
      <c r="B41" s="292"/>
      <c r="C41" s="355" t="s">
        <v>3293</v>
      </c>
      <c r="D41" s="345"/>
      <c r="E41" s="361" t="s">
        <v>3292</v>
      </c>
      <c r="F41" s="362">
        <v>0.5</v>
      </c>
      <c r="G41" s="365"/>
      <c r="H41" s="362">
        <v>0.5</v>
      </c>
      <c r="I41" s="365"/>
      <c r="J41" s="362">
        <v>0.5</v>
      </c>
      <c r="K41" s="365"/>
      <c r="L41" s="362">
        <v>0.5</v>
      </c>
      <c r="M41" s="365"/>
      <c r="N41" s="362">
        <v>0.5</v>
      </c>
      <c r="O41" s="365"/>
      <c r="P41" s="370"/>
      <c r="Q41" s="360">
        <v>1</v>
      </c>
      <c r="R41" s="351" t="e">
        <f>IF('Inhaltliche Bewertung - GI'!RechtsformGI=H$13,H41*Q41,IF('Inhaltliche Bewertung - GI'!RechtsformGI=J$13,J41*Q41,IF('Inhaltliche Bewertung - GI'!RechtsformGI=L$13,L41*Q41,IF('Inhaltliche Bewertung - GI'!RechtsformGI=N$13,N41*Q41,IF('Inhaltliche Bewertung - GI'!RechtsformGI=F$13,F41*Q41,"")))))</f>
        <v>#N/A</v>
      </c>
      <c r="S41" s="351" t="e">
        <f>IF('Inhaltliche Bewertung - GI'!RechtsformAngebot=H$13,H41*Q41,IF('Inhaltliche Bewertung - GI'!RechtsformAngebot=J$13,J41*Q41,IF('Inhaltliche Bewertung - GI'!RechtsformAngebot=L$13,L41*Q41,IF('Inhaltliche Bewertung - GI'!RechtsformAngebot=N$13,N41*Q41,IF('Inhaltliche Bewertung - GI'!RechtsformAngebot=F$13,F41*Q41,"")))))</f>
        <v>#N/A</v>
      </c>
      <c r="T41" s="351"/>
      <c r="U41" s="361" t="s">
        <v>3292</v>
      </c>
      <c r="V41" s="362">
        <v>0.5</v>
      </c>
      <c r="W41" s="365"/>
      <c r="X41" s="362">
        <v>0.5</v>
      </c>
      <c r="Y41" s="365"/>
      <c r="Z41" s="362">
        <v>0.5</v>
      </c>
      <c r="AA41" s="365"/>
      <c r="AB41" s="362">
        <v>0.5</v>
      </c>
      <c r="AC41" s="365"/>
      <c r="AD41" s="362">
        <v>0.5</v>
      </c>
      <c r="AE41" s="365"/>
      <c r="AF41" s="370"/>
      <c r="AG41" s="360">
        <v>1</v>
      </c>
      <c r="AH41" s="351" t="e">
        <f>IF('Inhaltliche Bewertung - GI'!RechtsformGI=X$13,X41*AG41,IF('Inhaltliche Bewertung - GI'!RechtsformGI=Z$13,Z41*AG41,IF('Inhaltliche Bewertung - GI'!RechtsformGI=AB$13,AB41*AG41,IF('Inhaltliche Bewertung - GI'!RechtsformGI=AD$13,AD41*AG41,IF('Inhaltliche Bewertung - GI'!RechtsformGI=V$13,V41*AG41,"")))))</f>
        <v>#N/A</v>
      </c>
      <c r="AI41" s="351" t="e">
        <f>IF('Inhaltliche Bewertung - GI'!RechtsformAngebot=X$13,X41*AG41,IF('Inhaltliche Bewertung - GI'!RechtsformAngebot=Z$13,Z41*AG41,IF('Inhaltliche Bewertung - GI'!RechtsformAngebot=AB$13,AB41*AG41,IF('Inhaltliche Bewertung - GI'!RechtsformAngebot=AD$13,AD41*AG41,IF('Inhaltliche Bewertung - GI'!RechtsformAngebot=V$13,V41*AG41,"")))))</f>
        <v>#N/A</v>
      </c>
      <c r="AJ41" s="351"/>
      <c r="AK41" s="361" t="s">
        <v>3292</v>
      </c>
      <c r="AL41" s="362">
        <v>0.5</v>
      </c>
      <c r="AM41" s="365"/>
      <c r="AN41" s="362">
        <v>0.5</v>
      </c>
      <c r="AO41" s="365"/>
      <c r="AP41" s="362">
        <v>0.5</v>
      </c>
      <c r="AQ41" s="365"/>
      <c r="AR41" s="362">
        <v>0.5</v>
      </c>
      <c r="AS41" s="365"/>
      <c r="AT41" s="362">
        <v>0.5</v>
      </c>
      <c r="AU41" s="365"/>
      <c r="AV41" s="370"/>
      <c r="AW41" s="360">
        <v>1</v>
      </c>
      <c r="AX41" s="351" t="e">
        <f>IF('Inhaltliche Bewertung - GI'!RechtsformGI=AN$13,AN41*AW41,IF('Inhaltliche Bewertung - GI'!RechtsformGI=AP$13,AP41*AW41,IF('Inhaltliche Bewertung - GI'!RechtsformGI=AR$13,AR41*AW41,IF('Inhaltliche Bewertung - GI'!RechtsformGI=AT$13,AT41*AW41,IF('Inhaltliche Bewertung - GI'!RechtsformGI=AL$13,AL41*AW41,"")))))</f>
        <v>#N/A</v>
      </c>
      <c r="AY41" s="351" t="e">
        <f>IF('Inhaltliche Bewertung - GI'!RechtsformAngebot=AN$13,AN41*AW41,IF('Inhaltliche Bewertung - GI'!RechtsformAngebot=AP$13,AP41*AW41,IF('Inhaltliche Bewertung - GI'!RechtsformAngebot=AR$13,AR41*AW41,IF('Inhaltliche Bewertung - GI'!RechtsformAngebot=AT$13,AT41*AW41,IF('Inhaltliche Bewertung - GI'!RechtsformAngebot=AL$13,AL41*AW41,"")))))</f>
        <v>#N/A</v>
      </c>
      <c r="AZ41" s="351"/>
      <c r="BA41" s="361" t="s">
        <v>3292</v>
      </c>
      <c r="BB41" s="362">
        <v>0.5</v>
      </c>
      <c r="BC41" s="365"/>
      <c r="BD41" s="362">
        <v>0.5</v>
      </c>
      <c r="BE41" s="365"/>
      <c r="BF41" s="362">
        <v>0.5</v>
      </c>
      <c r="BG41" s="365"/>
      <c r="BH41" s="362">
        <v>0.5</v>
      </c>
      <c r="BI41" s="365"/>
      <c r="BJ41" s="362">
        <v>0.5</v>
      </c>
      <c r="BK41" s="365"/>
      <c r="BL41" s="370"/>
      <c r="BM41" s="360">
        <v>1</v>
      </c>
      <c r="BN41" s="351" t="e">
        <f>IF('Inhaltliche Bewertung - GI'!RechtsformGI=BD$13,BD41*BM41,IF('Inhaltliche Bewertung - GI'!RechtsformGI=BF$13,BF41*BM41,IF('Inhaltliche Bewertung - GI'!RechtsformGI=BH$13,BH41*BM41,IF('Inhaltliche Bewertung - GI'!RechtsformGI=BJ$13,BJ41*BM41,IF('Inhaltliche Bewertung - GI'!RechtsformGI=BB$13,BB41*BM41,"")))))</f>
        <v>#N/A</v>
      </c>
      <c r="BO41" s="351" t="e">
        <f>IF('Inhaltliche Bewertung - GI'!RechtsformAngebot=BD$13,BD41*BM41,IF('Inhaltliche Bewertung - GI'!RechtsformAngebot=BF$13,BF41*BM41,IF('Inhaltliche Bewertung - GI'!RechtsformAngebot=BH$13,BH41*BM41,IF('Inhaltliche Bewertung - GI'!RechtsformAngebot=BJ$13,BJ41*BM41,IF('Inhaltliche Bewertung - GI'!RechtsformAngebot=BB$13,BB41*BM41,"")))))</f>
        <v>#N/A</v>
      </c>
      <c r="BP41" s="351"/>
      <c r="BQ41" s="361" t="s">
        <v>3292</v>
      </c>
      <c r="BR41" s="362">
        <v>0.5</v>
      </c>
      <c r="BS41" s="365"/>
      <c r="BT41" s="362">
        <v>0.5</v>
      </c>
      <c r="BU41" s="365"/>
      <c r="BV41" s="362">
        <v>0.5</v>
      </c>
      <c r="BW41" s="365"/>
      <c r="BX41" s="362">
        <v>0.5</v>
      </c>
      <c r="BY41" s="365"/>
      <c r="BZ41" s="362">
        <v>0.5</v>
      </c>
      <c r="CA41" s="365"/>
      <c r="CB41" s="370"/>
      <c r="CC41" s="360">
        <v>1</v>
      </c>
      <c r="CD41" s="351" t="e">
        <f>IF('Inhaltliche Bewertung - GI'!RechtsformGI=BT$13,BT41*CC41,IF('Inhaltliche Bewertung - GI'!RechtsformGI=BV$13,BV41*CC41,IF('Inhaltliche Bewertung - GI'!RechtsformGI=BX$13,BX41*CC41,IF('Inhaltliche Bewertung - GI'!RechtsformGI=BZ$13,BZ41*CC41,IF('Inhaltliche Bewertung - GI'!RechtsformGI=BR$13,BR41*CC41,"")))))</f>
        <v>#N/A</v>
      </c>
      <c r="CE41" s="351" t="e">
        <f>IF('Inhaltliche Bewertung - GI'!RechtsformAngebot=BT$13,BT41*CC41,IF('Inhaltliche Bewertung - GI'!RechtsformAngebot=BV$13,BV41*CC41,IF('Inhaltliche Bewertung - GI'!RechtsformAngebot=BX$13,BX41*CC41,IF('Inhaltliche Bewertung - GI'!RechtsformAngebot=BZ$13,BZ41*CC41,IF('Inhaltliche Bewertung - GI'!RechtsformAngebot=BR$13,BR41*CC41,"")))))</f>
        <v>#N/A</v>
      </c>
      <c r="CF41" s="351"/>
      <c r="CG41" s="361" t="s">
        <v>3292</v>
      </c>
      <c r="CH41" s="362">
        <v>0.5</v>
      </c>
      <c r="CI41" s="365"/>
      <c r="CJ41" s="362">
        <v>0.5</v>
      </c>
      <c r="CK41" s="365"/>
      <c r="CL41" s="362">
        <v>0.5</v>
      </c>
      <c r="CM41" s="365"/>
      <c r="CN41" s="362">
        <v>0.5</v>
      </c>
      <c r="CO41" s="365"/>
      <c r="CP41" s="362">
        <v>0.5</v>
      </c>
      <c r="CQ41" s="365"/>
      <c r="CR41" s="370"/>
      <c r="CS41" s="360">
        <v>1</v>
      </c>
      <c r="CT41" s="351" t="e">
        <f>IF('Inhaltliche Bewertung - GI'!RechtsformGI=CJ$13,CJ41*CS41,IF('Inhaltliche Bewertung - GI'!RechtsformGI=CL$13,CL41*CS41,IF('Inhaltliche Bewertung - GI'!RechtsformGI=CN$13,CN41*CS41,IF('Inhaltliche Bewertung - GI'!RechtsformGI=CP$13,CP41*CS41,IF('Inhaltliche Bewertung - GI'!RechtsformGI=CH$13,CH41*CS41,"")))))</f>
        <v>#N/A</v>
      </c>
      <c r="CU41" s="351" t="e">
        <f>IF('Inhaltliche Bewertung - GI'!RechtsformAngebot=CJ$13,CJ41*CS41,IF('Inhaltliche Bewertung - GI'!RechtsformAngebot=CL$13,CL41*CS41,IF('Inhaltliche Bewertung - GI'!RechtsformAngebot=CN$13,CN41*CS41,IF('Inhaltliche Bewertung - GI'!RechtsformAngebot=CP$13,CP41*CS41,IF('Inhaltliche Bewertung - GI'!RechtsformAngebot=CH$13,CH41*CS41,"")))))</f>
        <v>#N/A</v>
      </c>
      <c r="CV41" s="351"/>
      <c r="CW41" s="361" t="s">
        <v>3292</v>
      </c>
      <c r="CX41" s="362">
        <v>0.5</v>
      </c>
      <c r="CY41" s="365"/>
      <c r="CZ41" s="362">
        <v>0.5</v>
      </c>
      <c r="DA41" s="365"/>
      <c r="DB41" s="362">
        <v>0.5</v>
      </c>
      <c r="DC41" s="365"/>
      <c r="DD41" s="362">
        <v>0.5</v>
      </c>
      <c r="DE41" s="365"/>
      <c r="DF41" s="362">
        <v>0.5</v>
      </c>
      <c r="DG41" s="365"/>
      <c r="DH41" s="370"/>
      <c r="DI41" s="360">
        <v>1</v>
      </c>
      <c r="DJ41" s="351" t="e">
        <f>IF('Inhaltliche Bewertung - GI'!RechtsformGI=CZ$13,CZ41*DI41,IF('Inhaltliche Bewertung - GI'!RechtsformGI=DB$13,DB41*DI41,IF('Inhaltliche Bewertung - GI'!RechtsformGI=DD$13,DD41*DI41,IF('Inhaltliche Bewertung - GI'!RechtsformGI=DF$13,DF41*DI41,IF('Inhaltliche Bewertung - GI'!RechtsformGI=CX$13,CX41*DI41,"")))))</f>
        <v>#N/A</v>
      </c>
      <c r="DK41" s="351" t="e">
        <f>IF('Inhaltliche Bewertung - GI'!RechtsformAngebot=CZ$13,CZ41*DI41,IF('Inhaltliche Bewertung - GI'!RechtsformAngebot=DB$13,DB41*DI41,IF('Inhaltliche Bewertung - GI'!RechtsformAngebot=DD$13,DD41*DI41,IF('Inhaltliche Bewertung - GI'!RechtsformAngebot=DF$13,DF41*DI41,IF('Inhaltliche Bewertung - GI'!RechtsformAngebot=CX$13,CX41*DI41,"")))))</f>
        <v>#N/A</v>
      </c>
      <c r="DL41" s="351"/>
      <c r="DM41" s="361" t="s">
        <v>3292</v>
      </c>
      <c r="DN41" s="362">
        <v>0.5</v>
      </c>
      <c r="DO41" s="365"/>
      <c r="DP41" s="362">
        <v>0.5</v>
      </c>
      <c r="DQ41" s="365"/>
      <c r="DR41" s="362">
        <v>0.5</v>
      </c>
      <c r="DS41" s="365"/>
      <c r="DT41" s="362">
        <v>0.5</v>
      </c>
      <c r="DU41" s="365"/>
      <c r="DV41" s="362">
        <v>0.5</v>
      </c>
      <c r="DW41" s="365"/>
      <c r="DX41" s="370"/>
      <c r="DY41" s="360">
        <v>1</v>
      </c>
      <c r="DZ41" s="351" t="e">
        <f>IF('Inhaltliche Bewertung - GI'!RechtsformGI=DP$13,DP41*DY41,IF('Inhaltliche Bewertung - GI'!RechtsformGI=DR$13,DR41*DY41,IF('Inhaltliche Bewertung - GI'!RechtsformGI=DT$13,DT41*DY41,IF('Inhaltliche Bewertung - GI'!RechtsformGI=DV$13,DV41*DY41,IF('Inhaltliche Bewertung - GI'!RechtsformGI=DN$13,DN41*DY41,"")))))</f>
        <v>#N/A</v>
      </c>
      <c r="EA41" s="351" t="e">
        <f>IF('Inhaltliche Bewertung - GI'!RechtsformAngebot=DP$13,DP41*DY41,IF('Inhaltliche Bewertung - GI'!RechtsformAngebot=DR$13,DR41*DY41,IF('Inhaltliche Bewertung - GI'!RechtsformAngebot=DT$13,DT41*DY41,IF('Inhaltliche Bewertung - GI'!RechtsformAngebot=DV$13,DV41*DY41,IF('Inhaltliche Bewertung - GI'!RechtsformAngebot=DN$13,DN41*DY41,"")))))</f>
        <v>#N/A</v>
      </c>
      <c r="EB41" s="351"/>
      <c r="EC41" s="157">
        <f t="shared" si="1"/>
        <v>0.5</v>
      </c>
      <c r="ED41" s="157">
        <f t="shared" si="2"/>
        <v>0.5</v>
      </c>
      <c r="EE41" s="157">
        <f t="shared" si="3"/>
        <v>0.5</v>
      </c>
      <c r="EF41" s="157">
        <f t="shared" si="4"/>
        <v>0.5</v>
      </c>
    </row>
    <row r="42" spans="1:136" ht="14.25" customHeight="1">
      <c r="A42" s="444" t="b">
        <f t="shared" si="0"/>
        <v>0</v>
      </c>
      <c r="B42" s="292"/>
      <c r="C42" s="355" t="s">
        <v>3294</v>
      </c>
      <c r="D42" s="345" t="s">
        <v>3295</v>
      </c>
      <c r="E42" s="361" t="s">
        <v>3292</v>
      </c>
      <c r="F42" s="362">
        <v>0.1</v>
      </c>
      <c r="G42" s="365"/>
      <c r="H42" s="362">
        <v>0.1</v>
      </c>
      <c r="I42" s="365"/>
      <c r="J42" s="362">
        <v>0.1</v>
      </c>
      <c r="K42" s="365"/>
      <c r="L42" s="362">
        <v>0.1</v>
      </c>
      <c r="M42" s="365"/>
      <c r="N42" s="362">
        <v>0.1</v>
      </c>
      <c r="O42" s="365"/>
      <c r="P42" s="370"/>
      <c r="Q42" s="360">
        <v>1</v>
      </c>
      <c r="R42" s="351" t="e">
        <f>IF('Inhaltliche Bewertung - GI'!RechtsformGI=H$13,H42*Q42,IF('Inhaltliche Bewertung - GI'!RechtsformGI=J$13,J42*Q42,IF('Inhaltliche Bewertung - GI'!RechtsformGI=L$13,L42*Q42,IF('Inhaltliche Bewertung - GI'!RechtsformGI=N$13,N42*Q42,IF('Inhaltliche Bewertung - GI'!RechtsformGI=F$13,F42*Q42,"")))))</f>
        <v>#N/A</v>
      </c>
      <c r="S42" s="351" t="e">
        <f>IF('Inhaltliche Bewertung - GI'!RechtsformAngebot=H$13,H42*Q42,IF('Inhaltliche Bewertung - GI'!RechtsformAngebot=J$13,J42*Q42,IF('Inhaltliche Bewertung - GI'!RechtsformAngebot=L$13,L42*Q42,IF('Inhaltliche Bewertung - GI'!RechtsformAngebot=N$13,N42*Q42,IF('Inhaltliche Bewertung - GI'!RechtsformAngebot=F$13,F42*Q42,"")))))</f>
        <v>#N/A</v>
      </c>
      <c r="T42" s="351"/>
      <c r="U42" s="371" t="s">
        <v>3296</v>
      </c>
      <c r="V42" s="362">
        <v>0.1</v>
      </c>
      <c r="W42" s="365" t="s">
        <v>3295</v>
      </c>
      <c r="X42" s="362">
        <v>0.1</v>
      </c>
      <c r="Y42" s="365"/>
      <c r="Z42" s="362">
        <v>0.1</v>
      </c>
      <c r="AA42" s="365"/>
      <c r="AB42" s="362">
        <v>0.1</v>
      </c>
      <c r="AC42" s="365"/>
      <c r="AD42" s="362">
        <v>0.1</v>
      </c>
      <c r="AE42" s="365"/>
      <c r="AF42" s="370"/>
      <c r="AG42" s="360">
        <v>1</v>
      </c>
      <c r="AH42" s="351" t="e">
        <f>IF('Inhaltliche Bewertung - GI'!RechtsformGI=X$13,X42*AG42,IF('Inhaltliche Bewertung - GI'!RechtsformGI=Z$13,Z42*AG42,IF('Inhaltliche Bewertung - GI'!RechtsformGI=AB$13,AB42*AG42,IF('Inhaltliche Bewertung - GI'!RechtsformGI=AD$13,AD42*AG42,IF('Inhaltliche Bewertung - GI'!RechtsformGI=V$13,V42*AG42,"")))))</f>
        <v>#N/A</v>
      </c>
      <c r="AI42" s="351" t="e">
        <f>IF('Inhaltliche Bewertung - GI'!RechtsformAngebot=X$13,X42*AG42,IF('Inhaltliche Bewertung - GI'!RechtsformAngebot=Z$13,Z42*AG42,IF('Inhaltliche Bewertung - GI'!RechtsformAngebot=AB$13,AB42*AG42,IF('Inhaltliche Bewertung - GI'!RechtsformAngebot=AD$13,AD42*AG42,IF('Inhaltliche Bewertung - GI'!RechtsformAngebot=V$13,V42*AG42,"")))))</f>
        <v>#N/A</v>
      </c>
      <c r="AJ42" s="351"/>
      <c r="AK42" s="361" t="s">
        <v>3292</v>
      </c>
      <c r="AL42" s="362">
        <v>0.1</v>
      </c>
      <c r="AM42" s="365" t="s">
        <v>3295</v>
      </c>
      <c r="AN42" s="362">
        <v>0.1</v>
      </c>
      <c r="AO42" s="365"/>
      <c r="AP42" s="362">
        <v>0.1</v>
      </c>
      <c r="AQ42" s="365"/>
      <c r="AR42" s="362">
        <v>0.1</v>
      </c>
      <c r="AS42" s="365"/>
      <c r="AT42" s="362">
        <v>0.1</v>
      </c>
      <c r="AU42" s="365"/>
      <c r="AV42" s="370"/>
      <c r="AW42" s="360">
        <v>1</v>
      </c>
      <c r="AX42" s="351" t="e">
        <f>IF('Inhaltliche Bewertung - GI'!RechtsformGI=AN$13,AN42*AW42,IF('Inhaltliche Bewertung - GI'!RechtsformGI=AP$13,AP42*AW42,IF('Inhaltliche Bewertung - GI'!RechtsformGI=AR$13,AR42*AW42,IF('Inhaltliche Bewertung - GI'!RechtsformGI=AT$13,AT42*AW42,IF('Inhaltliche Bewertung - GI'!RechtsformGI=AL$13,AL42*AW42,"")))))</f>
        <v>#N/A</v>
      </c>
      <c r="AY42" s="351" t="e">
        <f>IF('Inhaltliche Bewertung - GI'!RechtsformAngebot=AN$13,AN42*AW42,IF('Inhaltliche Bewertung - GI'!RechtsformAngebot=AP$13,AP42*AW42,IF('Inhaltliche Bewertung - GI'!RechtsformAngebot=AR$13,AR42*AW42,IF('Inhaltliche Bewertung - GI'!RechtsformAngebot=AT$13,AT42*AW42,IF('Inhaltliche Bewertung - GI'!RechtsformAngebot=AL$13,AL42*AW42,"")))))</f>
        <v>#N/A</v>
      </c>
      <c r="AZ42" s="351"/>
      <c r="BA42" s="361" t="s">
        <v>3292</v>
      </c>
      <c r="BB42" s="362">
        <v>0.1</v>
      </c>
      <c r="BC42" s="365" t="s">
        <v>3295</v>
      </c>
      <c r="BD42" s="362">
        <v>0.1</v>
      </c>
      <c r="BE42" s="365"/>
      <c r="BF42" s="362">
        <v>0.1</v>
      </c>
      <c r="BG42" s="365"/>
      <c r="BH42" s="362">
        <v>0.1</v>
      </c>
      <c r="BI42" s="365"/>
      <c r="BJ42" s="362">
        <v>0.1</v>
      </c>
      <c r="BK42" s="365"/>
      <c r="BL42" s="370"/>
      <c r="BM42" s="360">
        <v>1</v>
      </c>
      <c r="BN42" s="351" t="e">
        <f>IF('Inhaltliche Bewertung - GI'!RechtsformGI=BD$13,BD42*BM42,IF('Inhaltliche Bewertung - GI'!RechtsformGI=BF$13,BF42*BM42,IF('Inhaltliche Bewertung - GI'!RechtsformGI=BH$13,BH42*BM42,IF('Inhaltliche Bewertung - GI'!RechtsformGI=BJ$13,BJ42*BM42,IF('Inhaltliche Bewertung - GI'!RechtsformGI=BB$13,BB42*BM42,"")))))</f>
        <v>#N/A</v>
      </c>
      <c r="BO42" s="351" t="e">
        <f>IF('Inhaltliche Bewertung - GI'!RechtsformAngebot=BD$13,BD42*BM42,IF('Inhaltliche Bewertung - GI'!RechtsformAngebot=BF$13,BF42*BM42,IF('Inhaltliche Bewertung - GI'!RechtsformAngebot=BH$13,BH42*BM42,IF('Inhaltliche Bewertung - GI'!RechtsformAngebot=BJ$13,BJ42*BM42,IF('Inhaltliche Bewertung - GI'!RechtsformAngebot=BB$13,BB42*BM42,"")))))</f>
        <v>#N/A</v>
      </c>
      <c r="BP42" s="351"/>
      <c r="BQ42" s="361" t="s">
        <v>3292</v>
      </c>
      <c r="BR42" s="362">
        <v>0.1</v>
      </c>
      <c r="BS42" s="365" t="s">
        <v>3295</v>
      </c>
      <c r="BT42" s="362">
        <v>0.1</v>
      </c>
      <c r="BU42" s="365"/>
      <c r="BV42" s="362">
        <v>0.1</v>
      </c>
      <c r="BW42" s="365"/>
      <c r="BX42" s="362">
        <v>0.1</v>
      </c>
      <c r="BY42" s="365"/>
      <c r="BZ42" s="362">
        <v>0.1</v>
      </c>
      <c r="CA42" s="365"/>
      <c r="CB42" s="370"/>
      <c r="CC42" s="360">
        <v>1</v>
      </c>
      <c r="CD42" s="351" t="e">
        <f>IF('Inhaltliche Bewertung - GI'!RechtsformGI=BT$13,BT42*CC42,IF('Inhaltliche Bewertung - GI'!RechtsformGI=BV$13,BV42*CC42,IF('Inhaltliche Bewertung - GI'!RechtsformGI=BX$13,BX42*CC42,IF('Inhaltliche Bewertung - GI'!RechtsformGI=BZ$13,BZ42*CC42,IF('Inhaltliche Bewertung - GI'!RechtsformGI=BR$13,BR42*CC42,"")))))</f>
        <v>#N/A</v>
      </c>
      <c r="CE42" s="351" t="e">
        <f>IF('Inhaltliche Bewertung - GI'!RechtsformAngebot=BT$13,BT42*CC42,IF('Inhaltliche Bewertung - GI'!RechtsformAngebot=BV$13,BV42*CC42,IF('Inhaltliche Bewertung - GI'!RechtsformAngebot=BX$13,BX42*CC42,IF('Inhaltliche Bewertung - GI'!RechtsformAngebot=BZ$13,BZ42*CC42,IF('Inhaltliche Bewertung - GI'!RechtsformAngebot=BR$13,BR42*CC42,"")))))</f>
        <v>#N/A</v>
      </c>
      <c r="CF42" s="351"/>
      <c r="CG42" s="361" t="s">
        <v>3292</v>
      </c>
      <c r="CH42" s="362">
        <v>0.2</v>
      </c>
      <c r="CI42" s="365" t="s">
        <v>3295</v>
      </c>
      <c r="CJ42" s="362">
        <v>0.2</v>
      </c>
      <c r="CK42" s="365"/>
      <c r="CL42" s="362">
        <v>0.2</v>
      </c>
      <c r="CM42" s="365"/>
      <c r="CN42" s="362">
        <v>0.2</v>
      </c>
      <c r="CO42" s="365"/>
      <c r="CP42" s="362">
        <v>0.2</v>
      </c>
      <c r="CQ42" s="365"/>
      <c r="CR42" s="370"/>
      <c r="CS42" s="360">
        <v>1</v>
      </c>
      <c r="CT42" s="351" t="e">
        <f>IF('Inhaltliche Bewertung - GI'!RechtsformGI=CJ$13,CJ42*CS42,IF('Inhaltliche Bewertung - GI'!RechtsformGI=CL$13,CL42*CS42,IF('Inhaltliche Bewertung - GI'!RechtsformGI=CN$13,CN42*CS42,IF('Inhaltliche Bewertung - GI'!RechtsformGI=CP$13,CP42*CS42,IF('Inhaltliche Bewertung - GI'!RechtsformGI=CH$13,CH42*CS42,"")))))</f>
        <v>#N/A</v>
      </c>
      <c r="CU42" s="351" t="e">
        <f>IF('Inhaltliche Bewertung - GI'!RechtsformAngebot=CJ$13,CJ42*CS42,IF('Inhaltliche Bewertung - GI'!RechtsformAngebot=CL$13,CL42*CS42,IF('Inhaltliche Bewertung - GI'!RechtsformAngebot=CN$13,CN42*CS42,IF('Inhaltliche Bewertung - GI'!RechtsformAngebot=CP$13,CP42*CS42,IF('Inhaltliche Bewertung - GI'!RechtsformAngebot=CH$13,CH42*CS42,"")))))</f>
        <v>#N/A</v>
      </c>
      <c r="CV42" s="351"/>
      <c r="CW42" s="361" t="s">
        <v>3292</v>
      </c>
      <c r="CX42" s="362">
        <v>0.1</v>
      </c>
      <c r="CY42" s="365" t="s">
        <v>3295</v>
      </c>
      <c r="CZ42" s="362">
        <v>0.1</v>
      </c>
      <c r="DA42" s="365"/>
      <c r="DB42" s="362">
        <v>0.1</v>
      </c>
      <c r="DC42" s="365"/>
      <c r="DD42" s="362">
        <v>0.1</v>
      </c>
      <c r="DE42" s="365"/>
      <c r="DF42" s="362">
        <v>0.1</v>
      </c>
      <c r="DG42" s="365"/>
      <c r="DH42" s="370"/>
      <c r="DI42" s="360">
        <v>1</v>
      </c>
      <c r="DJ42" s="351" t="e">
        <f>IF('Inhaltliche Bewertung - GI'!RechtsformGI=CZ$13,CZ42*DI42,IF('Inhaltliche Bewertung - GI'!RechtsformGI=DB$13,DB42*DI42,IF('Inhaltliche Bewertung - GI'!RechtsformGI=DD$13,DD42*DI42,IF('Inhaltliche Bewertung - GI'!RechtsformGI=DF$13,DF42*DI42,IF('Inhaltliche Bewertung - GI'!RechtsformGI=CX$13,CX42*DI42,"")))))</f>
        <v>#N/A</v>
      </c>
      <c r="DK42" s="351" t="e">
        <f>IF('Inhaltliche Bewertung - GI'!RechtsformAngebot=CZ$13,CZ42*DI42,IF('Inhaltliche Bewertung - GI'!RechtsformAngebot=DB$13,DB42*DI42,IF('Inhaltliche Bewertung - GI'!RechtsformAngebot=DD$13,DD42*DI42,IF('Inhaltliche Bewertung - GI'!RechtsformAngebot=DF$13,DF42*DI42,IF('Inhaltliche Bewertung - GI'!RechtsformAngebot=CX$13,CX42*DI42,"")))))</f>
        <v>#N/A</v>
      </c>
      <c r="DL42" s="351"/>
      <c r="DM42" s="361" t="s">
        <v>3292</v>
      </c>
      <c r="DN42" s="362">
        <v>0.1</v>
      </c>
      <c r="DO42" s="365" t="s">
        <v>3295</v>
      </c>
      <c r="DP42" s="362">
        <v>0.1</v>
      </c>
      <c r="DQ42" s="365"/>
      <c r="DR42" s="362">
        <v>0.1</v>
      </c>
      <c r="DS42" s="365"/>
      <c r="DT42" s="362">
        <v>0.1</v>
      </c>
      <c r="DU42" s="365"/>
      <c r="DV42" s="362">
        <v>0.1</v>
      </c>
      <c r="DW42" s="365"/>
      <c r="DX42" s="370"/>
      <c r="DY42" s="360">
        <v>1</v>
      </c>
      <c r="DZ42" s="351" t="e">
        <f>IF('Inhaltliche Bewertung - GI'!RechtsformGI=DP$13,DP42*DY42,IF('Inhaltliche Bewertung - GI'!RechtsformGI=DR$13,DR42*DY42,IF('Inhaltliche Bewertung - GI'!RechtsformGI=DT$13,DT42*DY42,IF('Inhaltliche Bewertung - GI'!RechtsformGI=DV$13,DV42*DY42,IF('Inhaltliche Bewertung - GI'!RechtsformGI=DN$13,DN42*DY42,"")))))</f>
        <v>#N/A</v>
      </c>
      <c r="EA42" s="351" t="e">
        <f>IF('Inhaltliche Bewertung - GI'!RechtsformAngebot=DP$13,DP42*DY42,IF('Inhaltliche Bewertung - GI'!RechtsformAngebot=DR$13,DR42*DY42,IF('Inhaltliche Bewertung - GI'!RechtsformAngebot=DT$13,DT42*DY42,IF('Inhaltliche Bewertung - GI'!RechtsformAngebot=DV$13,DV42*DY42,IF('Inhaltliche Bewertung - GI'!RechtsformAngebot=DN$13,DN42*DY42,"")))))</f>
        <v>#N/A</v>
      </c>
      <c r="EB42" s="351"/>
      <c r="EC42" s="157">
        <f t="shared" si="1"/>
        <v>0.1</v>
      </c>
      <c r="ED42" s="157">
        <f t="shared" si="2"/>
        <v>0.2</v>
      </c>
      <c r="EE42" s="157">
        <f t="shared" si="3"/>
        <v>0.1125</v>
      </c>
      <c r="EF42" s="157">
        <f t="shared" si="4"/>
        <v>0.1</v>
      </c>
    </row>
    <row r="43" spans="1:136" ht="14.25" customHeight="1">
      <c r="A43" s="444" t="b">
        <f t="shared" si="0"/>
        <v>1</v>
      </c>
      <c r="B43" s="292"/>
      <c r="C43" s="355" t="s">
        <v>3297</v>
      </c>
      <c r="D43" s="345" t="s">
        <v>3298</v>
      </c>
      <c r="E43" s="361" t="s">
        <v>3299</v>
      </c>
      <c r="F43" s="362">
        <v>0</v>
      </c>
      <c r="G43" s="365"/>
      <c r="H43" s="362">
        <v>0</v>
      </c>
      <c r="I43" s="365"/>
      <c r="J43" s="362">
        <v>0</v>
      </c>
      <c r="K43" s="365"/>
      <c r="L43" s="362">
        <v>0</v>
      </c>
      <c r="M43" s="365"/>
      <c r="N43" s="362">
        <v>0</v>
      </c>
      <c r="O43" s="365"/>
      <c r="P43" s="368" t="s">
        <v>3300</v>
      </c>
      <c r="Q43" s="360">
        <v>1</v>
      </c>
      <c r="R43" s="351" t="e">
        <f>IF('Inhaltliche Bewertung - GI'!RechtsformGI=H$13,H43*Q43,IF('Inhaltliche Bewertung - GI'!RechtsformGI=J$13,J43*Q43,IF('Inhaltliche Bewertung - GI'!RechtsformGI=L$13,L43*Q43,IF('Inhaltliche Bewertung - GI'!RechtsformGI=N$13,N43*Q43,IF('Inhaltliche Bewertung - GI'!RechtsformGI=F$13,F43*Q43,"")))))</f>
        <v>#N/A</v>
      </c>
      <c r="S43" s="351" t="e">
        <f>IF('Inhaltliche Bewertung - GI'!RechtsformAngebot=H$13,H43*Q43,IF('Inhaltliche Bewertung - GI'!RechtsformAngebot=J$13,J43*Q43,IF('Inhaltliche Bewertung - GI'!RechtsformAngebot=L$13,L43*Q43,IF('Inhaltliche Bewertung - GI'!RechtsformAngebot=N$13,N43*Q43,IF('Inhaltliche Bewertung - GI'!RechtsformAngebot=F$13,F43*Q43,"")))))</f>
        <v>#N/A</v>
      </c>
      <c r="T43" s="351"/>
      <c r="U43" s="361" t="s">
        <v>3301</v>
      </c>
      <c r="V43" s="362">
        <v>0</v>
      </c>
      <c r="W43" s="365" t="s">
        <v>3302</v>
      </c>
      <c r="X43" s="362">
        <v>0</v>
      </c>
      <c r="Y43" s="365" t="s">
        <v>3302</v>
      </c>
      <c r="Z43" s="362">
        <v>0</v>
      </c>
      <c r="AA43" s="365" t="s">
        <v>3302</v>
      </c>
      <c r="AB43" s="362">
        <v>0</v>
      </c>
      <c r="AC43" s="365"/>
      <c r="AD43" s="362">
        <v>0</v>
      </c>
      <c r="AE43" s="365" t="s">
        <v>3302</v>
      </c>
      <c r="AF43" s="368" t="s">
        <v>3300</v>
      </c>
      <c r="AG43" s="360">
        <v>1</v>
      </c>
      <c r="AH43" s="351" t="e">
        <f>IF('Inhaltliche Bewertung - GI'!RechtsformGI=X$13,X43*AG43,IF('Inhaltliche Bewertung - GI'!RechtsformGI=Z$13,Z43*AG43,IF('Inhaltliche Bewertung - GI'!RechtsformGI=AB$13,AB43*AG43,IF('Inhaltliche Bewertung - GI'!RechtsformGI=AD$13,AD43*AG43,IF('Inhaltliche Bewertung - GI'!RechtsformGI=V$13,V43*AG43,"")))))</f>
        <v>#N/A</v>
      </c>
      <c r="AI43" s="351" t="e">
        <f>IF('Inhaltliche Bewertung - GI'!RechtsformAngebot=X$13,X43*AG43,IF('Inhaltliche Bewertung - GI'!RechtsformAngebot=Z$13,Z43*AG43,IF('Inhaltliche Bewertung - GI'!RechtsformAngebot=AB$13,AB43*AG43,IF('Inhaltliche Bewertung - GI'!RechtsformAngebot=AD$13,AD43*AG43,IF('Inhaltliche Bewertung - GI'!RechtsformAngebot=V$13,V43*AG43,"")))))</f>
        <v>#N/A</v>
      </c>
      <c r="AJ43" s="351"/>
      <c r="AK43" s="361" t="s">
        <v>3303</v>
      </c>
      <c r="AL43" s="362">
        <v>0</v>
      </c>
      <c r="AM43" s="365" t="s">
        <v>3302</v>
      </c>
      <c r="AN43" s="362">
        <v>0</v>
      </c>
      <c r="AO43" s="365" t="s">
        <v>3302</v>
      </c>
      <c r="AP43" s="362">
        <v>0</v>
      </c>
      <c r="AQ43" s="365" t="s">
        <v>3302</v>
      </c>
      <c r="AR43" s="362">
        <v>0</v>
      </c>
      <c r="AS43" s="365"/>
      <c r="AT43" s="362">
        <v>0</v>
      </c>
      <c r="AU43" s="365" t="s">
        <v>3302</v>
      </c>
      <c r="AV43" s="368" t="s">
        <v>3300</v>
      </c>
      <c r="AW43" s="360">
        <v>1</v>
      </c>
      <c r="AX43" s="351" t="e">
        <f>IF('Inhaltliche Bewertung - GI'!RechtsformGI=AN$13,AN43*AW43,IF('Inhaltliche Bewertung - GI'!RechtsformGI=AP$13,AP43*AW43,IF('Inhaltliche Bewertung - GI'!RechtsformGI=AR$13,AR43*AW43,IF('Inhaltliche Bewertung - GI'!RechtsformGI=AT$13,AT43*AW43,IF('Inhaltliche Bewertung - GI'!RechtsformGI=AL$13,AL43*AW43,"")))))</f>
        <v>#N/A</v>
      </c>
      <c r="AY43" s="351" t="e">
        <f>IF('Inhaltliche Bewertung - GI'!RechtsformAngebot=AN$13,AN43*AW43,IF('Inhaltliche Bewertung - GI'!RechtsformAngebot=AP$13,AP43*AW43,IF('Inhaltliche Bewertung - GI'!RechtsformAngebot=AR$13,AR43*AW43,IF('Inhaltliche Bewertung - GI'!RechtsformAngebot=AT$13,AT43*AW43,IF('Inhaltliche Bewertung - GI'!RechtsformAngebot=AL$13,AL43*AW43,"")))))</f>
        <v>#N/A</v>
      </c>
      <c r="AZ43" s="351"/>
      <c r="BA43" s="361" t="s">
        <v>3301</v>
      </c>
      <c r="BB43" s="362">
        <v>0</v>
      </c>
      <c r="BC43" s="365" t="s">
        <v>3302</v>
      </c>
      <c r="BD43" s="362">
        <v>0</v>
      </c>
      <c r="BE43" s="365" t="s">
        <v>3302</v>
      </c>
      <c r="BF43" s="362">
        <v>0</v>
      </c>
      <c r="BG43" s="365" t="s">
        <v>3302</v>
      </c>
      <c r="BH43" s="362">
        <v>0</v>
      </c>
      <c r="BI43" s="365"/>
      <c r="BJ43" s="362">
        <v>0</v>
      </c>
      <c r="BK43" s="365" t="s">
        <v>3302</v>
      </c>
      <c r="BL43" s="368" t="s">
        <v>3300</v>
      </c>
      <c r="BM43" s="360">
        <v>1</v>
      </c>
      <c r="BN43" s="351" t="e">
        <f>IF('Inhaltliche Bewertung - GI'!RechtsformGI=BD$13,BD43*BM43,IF('Inhaltliche Bewertung - GI'!RechtsformGI=BF$13,BF43*BM43,IF('Inhaltliche Bewertung - GI'!RechtsformGI=BH$13,BH43*BM43,IF('Inhaltliche Bewertung - GI'!RechtsformGI=BJ$13,BJ43*BM43,IF('Inhaltliche Bewertung - GI'!RechtsformGI=BB$13,BB43*BM43,"")))))</f>
        <v>#N/A</v>
      </c>
      <c r="BO43" s="351" t="e">
        <f>IF('Inhaltliche Bewertung - GI'!RechtsformAngebot=BD$13,BD43*BM43,IF('Inhaltliche Bewertung - GI'!RechtsformAngebot=BF$13,BF43*BM43,IF('Inhaltliche Bewertung - GI'!RechtsformAngebot=BH$13,BH43*BM43,IF('Inhaltliche Bewertung - GI'!RechtsformAngebot=BJ$13,BJ43*BM43,IF('Inhaltliche Bewertung - GI'!RechtsformAngebot=BB$13,BB43*BM43,"")))))</f>
        <v>#N/A</v>
      </c>
      <c r="BP43" s="351"/>
      <c r="BQ43" s="361" t="s">
        <v>3301</v>
      </c>
      <c r="BR43" s="362">
        <v>0</v>
      </c>
      <c r="BS43" s="365" t="s">
        <v>3302</v>
      </c>
      <c r="BT43" s="362">
        <v>0</v>
      </c>
      <c r="BU43" s="365" t="s">
        <v>3302</v>
      </c>
      <c r="BV43" s="362">
        <v>0</v>
      </c>
      <c r="BW43" s="365" t="s">
        <v>3302</v>
      </c>
      <c r="BX43" s="362">
        <v>0</v>
      </c>
      <c r="BY43" s="365"/>
      <c r="BZ43" s="362">
        <v>0</v>
      </c>
      <c r="CA43" s="365" t="s">
        <v>3302</v>
      </c>
      <c r="CB43" s="368" t="s">
        <v>3300</v>
      </c>
      <c r="CC43" s="360">
        <v>1</v>
      </c>
      <c r="CD43" s="351" t="e">
        <f>IF('Inhaltliche Bewertung - GI'!RechtsformGI=BT$13,BT43*CC43,IF('Inhaltliche Bewertung - GI'!RechtsformGI=BV$13,BV43*CC43,IF('Inhaltliche Bewertung - GI'!RechtsformGI=BX$13,BX43*CC43,IF('Inhaltliche Bewertung - GI'!RechtsformGI=BZ$13,BZ43*CC43,IF('Inhaltliche Bewertung - GI'!RechtsformGI=BR$13,BR43*CC43,"")))))</f>
        <v>#N/A</v>
      </c>
      <c r="CE43" s="351" t="e">
        <f>IF('Inhaltliche Bewertung - GI'!RechtsformAngebot=BT$13,BT43*CC43,IF('Inhaltliche Bewertung - GI'!RechtsformAngebot=BV$13,BV43*CC43,IF('Inhaltliche Bewertung - GI'!RechtsformAngebot=BX$13,BX43*CC43,IF('Inhaltliche Bewertung - GI'!RechtsformAngebot=BZ$13,BZ43*CC43,IF('Inhaltliche Bewertung - GI'!RechtsformAngebot=BR$13,BR43*CC43,"")))))</f>
        <v>#N/A</v>
      </c>
      <c r="CF43" s="351"/>
      <c r="CG43" s="361" t="s">
        <v>3303</v>
      </c>
      <c r="CH43" s="362">
        <v>0</v>
      </c>
      <c r="CI43" s="365" t="s">
        <v>3302</v>
      </c>
      <c r="CJ43" s="362">
        <v>0</v>
      </c>
      <c r="CK43" s="365" t="s">
        <v>3302</v>
      </c>
      <c r="CL43" s="362">
        <v>0</v>
      </c>
      <c r="CM43" s="365" t="s">
        <v>3302</v>
      </c>
      <c r="CN43" s="362">
        <v>0</v>
      </c>
      <c r="CO43" s="365"/>
      <c r="CP43" s="362">
        <v>0</v>
      </c>
      <c r="CQ43" s="365" t="s">
        <v>3302</v>
      </c>
      <c r="CR43" s="368" t="s">
        <v>3300</v>
      </c>
      <c r="CS43" s="360">
        <v>1</v>
      </c>
      <c r="CT43" s="351" t="e">
        <f>IF('Inhaltliche Bewertung - GI'!RechtsformGI=CJ$13,CJ43*CS43,IF('Inhaltliche Bewertung - GI'!RechtsformGI=CL$13,CL43*CS43,IF('Inhaltliche Bewertung - GI'!RechtsformGI=CN$13,CN43*CS43,IF('Inhaltliche Bewertung - GI'!RechtsformGI=CP$13,CP43*CS43,IF('Inhaltliche Bewertung - GI'!RechtsformGI=CH$13,CH43*CS43,"")))))</f>
        <v>#N/A</v>
      </c>
      <c r="CU43" s="351" t="e">
        <f>IF('Inhaltliche Bewertung - GI'!RechtsformAngebot=CJ$13,CJ43*CS43,IF('Inhaltliche Bewertung - GI'!RechtsformAngebot=CL$13,CL43*CS43,IF('Inhaltliche Bewertung - GI'!RechtsformAngebot=CN$13,CN43*CS43,IF('Inhaltliche Bewertung - GI'!RechtsformAngebot=CP$13,CP43*CS43,IF('Inhaltliche Bewertung - GI'!RechtsformAngebot=CH$13,CH43*CS43,"")))))</f>
        <v>#N/A</v>
      </c>
      <c r="CV43" s="351"/>
      <c r="CW43" s="361" t="s">
        <v>3304</v>
      </c>
      <c r="CX43" s="362">
        <v>0</v>
      </c>
      <c r="CY43" s="365" t="s">
        <v>3302</v>
      </c>
      <c r="CZ43" s="362">
        <v>0</v>
      </c>
      <c r="DA43" s="365" t="s">
        <v>3302</v>
      </c>
      <c r="DB43" s="362">
        <v>0</v>
      </c>
      <c r="DC43" s="365" t="s">
        <v>3302</v>
      </c>
      <c r="DD43" s="362">
        <v>0</v>
      </c>
      <c r="DE43" s="365"/>
      <c r="DF43" s="362">
        <v>0</v>
      </c>
      <c r="DG43" s="365" t="s">
        <v>3302</v>
      </c>
      <c r="DH43" s="368" t="s">
        <v>3300</v>
      </c>
      <c r="DI43" s="360">
        <v>1</v>
      </c>
      <c r="DJ43" s="351" t="e">
        <f>IF('Inhaltliche Bewertung - GI'!RechtsformGI=CZ$13,CZ43*DI43,IF('Inhaltliche Bewertung - GI'!RechtsformGI=DB$13,DB43*DI43,IF('Inhaltliche Bewertung - GI'!RechtsformGI=DD$13,DD43*DI43,IF('Inhaltliche Bewertung - GI'!RechtsformGI=DF$13,DF43*DI43,IF('Inhaltliche Bewertung - GI'!RechtsformGI=CX$13,CX43*DI43,"")))))</f>
        <v>#N/A</v>
      </c>
      <c r="DK43" s="351" t="e">
        <f>IF('Inhaltliche Bewertung - GI'!RechtsformAngebot=CZ$13,CZ43*DI43,IF('Inhaltliche Bewertung - GI'!RechtsformAngebot=DB$13,DB43*DI43,IF('Inhaltliche Bewertung - GI'!RechtsformAngebot=DD$13,DD43*DI43,IF('Inhaltliche Bewertung - GI'!RechtsformAngebot=DF$13,DF43*DI43,IF('Inhaltliche Bewertung - GI'!RechtsformAngebot=CX$13,CX43*DI43,"")))))</f>
        <v>#N/A</v>
      </c>
      <c r="DL43" s="351"/>
      <c r="DM43" s="361" t="s">
        <v>3305</v>
      </c>
      <c r="DN43" s="362">
        <v>0</v>
      </c>
      <c r="DO43" s="365" t="s">
        <v>3302</v>
      </c>
      <c r="DP43" s="362">
        <v>0</v>
      </c>
      <c r="DQ43" s="365" t="s">
        <v>3302</v>
      </c>
      <c r="DR43" s="362">
        <v>0</v>
      </c>
      <c r="DS43" s="365" t="s">
        <v>3302</v>
      </c>
      <c r="DT43" s="362">
        <v>0</v>
      </c>
      <c r="DU43" s="365"/>
      <c r="DV43" s="362">
        <v>0</v>
      </c>
      <c r="DW43" s="365" t="s">
        <v>3302</v>
      </c>
      <c r="DX43" s="368" t="s">
        <v>3300</v>
      </c>
      <c r="DY43" s="360">
        <v>1</v>
      </c>
      <c r="DZ43" s="351" t="e">
        <f>IF('Inhaltliche Bewertung - GI'!RechtsformGI=DP$13,DP43*DY43,IF('Inhaltliche Bewertung - GI'!RechtsformGI=DR$13,DR43*DY43,IF('Inhaltliche Bewertung - GI'!RechtsformGI=DT$13,DT43*DY43,IF('Inhaltliche Bewertung - GI'!RechtsformGI=DV$13,DV43*DY43,IF('Inhaltliche Bewertung - GI'!RechtsformGI=DN$13,DN43*DY43,"")))))</f>
        <v>#N/A</v>
      </c>
      <c r="EA43" s="351" t="e">
        <f>IF('Inhaltliche Bewertung - GI'!RechtsformAngebot=DP$13,DP43*DY43,IF('Inhaltliche Bewertung - GI'!RechtsformAngebot=DR$13,DR43*DY43,IF('Inhaltliche Bewertung - GI'!RechtsformAngebot=DT$13,DT43*DY43,IF('Inhaltliche Bewertung - GI'!RechtsformAngebot=DV$13,DV43*DY43,IF('Inhaltliche Bewertung - GI'!RechtsformAngebot=DN$13,DN43*DY43,"")))))</f>
        <v>#N/A</v>
      </c>
      <c r="EB43" s="351"/>
      <c r="EC43" s="157">
        <f t="shared" si="1"/>
        <v>0</v>
      </c>
      <c r="ED43" s="157">
        <f t="shared" si="2"/>
        <v>0</v>
      </c>
      <c r="EE43" s="157">
        <f t="shared" si="3"/>
        <v>0</v>
      </c>
      <c r="EF43" s="157">
        <f t="shared" si="4"/>
        <v>0</v>
      </c>
    </row>
    <row r="44" spans="1:136" ht="14.25" customHeight="1">
      <c r="A44" s="444" t="b">
        <f t="shared" si="0"/>
        <v>1</v>
      </c>
      <c r="B44" s="292"/>
      <c r="C44" s="355" t="s">
        <v>3306</v>
      </c>
      <c r="D44" s="345"/>
      <c r="E44" s="361" t="s">
        <v>3292</v>
      </c>
      <c r="F44" s="362">
        <v>0.5</v>
      </c>
      <c r="G44" s="365"/>
      <c r="H44" s="362">
        <v>0.5</v>
      </c>
      <c r="I44" s="365"/>
      <c r="J44" s="362">
        <v>0.5</v>
      </c>
      <c r="K44" s="365"/>
      <c r="L44" s="362">
        <v>0.5</v>
      </c>
      <c r="M44" s="365"/>
      <c r="N44" s="362">
        <v>0.5</v>
      </c>
      <c r="O44" s="365"/>
      <c r="P44" s="370"/>
      <c r="Q44" s="360">
        <v>1</v>
      </c>
      <c r="R44" s="351" t="e">
        <f>IF('Inhaltliche Bewertung - GI'!RechtsformGI=H$13,H44*Q44,IF('Inhaltliche Bewertung - GI'!RechtsformGI=J$13,J44*Q44,IF('Inhaltliche Bewertung - GI'!RechtsformGI=L$13,L44*Q44,IF('Inhaltliche Bewertung - GI'!RechtsformGI=N$13,N44*Q44,IF('Inhaltliche Bewertung - GI'!RechtsformGI=F$13,F44*Q44,"")))))</f>
        <v>#N/A</v>
      </c>
      <c r="S44" s="351" t="e">
        <f>IF('Inhaltliche Bewertung - GI'!RechtsformAngebot=H$13,H44*Q44,IF('Inhaltliche Bewertung - GI'!RechtsformAngebot=J$13,J44*Q44,IF('Inhaltliche Bewertung - GI'!RechtsformAngebot=L$13,L44*Q44,IF('Inhaltliche Bewertung - GI'!RechtsformAngebot=N$13,N44*Q44,IF('Inhaltliche Bewertung - GI'!RechtsformAngebot=F$13,F44*Q44,"")))))</f>
        <v>#N/A</v>
      </c>
      <c r="T44" s="351"/>
      <c r="U44" s="361" t="s">
        <v>3292</v>
      </c>
      <c r="V44" s="362">
        <v>0.5</v>
      </c>
      <c r="W44" s="365"/>
      <c r="X44" s="362">
        <v>0.5</v>
      </c>
      <c r="Y44" s="365"/>
      <c r="Z44" s="362">
        <v>0.5</v>
      </c>
      <c r="AA44" s="365"/>
      <c r="AB44" s="362">
        <v>0.5</v>
      </c>
      <c r="AC44" s="365"/>
      <c r="AD44" s="362">
        <v>0.5</v>
      </c>
      <c r="AE44" s="365"/>
      <c r="AF44" s="370"/>
      <c r="AG44" s="360">
        <v>1</v>
      </c>
      <c r="AH44" s="351" t="e">
        <f>IF('Inhaltliche Bewertung - GI'!RechtsformGI=X$13,X44*AG44,IF('Inhaltliche Bewertung - GI'!RechtsformGI=Z$13,Z44*AG44,IF('Inhaltliche Bewertung - GI'!RechtsformGI=AB$13,AB44*AG44,IF('Inhaltliche Bewertung - GI'!RechtsformGI=AD$13,AD44*AG44,IF('Inhaltliche Bewertung - GI'!RechtsformGI=V$13,V44*AG44,"")))))</f>
        <v>#N/A</v>
      </c>
      <c r="AI44" s="351" t="e">
        <f>IF('Inhaltliche Bewertung - GI'!RechtsformAngebot=X$13,X44*AG44,IF('Inhaltliche Bewertung - GI'!RechtsformAngebot=Z$13,Z44*AG44,IF('Inhaltliche Bewertung - GI'!RechtsformAngebot=AB$13,AB44*AG44,IF('Inhaltliche Bewertung - GI'!RechtsformAngebot=AD$13,AD44*AG44,IF('Inhaltliche Bewertung - GI'!RechtsformAngebot=V$13,V44*AG44,"")))))</f>
        <v>#N/A</v>
      </c>
      <c r="AJ44" s="351"/>
      <c r="AK44" s="361" t="s">
        <v>3292</v>
      </c>
      <c r="AL44" s="362">
        <v>0.5</v>
      </c>
      <c r="AM44" s="365"/>
      <c r="AN44" s="362">
        <v>0.5</v>
      </c>
      <c r="AO44" s="365"/>
      <c r="AP44" s="362">
        <v>0.5</v>
      </c>
      <c r="AQ44" s="365"/>
      <c r="AR44" s="362">
        <v>0.5</v>
      </c>
      <c r="AS44" s="365"/>
      <c r="AT44" s="362">
        <v>0.5</v>
      </c>
      <c r="AU44" s="365"/>
      <c r="AV44" s="370"/>
      <c r="AW44" s="360">
        <v>1</v>
      </c>
      <c r="AX44" s="351" t="e">
        <f>IF('Inhaltliche Bewertung - GI'!RechtsformGI=AN$13,AN44*AW44,IF('Inhaltliche Bewertung - GI'!RechtsformGI=AP$13,AP44*AW44,IF('Inhaltliche Bewertung - GI'!RechtsformGI=AR$13,AR44*AW44,IF('Inhaltliche Bewertung - GI'!RechtsformGI=AT$13,AT44*AW44,IF('Inhaltliche Bewertung - GI'!RechtsformGI=AL$13,AL44*AW44,"")))))</f>
        <v>#N/A</v>
      </c>
      <c r="AY44" s="351" t="e">
        <f>IF('Inhaltliche Bewertung - GI'!RechtsformAngebot=AN$13,AN44*AW44,IF('Inhaltliche Bewertung - GI'!RechtsformAngebot=AP$13,AP44*AW44,IF('Inhaltliche Bewertung - GI'!RechtsformAngebot=AR$13,AR44*AW44,IF('Inhaltliche Bewertung - GI'!RechtsformAngebot=AT$13,AT44*AW44,IF('Inhaltliche Bewertung - GI'!RechtsformAngebot=AL$13,AL44*AW44,"")))))</f>
        <v>#N/A</v>
      </c>
      <c r="AZ44" s="351"/>
      <c r="BA44" s="361" t="s">
        <v>3292</v>
      </c>
      <c r="BB44" s="362">
        <v>0.5</v>
      </c>
      <c r="BC44" s="365"/>
      <c r="BD44" s="362">
        <v>0.5</v>
      </c>
      <c r="BE44" s="365"/>
      <c r="BF44" s="362">
        <v>0.5</v>
      </c>
      <c r="BG44" s="365"/>
      <c r="BH44" s="362">
        <v>0.5</v>
      </c>
      <c r="BI44" s="365"/>
      <c r="BJ44" s="362">
        <v>0.5</v>
      </c>
      <c r="BK44" s="365"/>
      <c r="BL44" s="370"/>
      <c r="BM44" s="360">
        <v>1</v>
      </c>
      <c r="BN44" s="351" t="e">
        <f>IF('Inhaltliche Bewertung - GI'!RechtsformGI=BD$13,BD44*BM44,IF('Inhaltliche Bewertung - GI'!RechtsformGI=BF$13,BF44*BM44,IF('Inhaltliche Bewertung - GI'!RechtsformGI=BH$13,BH44*BM44,IF('Inhaltliche Bewertung - GI'!RechtsformGI=BJ$13,BJ44*BM44,IF('Inhaltliche Bewertung - GI'!RechtsformGI=BB$13,BB44*BM44,"")))))</f>
        <v>#N/A</v>
      </c>
      <c r="BO44" s="351" t="e">
        <f>IF('Inhaltliche Bewertung - GI'!RechtsformAngebot=BD$13,BD44*BM44,IF('Inhaltliche Bewertung - GI'!RechtsformAngebot=BF$13,BF44*BM44,IF('Inhaltliche Bewertung - GI'!RechtsformAngebot=BH$13,BH44*BM44,IF('Inhaltliche Bewertung - GI'!RechtsformAngebot=BJ$13,BJ44*BM44,IF('Inhaltliche Bewertung - GI'!RechtsformAngebot=BB$13,BB44*BM44,"")))))</f>
        <v>#N/A</v>
      </c>
      <c r="BP44" s="351"/>
      <c r="BQ44" s="361" t="s">
        <v>3292</v>
      </c>
      <c r="BR44" s="362">
        <v>0.5</v>
      </c>
      <c r="BS44" s="365"/>
      <c r="BT44" s="362">
        <v>0.5</v>
      </c>
      <c r="BU44" s="365"/>
      <c r="BV44" s="362">
        <v>0.5</v>
      </c>
      <c r="BW44" s="365"/>
      <c r="BX44" s="362">
        <v>0.5</v>
      </c>
      <c r="BY44" s="365"/>
      <c r="BZ44" s="362">
        <v>0.5</v>
      </c>
      <c r="CA44" s="365"/>
      <c r="CB44" s="370"/>
      <c r="CC44" s="360">
        <v>1</v>
      </c>
      <c r="CD44" s="351" t="e">
        <f>IF('Inhaltliche Bewertung - GI'!RechtsformGI=BT$13,BT44*CC44,IF('Inhaltliche Bewertung - GI'!RechtsformGI=BV$13,BV44*CC44,IF('Inhaltliche Bewertung - GI'!RechtsformGI=BX$13,BX44*CC44,IF('Inhaltliche Bewertung - GI'!RechtsformGI=BZ$13,BZ44*CC44,IF('Inhaltliche Bewertung - GI'!RechtsformGI=BR$13,BR44*CC44,"")))))</f>
        <v>#N/A</v>
      </c>
      <c r="CE44" s="351" t="e">
        <f>IF('Inhaltliche Bewertung - GI'!RechtsformAngebot=BT$13,BT44*CC44,IF('Inhaltliche Bewertung - GI'!RechtsformAngebot=BV$13,BV44*CC44,IF('Inhaltliche Bewertung - GI'!RechtsformAngebot=BX$13,BX44*CC44,IF('Inhaltliche Bewertung - GI'!RechtsformAngebot=BZ$13,BZ44*CC44,IF('Inhaltliche Bewertung - GI'!RechtsformAngebot=BR$13,BR44*CC44,"")))))</f>
        <v>#N/A</v>
      </c>
      <c r="CF44" s="351"/>
      <c r="CG44" s="361" t="s">
        <v>3292</v>
      </c>
      <c r="CH44" s="362">
        <v>0.5</v>
      </c>
      <c r="CI44" s="365"/>
      <c r="CJ44" s="362">
        <v>0.5</v>
      </c>
      <c r="CK44" s="365"/>
      <c r="CL44" s="362">
        <v>0.5</v>
      </c>
      <c r="CM44" s="365"/>
      <c r="CN44" s="362">
        <v>0.5</v>
      </c>
      <c r="CO44" s="365"/>
      <c r="CP44" s="362">
        <v>0.5</v>
      </c>
      <c r="CQ44" s="365"/>
      <c r="CR44" s="370"/>
      <c r="CS44" s="360">
        <v>1</v>
      </c>
      <c r="CT44" s="351" t="e">
        <f>IF('Inhaltliche Bewertung - GI'!RechtsformGI=CJ$13,CJ44*CS44,IF('Inhaltliche Bewertung - GI'!RechtsformGI=CL$13,CL44*CS44,IF('Inhaltliche Bewertung - GI'!RechtsformGI=CN$13,CN44*CS44,IF('Inhaltliche Bewertung - GI'!RechtsformGI=CP$13,CP44*CS44,IF('Inhaltliche Bewertung - GI'!RechtsformGI=CH$13,CH44*CS44,"")))))</f>
        <v>#N/A</v>
      </c>
      <c r="CU44" s="351" t="e">
        <f>IF('Inhaltliche Bewertung - GI'!RechtsformAngebot=CJ$13,CJ44*CS44,IF('Inhaltliche Bewertung - GI'!RechtsformAngebot=CL$13,CL44*CS44,IF('Inhaltliche Bewertung - GI'!RechtsformAngebot=CN$13,CN44*CS44,IF('Inhaltliche Bewertung - GI'!RechtsformAngebot=CP$13,CP44*CS44,IF('Inhaltliche Bewertung - GI'!RechtsformAngebot=CH$13,CH44*CS44,"")))))</f>
        <v>#N/A</v>
      </c>
      <c r="CV44" s="351"/>
      <c r="CW44" s="361" t="s">
        <v>3292</v>
      </c>
      <c r="CX44" s="362">
        <v>0.5</v>
      </c>
      <c r="CY44" s="365"/>
      <c r="CZ44" s="362">
        <v>0.5</v>
      </c>
      <c r="DA44" s="365"/>
      <c r="DB44" s="362">
        <v>0.5</v>
      </c>
      <c r="DC44" s="365"/>
      <c r="DD44" s="362">
        <v>0.5</v>
      </c>
      <c r="DE44" s="365"/>
      <c r="DF44" s="362">
        <v>0.5</v>
      </c>
      <c r="DG44" s="365"/>
      <c r="DH44" s="370"/>
      <c r="DI44" s="360">
        <v>1</v>
      </c>
      <c r="DJ44" s="351" t="e">
        <f>IF('Inhaltliche Bewertung - GI'!RechtsformGI=CZ$13,CZ44*DI44,IF('Inhaltliche Bewertung - GI'!RechtsformGI=DB$13,DB44*DI44,IF('Inhaltliche Bewertung - GI'!RechtsformGI=DD$13,DD44*DI44,IF('Inhaltliche Bewertung - GI'!RechtsformGI=DF$13,DF44*DI44,IF('Inhaltliche Bewertung - GI'!RechtsformGI=CX$13,CX44*DI44,"")))))</f>
        <v>#N/A</v>
      </c>
      <c r="DK44" s="351" t="e">
        <f>IF('Inhaltliche Bewertung - GI'!RechtsformAngebot=CZ$13,CZ44*DI44,IF('Inhaltliche Bewertung - GI'!RechtsformAngebot=DB$13,DB44*DI44,IF('Inhaltliche Bewertung - GI'!RechtsformAngebot=DD$13,DD44*DI44,IF('Inhaltliche Bewertung - GI'!RechtsformAngebot=DF$13,DF44*DI44,IF('Inhaltliche Bewertung - GI'!RechtsformAngebot=CX$13,CX44*DI44,"")))))</f>
        <v>#N/A</v>
      </c>
      <c r="DL44" s="351"/>
      <c r="DM44" s="361" t="s">
        <v>3292</v>
      </c>
      <c r="DN44" s="362">
        <v>0.5</v>
      </c>
      <c r="DO44" s="365"/>
      <c r="DP44" s="362">
        <v>0.5</v>
      </c>
      <c r="DQ44" s="365"/>
      <c r="DR44" s="362">
        <v>0.5</v>
      </c>
      <c r="DS44" s="365"/>
      <c r="DT44" s="362">
        <v>0.5</v>
      </c>
      <c r="DU44" s="365"/>
      <c r="DV44" s="362">
        <v>0.5</v>
      </c>
      <c r="DW44" s="365"/>
      <c r="DX44" s="370"/>
      <c r="DY44" s="360">
        <v>1</v>
      </c>
      <c r="DZ44" s="351" t="e">
        <f>IF('Inhaltliche Bewertung - GI'!RechtsformGI=DP$13,DP44*DY44,IF('Inhaltliche Bewertung - GI'!RechtsformGI=DR$13,DR44*DY44,IF('Inhaltliche Bewertung - GI'!RechtsformGI=DT$13,DT44*DY44,IF('Inhaltliche Bewertung - GI'!RechtsformGI=DV$13,DV44*DY44,IF('Inhaltliche Bewertung - GI'!RechtsformGI=DN$13,DN44*DY44,"")))))</f>
        <v>#N/A</v>
      </c>
      <c r="EA44" s="351" t="e">
        <f>IF('Inhaltliche Bewertung - GI'!RechtsformAngebot=DP$13,DP44*DY44,IF('Inhaltliche Bewertung - GI'!RechtsformAngebot=DR$13,DR44*DY44,IF('Inhaltliche Bewertung - GI'!RechtsformAngebot=DT$13,DT44*DY44,IF('Inhaltliche Bewertung - GI'!RechtsformAngebot=DV$13,DV44*DY44,IF('Inhaltliche Bewertung - GI'!RechtsformAngebot=DN$13,DN44*DY44,"")))))</f>
        <v>#N/A</v>
      </c>
      <c r="EB44" s="351"/>
      <c r="EC44" s="157">
        <f t="shared" si="1"/>
        <v>0.5</v>
      </c>
      <c r="ED44" s="157">
        <f t="shared" si="2"/>
        <v>0.5</v>
      </c>
      <c r="EE44" s="157">
        <f t="shared" si="3"/>
        <v>0.5</v>
      </c>
      <c r="EF44" s="157">
        <f t="shared" si="4"/>
        <v>0.5</v>
      </c>
    </row>
    <row r="45" spans="1:136" ht="14.25" customHeight="1">
      <c r="A45" s="444" t="b">
        <f t="shared" si="0"/>
        <v>1</v>
      </c>
      <c r="B45" s="292"/>
      <c r="C45" s="355" t="s">
        <v>3307</v>
      </c>
      <c r="D45" s="345"/>
      <c r="E45" s="361" t="s">
        <v>3292</v>
      </c>
      <c r="F45" s="362">
        <v>0.3</v>
      </c>
      <c r="G45" s="365"/>
      <c r="H45" s="362">
        <v>0.3</v>
      </c>
      <c r="I45" s="365"/>
      <c r="J45" s="362">
        <v>0.3</v>
      </c>
      <c r="K45" s="365"/>
      <c r="L45" s="362">
        <v>0.3</v>
      </c>
      <c r="M45" s="365"/>
      <c r="N45" s="362">
        <v>0.3</v>
      </c>
      <c r="O45" s="365"/>
      <c r="P45" s="370"/>
      <c r="Q45" s="360">
        <v>1</v>
      </c>
      <c r="R45" s="351" t="e">
        <f>IF('Inhaltliche Bewertung - GI'!RechtsformGI=H$13,H45*Q45,IF('Inhaltliche Bewertung - GI'!RechtsformGI=J$13,J45*Q45,IF('Inhaltliche Bewertung - GI'!RechtsformGI=L$13,L45*Q45,IF('Inhaltliche Bewertung - GI'!RechtsformGI=N$13,N45*Q45,IF('Inhaltliche Bewertung - GI'!RechtsformGI=F$13,F45*Q45,"")))))</f>
        <v>#N/A</v>
      </c>
      <c r="S45" s="351" t="e">
        <f>IF('Inhaltliche Bewertung - GI'!RechtsformAngebot=H$13,H45*Q45,IF('Inhaltliche Bewertung - GI'!RechtsformAngebot=J$13,J45*Q45,IF('Inhaltliche Bewertung - GI'!RechtsformAngebot=L$13,L45*Q45,IF('Inhaltliche Bewertung - GI'!RechtsformAngebot=N$13,N45*Q45,IF('Inhaltliche Bewertung - GI'!RechtsformAngebot=F$13,F45*Q45,"")))))</f>
        <v>#N/A</v>
      </c>
      <c r="T45" s="351"/>
      <c r="U45" s="361" t="s">
        <v>3292</v>
      </c>
      <c r="V45" s="362">
        <v>0.3</v>
      </c>
      <c r="W45" s="365"/>
      <c r="X45" s="362">
        <v>0.3</v>
      </c>
      <c r="Y45" s="365"/>
      <c r="Z45" s="362">
        <v>0.3</v>
      </c>
      <c r="AA45" s="365"/>
      <c r="AB45" s="362">
        <v>0.3</v>
      </c>
      <c r="AC45" s="365"/>
      <c r="AD45" s="362">
        <v>0.3</v>
      </c>
      <c r="AE45" s="365"/>
      <c r="AF45" s="370"/>
      <c r="AG45" s="360">
        <v>1</v>
      </c>
      <c r="AH45" s="351" t="e">
        <f>IF('Inhaltliche Bewertung - GI'!RechtsformGI=X$13,X45*AG45,IF('Inhaltliche Bewertung - GI'!RechtsformGI=Z$13,Z45*AG45,IF('Inhaltliche Bewertung - GI'!RechtsformGI=AB$13,AB45*AG45,IF('Inhaltliche Bewertung - GI'!RechtsformGI=AD$13,AD45*AG45,IF('Inhaltliche Bewertung - GI'!RechtsformGI=V$13,V45*AG45,"")))))</f>
        <v>#N/A</v>
      </c>
      <c r="AI45" s="351" t="e">
        <f>IF('Inhaltliche Bewertung - GI'!RechtsformAngebot=X$13,X45*AG45,IF('Inhaltliche Bewertung - GI'!RechtsformAngebot=Z$13,Z45*AG45,IF('Inhaltliche Bewertung - GI'!RechtsformAngebot=AB$13,AB45*AG45,IF('Inhaltliche Bewertung - GI'!RechtsformAngebot=AD$13,AD45*AG45,IF('Inhaltliche Bewertung - GI'!RechtsformAngebot=V$13,V45*AG45,"")))))</f>
        <v>#N/A</v>
      </c>
      <c r="AJ45" s="351"/>
      <c r="AK45" s="361" t="s">
        <v>3292</v>
      </c>
      <c r="AL45" s="362">
        <v>0.3</v>
      </c>
      <c r="AM45" s="365"/>
      <c r="AN45" s="362">
        <v>0.3</v>
      </c>
      <c r="AO45" s="365"/>
      <c r="AP45" s="362">
        <v>0.3</v>
      </c>
      <c r="AQ45" s="365"/>
      <c r="AR45" s="362">
        <v>0.3</v>
      </c>
      <c r="AS45" s="365"/>
      <c r="AT45" s="362">
        <v>0.3</v>
      </c>
      <c r="AU45" s="365"/>
      <c r="AV45" s="370"/>
      <c r="AW45" s="360">
        <v>1</v>
      </c>
      <c r="AX45" s="351" t="e">
        <f>IF('Inhaltliche Bewertung - GI'!RechtsformGI=AN$13,AN45*AW45,IF('Inhaltliche Bewertung - GI'!RechtsformGI=AP$13,AP45*AW45,IF('Inhaltliche Bewertung - GI'!RechtsformGI=AR$13,AR45*AW45,IF('Inhaltliche Bewertung - GI'!RechtsformGI=AT$13,AT45*AW45,IF('Inhaltliche Bewertung - GI'!RechtsformGI=AL$13,AL45*AW45,"")))))</f>
        <v>#N/A</v>
      </c>
      <c r="AY45" s="351" t="e">
        <f>IF('Inhaltliche Bewertung - GI'!RechtsformAngebot=AN$13,AN45*AW45,IF('Inhaltliche Bewertung - GI'!RechtsformAngebot=AP$13,AP45*AW45,IF('Inhaltliche Bewertung - GI'!RechtsformAngebot=AR$13,AR45*AW45,IF('Inhaltliche Bewertung - GI'!RechtsformAngebot=AT$13,AT45*AW45,IF('Inhaltliche Bewertung - GI'!RechtsformAngebot=AL$13,AL45*AW45,"")))))</f>
        <v>#N/A</v>
      </c>
      <c r="AZ45" s="351"/>
      <c r="BA45" s="361" t="s">
        <v>3292</v>
      </c>
      <c r="BB45" s="362">
        <v>0.3</v>
      </c>
      <c r="BC45" s="365"/>
      <c r="BD45" s="362">
        <v>0.3</v>
      </c>
      <c r="BE45" s="365"/>
      <c r="BF45" s="362">
        <v>0.3</v>
      </c>
      <c r="BG45" s="365"/>
      <c r="BH45" s="362">
        <v>0.3</v>
      </c>
      <c r="BI45" s="365"/>
      <c r="BJ45" s="362">
        <v>0.3</v>
      </c>
      <c r="BK45" s="365"/>
      <c r="BL45" s="370"/>
      <c r="BM45" s="360">
        <v>1</v>
      </c>
      <c r="BN45" s="351" t="e">
        <f>IF('Inhaltliche Bewertung - GI'!RechtsformGI=BD$13,BD45*BM45,IF('Inhaltliche Bewertung - GI'!RechtsformGI=BF$13,BF45*BM45,IF('Inhaltliche Bewertung - GI'!RechtsformGI=BH$13,BH45*BM45,IF('Inhaltliche Bewertung - GI'!RechtsformGI=BJ$13,BJ45*BM45,IF('Inhaltliche Bewertung - GI'!RechtsformGI=BB$13,BB45*BM45,"")))))</f>
        <v>#N/A</v>
      </c>
      <c r="BO45" s="351" t="e">
        <f>IF('Inhaltliche Bewertung - GI'!RechtsformAngebot=BD$13,BD45*BM45,IF('Inhaltliche Bewertung - GI'!RechtsformAngebot=BF$13,BF45*BM45,IF('Inhaltliche Bewertung - GI'!RechtsformAngebot=BH$13,BH45*BM45,IF('Inhaltliche Bewertung - GI'!RechtsformAngebot=BJ$13,BJ45*BM45,IF('Inhaltliche Bewertung - GI'!RechtsformAngebot=BB$13,BB45*BM45,"")))))</f>
        <v>#N/A</v>
      </c>
      <c r="BP45" s="351"/>
      <c r="BQ45" s="361" t="s">
        <v>3292</v>
      </c>
      <c r="BR45" s="362">
        <v>0.3</v>
      </c>
      <c r="BS45" s="365"/>
      <c r="BT45" s="362">
        <v>0.3</v>
      </c>
      <c r="BU45" s="365"/>
      <c r="BV45" s="362">
        <v>0.3</v>
      </c>
      <c r="BW45" s="365"/>
      <c r="BX45" s="362">
        <v>0.3</v>
      </c>
      <c r="BY45" s="365"/>
      <c r="BZ45" s="362">
        <v>0.3</v>
      </c>
      <c r="CA45" s="365"/>
      <c r="CB45" s="370"/>
      <c r="CC45" s="360">
        <v>1</v>
      </c>
      <c r="CD45" s="351" t="e">
        <f>IF('Inhaltliche Bewertung - GI'!RechtsformGI=BT$13,BT45*CC45,IF('Inhaltliche Bewertung - GI'!RechtsformGI=BV$13,BV45*CC45,IF('Inhaltliche Bewertung - GI'!RechtsformGI=BX$13,BX45*CC45,IF('Inhaltliche Bewertung - GI'!RechtsformGI=BZ$13,BZ45*CC45,IF('Inhaltliche Bewertung - GI'!RechtsformGI=BR$13,BR45*CC45,"")))))</f>
        <v>#N/A</v>
      </c>
      <c r="CE45" s="351" t="e">
        <f>IF('Inhaltliche Bewertung - GI'!RechtsformAngebot=BT$13,BT45*CC45,IF('Inhaltliche Bewertung - GI'!RechtsformAngebot=BV$13,BV45*CC45,IF('Inhaltliche Bewertung - GI'!RechtsformAngebot=BX$13,BX45*CC45,IF('Inhaltliche Bewertung - GI'!RechtsformAngebot=BZ$13,BZ45*CC45,IF('Inhaltliche Bewertung - GI'!RechtsformAngebot=BR$13,BR45*CC45,"")))))</f>
        <v>#N/A</v>
      </c>
      <c r="CF45" s="351"/>
      <c r="CG45" s="361" t="s">
        <v>3292</v>
      </c>
      <c r="CH45" s="362">
        <v>0.3</v>
      </c>
      <c r="CI45" s="365"/>
      <c r="CJ45" s="362">
        <v>0.3</v>
      </c>
      <c r="CK45" s="365"/>
      <c r="CL45" s="362">
        <v>0.3</v>
      </c>
      <c r="CM45" s="365"/>
      <c r="CN45" s="362">
        <v>0.3</v>
      </c>
      <c r="CO45" s="365"/>
      <c r="CP45" s="362">
        <v>0.3</v>
      </c>
      <c r="CQ45" s="365"/>
      <c r="CR45" s="370"/>
      <c r="CS45" s="360">
        <v>1</v>
      </c>
      <c r="CT45" s="351" t="e">
        <f>IF('Inhaltliche Bewertung - GI'!RechtsformGI=CJ$13,CJ45*CS45,IF('Inhaltliche Bewertung - GI'!RechtsformGI=CL$13,CL45*CS45,IF('Inhaltliche Bewertung - GI'!RechtsformGI=CN$13,CN45*CS45,IF('Inhaltliche Bewertung - GI'!RechtsformGI=CP$13,CP45*CS45,IF('Inhaltliche Bewertung - GI'!RechtsformGI=CH$13,CH45*CS45,"")))))</f>
        <v>#N/A</v>
      </c>
      <c r="CU45" s="351" t="e">
        <f>IF('Inhaltliche Bewertung - GI'!RechtsformAngebot=CJ$13,CJ45*CS45,IF('Inhaltliche Bewertung - GI'!RechtsformAngebot=CL$13,CL45*CS45,IF('Inhaltliche Bewertung - GI'!RechtsformAngebot=CN$13,CN45*CS45,IF('Inhaltliche Bewertung - GI'!RechtsformAngebot=CP$13,CP45*CS45,IF('Inhaltliche Bewertung - GI'!RechtsformAngebot=CH$13,CH45*CS45,"")))))</f>
        <v>#N/A</v>
      </c>
      <c r="CV45" s="351"/>
      <c r="CW45" s="361" t="s">
        <v>3292</v>
      </c>
      <c r="CX45" s="362">
        <v>0.3</v>
      </c>
      <c r="CY45" s="365"/>
      <c r="CZ45" s="362">
        <v>0.3</v>
      </c>
      <c r="DA45" s="365"/>
      <c r="DB45" s="362">
        <v>0.3</v>
      </c>
      <c r="DC45" s="365"/>
      <c r="DD45" s="362">
        <v>0.3</v>
      </c>
      <c r="DE45" s="365"/>
      <c r="DF45" s="362">
        <v>0.3</v>
      </c>
      <c r="DG45" s="365"/>
      <c r="DH45" s="370"/>
      <c r="DI45" s="360">
        <v>1</v>
      </c>
      <c r="DJ45" s="351" t="e">
        <f>IF('Inhaltliche Bewertung - GI'!RechtsformGI=CZ$13,CZ45*DI45,IF('Inhaltliche Bewertung - GI'!RechtsformGI=DB$13,DB45*DI45,IF('Inhaltliche Bewertung - GI'!RechtsformGI=DD$13,DD45*DI45,IF('Inhaltliche Bewertung - GI'!RechtsformGI=DF$13,DF45*DI45,IF('Inhaltliche Bewertung - GI'!RechtsformGI=CX$13,CX45*DI45,"")))))</f>
        <v>#N/A</v>
      </c>
      <c r="DK45" s="351" t="e">
        <f>IF('Inhaltliche Bewertung - GI'!RechtsformAngebot=CZ$13,CZ45*DI45,IF('Inhaltliche Bewertung - GI'!RechtsformAngebot=DB$13,DB45*DI45,IF('Inhaltliche Bewertung - GI'!RechtsformAngebot=DD$13,DD45*DI45,IF('Inhaltliche Bewertung - GI'!RechtsformAngebot=DF$13,DF45*DI45,IF('Inhaltliche Bewertung - GI'!RechtsformAngebot=CX$13,CX45*DI45,"")))))</f>
        <v>#N/A</v>
      </c>
      <c r="DL45" s="351"/>
      <c r="DM45" s="361" t="s">
        <v>3292</v>
      </c>
      <c r="DN45" s="362">
        <v>0.3</v>
      </c>
      <c r="DO45" s="365"/>
      <c r="DP45" s="362">
        <v>0.3</v>
      </c>
      <c r="DQ45" s="365"/>
      <c r="DR45" s="362">
        <v>0.3</v>
      </c>
      <c r="DS45" s="365"/>
      <c r="DT45" s="362">
        <v>0.3</v>
      </c>
      <c r="DU45" s="365"/>
      <c r="DV45" s="362">
        <v>0.3</v>
      </c>
      <c r="DW45" s="365"/>
      <c r="DX45" s="370"/>
      <c r="DY45" s="360">
        <v>1</v>
      </c>
      <c r="DZ45" s="351" t="e">
        <f>IF('Inhaltliche Bewertung - GI'!RechtsformGI=DP$13,DP45*DY45,IF('Inhaltliche Bewertung - GI'!RechtsformGI=DR$13,DR45*DY45,IF('Inhaltliche Bewertung - GI'!RechtsformGI=DT$13,DT45*DY45,IF('Inhaltliche Bewertung - GI'!RechtsformGI=DV$13,DV45*DY45,IF('Inhaltliche Bewertung - GI'!RechtsformGI=DN$13,DN45*DY45,"")))))</f>
        <v>#N/A</v>
      </c>
      <c r="EA45" s="351" t="e">
        <f>IF('Inhaltliche Bewertung - GI'!RechtsformAngebot=DP$13,DP45*DY45,IF('Inhaltliche Bewertung - GI'!RechtsformAngebot=DR$13,DR45*DY45,IF('Inhaltliche Bewertung - GI'!RechtsformAngebot=DT$13,DT45*DY45,IF('Inhaltliche Bewertung - GI'!RechtsformAngebot=DV$13,DV45*DY45,IF('Inhaltliche Bewertung - GI'!RechtsformAngebot=DN$13,DN45*DY45,"")))))</f>
        <v>#N/A</v>
      </c>
      <c r="EB45" s="351"/>
      <c r="EC45" s="157">
        <f t="shared" si="1"/>
        <v>0.3</v>
      </c>
      <c r="ED45" s="157">
        <f t="shared" si="2"/>
        <v>0.3</v>
      </c>
      <c r="EE45" s="157">
        <f t="shared" si="3"/>
        <v>0.30000000000000016</v>
      </c>
      <c r="EF45" s="157">
        <f t="shared" si="4"/>
        <v>0.3</v>
      </c>
    </row>
    <row r="46" spans="1:136" ht="14.25" customHeight="1">
      <c r="A46" s="444" t="b">
        <f t="shared" si="0"/>
        <v>1</v>
      </c>
      <c r="B46" s="292"/>
      <c r="C46" s="355" t="s">
        <v>3308</v>
      </c>
      <c r="D46" s="345"/>
      <c r="E46" s="361" t="s">
        <v>3309</v>
      </c>
      <c r="F46" s="362">
        <v>1</v>
      </c>
      <c r="G46" s="365"/>
      <c r="H46" s="362">
        <v>1</v>
      </c>
      <c r="I46" s="365"/>
      <c r="J46" s="362">
        <v>1</v>
      </c>
      <c r="K46" s="365"/>
      <c r="L46" s="362">
        <v>1</v>
      </c>
      <c r="M46" s="365"/>
      <c r="N46" s="362">
        <v>1</v>
      </c>
      <c r="O46" s="365"/>
      <c r="P46" s="370"/>
      <c r="Q46" s="360">
        <v>1</v>
      </c>
      <c r="R46" s="351" t="e">
        <f>IF('Inhaltliche Bewertung - GI'!RechtsformGI=H$13,H46*Q46,IF('Inhaltliche Bewertung - GI'!RechtsformGI=J$13,J46*Q46,IF('Inhaltliche Bewertung - GI'!RechtsformGI=L$13,L46*Q46,IF('Inhaltliche Bewertung - GI'!RechtsformGI=N$13,N46*Q46,IF('Inhaltliche Bewertung - GI'!RechtsformGI=F$13,F46*Q46,"")))))</f>
        <v>#N/A</v>
      </c>
      <c r="S46" s="351" t="e">
        <f>IF('Inhaltliche Bewertung - GI'!RechtsformAngebot=H$13,H46*Q46,IF('Inhaltliche Bewertung - GI'!RechtsformAngebot=J$13,J46*Q46,IF('Inhaltliche Bewertung - GI'!RechtsformAngebot=L$13,L46*Q46,IF('Inhaltliche Bewertung - GI'!RechtsformAngebot=N$13,N46*Q46,IF('Inhaltliche Bewertung - GI'!RechtsformAngebot=F$13,F46*Q46,"")))))</f>
        <v>#N/A</v>
      </c>
      <c r="T46" s="351"/>
      <c r="U46" s="361" t="s">
        <v>3309</v>
      </c>
      <c r="V46" s="362">
        <v>1</v>
      </c>
      <c r="W46" s="365"/>
      <c r="X46" s="362">
        <v>1</v>
      </c>
      <c r="Y46" s="365"/>
      <c r="Z46" s="362">
        <v>1</v>
      </c>
      <c r="AA46" s="365"/>
      <c r="AB46" s="362">
        <v>1</v>
      </c>
      <c r="AC46" s="365"/>
      <c r="AD46" s="362">
        <v>1</v>
      </c>
      <c r="AE46" s="365"/>
      <c r="AF46" s="370"/>
      <c r="AG46" s="360">
        <v>1</v>
      </c>
      <c r="AH46" s="351" t="e">
        <f>IF('Inhaltliche Bewertung - GI'!RechtsformGI=X$13,X46*AG46,IF('Inhaltliche Bewertung - GI'!RechtsformGI=Z$13,Z46*AG46,IF('Inhaltliche Bewertung - GI'!RechtsformGI=AB$13,AB46*AG46,IF('Inhaltliche Bewertung - GI'!RechtsformGI=AD$13,AD46*AG46,IF('Inhaltliche Bewertung - GI'!RechtsformGI=V$13,V46*AG46,"")))))</f>
        <v>#N/A</v>
      </c>
      <c r="AI46" s="351" t="e">
        <f>IF('Inhaltliche Bewertung - GI'!RechtsformAngebot=X$13,X46*AG46,IF('Inhaltliche Bewertung - GI'!RechtsformAngebot=Z$13,Z46*AG46,IF('Inhaltliche Bewertung - GI'!RechtsformAngebot=AB$13,AB46*AG46,IF('Inhaltliche Bewertung - GI'!RechtsformAngebot=AD$13,AD46*AG46,IF('Inhaltliche Bewertung - GI'!RechtsformAngebot=V$13,V46*AG46,"")))))</f>
        <v>#N/A</v>
      </c>
      <c r="AJ46" s="351"/>
      <c r="AK46" s="361" t="s">
        <v>3309</v>
      </c>
      <c r="AL46" s="362">
        <v>1</v>
      </c>
      <c r="AM46" s="365"/>
      <c r="AN46" s="362">
        <v>1</v>
      </c>
      <c r="AO46" s="365"/>
      <c r="AP46" s="362">
        <v>1</v>
      </c>
      <c r="AQ46" s="365"/>
      <c r="AR46" s="362">
        <v>1</v>
      </c>
      <c r="AS46" s="365"/>
      <c r="AT46" s="362">
        <v>1</v>
      </c>
      <c r="AU46" s="365"/>
      <c r="AV46" s="370"/>
      <c r="AW46" s="360">
        <v>1</v>
      </c>
      <c r="AX46" s="351" t="e">
        <f>IF('Inhaltliche Bewertung - GI'!RechtsformGI=AN$13,AN46*AW46,IF('Inhaltliche Bewertung - GI'!RechtsformGI=AP$13,AP46*AW46,IF('Inhaltliche Bewertung - GI'!RechtsformGI=AR$13,AR46*AW46,IF('Inhaltliche Bewertung - GI'!RechtsformGI=AT$13,AT46*AW46,IF('Inhaltliche Bewertung - GI'!RechtsformGI=AL$13,AL46*AW46,"")))))</f>
        <v>#N/A</v>
      </c>
      <c r="AY46" s="351" t="e">
        <f>IF('Inhaltliche Bewertung - GI'!RechtsformAngebot=AN$13,AN46*AW46,IF('Inhaltliche Bewertung - GI'!RechtsformAngebot=AP$13,AP46*AW46,IF('Inhaltliche Bewertung - GI'!RechtsformAngebot=AR$13,AR46*AW46,IF('Inhaltliche Bewertung - GI'!RechtsformAngebot=AT$13,AT46*AW46,IF('Inhaltliche Bewertung - GI'!RechtsformAngebot=AL$13,AL46*AW46,"")))))</f>
        <v>#N/A</v>
      </c>
      <c r="AZ46" s="351"/>
      <c r="BA46" s="361" t="s">
        <v>3309</v>
      </c>
      <c r="BB46" s="362">
        <v>1</v>
      </c>
      <c r="BC46" s="365"/>
      <c r="BD46" s="362">
        <v>1</v>
      </c>
      <c r="BE46" s="365"/>
      <c r="BF46" s="362">
        <v>1</v>
      </c>
      <c r="BG46" s="365"/>
      <c r="BH46" s="362">
        <v>1</v>
      </c>
      <c r="BI46" s="365"/>
      <c r="BJ46" s="362">
        <v>1</v>
      </c>
      <c r="BK46" s="365"/>
      <c r="BL46" s="370"/>
      <c r="BM46" s="360">
        <v>1</v>
      </c>
      <c r="BN46" s="351" t="e">
        <f>IF('Inhaltliche Bewertung - GI'!RechtsformGI=BD$13,BD46*BM46,IF('Inhaltliche Bewertung - GI'!RechtsformGI=BF$13,BF46*BM46,IF('Inhaltliche Bewertung - GI'!RechtsformGI=BH$13,BH46*BM46,IF('Inhaltliche Bewertung - GI'!RechtsformGI=BJ$13,BJ46*BM46,IF('Inhaltliche Bewertung - GI'!RechtsformGI=BB$13,BB46*BM46,"")))))</f>
        <v>#N/A</v>
      </c>
      <c r="BO46" s="351" t="e">
        <f>IF('Inhaltliche Bewertung - GI'!RechtsformAngebot=BD$13,BD46*BM46,IF('Inhaltliche Bewertung - GI'!RechtsformAngebot=BF$13,BF46*BM46,IF('Inhaltliche Bewertung - GI'!RechtsformAngebot=BH$13,BH46*BM46,IF('Inhaltliche Bewertung - GI'!RechtsformAngebot=BJ$13,BJ46*BM46,IF('Inhaltliche Bewertung - GI'!RechtsformAngebot=BB$13,BB46*BM46,"")))))</f>
        <v>#N/A</v>
      </c>
      <c r="BP46" s="351"/>
      <c r="BQ46" s="361" t="s">
        <v>3309</v>
      </c>
      <c r="BR46" s="362">
        <v>1</v>
      </c>
      <c r="BS46" s="365"/>
      <c r="BT46" s="362">
        <v>1</v>
      </c>
      <c r="BU46" s="365"/>
      <c r="BV46" s="362">
        <v>1</v>
      </c>
      <c r="BW46" s="365"/>
      <c r="BX46" s="362">
        <v>1</v>
      </c>
      <c r="BY46" s="365"/>
      <c r="BZ46" s="362">
        <v>1</v>
      </c>
      <c r="CA46" s="365"/>
      <c r="CB46" s="370"/>
      <c r="CC46" s="360">
        <v>1</v>
      </c>
      <c r="CD46" s="351" t="e">
        <f>IF('Inhaltliche Bewertung - GI'!RechtsformGI=BT$13,BT46*CC46,IF('Inhaltliche Bewertung - GI'!RechtsformGI=BV$13,BV46*CC46,IF('Inhaltliche Bewertung - GI'!RechtsformGI=BX$13,BX46*CC46,IF('Inhaltliche Bewertung - GI'!RechtsformGI=BZ$13,BZ46*CC46,IF('Inhaltliche Bewertung - GI'!RechtsformGI=BR$13,BR46*CC46,"")))))</f>
        <v>#N/A</v>
      </c>
      <c r="CE46" s="351" t="e">
        <f>IF('Inhaltliche Bewertung - GI'!RechtsformAngebot=BT$13,BT46*CC46,IF('Inhaltliche Bewertung - GI'!RechtsformAngebot=BV$13,BV46*CC46,IF('Inhaltliche Bewertung - GI'!RechtsformAngebot=BX$13,BX46*CC46,IF('Inhaltliche Bewertung - GI'!RechtsformAngebot=BZ$13,BZ46*CC46,IF('Inhaltliche Bewertung - GI'!RechtsformAngebot=BR$13,BR46*CC46,"")))))</f>
        <v>#N/A</v>
      </c>
      <c r="CF46" s="351"/>
      <c r="CG46" s="361" t="s">
        <v>3309</v>
      </c>
      <c r="CH46" s="362">
        <v>1</v>
      </c>
      <c r="CI46" s="365"/>
      <c r="CJ46" s="362">
        <v>1</v>
      </c>
      <c r="CK46" s="365"/>
      <c r="CL46" s="362">
        <v>1</v>
      </c>
      <c r="CM46" s="365"/>
      <c r="CN46" s="362">
        <v>1</v>
      </c>
      <c r="CO46" s="365"/>
      <c r="CP46" s="362">
        <v>1</v>
      </c>
      <c r="CQ46" s="365"/>
      <c r="CR46" s="370"/>
      <c r="CS46" s="360">
        <v>1</v>
      </c>
      <c r="CT46" s="351" t="e">
        <f>IF('Inhaltliche Bewertung - GI'!RechtsformGI=CJ$13,CJ46*CS46,IF('Inhaltliche Bewertung - GI'!RechtsformGI=CL$13,CL46*CS46,IF('Inhaltliche Bewertung - GI'!RechtsformGI=CN$13,CN46*CS46,IF('Inhaltliche Bewertung - GI'!RechtsformGI=CP$13,CP46*CS46,IF('Inhaltliche Bewertung - GI'!RechtsformGI=CH$13,CH46*CS46,"")))))</f>
        <v>#N/A</v>
      </c>
      <c r="CU46" s="351" t="e">
        <f>IF('Inhaltliche Bewertung - GI'!RechtsformAngebot=CJ$13,CJ46*CS46,IF('Inhaltliche Bewertung - GI'!RechtsformAngebot=CL$13,CL46*CS46,IF('Inhaltliche Bewertung - GI'!RechtsformAngebot=CN$13,CN46*CS46,IF('Inhaltliche Bewertung - GI'!RechtsformAngebot=CP$13,CP46*CS46,IF('Inhaltliche Bewertung - GI'!RechtsformAngebot=CH$13,CH46*CS46,"")))))</f>
        <v>#N/A</v>
      </c>
      <c r="CV46" s="351"/>
      <c r="CW46" s="361" t="s">
        <v>3309</v>
      </c>
      <c r="CX46" s="362">
        <v>1</v>
      </c>
      <c r="CY46" s="365"/>
      <c r="CZ46" s="362">
        <v>1</v>
      </c>
      <c r="DA46" s="365"/>
      <c r="DB46" s="362">
        <v>1</v>
      </c>
      <c r="DC46" s="365"/>
      <c r="DD46" s="362">
        <v>1</v>
      </c>
      <c r="DE46" s="365"/>
      <c r="DF46" s="362">
        <v>1</v>
      </c>
      <c r="DG46" s="365"/>
      <c r="DH46" s="370"/>
      <c r="DI46" s="360">
        <v>1</v>
      </c>
      <c r="DJ46" s="351" t="e">
        <f>IF('Inhaltliche Bewertung - GI'!RechtsformGI=CZ$13,CZ46*DI46,IF('Inhaltliche Bewertung - GI'!RechtsformGI=DB$13,DB46*DI46,IF('Inhaltliche Bewertung - GI'!RechtsformGI=DD$13,DD46*DI46,IF('Inhaltliche Bewertung - GI'!RechtsformGI=DF$13,DF46*DI46,IF('Inhaltliche Bewertung - GI'!RechtsformGI=CX$13,CX46*DI46,"")))))</f>
        <v>#N/A</v>
      </c>
      <c r="DK46" s="351" t="e">
        <f>IF('Inhaltliche Bewertung - GI'!RechtsformAngebot=CZ$13,CZ46*DI46,IF('Inhaltliche Bewertung - GI'!RechtsformAngebot=DB$13,DB46*DI46,IF('Inhaltliche Bewertung - GI'!RechtsformAngebot=DD$13,DD46*DI46,IF('Inhaltliche Bewertung - GI'!RechtsformAngebot=DF$13,DF46*DI46,IF('Inhaltliche Bewertung - GI'!RechtsformAngebot=CX$13,CX46*DI46,"")))))</f>
        <v>#N/A</v>
      </c>
      <c r="DL46" s="351"/>
      <c r="DM46" s="361" t="s">
        <v>3309</v>
      </c>
      <c r="DN46" s="362">
        <v>1</v>
      </c>
      <c r="DO46" s="365"/>
      <c r="DP46" s="362">
        <v>1</v>
      </c>
      <c r="DQ46" s="365"/>
      <c r="DR46" s="362">
        <v>1</v>
      </c>
      <c r="DS46" s="365"/>
      <c r="DT46" s="362">
        <v>1</v>
      </c>
      <c r="DU46" s="365"/>
      <c r="DV46" s="362">
        <v>1</v>
      </c>
      <c r="DW46" s="365"/>
      <c r="DX46" s="370"/>
      <c r="DY46" s="360">
        <v>1</v>
      </c>
      <c r="DZ46" s="351" t="e">
        <f>IF('Inhaltliche Bewertung - GI'!RechtsformGI=DP$13,DP46*DY46,IF('Inhaltliche Bewertung - GI'!RechtsformGI=DR$13,DR46*DY46,IF('Inhaltliche Bewertung - GI'!RechtsformGI=DT$13,DT46*DY46,IF('Inhaltliche Bewertung - GI'!RechtsformGI=DV$13,DV46*DY46,IF('Inhaltliche Bewertung - GI'!RechtsformGI=DN$13,DN46*DY46,"")))))</f>
        <v>#N/A</v>
      </c>
      <c r="EA46" s="351" t="e">
        <f>IF('Inhaltliche Bewertung - GI'!RechtsformAngebot=DP$13,DP46*DY46,IF('Inhaltliche Bewertung - GI'!RechtsformAngebot=DR$13,DR46*DY46,IF('Inhaltliche Bewertung - GI'!RechtsformAngebot=DT$13,DT46*DY46,IF('Inhaltliche Bewertung - GI'!RechtsformAngebot=DV$13,DV46*DY46,IF('Inhaltliche Bewertung - GI'!RechtsformAngebot=DN$13,DN46*DY46,"")))))</f>
        <v>#N/A</v>
      </c>
      <c r="EB46" s="351"/>
      <c r="EC46" s="157">
        <f t="shared" si="1"/>
        <v>1</v>
      </c>
      <c r="ED46" s="157">
        <f t="shared" si="2"/>
        <v>1</v>
      </c>
      <c r="EE46" s="157">
        <f t="shared" si="3"/>
        <v>1</v>
      </c>
      <c r="EF46" s="157">
        <f t="shared" si="4"/>
        <v>1</v>
      </c>
    </row>
    <row r="47" spans="1:136" ht="14.25" customHeight="1">
      <c r="A47" s="444" t="b">
        <f t="shared" si="0"/>
        <v>0</v>
      </c>
      <c r="B47" s="292"/>
      <c r="C47" s="355" t="s">
        <v>3310</v>
      </c>
      <c r="D47" s="345"/>
      <c r="E47" s="371" t="s">
        <v>3311</v>
      </c>
      <c r="F47" s="372">
        <v>1</v>
      </c>
      <c r="G47" s="358"/>
      <c r="H47" s="372">
        <v>1</v>
      </c>
      <c r="I47" s="358"/>
      <c r="J47" s="372">
        <v>1</v>
      </c>
      <c r="K47" s="358"/>
      <c r="L47" s="372">
        <v>1</v>
      </c>
      <c r="M47" s="358"/>
      <c r="N47" s="372">
        <v>1</v>
      </c>
      <c r="O47" s="358"/>
      <c r="P47" s="359"/>
      <c r="Q47" s="360">
        <v>1</v>
      </c>
      <c r="R47" s="351" t="e">
        <f>IF('Inhaltliche Bewertung - GI'!RechtsformGI=H$13,H47*Q47,IF('Inhaltliche Bewertung - GI'!RechtsformGI=J$13,J47*Q47,IF('Inhaltliche Bewertung - GI'!RechtsformGI=L$13,L47*Q47,IF('Inhaltliche Bewertung - GI'!RechtsformGI=N$13,N47*Q47,IF('Inhaltliche Bewertung - GI'!RechtsformGI=F$13,F47*Q47,"")))))</f>
        <v>#N/A</v>
      </c>
      <c r="S47" s="351" t="e">
        <f>IF('Inhaltliche Bewertung - GI'!RechtsformAngebot=H$13,H47*Q47,IF('Inhaltliche Bewertung - GI'!RechtsformAngebot=J$13,J47*Q47,IF('Inhaltliche Bewertung - GI'!RechtsformAngebot=L$13,L47*Q47,IF('Inhaltliche Bewertung - GI'!RechtsformAngebot=N$13,N47*Q47,IF('Inhaltliche Bewertung - GI'!RechtsformAngebot=F$13,F47*Q47,"")))))</f>
        <v>#N/A</v>
      </c>
      <c r="T47" s="351"/>
      <c r="U47" s="371" t="s">
        <v>3312</v>
      </c>
      <c r="V47" s="372">
        <v>0.8</v>
      </c>
      <c r="W47" s="374"/>
      <c r="X47" s="380">
        <v>0.8</v>
      </c>
      <c r="Y47" s="374"/>
      <c r="Z47" s="380">
        <v>0.8</v>
      </c>
      <c r="AA47" s="374"/>
      <c r="AB47" s="380">
        <v>0.8</v>
      </c>
      <c r="AC47" s="374"/>
      <c r="AD47" s="380">
        <v>0.8</v>
      </c>
      <c r="AE47" s="374"/>
      <c r="AF47" s="374"/>
      <c r="AG47" s="360">
        <v>1</v>
      </c>
      <c r="AH47" s="351" t="e">
        <f>IF('Inhaltliche Bewertung - GI'!RechtsformGI=X$13,X47*AG47,IF('Inhaltliche Bewertung - GI'!RechtsformGI=Z$13,Z47*AG47,IF('Inhaltliche Bewertung - GI'!RechtsformGI=AB$13,AB47*AG47,IF('Inhaltliche Bewertung - GI'!RechtsformGI=AD$13,AD47*AG47,IF('Inhaltliche Bewertung - GI'!RechtsformGI=V$13,V47*AG47,"")))))</f>
        <v>#N/A</v>
      </c>
      <c r="AI47" s="351" t="e">
        <f>IF('Inhaltliche Bewertung - GI'!RechtsformAngebot=X$13,X47*AG47,IF('Inhaltliche Bewertung - GI'!RechtsformAngebot=Z$13,Z47*AG47,IF('Inhaltliche Bewertung - GI'!RechtsformAngebot=AB$13,AB47*AG47,IF('Inhaltliche Bewertung - GI'!RechtsformAngebot=AD$13,AD47*AG47,IF('Inhaltliche Bewertung - GI'!RechtsformAngebot=V$13,V47*AG47,"")))))</f>
        <v>#N/A</v>
      </c>
      <c r="AJ47" s="351"/>
      <c r="AK47" s="361" t="s">
        <v>3313</v>
      </c>
      <c r="AL47" s="362">
        <v>1</v>
      </c>
      <c r="AM47" s="365"/>
      <c r="AN47" s="362">
        <v>1</v>
      </c>
      <c r="AO47" s="365"/>
      <c r="AP47" s="362">
        <v>1</v>
      </c>
      <c r="AQ47" s="365"/>
      <c r="AR47" s="362">
        <v>1</v>
      </c>
      <c r="AS47" s="365"/>
      <c r="AT47" s="362">
        <v>1</v>
      </c>
      <c r="AU47" s="365"/>
      <c r="AV47" s="365"/>
      <c r="AW47" s="360">
        <v>1</v>
      </c>
      <c r="AX47" s="351" t="e">
        <f>IF('Inhaltliche Bewertung - GI'!RechtsformGI=AN$13,AN47*AW47,IF('Inhaltliche Bewertung - GI'!RechtsformGI=AP$13,AP47*AW47,IF('Inhaltliche Bewertung - GI'!RechtsformGI=AR$13,AR47*AW47,IF('Inhaltliche Bewertung - GI'!RechtsformGI=AT$13,AT47*AW47,IF('Inhaltliche Bewertung - GI'!RechtsformGI=AL$13,AL47*AW47,"")))))</f>
        <v>#N/A</v>
      </c>
      <c r="AY47" s="351" t="e">
        <f>IF('Inhaltliche Bewertung - GI'!RechtsformAngebot=AN$13,AN47*AW47,IF('Inhaltliche Bewertung - GI'!RechtsformAngebot=AP$13,AP47*AW47,IF('Inhaltliche Bewertung - GI'!RechtsformAngebot=AR$13,AR47*AW47,IF('Inhaltliche Bewertung - GI'!RechtsformAngebot=AT$13,AT47*AW47,IF('Inhaltliche Bewertung - GI'!RechtsformAngebot=AL$13,AL47*AW47,"")))))</f>
        <v>#N/A</v>
      </c>
      <c r="AZ47" s="351"/>
      <c r="BA47" s="361" t="s">
        <v>3313</v>
      </c>
      <c r="BB47" s="366">
        <v>1</v>
      </c>
      <c r="BC47" s="365"/>
      <c r="BD47" s="366">
        <v>1</v>
      </c>
      <c r="BE47" s="365"/>
      <c r="BF47" s="366">
        <v>1</v>
      </c>
      <c r="BG47" s="365"/>
      <c r="BH47" s="366">
        <v>1</v>
      </c>
      <c r="BI47" s="365"/>
      <c r="BJ47" s="366">
        <v>1</v>
      </c>
      <c r="BK47" s="365"/>
      <c r="BL47" s="365"/>
      <c r="BM47" s="360">
        <v>1</v>
      </c>
      <c r="BN47" s="351" t="e">
        <f>IF('Inhaltliche Bewertung - GI'!RechtsformGI=BD$13,BD47*BM47,IF('Inhaltliche Bewertung - GI'!RechtsformGI=BF$13,BF47*BM47,IF('Inhaltliche Bewertung - GI'!RechtsformGI=BH$13,BH47*BM47,IF('Inhaltliche Bewertung - GI'!RechtsformGI=BJ$13,BJ47*BM47,IF('Inhaltliche Bewertung - GI'!RechtsformGI=BB$13,BB47*BM47,"")))))</f>
        <v>#N/A</v>
      </c>
      <c r="BO47" s="351" t="e">
        <f>IF('Inhaltliche Bewertung - GI'!RechtsformAngebot=BD$13,BD47*BM47,IF('Inhaltliche Bewertung - GI'!RechtsformAngebot=BF$13,BF47*BM47,IF('Inhaltliche Bewertung - GI'!RechtsformAngebot=BH$13,BH47*BM47,IF('Inhaltliche Bewertung - GI'!RechtsformAngebot=BJ$13,BJ47*BM47,IF('Inhaltliche Bewertung - GI'!RechtsformAngebot=BB$13,BB47*BM47,"")))))</f>
        <v>#N/A</v>
      </c>
      <c r="BP47" s="351"/>
      <c r="BQ47" s="361" t="s">
        <v>3314</v>
      </c>
      <c r="BR47" s="367">
        <v>1</v>
      </c>
      <c r="BS47" s="368"/>
      <c r="BT47" s="367">
        <v>1</v>
      </c>
      <c r="BU47" s="368"/>
      <c r="BV47" s="367">
        <v>1</v>
      </c>
      <c r="BW47" s="368"/>
      <c r="BX47" s="367">
        <v>1</v>
      </c>
      <c r="BY47" s="368"/>
      <c r="BZ47" s="367">
        <v>1</v>
      </c>
      <c r="CA47" s="368"/>
      <c r="CB47" s="368"/>
      <c r="CC47" s="360">
        <v>1</v>
      </c>
      <c r="CD47" s="351" t="e">
        <f>IF('Inhaltliche Bewertung - GI'!RechtsformGI=BT$13,BT47*CC47,IF('Inhaltliche Bewertung - GI'!RechtsformGI=BV$13,BV47*CC47,IF('Inhaltliche Bewertung - GI'!RechtsformGI=BX$13,BX47*CC47,IF('Inhaltliche Bewertung - GI'!RechtsformGI=BZ$13,BZ47*CC47,IF('Inhaltliche Bewertung - GI'!RechtsformGI=BR$13,BR47*CC47,"")))))</f>
        <v>#N/A</v>
      </c>
      <c r="CE47" s="351" t="e">
        <f>IF('Inhaltliche Bewertung - GI'!RechtsformAngebot=BT$13,BT47*CC47,IF('Inhaltliche Bewertung - GI'!RechtsformAngebot=BV$13,BV47*CC47,IF('Inhaltliche Bewertung - GI'!RechtsformAngebot=BX$13,BX47*CC47,IF('Inhaltliche Bewertung - GI'!RechtsformAngebot=BZ$13,BZ47*CC47,IF('Inhaltliche Bewertung - GI'!RechtsformAngebot=BR$13,BR47*CC47,"")))))</f>
        <v>#N/A</v>
      </c>
      <c r="CF47" s="351"/>
      <c r="CG47" s="361" t="s">
        <v>3313</v>
      </c>
      <c r="CH47" s="367">
        <v>0.9</v>
      </c>
      <c r="CI47" s="368"/>
      <c r="CJ47" s="367">
        <v>0.9</v>
      </c>
      <c r="CK47" s="368"/>
      <c r="CL47" s="367">
        <v>0.9</v>
      </c>
      <c r="CM47" s="368"/>
      <c r="CN47" s="367">
        <v>0.9</v>
      </c>
      <c r="CO47" s="368"/>
      <c r="CP47" s="367">
        <v>0.9</v>
      </c>
      <c r="CQ47" s="368"/>
      <c r="CR47" s="368"/>
      <c r="CS47" s="360">
        <v>1</v>
      </c>
      <c r="CT47" s="351" t="e">
        <f>IF('Inhaltliche Bewertung - GI'!RechtsformGI=CJ$13,CJ47*CS47,IF('Inhaltliche Bewertung - GI'!RechtsformGI=CL$13,CL47*CS47,IF('Inhaltliche Bewertung - GI'!RechtsformGI=CN$13,CN47*CS47,IF('Inhaltliche Bewertung - GI'!RechtsformGI=CP$13,CP47*CS47,IF('Inhaltliche Bewertung - GI'!RechtsformGI=CH$13,CH47*CS47,"")))))</f>
        <v>#N/A</v>
      </c>
      <c r="CU47" s="351" t="e">
        <f>IF('Inhaltliche Bewertung - GI'!RechtsformAngebot=CJ$13,CJ47*CS47,IF('Inhaltliche Bewertung - GI'!RechtsformAngebot=CL$13,CL47*CS47,IF('Inhaltliche Bewertung - GI'!RechtsformAngebot=CN$13,CN47*CS47,IF('Inhaltliche Bewertung - GI'!RechtsformAngebot=CP$13,CP47*CS47,IF('Inhaltliche Bewertung - GI'!RechtsformAngebot=CH$13,CH47*CS47,"")))))</f>
        <v>#N/A</v>
      </c>
      <c r="CV47" s="351"/>
      <c r="CW47" s="361" t="s">
        <v>3315</v>
      </c>
      <c r="CX47" s="367">
        <v>1</v>
      </c>
      <c r="CY47" s="368"/>
      <c r="CZ47" s="367">
        <v>1</v>
      </c>
      <c r="DA47" s="369"/>
      <c r="DB47" s="367">
        <v>1</v>
      </c>
      <c r="DC47" s="368"/>
      <c r="DD47" s="367">
        <v>1</v>
      </c>
      <c r="DE47" s="368"/>
      <c r="DF47" s="367">
        <v>1</v>
      </c>
      <c r="DG47" s="368"/>
      <c r="DH47" s="368"/>
      <c r="DI47" s="360">
        <v>1</v>
      </c>
      <c r="DJ47" s="351" t="e">
        <f>IF('Inhaltliche Bewertung - GI'!RechtsformGI=CZ$13,CZ47*DI47,IF('Inhaltliche Bewertung - GI'!RechtsformGI=DB$13,DB47*DI47,IF('Inhaltliche Bewertung - GI'!RechtsformGI=DD$13,DD47*DI47,IF('Inhaltliche Bewertung - GI'!RechtsformGI=DF$13,DF47*DI47,IF('Inhaltliche Bewertung - GI'!RechtsformGI=CX$13,CX47*DI47,"")))))</f>
        <v>#N/A</v>
      </c>
      <c r="DK47" s="351" t="e">
        <f>IF('Inhaltliche Bewertung - GI'!RechtsformAngebot=CZ$13,CZ47*DI47,IF('Inhaltliche Bewertung - GI'!RechtsformAngebot=DB$13,DB47*DI47,IF('Inhaltliche Bewertung - GI'!RechtsformAngebot=DD$13,DD47*DI47,IF('Inhaltliche Bewertung - GI'!RechtsformAngebot=DF$13,DF47*DI47,IF('Inhaltliche Bewertung - GI'!RechtsformAngebot=CX$13,CX47*DI47,"")))))</f>
        <v>#N/A</v>
      </c>
      <c r="DL47" s="351"/>
      <c r="DM47" s="361" t="s">
        <v>3314</v>
      </c>
      <c r="DN47" s="367">
        <v>1</v>
      </c>
      <c r="DO47" s="368"/>
      <c r="DP47" s="367">
        <v>1</v>
      </c>
      <c r="DQ47" s="368"/>
      <c r="DR47" s="367">
        <v>1</v>
      </c>
      <c r="DS47" s="368"/>
      <c r="DT47" s="367">
        <v>1</v>
      </c>
      <c r="DU47" s="368"/>
      <c r="DV47" s="367">
        <v>1</v>
      </c>
      <c r="DW47" s="368"/>
      <c r="DX47" s="368"/>
      <c r="DY47" s="360">
        <v>1</v>
      </c>
      <c r="DZ47" s="351" t="e">
        <f>IF('Inhaltliche Bewertung - GI'!RechtsformGI=DP$13,DP47*DY47,IF('Inhaltliche Bewertung - GI'!RechtsformGI=DR$13,DR47*DY47,IF('Inhaltliche Bewertung - GI'!RechtsformGI=DT$13,DT47*DY47,IF('Inhaltliche Bewertung - GI'!RechtsformGI=DV$13,DV47*DY47,IF('Inhaltliche Bewertung - GI'!RechtsformGI=DN$13,DN47*DY47,"")))))</f>
        <v>#N/A</v>
      </c>
      <c r="EA47" s="351" t="e">
        <f>IF('Inhaltliche Bewertung - GI'!RechtsformAngebot=DP$13,DP47*DY47,IF('Inhaltliche Bewertung - GI'!RechtsformAngebot=DR$13,DR47*DY47,IF('Inhaltliche Bewertung - GI'!RechtsformAngebot=DT$13,DT47*DY47,IF('Inhaltliche Bewertung - GI'!RechtsformAngebot=DV$13,DV47*DY47,IF('Inhaltliche Bewertung - GI'!RechtsformAngebot=DN$13,DN47*DY47,"")))))</f>
        <v>#N/A</v>
      </c>
      <c r="EB47" s="351"/>
      <c r="EC47" s="157">
        <f t="shared" si="1"/>
        <v>0.8</v>
      </c>
      <c r="ED47" s="157">
        <f t="shared" si="2"/>
        <v>1</v>
      </c>
      <c r="EE47" s="157">
        <f t="shared" si="3"/>
        <v>0.9624999999999998</v>
      </c>
      <c r="EF47" s="157">
        <f t="shared" si="4"/>
        <v>1</v>
      </c>
    </row>
    <row r="48" spans="1:136" ht="14.25" customHeight="1">
      <c r="A48" s="444" t="b">
        <f t="shared" si="0"/>
        <v>0</v>
      </c>
      <c r="B48" s="292"/>
      <c r="C48" s="355" t="s">
        <v>3316</v>
      </c>
      <c r="D48" s="345"/>
      <c r="E48" s="361" t="s">
        <v>3317</v>
      </c>
      <c r="F48" s="362">
        <v>0.4</v>
      </c>
      <c r="G48" s="365"/>
      <c r="H48" s="362">
        <v>0.4</v>
      </c>
      <c r="I48" s="365"/>
      <c r="J48" s="362">
        <v>0.4</v>
      </c>
      <c r="K48" s="365"/>
      <c r="L48" s="362">
        <v>0.4</v>
      </c>
      <c r="M48" s="365"/>
      <c r="N48" s="362">
        <v>0.4</v>
      </c>
      <c r="O48" s="365"/>
      <c r="P48" s="370"/>
      <c r="Q48" s="360">
        <v>1</v>
      </c>
      <c r="R48" s="351" t="e">
        <f>IF('Inhaltliche Bewertung - GI'!RechtsformGI=H$13,H48*Q48,IF('Inhaltliche Bewertung - GI'!RechtsformGI=J$13,J48*Q48,IF('Inhaltliche Bewertung - GI'!RechtsformGI=L$13,L48*Q48,IF('Inhaltliche Bewertung - GI'!RechtsformGI=N$13,N48*Q48,IF('Inhaltliche Bewertung - GI'!RechtsformGI=F$13,F48*Q48,"")))))</f>
        <v>#N/A</v>
      </c>
      <c r="S48" s="351" t="e">
        <f>IF('Inhaltliche Bewertung - GI'!RechtsformAngebot=H$13,H48*Q48,IF('Inhaltliche Bewertung - GI'!RechtsformAngebot=J$13,J48*Q48,IF('Inhaltliche Bewertung - GI'!RechtsformAngebot=L$13,L48*Q48,IF('Inhaltliche Bewertung - GI'!RechtsformAngebot=N$13,N48*Q48,IF('Inhaltliche Bewertung - GI'!RechtsformAngebot=F$13,F48*Q48,"")))))</f>
        <v>#N/A</v>
      </c>
      <c r="T48" s="351"/>
      <c r="U48" s="361" t="s">
        <v>3318</v>
      </c>
      <c r="V48" s="362">
        <v>0.4</v>
      </c>
      <c r="W48" s="365"/>
      <c r="X48" s="362">
        <v>0.4</v>
      </c>
      <c r="Y48" s="365"/>
      <c r="Z48" s="362">
        <v>0.4</v>
      </c>
      <c r="AA48" s="365"/>
      <c r="AB48" s="362">
        <v>0.4</v>
      </c>
      <c r="AC48" s="365"/>
      <c r="AD48" s="362">
        <v>0.4</v>
      </c>
      <c r="AE48" s="365"/>
      <c r="AF48" s="370"/>
      <c r="AG48" s="360">
        <v>1</v>
      </c>
      <c r="AH48" s="351" t="e">
        <f>IF('Inhaltliche Bewertung - GI'!RechtsformGI=X$13,X48*AG48,IF('Inhaltliche Bewertung - GI'!RechtsformGI=Z$13,Z48*AG48,IF('Inhaltliche Bewertung - GI'!RechtsformGI=AB$13,AB48*AG48,IF('Inhaltliche Bewertung - GI'!RechtsformGI=AD$13,AD48*AG48,IF('Inhaltliche Bewertung - GI'!RechtsformGI=V$13,V48*AG48,"")))))</f>
        <v>#N/A</v>
      </c>
      <c r="AI48" s="351" t="e">
        <f>IF('Inhaltliche Bewertung - GI'!RechtsformAngebot=X$13,X48*AG48,IF('Inhaltliche Bewertung - GI'!RechtsformAngebot=Z$13,Z48*AG48,IF('Inhaltliche Bewertung - GI'!RechtsformAngebot=AB$13,AB48*AG48,IF('Inhaltliche Bewertung - GI'!RechtsformAngebot=AD$13,AD48*AG48,IF('Inhaltliche Bewertung - GI'!RechtsformAngebot=V$13,V48*AG48,"")))))</f>
        <v>#N/A</v>
      </c>
      <c r="AJ48" s="351"/>
      <c r="AK48" s="361" t="s">
        <v>3319</v>
      </c>
      <c r="AL48" s="362">
        <v>0.4</v>
      </c>
      <c r="AM48" s="365"/>
      <c r="AN48" s="362">
        <v>0.4</v>
      </c>
      <c r="AO48" s="365"/>
      <c r="AP48" s="362">
        <v>0.4</v>
      </c>
      <c r="AQ48" s="365"/>
      <c r="AR48" s="362">
        <v>0.4</v>
      </c>
      <c r="AS48" s="365"/>
      <c r="AT48" s="362">
        <v>0.4</v>
      </c>
      <c r="AU48" s="365"/>
      <c r="AV48" s="370"/>
      <c r="AW48" s="360">
        <v>1</v>
      </c>
      <c r="AX48" s="351" t="e">
        <f>IF('Inhaltliche Bewertung - GI'!RechtsformGI=AN$13,AN48*AW48,IF('Inhaltliche Bewertung - GI'!RechtsformGI=AP$13,AP48*AW48,IF('Inhaltliche Bewertung - GI'!RechtsformGI=AR$13,AR48*AW48,IF('Inhaltliche Bewertung - GI'!RechtsformGI=AT$13,AT48*AW48,IF('Inhaltliche Bewertung - GI'!RechtsformGI=AL$13,AL48*AW48,"")))))</f>
        <v>#N/A</v>
      </c>
      <c r="AY48" s="351" t="e">
        <f>IF('Inhaltliche Bewertung - GI'!RechtsformAngebot=AN$13,AN48*AW48,IF('Inhaltliche Bewertung - GI'!RechtsformAngebot=AP$13,AP48*AW48,IF('Inhaltliche Bewertung - GI'!RechtsformAngebot=AR$13,AR48*AW48,IF('Inhaltliche Bewertung - GI'!RechtsformAngebot=AT$13,AT48*AW48,IF('Inhaltliche Bewertung - GI'!RechtsformAngebot=AL$13,AL48*AW48,"")))))</f>
        <v>#N/A</v>
      </c>
      <c r="AZ48" s="351"/>
      <c r="BA48" s="361" t="s">
        <v>3320</v>
      </c>
      <c r="BB48" s="362">
        <v>0.4</v>
      </c>
      <c r="BC48" s="365"/>
      <c r="BD48" s="362">
        <v>0.4</v>
      </c>
      <c r="BE48" s="365"/>
      <c r="BF48" s="362">
        <v>0.4</v>
      </c>
      <c r="BG48" s="365"/>
      <c r="BH48" s="362">
        <v>0.4</v>
      </c>
      <c r="BI48" s="365"/>
      <c r="BJ48" s="362">
        <v>0.4</v>
      </c>
      <c r="BK48" s="365"/>
      <c r="BL48" s="370"/>
      <c r="BM48" s="360">
        <v>1</v>
      </c>
      <c r="BN48" s="351" t="e">
        <f>IF('Inhaltliche Bewertung - GI'!RechtsformGI=BD$13,BD48*BM48,IF('Inhaltliche Bewertung - GI'!RechtsformGI=BF$13,BF48*BM48,IF('Inhaltliche Bewertung - GI'!RechtsformGI=BH$13,BH48*BM48,IF('Inhaltliche Bewertung - GI'!RechtsformGI=BJ$13,BJ48*BM48,IF('Inhaltliche Bewertung - GI'!RechtsformGI=BB$13,BB48*BM48,"")))))</f>
        <v>#N/A</v>
      </c>
      <c r="BO48" s="351" t="e">
        <f>IF('Inhaltliche Bewertung - GI'!RechtsformAngebot=BD$13,BD48*BM48,IF('Inhaltliche Bewertung - GI'!RechtsformAngebot=BF$13,BF48*BM48,IF('Inhaltliche Bewertung - GI'!RechtsformAngebot=BH$13,BH48*BM48,IF('Inhaltliche Bewertung - GI'!RechtsformAngebot=BJ$13,BJ48*BM48,IF('Inhaltliche Bewertung - GI'!RechtsformAngebot=BB$13,BB48*BM48,"")))))</f>
        <v>#N/A</v>
      </c>
      <c r="BP48" s="351"/>
      <c r="BQ48" s="361" t="s">
        <v>3319</v>
      </c>
      <c r="BR48" s="362">
        <v>0.4</v>
      </c>
      <c r="BS48" s="365"/>
      <c r="BT48" s="362">
        <v>0.4</v>
      </c>
      <c r="BU48" s="365"/>
      <c r="BV48" s="362">
        <v>0.4</v>
      </c>
      <c r="BW48" s="365"/>
      <c r="BX48" s="362">
        <v>0.4</v>
      </c>
      <c r="BY48" s="365"/>
      <c r="BZ48" s="362">
        <v>0.4</v>
      </c>
      <c r="CA48" s="365"/>
      <c r="CB48" s="370"/>
      <c r="CC48" s="360">
        <v>1</v>
      </c>
      <c r="CD48" s="351" t="e">
        <f>IF('Inhaltliche Bewertung - GI'!RechtsformGI=BT$13,BT48*CC48,IF('Inhaltliche Bewertung - GI'!RechtsformGI=BV$13,BV48*CC48,IF('Inhaltliche Bewertung - GI'!RechtsformGI=BX$13,BX48*CC48,IF('Inhaltliche Bewertung - GI'!RechtsformGI=BZ$13,BZ48*CC48,IF('Inhaltliche Bewertung - GI'!RechtsformGI=BR$13,BR48*CC48,"")))))</f>
        <v>#N/A</v>
      </c>
      <c r="CE48" s="351" t="e">
        <f>IF('Inhaltliche Bewertung - GI'!RechtsformAngebot=BT$13,BT48*CC48,IF('Inhaltliche Bewertung - GI'!RechtsformAngebot=BV$13,BV48*CC48,IF('Inhaltliche Bewertung - GI'!RechtsformAngebot=BX$13,BX48*CC48,IF('Inhaltliche Bewertung - GI'!RechtsformAngebot=BZ$13,BZ48*CC48,IF('Inhaltliche Bewertung - GI'!RechtsformAngebot=BR$13,BR48*CC48,"")))))</f>
        <v>#N/A</v>
      </c>
      <c r="CF48" s="351"/>
      <c r="CG48" s="361" t="s">
        <v>3320</v>
      </c>
      <c r="CH48" s="362">
        <v>0.4</v>
      </c>
      <c r="CI48" s="365"/>
      <c r="CJ48" s="362">
        <v>0.4</v>
      </c>
      <c r="CK48" s="365"/>
      <c r="CL48" s="362">
        <v>0.4</v>
      </c>
      <c r="CM48" s="365"/>
      <c r="CN48" s="362">
        <v>0.4</v>
      </c>
      <c r="CO48" s="365"/>
      <c r="CP48" s="362">
        <v>0.4</v>
      </c>
      <c r="CQ48" s="365"/>
      <c r="CR48" s="370"/>
      <c r="CS48" s="360">
        <v>1</v>
      </c>
      <c r="CT48" s="351" t="e">
        <f>IF('Inhaltliche Bewertung - GI'!RechtsformGI=CJ$13,CJ48*CS48,IF('Inhaltliche Bewertung - GI'!RechtsformGI=CL$13,CL48*CS48,IF('Inhaltliche Bewertung - GI'!RechtsformGI=CN$13,CN48*CS48,IF('Inhaltliche Bewertung - GI'!RechtsformGI=CP$13,CP48*CS48,IF('Inhaltliche Bewertung - GI'!RechtsformGI=CH$13,CH48*CS48,"")))))</f>
        <v>#N/A</v>
      </c>
      <c r="CU48" s="351" t="e">
        <f>IF('Inhaltliche Bewertung - GI'!RechtsformAngebot=CJ$13,CJ48*CS48,IF('Inhaltliche Bewertung - GI'!RechtsformAngebot=CL$13,CL48*CS48,IF('Inhaltliche Bewertung - GI'!RechtsformAngebot=CN$13,CN48*CS48,IF('Inhaltliche Bewertung - GI'!RechtsformAngebot=CP$13,CP48*CS48,IF('Inhaltliche Bewertung - GI'!RechtsformAngebot=CH$13,CH48*CS48,"")))))</f>
        <v>#N/A</v>
      </c>
      <c r="CV48" s="351"/>
      <c r="CW48" s="356" t="s">
        <v>3234</v>
      </c>
      <c r="CX48" s="376">
        <v>0</v>
      </c>
      <c r="CY48" s="377"/>
      <c r="CZ48" s="378">
        <v>0</v>
      </c>
      <c r="DA48" s="379"/>
      <c r="DB48" s="376">
        <v>0</v>
      </c>
      <c r="DC48" s="377"/>
      <c r="DD48" s="376">
        <v>0</v>
      </c>
      <c r="DE48" s="377"/>
      <c r="DF48" s="376">
        <v>0</v>
      </c>
      <c r="DG48" s="377"/>
      <c r="DH48" s="377"/>
      <c r="DI48" s="360">
        <v>1</v>
      </c>
      <c r="DJ48" s="351" t="e">
        <f>IF('Inhaltliche Bewertung - GI'!RechtsformGI=CZ$13,CZ48*DI48,IF('Inhaltliche Bewertung - GI'!RechtsformGI=DB$13,DB48*DI48,IF('Inhaltliche Bewertung - GI'!RechtsformGI=DD$13,DD48*DI48,IF('Inhaltliche Bewertung - GI'!RechtsformGI=DF$13,DF48*DI48,IF('Inhaltliche Bewertung - GI'!RechtsformGI=CX$13,CX48*DI48,"")))))</f>
        <v>#N/A</v>
      </c>
      <c r="DK48" s="351" t="e">
        <f>IF('Inhaltliche Bewertung - GI'!RechtsformAngebot=CZ$13,CZ48*DI48,IF('Inhaltliche Bewertung - GI'!RechtsformAngebot=DB$13,DB48*DI48,IF('Inhaltliche Bewertung - GI'!RechtsformAngebot=DD$13,DD48*DI48,IF('Inhaltliche Bewertung - GI'!RechtsformAngebot=DF$13,DF48*DI48,IF('Inhaltliche Bewertung - GI'!RechtsformAngebot=CX$13,CX48*DI48,"")))))</f>
        <v>#N/A</v>
      </c>
      <c r="DL48" s="351"/>
      <c r="DM48" s="361" t="s">
        <v>3320</v>
      </c>
      <c r="DN48" s="362">
        <v>0.4</v>
      </c>
      <c r="DO48" s="365"/>
      <c r="DP48" s="362">
        <v>0.4</v>
      </c>
      <c r="DQ48" s="365"/>
      <c r="DR48" s="362">
        <v>0.4</v>
      </c>
      <c r="DS48" s="365"/>
      <c r="DT48" s="362">
        <v>0.4</v>
      </c>
      <c r="DU48" s="365"/>
      <c r="DV48" s="362">
        <v>0.4</v>
      </c>
      <c r="DW48" s="365"/>
      <c r="DX48" s="370"/>
      <c r="DY48" s="360">
        <v>1</v>
      </c>
      <c r="DZ48" s="351" t="e">
        <f>IF('Inhaltliche Bewertung - GI'!RechtsformGI=DP$13,DP48*DY48,IF('Inhaltliche Bewertung - GI'!RechtsformGI=DR$13,DR48*DY48,IF('Inhaltliche Bewertung - GI'!RechtsformGI=DT$13,DT48*DY48,IF('Inhaltliche Bewertung - GI'!RechtsformGI=DV$13,DV48*DY48,IF('Inhaltliche Bewertung - GI'!RechtsformGI=DN$13,DN48*DY48,"")))))</f>
        <v>#N/A</v>
      </c>
      <c r="EA48" s="351" t="e">
        <f>IF('Inhaltliche Bewertung - GI'!RechtsformAngebot=DP$13,DP48*DY48,IF('Inhaltliche Bewertung - GI'!RechtsformAngebot=DR$13,DR48*DY48,IF('Inhaltliche Bewertung - GI'!RechtsformAngebot=DT$13,DT48*DY48,IF('Inhaltliche Bewertung - GI'!RechtsformAngebot=DV$13,DV48*DY48,IF('Inhaltliche Bewertung - GI'!RechtsformAngebot=DN$13,DN48*DY48,"")))))</f>
        <v>#N/A</v>
      </c>
      <c r="EB48" s="351"/>
      <c r="EC48" s="157">
        <f t="shared" si="1"/>
        <v>0</v>
      </c>
      <c r="ED48" s="157">
        <f t="shared" si="2"/>
        <v>0.4</v>
      </c>
      <c r="EE48" s="157">
        <f t="shared" si="3"/>
        <v>0.3500000000000002</v>
      </c>
      <c r="EF48" s="157">
        <f t="shared" si="4"/>
        <v>0.4</v>
      </c>
    </row>
    <row r="49" spans="1:136" ht="14.25" customHeight="1">
      <c r="A49" s="444" t="b">
        <f t="shared" si="0"/>
        <v>0</v>
      </c>
      <c r="B49" s="292"/>
      <c r="C49" s="355" t="s">
        <v>3321</v>
      </c>
      <c r="D49" s="345"/>
      <c r="E49" s="361" t="s">
        <v>3322</v>
      </c>
      <c r="F49" s="362">
        <v>1</v>
      </c>
      <c r="G49" s="365"/>
      <c r="H49" s="362">
        <v>1</v>
      </c>
      <c r="I49" s="365"/>
      <c r="J49" s="362">
        <v>1</v>
      </c>
      <c r="K49" s="365"/>
      <c r="L49" s="362">
        <v>1</v>
      </c>
      <c r="M49" s="365"/>
      <c r="N49" s="362">
        <v>1</v>
      </c>
      <c r="O49" s="365"/>
      <c r="P49" s="370"/>
      <c r="Q49" s="360">
        <v>1</v>
      </c>
      <c r="R49" s="351" t="e">
        <f>IF('Inhaltliche Bewertung - GI'!RechtsformGI=H$13,H49*Q49,IF('Inhaltliche Bewertung - GI'!RechtsformGI=J$13,J49*Q49,IF('Inhaltliche Bewertung - GI'!RechtsformGI=L$13,L49*Q49,IF('Inhaltliche Bewertung - GI'!RechtsformGI=N$13,N49*Q49,IF('Inhaltliche Bewertung - GI'!RechtsformGI=F$13,F49*Q49,"")))))</f>
        <v>#N/A</v>
      </c>
      <c r="S49" s="351" t="e">
        <f>IF('Inhaltliche Bewertung - GI'!RechtsformAngebot=H$13,H49*Q49,IF('Inhaltliche Bewertung - GI'!RechtsformAngebot=J$13,J49*Q49,IF('Inhaltliche Bewertung - GI'!RechtsformAngebot=L$13,L49*Q49,IF('Inhaltliche Bewertung - GI'!RechtsformAngebot=N$13,N49*Q49,IF('Inhaltliche Bewertung - GI'!RechtsformAngebot=F$13,F49*Q49,"")))))</f>
        <v>#N/A</v>
      </c>
      <c r="T49" s="351"/>
      <c r="U49" s="371" t="s">
        <v>3323</v>
      </c>
      <c r="V49" s="372">
        <v>0.8</v>
      </c>
      <c r="W49" s="374"/>
      <c r="X49" s="380">
        <v>0.8</v>
      </c>
      <c r="Y49" s="374"/>
      <c r="Z49" s="380">
        <v>0.8</v>
      </c>
      <c r="AA49" s="374"/>
      <c r="AB49" s="380">
        <v>0.8</v>
      </c>
      <c r="AC49" s="374"/>
      <c r="AD49" s="380">
        <v>0.8</v>
      </c>
      <c r="AE49" s="374"/>
      <c r="AF49" s="374"/>
      <c r="AG49" s="360">
        <v>1</v>
      </c>
      <c r="AH49" s="351" t="e">
        <f>IF('Inhaltliche Bewertung - GI'!RechtsformGI=X$13,X49*AG49,IF('Inhaltliche Bewertung - GI'!RechtsformGI=Z$13,Z49*AG49,IF('Inhaltliche Bewertung - GI'!RechtsformGI=AB$13,AB49*AG49,IF('Inhaltliche Bewertung - GI'!RechtsformGI=AD$13,AD49*AG49,IF('Inhaltliche Bewertung - GI'!RechtsformGI=V$13,V49*AG49,"")))))</f>
        <v>#N/A</v>
      </c>
      <c r="AI49" s="351" t="e">
        <f>IF('Inhaltliche Bewertung - GI'!RechtsformAngebot=X$13,X49*AG49,IF('Inhaltliche Bewertung - GI'!RechtsformAngebot=Z$13,Z49*AG49,IF('Inhaltliche Bewertung - GI'!RechtsformAngebot=AB$13,AB49*AG49,IF('Inhaltliche Bewertung - GI'!RechtsformAngebot=AD$13,AD49*AG49,IF('Inhaltliche Bewertung - GI'!RechtsformAngebot=V$13,V49*AG49,"")))))</f>
        <v>#N/A</v>
      </c>
      <c r="AJ49" s="351"/>
      <c r="AK49" s="361" t="s">
        <v>3322</v>
      </c>
      <c r="AL49" s="362">
        <v>1</v>
      </c>
      <c r="AM49" s="365"/>
      <c r="AN49" s="362">
        <v>1</v>
      </c>
      <c r="AO49" s="365"/>
      <c r="AP49" s="362">
        <v>1</v>
      </c>
      <c r="AQ49" s="365"/>
      <c r="AR49" s="362">
        <v>1</v>
      </c>
      <c r="AS49" s="365"/>
      <c r="AT49" s="362">
        <v>1</v>
      </c>
      <c r="AU49" s="365"/>
      <c r="AV49" s="365"/>
      <c r="AW49" s="360">
        <v>1</v>
      </c>
      <c r="AX49" s="351" t="e">
        <f>IF('Inhaltliche Bewertung - GI'!RechtsformGI=AN$13,AN49*AW49,IF('Inhaltliche Bewertung - GI'!RechtsformGI=AP$13,AP49*AW49,IF('Inhaltliche Bewertung - GI'!RechtsformGI=AR$13,AR49*AW49,IF('Inhaltliche Bewertung - GI'!RechtsformGI=AT$13,AT49*AW49,IF('Inhaltliche Bewertung - GI'!RechtsformGI=AL$13,AL49*AW49,"")))))</f>
        <v>#N/A</v>
      </c>
      <c r="AY49" s="351" t="e">
        <f>IF('Inhaltliche Bewertung - GI'!RechtsformAngebot=AN$13,AN49*AW49,IF('Inhaltliche Bewertung - GI'!RechtsformAngebot=AP$13,AP49*AW49,IF('Inhaltliche Bewertung - GI'!RechtsformAngebot=AR$13,AR49*AW49,IF('Inhaltliche Bewertung - GI'!RechtsformAngebot=AT$13,AT49*AW49,IF('Inhaltliche Bewertung - GI'!RechtsformAngebot=AL$13,AL49*AW49,"")))))</f>
        <v>#N/A</v>
      </c>
      <c r="AZ49" s="351"/>
      <c r="BA49" s="361" t="s">
        <v>3322</v>
      </c>
      <c r="BB49" s="366">
        <v>1</v>
      </c>
      <c r="BC49" s="365"/>
      <c r="BD49" s="366">
        <v>1</v>
      </c>
      <c r="BE49" s="365"/>
      <c r="BF49" s="366">
        <v>1</v>
      </c>
      <c r="BG49" s="365"/>
      <c r="BH49" s="366">
        <v>1</v>
      </c>
      <c r="BI49" s="365"/>
      <c r="BJ49" s="366">
        <v>1</v>
      </c>
      <c r="BK49" s="365"/>
      <c r="BL49" s="365"/>
      <c r="BM49" s="360">
        <v>1</v>
      </c>
      <c r="BN49" s="351" t="e">
        <f>IF('Inhaltliche Bewertung - GI'!RechtsformGI=BD$13,BD49*BM49,IF('Inhaltliche Bewertung - GI'!RechtsformGI=BF$13,BF49*BM49,IF('Inhaltliche Bewertung - GI'!RechtsformGI=BH$13,BH49*BM49,IF('Inhaltliche Bewertung - GI'!RechtsformGI=BJ$13,BJ49*BM49,IF('Inhaltliche Bewertung - GI'!RechtsformGI=BB$13,BB49*BM49,"")))))</f>
        <v>#N/A</v>
      </c>
      <c r="BO49" s="351" t="e">
        <f>IF('Inhaltliche Bewertung - GI'!RechtsformAngebot=BD$13,BD49*BM49,IF('Inhaltliche Bewertung - GI'!RechtsformAngebot=BF$13,BF49*BM49,IF('Inhaltliche Bewertung - GI'!RechtsformAngebot=BH$13,BH49*BM49,IF('Inhaltliche Bewertung - GI'!RechtsformAngebot=BJ$13,BJ49*BM49,IF('Inhaltliche Bewertung - GI'!RechtsformAngebot=BB$13,BB49*BM49,"")))))</f>
        <v>#N/A</v>
      </c>
      <c r="BP49" s="351"/>
      <c r="BQ49" s="361" t="s">
        <v>3322</v>
      </c>
      <c r="BR49" s="367">
        <v>1</v>
      </c>
      <c r="BS49" s="368"/>
      <c r="BT49" s="367">
        <v>1</v>
      </c>
      <c r="BU49" s="368"/>
      <c r="BV49" s="367">
        <v>1</v>
      </c>
      <c r="BW49" s="368"/>
      <c r="BX49" s="367">
        <v>1</v>
      </c>
      <c r="BY49" s="368"/>
      <c r="BZ49" s="367">
        <v>1</v>
      </c>
      <c r="CA49" s="368"/>
      <c r="CB49" s="368"/>
      <c r="CC49" s="360">
        <v>1</v>
      </c>
      <c r="CD49" s="351" t="e">
        <f>IF('Inhaltliche Bewertung - GI'!RechtsformGI=BT$13,BT49*CC49,IF('Inhaltliche Bewertung - GI'!RechtsformGI=BV$13,BV49*CC49,IF('Inhaltliche Bewertung - GI'!RechtsformGI=BX$13,BX49*CC49,IF('Inhaltliche Bewertung - GI'!RechtsformGI=BZ$13,BZ49*CC49,IF('Inhaltliche Bewertung - GI'!RechtsformGI=BR$13,BR49*CC49,"")))))</f>
        <v>#N/A</v>
      </c>
      <c r="CE49" s="351" t="e">
        <f>IF('Inhaltliche Bewertung - GI'!RechtsformAngebot=BT$13,BT49*CC49,IF('Inhaltliche Bewertung - GI'!RechtsformAngebot=BV$13,BV49*CC49,IF('Inhaltliche Bewertung - GI'!RechtsformAngebot=BX$13,BX49*CC49,IF('Inhaltliche Bewertung - GI'!RechtsformAngebot=BZ$13,BZ49*CC49,IF('Inhaltliche Bewertung - GI'!RechtsformAngebot=BR$13,BR49*CC49,"")))))</f>
        <v>#N/A</v>
      </c>
      <c r="CF49" s="351"/>
      <c r="CG49" s="361" t="s">
        <v>3322</v>
      </c>
      <c r="CH49" s="367">
        <v>1</v>
      </c>
      <c r="CI49" s="368"/>
      <c r="CJ49" s="367">
        <v>1</v>
      </c>
      <c r="CK49" s="368"/>
      <c r="CL49" s="367">
        <v>1</v>
      </c>
      <c r="CM49" s="368"/>
      <c r="CN49" s="367">
        <v>1</v>
      </c>
      <c r="CO49" s="368"/>
      <c r="CP49" s="367">
        <v>1</v>
      </c>
      <c r="CQ49" s="368"/>
      <c r="CR49" s="368"/>
      <c r="CS49" s="360">
        <v>1</v>
      </c>
      <c r="CT49" s="351" t="e">
        <f>IF('Inhaltliche Bewertung - GI'!RechtsformGI=CJ$13,CJ49*CS49,IF('Inhaltliche Bewertung - GI'!RechtsformGI=CL$13,CL49*CS49,IF('Inhaltliche Bewertung - GI'!RechtsformGI=CN$13,CN49*CS49,IF('Inhaltliche Bewertung - GI'!RechtsformGI=CP$13,CP49*CS49,IF('Inhaltliche Bewertung - GI'!RechtsformGI=CH$13,CH49*CS49,"")))))</f>
        <v>#N/A</v>
      </c>
      <c r="CU49" s="351" t="e">
        <f>IF('Inhaltliche Bewertung - GI'!RechtsformAngebot=CJ$13,CJ49*CS49,IF('Inhaltliche Bewertung - GI'!RechtsformAngebot=CL$13,CL49*CS49,IF('Inhaltliche Bewertung - GI'!RechtsformAngebot=CN$13,CN49*CS49,IF('Inhaltliche Bewertung - GI'!RechtsformAngebot=CP$13,CP49*CS49,IF('Inhaltliche Bewertung - GI'!RechtsformAngebot=CH$13,CH49*CS49,"")))))</f>
        <v>#N/A</v>
      </c>
      <c r="CV49" s="351"/>
      <c r="CW49" s="361" t="s">
        <v>3322</v>
      </c>
      <c r="CX49" s="367">
        <v>1</v>
      </c>
      <c r="CY49" s="368"/>
      <c r="CZ49" s="367">
        <v>1</v>
      </c>
      <c r="DA49" s="369"/>
      <c r="DB49" s="367">
        <v>1</v>
      </c>
      <c r="DC49" s="368"/>
      <c r="DD49" s="367">
        <v>1</v>
      </c>
      <c r="DE49" s="368"/>
      <c r="DF49" s="367">
        <v>1</v>
      </c>
      <c r="DG49" s="368"/>
      <c r="DH49" s="368"/>
      <c r="DI49" s="360">
        <v>1</v>
      </c>
      <c r="DJ49" s="351" t="e">
        <f>IF('Inhaltliche Bewertung - GI'!RechtsformGI=CZ$13,CZ49*DI49,IF('Inhaltliche Bewertung - GI'!RechtsformGI=DB$13,DB49*DI49,IF('Inhaltliche Bewertung - GI'!RechtsformGI=DD$13,DD49*DI49,IF('Inhaltliche Bewertung - GI'!RechtsformGI=DF$13,DF49*DI49,IF('Inhaltliche Bewertung - GI'!RechtsformGI=CX$13,CX49*DI49,"")))))</f>
        <v>#N/A</v>
      </c>
      <c r="DK49" s="351" t="e">
        <f>IF('Inhaltliche Bewertung - GI'!RechtsformAngebot=CZ$13,CZ49*DI49,IF('Inhaltliche Bewertung - GI'!RechtsformAngebot=DB$13,DB49*DI49,IF('Inhaltliche Bewertung - GI'!RechtsformAngebot=DD$13,DD49*DI49,IF('Inhaltliche Bewertung - GI'!RechtsformAngebot=DF$13,DF49*DI49,IF('Inhaltliche Bewertung - GI'!RechtsformAngebot=CX$13,CX49*DI49,"")))))</f>
        <v>#N/A</v>
      </c>
      <c r="DL49" s="351"/>
      <c r="DM49" s="361" t="s">
        <v>3322</v>
      </c>
      <c r="DN49" s="367">
        <v>1</v>
      </c>
      <c r="DO49" s="368"/>
      <c r="DP49" s="367">
        <v>1</v>
      </c>
      <c r="DQ49" s="368"/>
      <c r="DR49" s="367">
        <v>1</v>
      </c>
      <c r="DS49" s="368"/>
      <c r="DT49" s="367">
        <v>1</v>
      </c>
      <c r="DU49" s="368"/>
      <c r="DV49" s="367">
        <v>1</v>
      </c>
      <c r="DW49" s="368"/>
      <c r="DX49" s="368"/>
      <c r="DY49" s="360">
        <v>1</v>
      </c>
      <c r="DZ49" s="351" t="e">
        <f>IF('Inhaltliche Bewertung - GI'!RechtsformGI=DP$13,DP49*DY49,IF('Inhaltliche Bewertung - GI'!RechtsformGI=DR$13,DR49*DY49,IF('Inhaltliche Bewertung - GI'!RechtsformGI=DT$13,DT49*DY49,IF('Inhaltliche Bewertung - GI'!RechtsformGI=DV$13,DV49*DY49,IF('Inhaltliche Bewertung - GI'!RechtsformGI=DN$13,DN49*DY49,"")))))</f>
        <v>#N/A</v>
      </c>
      <c r="EA49" s="351" t="e">
        <f>IF('Inhaltliche Bewertung - GI'!RechtsformAngebot=DP$13,DP49*DY49,IF('Inhaltliche Bewertung - GI'!RechtsformAngebot=DR$13,DR49*DY49,IF('Inhaltliche Bewertung - GI'!RechtsformAngebot=DT$13,DT49*DY49,IF('Inhaltliche Bewertung - GI'!RechtsformAngebot=DV$13,DV49*DY49,IF('Inhaltliche Bewertung - GI'!RechtsformAngebot=DN$13,DN49*DY49,"")))))</f>
        <v>#N/A</v>
      </c>
      <c r="EB49" s="351"/>
      <c r="EC49" s="157">
        <f t="shared" si="1"/>
        <v>0.8</v>
      </c>
      <c r="ED49" s="157">
        <f t="shared" si="2"/>
        <v>1</v>
      </c>
      <c r="EE49" s="157">
        <f t="shared" si="3"/>
        <v>0.97499999999999998</v>
      </c>
      <c r="EF49" s="157">
        <f t="shared" si="4"/>
        <v>1</v>
      </c>
    </row>
    <row r="50" spans="1:136" ht="14.25" customHeight="1">
      <c r="A50" s="444" t="b">
        <f t="shared" si="0"/>
        <v>1</v>
      </c>
      <c r="B50" s="292"/>
      <c r="C50" s="355" t="s">
        <v>3324</v>
      </c>
      <c r="D50" s="345"/>
      <c r="E50" s="361" t="s">
        <v>3325</v>
      </c>
      <c r="F50" s="362">
        <v>0.4</v>
      </c>
      <c r="G50" s="365"/>
      <c r="H50" s="362">
        <v>0.4</v>
      </c>
      <c r="I50" s="365"/>
      <c r="J50" s="362">
        <v>0.4</v>
      </c>
      <c r="K50" s="365"/>
      <c r="L50" s="362">
        <v>0.4</v>
      </c>
      <c r="M50" s="365"/>
      <c r="N50" s="362">
        <v>0.4</v>
      </c>
      <c r="O50" s="365"/>
      <c r="P50" s="370"/>
      <c r="Q50" s="360">
        <v>1</v>
      </c>
      <c r="R50" s="351" t="e">
        <f>IF('Inhaltliche Bewertung - GI'!RechtsformGI=H$13,H50*Q50,IF('Inhaltliche Bewertung - GI'!RechtsformGI=J$13,J50*Q50,IF('Inhaltliche Bewertung - GI'!RechtsformGI=L$13,L50*Q50,IF('Inhaltliche Bewertung - GI'!RechtsformGI=N$13,N50*Q50,IF('Inhaltliche Bewertung - GI'!RechtsformGI=F$13,F50*Q50,"")))))</f>
        <v>#N/A</v>
      </c>
      <c r="S50" s="351" t="e">
        <f>IF('Inhaltliche Bewertung - GI'!RechtsformAngebot=H$13,H50*Q50,IF('Inhaltliche Bewertung - GI'!RechtsformAngebot=J$13,J50*Q50,IF('Inhaltliche Bewertung - GI'!RechtsformAngebot=L$13,L50*Q50,IF('Inhaltliche Bewertung - GI'!RechtsformAngebot=N$13,N50*Q50,IF('Inhaltliche Bewertung - GI'!RechtsformAngebot=F$13,F50*Q50,"")))))</f>
        <v>#N/A</v>
      </c>
      <c r="T50" s="351"/>
      <c r="U50" s="361" t="s">
        <v>3325</v>
      </c>
      <c r="V50" s="362">
        <v>0.4</v>
      </c>
      <c r="W50" s="365"/>
      <c r="X50" s="362">
        <v>0.4</v>
      </c>
      <c r="Y50" s="365"/>
      <c r="Z50" s="362">
        <v>0.4</v>
      </c>
      <c r="AA50" s="365"/>
      <c r="AB50" s="362">
        <v>0.4</v>
      </c>
      <c r="AC50" s="365"/>
      <c r="AD50" s="362">
        <v>0.4</v>
      </c>
      <c r="AE50" s="365"/>
      <c r="AF50" s="370"/>
      <c r="AG50" s="360">
        <v>1</v>
      </c>
      <c r="AH50" s="351" t="e">
        <f>IF('Inhaltliche Bewertung - GI'!RechtsformGI=X$13,X50*AG50,IF('Inhaltliche Bewertung - GI'!RechtsformGI=Z$13,Z50*AG50,IF('Inhaltliche Bewertung - GI'!RechtsformGI=AB$13,AB50*AG50,IF('Inhaltliche Bewertung - GI'!RechtsformGI=AD$13,AD50*AG50,IF('Inhaltliche Bewertung - GI'!RechtsformGI=V$13,V50*AG50,"")))))</f>
        <v>#N/A</v>
      </c>
      <c r="AI50" s="351" t="e">
        <f>IF('Inhaltliche Bewertung - GI'!RechtsformAngebot=X$13,X50*AG50,IF('Inhaltliche Bewertung - GI'!RechtsformAngebot=Z$13,Z50*AG50,IF('Inhaltliche Bewertung - GI'!RechtsformAngebot=AB$13,AB50*AG50,IF('Inhaltliche Bewertung - GI'!RechtsformAngebot=AD$13,AD50*AG50,IF('Inhaltliche Bewertung - GI'!RechtsformAngebot=V$13,V50*AG50,"")))))</f>
        <v>#N/A</v>
      </c>
      <c r="AJ50" s="351"/>
      <c r="AK50" s="361" t="s">
        <v>3325</v>
      </c>
      <c r="AL50" s="362">
        <v>0.4</v>
      </c>
      <c r="AM50" s="365"/>
      <c r="AN50" s="362">
        <v>0.4</v>
      </c>
      <c r="AO50" s="365"/>
      <c r="AP50" s="362">
        <v>0.4</v>
      </c>
      <c r="AQ50" s="365"/>
      <c r="AR50" s="362">
        <v>0.4</v>
      </c>
      <c r="AS50" s="365"/>
      <c r="AT50" s="362">
        <v>0.4</v>
      </c>
      <c r="AU50" s="365"/>
      <c r="AV50" s="370"/>
      <c r="AW50" s="360">
        <v>1</v>
      </c>
      <c r="AX50" s="351" t="e">
        <f>IF('Inhaltliche Bewertung - GI'!RechtsformGI=AN$13,AN50*AW50,IF('Inhaltliche Bewertung - GI'!RechtsformGI=AP$13,AP50*AW50,IF('Inhaltliche Bewertung - GI'!RechtsformGI=AR$13,AR50*AW50,IF('Inhaltliche Bewertung - GI'!RechtsformGI=AT$13,AT50*AW50,IF('Inhaltliche Bewertung - GI'!RechtsformGI=AL$13,AL50*AW50,"")))))</f>
        <v>#N/A</v>
      </c>
      <c r="AY50" s="351" t="e">
        <f>IF('Inhaltliche Bewertung - GI'!RechtsformAngebot=AN$13,AN50*AW50,IF('Inhaltliche Bewertung - GI'!RechtsformAngebot=AP$13,AP50*AW50,IF('Inhaltliche Bewertung - GI'!RechtsformAngebot=AR$13,AR50*AW50,IF('Inhaltliche Bewertung - GI'!RechtsformAngebot=AT$13,AT50*AW50,IF('Inhaltliche Bewertung - GI'!RechtsformAngebot=AL$13,AL50*AW50,"")))))</f>
        <v>#N/A</v>
      </c>
      <c r="AZ50" s="351"/>
      <c r="BA50" s="361" t="s">
        <v>3325</v>
      </c>
      <c r="BB50" s="362">
        <v>0.4</v>
      </c>
      <c r="BC50" s="365"/>
      <c r="BD50" s="362">
        <v>0.4</v>
      </c>
      <c r="BE50" s="365"/>
      <c r="BF50" s="362">
        <v>0.4</v>
      </c>
      <c r="BG50" s="365"/>
      <c r="BH50" s="362">
        <v>0.4</v>
      </c>
      <c r="BI50" s="365"/>
      <c r="BJ50" s="362">
        <v>0.4</v>
      </c>
      <c r="BK50" s="365"/>
      <c r="BL50" s="370"/>
      <c r="BM50" s="360">
        <v>1</v>
      </c>
      <c r="BN50" s="351" t="e">
        <f>IF('Inhaltliche Bewertung - GI'!RechtsformGI=BD$13,BD50*BM50,IF('Inhaltliche Bewertung - GI'!RechtsformGI=BF$13,BF50*BM50,IF('Inhaltliche Bewertung - GI'!RechtsformGI=BH$13,BH50*BM50,IF('Inhaltliche Bewertung - GI'!RechtsformGI=BJ$13,BJ50*BM50,IF('Inhaltliche Bewertung - GI'!RechtsformGI=BB$13,BB50*BM50,"")))))</f>
        <v>#N/A</v>
      </c>
      <c r="BO50" s="351" t="e">
        <f>IF('Inhaltliche Bewertung - GI'!RechtsformAngebot=BD$13,BD50*BM50,IF('Inhaltliche Bewertung - GI'!RechtsformAngebot=BF$13,BF50*BM50,IF('Inhaltliche Bewertung - GI'!RechtsformAngebot=BH$13,BH50*BM50,IF('Inhaltliche Bewertung - GI'!RechtsformAngebot=BJ$13,BJ50*BM50,IF('Inhaltliche Bewertung - GI'!RechtsformAngebot=BB$13,BB50*BM50,"")))))</f>
        <v>#N/A</v>
      </c>
      <c r="BP50" s="351"/>
      <c r="BQ50" s="361" t="s">
        <v>3325</v>
      </c>
      <c r="BR50" s="362">
        <v>0.4</v>
      </c>
      <c r="BS50" s="365"/>
      <c r="BT50" s="362">
        <v>0.4</v>
      </c>
      <c r="BU50" s="365"/>
      <c r="BV50" s="362">
        <v>0.4</v>
      </c>
      <c r="BW50" s="365"/>
      <c r="BX50" s="362">
        <v>0.4</v>
      </c>
      <c r="BY50" s="365"/>
      <c r="BZ50" s="362">
        <v>0.4</v>
      </c>
      <c r="CA50" s="365"/>
      <c r="CB50" s="370"/>
      <c r="CC50" s="360">
        <v>1</v>
      </c>
      <c r="CD50" s="351" t="e">
        <f>IF('Inhaltliche Bewertung - GI'!RechtsformGI=BT$13,BT50*CC50,IF('Inhaltliche Bewertung - GI'!RechtsformGI=BV$13,BV50*CC50,IF('Inhaltliche Bewertung - GI'!RechtsformGI=BX$13,BX50*CC50,IF('Inhaltliche Bewertung - GI'!RechtsformGI=BZ$13,BZ50*CC50,IF('Inhaltliche Bewertung - GI'!RechtsformGI=BR$13,BR50*CC50,"")))))</f>
        <v>#N/A</v>
      </c>
      <c r="CE50" s="351" t="e">
        <f>IF('Inhaltliche Bewertung - GI'!RechtsformAngebot=BT$13,BT50*CC50,IF('Inhaltliche Bewertung - GI'!RechtsformAngebot=BV$13,BV50*CC50,IF('Inhaltliche Bewertung - GI'!RechtsformAngebot=BX$13,BX50*CC50,IF('Inhaltliche Bewertung - GI'!RechtsformAngebot=BZ$13,BZ50*CC50,IF('Inhaltliche Bewertung - GI'!RechtsformAngebot=BR$13,BR50*CC50,"")))))</f>
        <v>#N/A</v>
      </c>
      <c r="CF50" s="351"/>
      <c r="CG50" s="361" t="s">
        <v>3325</v>
      </c>
      <c r="CH50" s="362">
        <v>0.4</v>
      </c>
      <c r="CI50" s="365"/>
      <c r="CJ50" s="362">
        <v>0.4</v>
      </c>
      <c r="CK50" s="365"/>
      <c r="CL50" s="362">
        <v>0.4</v>
      </c>
      <c r="CM50" s="365"/>
      <c r="CN50" s="362">
        <v>0.4</v>
      </c>
      <c r="CO50" s="365"/>
      <c r="CP50" s="362">
        <v>0.4</v>
      </c>
      <c r="CQ50" s="365"/>
      <c r="CR50" s="370"/>
      <c r="CS50" s="360">
        <v>1</v>
      </c>
      <c r="CT50" s="351" t="e">
        <f>IF('Inhaltliche Bewertung - GI'!RechtsformGI=CJ$13,CJ50*CS50,IF('Inhaltliche Bewertung - GI'!RechtsformGI=CL$13,CL50*CS50,IF('Inhaltliche Bewertung - GI'!RechtsformGI=CN$13,CN50*CS50,IF('Inhaltliche Bewertung - GI'!RechtsformGI=CP$13,CP50*CS50,IF('Inhaltliche Bewertung - GI'!RechtsformGI=CH$13,CH50*CS50,"")))))</f>
        <v>#N/A</v>
      </c>
      <c r="CU50" s="351" t="e">
        <f>IF('Inhaltliche Bewertung - GI'!RechtsformAngebot=CJ$13,CJ50*CS50,IF('Inhaltliche Bewertung - GI'!RechtsformAngebot=CL$13,CL50*CS50,IF('Inhaltliche Bewertung - GI'!RechtsformAngebot=CN$13,CN50*CS50,IF('Inhaltliche Bewertung - GI'!RechtsformAngebot=CP$13,CP50*CS50,IF('Inhaltliche Bewertung - GI'!RechtsformAngebot=CH$13,CH50*CS50,"")))))</f>
        <v>#N/A</v>
      </c>
      <c r="CV50" s="351"/>
      <c r="CW50" s="361" t="s">
        <v>3325</v>
      </c>
      <c r="CX50" s="362">
        <v>0.4</v>
      </c>
      <c r="CY50" s="365"/>
      <c r="CZ50" s="362">
        <v>0.4</v>
      </c>
      <c r="DA50" s="365"/>
      <c r="DB50" s="362">
        <v>0.4</v>
      </c>
      <c r="DC50" s="365"/>
      <c r="DD50" s="362">
        <v>0.4</v>
      </c>
      <c r="DE50" s="365"/>
      <c r="DF50" s="362">
        <v>0.4</v>
      </c>
      <c r="DG50" s="365"/>
      <c r="DH50" s="370"/>
      <c r="DI50" s="360">
        <v>1</v>
      </c>
      <c r="DJ50" s="351" t="e">
        <f>IF('Inhaltliche Bewertung - GI'!RechtsformGI=CZ$13,CZ50*DI50,IF('Inhaltliche Bewertung - GI'!RechtsformGI=DB$13,DB50*DI50,IF('Inhaltliche Bewertung - GI'!RechtsformGI=DD$13,DD50*DI50,IF('Inhaltliche Bewertung - GI'!RechtsformGI=DF$13,DF50*DI50,IF('Inhaltliche Bewertung - GI'!RechtsformGI=CX$13,CX50*DI50,"")))))</f>
        <v>#N/A</v>
      </c>
      <c r="DK50" s="351" t="e">
        <f>IF('Inhaltliche Bewertung - GI'!RechtsformAngebot=CZ$13,CZ50*DI50,IF('Inhaltliche Bewertung - GI'!RechtsformAngebot=DB$13,DB50*DI50,IF('Inhaltliche Bewertung - GI'!RechtsformAngebot=DD$13,DD50*DI50,IF('Inhaltliche Bewertung - GI'!RechtsformAngebot=DF$13,DF50*DI50,IF('Inhaltliche Bewertung - GI'!RechtsformAngebot=CX$13,CX50*DI50,"")))))</f>
        <v>#N/A</v>
      </c>
      <c r="DL50" s="351"/>
      <c r="DM50" s="361" t="s">
        <v>3325</v>
      </c>
      <c r="DN50" s="362">
        <v>0.4</v>
      </c>
      <c r="DO50" s="365"/>
      <c r="DP50" s="362">
        <v>0.4</v>
      </c>
      <c r="DQ50" s="365"/>
      <c r="DR50" s="362">
        <v>0.4</v>
      </c>
      <c r="DS50" s="365"/>
      <c r="DT50" s="362">
        <v>0.4</v>
      </c>
      <c r="DU50" s="365"/>
      <c r="DV50" s="362">
        <v>0.4</v>
      </c>
      <c r="DW50" s="365"/>
      <c r="DX50" s="370"/>
      <c r="DY50" s="360">
        <v>1</v>
      </c>
      <c r="DZ50" s="351" t="e">
        <f>IF('Inhaltliche Bewertung - GI'!RechtsformGI=DP$13,DP50*DY50,IF('Inhaltliche Bewertung - GI'!RechtsformGI=DR$13,DR50*DY50,IF('Inhaltliche Bewertung - GI'!RechtsformGI=DT$13,DT50*DY50,IF('Inhaltliche Bewertung - GI'!RechtsformGI=DV$13,DV50*DY50,IF('Inhaltliche Bewertung - GI'!RechtsformGI=DN$13,DN50*DY50,"")))))</f>
        <v>#N/A</v>
      </c>
      <c r="EA50" s="351" t="e">
        <f>IF('Inhaltliche Bewertung - GI'!RechtsformAngebot=DP$13,DP50*DY50,IF('Inhaltliche Bewertung - GI'!RechtsformAngebot=DR$13,DR50*DY50,IF('Inhaltliche Bewertung - GI'!RechtsformAngebot=DT$13,DT50*DY50,IF('Inhaltliche Bewertung - GI'!RechtsformAngebot=DV$13,DV50*DY50,IF('Inhaltliche Bewertung - GI'!RechtsformAngebot=DN$13,DN50*DY50,"")))))</f>
        <v>#N/A</v>
      </c>
      <c r="EB50" s="351"/>
      <c r="EC50" s="157">
        <f t="shared" si="1"/>
        <v>0.4</v>
      </c>
      <c r="ED50" s="157">
        <f t="shared" si="2"/>
        <v>0.4</v>
      </c>
      <c r="EE50" s="157">
        <f t="shared" si="3"/>
        <v>0.40000000000000019</v>
      </c>
      <c r="EF50" s="157">
        <f t="shared" si="4"/>
        <v>0.4</v>
      </c>
    </row>
    <row r="51" spans="1:136" ht="14.25" customHeight="1">
      <c r="A51" s="444" t="b">
        <f t="shared" si="0"/>
        <v>0</v>
      </c>
      <c r="B51" s="292"/>
      <c r="C51" s="355" t="s">
        <v>3326</v>
      </c>
      <c r="D51" s="345"/>
      <c r="E51" s="361" t="s">
        <v>3325</v>
      </c>
      <c r="F51" s="362">
        <v>0.4</v>
      </c>
      <c r="G51" s="365"/>
      <c r="H51" s="362">
        <v>0.4</v>
      </c>
      <c r="I51" s="365"/>
      <c r="J51" s="362">
        <v>0.4</v>
      </c>
      <c r="K51" s="365"/>
      <c r="L51" s="362">
        <v>0.4</v>
      </c>
      <c r="M51" s="365"/>
      <c r="N51" s="362">
        <v>0.4</v>
      </c>
      <c r="O51" s="365"/>
      <c r="P51" s="370"/>
      <c r="Q51" s="360">
        <v>1</v>
      </c>
      <c r="R51" s="351" t="e">
        <f>IF('Inhaltliche Bewertung - GI'!RechtsformGI=H$13,H51*Q51,IF('Inhaltliche Bewertung - GI'!RechtsformGI=J$13,J51*Q51,IF('Inhaltliche Bewertung - GI'!RechtsformGI=L$13,L51*Q51,IF('Inhaltliche Bewertung - GI'!RechtsformGI=N$13,N51*Q51,IF('Inhaltliche Bewertung - GI'!RechtsformGI=F$13,F51*Q51,"")))))</f>
        <v>#N/A</v>
      </c>
      <c r="S51" s="351" t="e">
        <f>IF('Inhaltliche Bewertung - GI'!RechtsformAngebot=H$13,H51*Q51,IF('Inhaltliche Bewertung - GI'!RechtsformAngebot=J$13,J51*Q51,IF('Inhaltliche Bewertung - GI'!RechtsformAngebot=L$13,L51*Q51,IF('Inhaltliche Bewertung - GI'!RechtsformAngebot=N$13,N51*Q51,IF('Inhaltliche Bewertung - GI'!RechtsformAngebot=F$13,F51*Q51,"")))))</f>
        <v>#N/A</v>
      </c>
      <c r="T51" s="351"/>
      <c r="U51" s="361" t="s">
        <v>3325</v>
      </c>
      <c r="V51" s="362">
        <v>0.4</v>
      </c>
      <c r="W51" s="365"/>
      <c r="X51" s="362">
        <v>0.4</v>
      </c>
      <c r="Y51" s="365"/>
      <c r="Z51" s="362">
        <v>0.4</v>
      </c>
      <c r="AA51" s="365"/>
      <c r="AB51" s="362">
        <v>0.4</v>
      </c>
      <c r="AC51" s="365"/>
      <c r="AD51" s="362">
        <v>0.04</v>
      </c>
      <c r="AE51" s="365"/>
      <c r="AF51" s="370"/>
      <c r="AG51" s="360">
        <v>1</v>
      </c>
      <c r="AH51" s="351" t="e">
        <f>IF('Inhaltliche Bewertung - GI'!RechtsformGI=X$13,X51*AG51,IF('Inhaltliche Bewertung - GI'!RechtsformGI=Z$13,Z51*AG51,IF('Inhaltliche Bewertung - GI'!RechtsformGI=AB$13,AB51*AG51,IF('Inhaltliche Bewertung - GI'!RechtsformGI=AD$13,AD51*AG51,IF('Inhaltliche Bewertung - GI'!RechtsformGI=V$13,V51*AG51,"")))))</f>
        <v>#N/A</v>
      </c>
      <c r="AI51" s="351" t="e">
        <f>IF('Inhaltliche Bewertung - GI'!RechtsformAngebot=X$13,X51*AG51,IF('Inhaltliche Bewertung - GI'!RechtsformAngebot=Z$13,Z51*AG51,IF('Inhaltliche Bewertung - GI'!RechtsformAngebot=AB$13,AB51*AG51,IF('Inhaltliche Bewertung - GI'!RechtsformAngebot=AD$13,AD51*AG51,IF('Inhaltliche Bewertung - GI'!RechtsformAngebot=V$13,V51*AG51,"")))))</f>
        <v>#N/A</v>
      </c>
      <c r="AJ51" s="351"/>
      <c r="AK51" s="361" t="s">
        <v>3325</v>
      </c>
      <c r="AL51" s="362">
        <v>0.4</v>
      </c>
      <c r="AM51" s="365"/>
      <c r="AN51" s="362">
        <v>0.4</v>
      </c>
      <c r="AO51" s="365"/>
      <c r="AP51" s="362">
        <v>0.4</v>
      </c>
      <c r="AQ51" s="365"/>
      <c r="AR51" s="362">
        <v>0.4</v>
      </c>
      <c r="AS51" s="365"/>
      <c r="AT51" s="362">
        <v>0.4</v>
      </c>
      <c r="AU51" s="365"/>
      <c r="AV51" s="370"/>
      <c r="AW51" s="360">
        <v>1</v>
      </c>
      <c r="AX51" s="351" t="e">
        <f>IF('Inhaltliche Bewertung - GI'!RechtsformGI=AN$13,AN51*AW51,IF('Inhaltliche Bewertung - GI'!RechtsformGI=AP$13,AP51*AW51,IF('Inhaltliche Bewertung - GI'!RechtsformGI=AR$13,AR51*AW51,IF('Inhaltliche Bewertung - GI'!RechtsformGI=AT$13,AT51*AW51,IF('Inhaltliche Bewertung - GI'!RechtsformGI=AL$13,AL51*AW51,"")))))</f>
        <v>#N/A</v>
      </c>
      <c r="AY51" s="351" t="e">
        <f>IF('Inhaltliche Bewertung - GI'!RechtsformAngebot=AN$13,AN51*AW51,IF('Inhaltliche Bewertung - GI'!RechtsformAngebot=AP$13,AP51*AW51,IF('Inhaltliche Bewertung - GI'!RechtsformAngebot=AR$13,AR51*AW51,IF('Inhaltliche Bewertung - GI'!RechtsformAngebot=AT$13,AT51*AW51,IF('Inhaltliche Bewertung - GI'!RechtsformAngebot=AL$13,AL51*AW51,"")))))</f>
        <v>#N/A</v>
      </c>
      <c r="AZ51" s="351"/>
      <c r="BA51" s="356" t="s">
        <v>3234</v>
      </c>
      <c r="BB51" s="381">
        <v>0</v>
      </c>
      <c r="BC51" s="358"/>
      <c r="BD51" s="381">
        <v>0</v>
      </c>
      <c r="BE51" s="358"/>
      <c r="BF51" s="381">
        <v>0</v>
      </c>
      <c r="BG51" s="358"/>
      <c r="BH51" s="381">
        <v>0</v>
      </c>
      <c r="BI51" s="358"/>
      <c r="BJ51" s="381">
        <v>0</v>
      </c>
      <c r="BK51" s="358"/>
      <c r="BL51" s="358"/>
      <c r="BM51" s="360">
        <v>1</v>
      </c>
      <c r="BN51" s="351" t="e">
        <f>IF('Inhaltliche Bewertung - GI'!RechtsformGI=BD$13,BD51*BM51,IF('Inhaltliche Bewertung - GI'!RechtsformGI=BF$13,BF51*BM51,IF('Inhaltliche Bewertung - GI'!RechtsformGI=BH$13,BH51*BM51,IF('Inhaltliche Bewertung - GI'!RechtsformGI=BJ$13,BJ51*BM51,IF('Inhaltliche Bewertung - GI'!RechtsformGI=BB$13,BB51*BM51,"")))))</f>
        <v>#N/A</v>
      </c>
      <c r="BO51" s="351" t="e">
        <f>IF('Inhaltliche Bewertung - GI'!RechtsformAngebot=BD$13,BD51*BM51,IF('Inhaltliche Bewertung - GI'!RechtsformAngebot=BF$13,BF51*BM51,IF('Inhaltliche Bewertung - GI'!RechtsformAngebot=BH$13,BH51*BM51,IF('Inhaltliche Bewertung - GI'!RechtsformAngebot=BJ$13,BJ51*BM51,IF('Inhaltliche Bewertung - GI'!RechtsformAngebot=BB$13,BB51*BM51,"")))))</f>
        <v>#N/A</v>
      </c>
      <c r="BP51" s="351"/>
      <c r="BQ51" s="356" t="s">
        <v>3234</v>
      </c>
      <c r="BR51" s="376">
        <v>0</v>
      </c>
      <c r="BS51" s="382"/>
      <c r="BT51" s="376">
        <v>0</v>
      </c>
      <c r="BU51" s="382"/>
      <c r="BV51" s="376">
        <v>0</v>
      </c>
      <c r="BW51" s="382"/>
      <c r="BX51" s="376">
        <v>0</v>
      </c>
      <c r="BY51" s="382"/>
      <c r="BZ51" s="376">
        <v>0</v>
      </c>
      <c r="CA51" s="382"/>
      <c r="CB51" s="382"/>
      <c r="CC51" s="360">
        <v>1</v>
      </c>
      <c r="CD51" s="351" t="e">
        <f>IF('Inhaltliche Bewertung - GI'!RechtsformGI=BT$13,BT51*CC51,IF('Inhaltliche Bewertung - GI'!RechtsformGI=BV$13,BV51*CC51,IF('Inhaltliche Bewertung - GI'!RechtsformGI=BX$13,BX51*CC51,IF('Inhaltliche Bewertung - GI'!RechtsformGI=BZ$13,BZ51*CC51,IF('Inhaltliche Bewertung - GI'!RechtsformGI=BR$13,BR51*CC51,"")))))</f>
        <v>#N/A</v>
      </c>
      <c r="CE51" s="351" t="e">
        <f>IF('Inhaltliche Bewertung - GI'!RechtsformAngebot=BT$13,BT51*CC51,IF('Inhaltliche Bewertung - GI'!RechtsformAngebot=BV$13,BV51*CC51,IF('Inhaltliche Bewertung - GI'!RechtsformAngebot=BX$13,BX51*CC51,IF('Inhaltliche Bewertung - GI'!RechtsformAngebot=BZ$13,BZ51*CC51,IF('Inhaltliche Bewertung - GI'!RechtsformAngebot=BR$13,BR51*CC51,"")))))</f>
        <v>#N/A</v>
      </c>
      <c r="CF51" s="351"/>
      <c r="CG51" s="361" t="s">
        <v>3325</v>
      </c>
      <c r="CH51" s="362">
        <v>0.4</v>
      </c>
      <c r="CI51" s="365"/>
      <c r="CJ51" s="362">
        <v>0.4</v>
      </c>
      <c r="CK51" s="365"/>
      <c r="CL51" s="362">
        <v>0.4</v>
      </c>
      <c r="CM51" s="365"/>
      <c r="CN51" s="362">
        <v>0.4</v>
      </c>
      <c r="CO51" s="365"/>
      <c r="CP51" s="362">
        <v>0.4</v>
      </c>
      <c r="CQ51" s="365"/>
      <c r="CR51" s="370"/>
      <c r="CS51" s="360">
        <v>1</v>
      </c>
      <c r="CT51" s="351" t="e">
        <f>IF('Inhaltliche Bewertung - GI'!RechtsformGI=CJ$13,CJ51*CS51,IF('Inhaltliche Bewertung - GI'!RechtsformGI=CL$13,CL51*CS51,IF('Inhaltliche Bewertung - GI'!RechtsformGI=CN$13,CN51*CS51,IF('Inhaltliche Bewertung - GI'!RechtsformGI=CP$13,CP51*CS51,IF('Inhaltliche Bewertung - GI'!RechtsformGI=CH$13,CH51*CS51,"")))))</f>
        <v>#N/A</v>
      </c>
      <c r="CU51" s="351" t="e">
        <f>IF('Inhaltliche Bewertung - GI'!RechtsformAngebot=CJ$13,CJ51*CS51,IF('Inhaltliche Bewertung - GI'!RechtsformAngebot=CL$13,CL51*CS51,IF('Inhaltliche Bewertung - GI'!RechtsformAngebot=CN$13,CN51*CS51,IF('Inhaltliche Bewertung - GI'!RechtsformAngebot=CP$13,CP51*CS51,IF('Inhaltliche Bewertung - GI'!RechtsformAngebot=CH$13,CH51*CS51,"")))))</f>
        <v>#N/A</v>
      </c>
      <c r="CV51" s="351"/>
      <c r="CW51" s="361" t="s">
        <v>3325</v>
      </c>
      <c r="CX51" s="362">
        <v>0.4</v>
      </c>
      <c r="CY51" s="365"/>
      <c r="CZ51" s="362">
        <v>0.4</v>
      </c>
      <c r="DA51" s="365"/>
      <c r="DB51" s="362">
        <v>0.4</v>
      </c>
      <c r="DC51" s="365"/>
      <c r="DD51" s="362">
        <v>0.4</v>
      </c>
      <c r="DE51" s="365"/>
      <c r="DF51" s="362">
        <v>0.04</v>
      </c>
      <c r="DG51" s="365"/>
      <c r="DH51" s="370"/>
      <c r="DI51" s="360">
        <v>1</v>
      </c>
      <c r="DJ51" s="351" t="e">
        <f>IF('Inhaltliche Bewertung - GI'!RechtsformGI=CZ$13,CZ51*DI51,IF('Inhaltliche Bewertung - GI'!RechtsformGI=DB$13,DB51*DI51,IF('Inhaltliche Bewertung - GI'!RechtsformGI=DD$13,DD51*DI51,IF('Inhaltliche Bewertung - GI'!RechtsformGI=DF$13,DF51*DI51,IF('Inhaltliche Bewertung - GI'!RechtsformGI=CX$13,CX51*DI51,"")))))</f>
        <v>#N/A</v>
      </c>
      <c r="DK51" s="351" t="e">
        <f>IF('Inhaltliche Bewertung - GI'!RechtsformAngebot=CZ$13,CZ51*DI51,IF('Inhaltliche Bewertung - GI'!RechtsformAngebot=DB$13,DB51*DI51,IF('Inhaltliche Bewertung - GI'!RechtsformAngebot=DD$13,DD51*DI51,IF('Inhaltliche Bewertung - GI'!RechtsformAngebot=DF$13,DF51*DI51,IF('Inhaltliche Bewertung - GI'!RechtsformAngebot=CX$13,CX51*DI51,"")))))</f>
        <v>#N/A</v>
      </c>
      <c r="DL51" s="351"/>
      <c r="DM51" s="361" t="s">
        <v>3325</v>
      </c>
      <c r="DN51" s="362">
        <v>0.4</v>
      </c>
      <c r="DO51" s="365"/>
      <c r="DP51" s="362">
        <v>0.4</v>
      </c>
      <c r="DQ51" s="365"/>
      <c r="DR51" s="362">
        <v>0.4</v>
      </c>
      <c r="DS51" s="365"/>
      <c r="DT51" s="362">
        <v>0.4</v>
      </c>
      <c r="DU51" s="365"/>
      <c r="DV51" s="362">
        <v>0.04</v>
      </c>
      <c r="DW51" s="365"/>
      <c r="DX51" s="370"/>
      <c r="DY51" s="360">
        <v>1</v>
      </c>
      <c r="DZ51" s="351" t="e">
        <f>IF('Inhaltliche Bewertung - GI'!RechtsformGI=DP$13,DP51*DY51,IF('Inhaltliche Bewertung - GI'!RechtsformGI=DR$13,DR51*DY51,IF('Inhaltliche Bewertung - GI'!RechtsformGI=DT$13,DT51*DY51,IF('Inhaltliche Bewertung - GI'!RechtsformGI=DV$13,DV51*DY51,IF('Inhaltliche Bewertung - GI'!RechtsformGI=DN$13,DN51*DY51,"")))))</f>
        <v>#N/A</v>
      </c>
      <c r="EA51" s="351" t="e">
        <f>IF('Inhaltliche Bewertung - GI'!RechtsformAngebot=DP$13,DP51*DY51,IF('Inhaltliche Bewertung - GI'!RechtsformAngebot=DR$13,DR51*DY51,IF('Inhaltliche Bewertung - GI'!RechtsformAngebot=DT$13,DT51*DY51,IF('Inhaltliche Bewertung - GI'!RechtsformAngebot=DV$13,DV51*DY51,IF('Inhaltliche Bewertung - GI'!RechtsformAngebot=DN$13,DN51*DY51,"")))))</f>
        <v>#N/A</v>
      </c>
      <c r="EB51" s="351"/>
      <c r="EC51" s="157">
        <f t="shared" si="1"/>
        <v>0</v>
      </c>
      <c r="ED51" s="157">
        <f t="shared" si="2"/>
        <v>0.4</v>
      </c>
      <c r="EE51" s="157">
        <f t="shared" si="3"/>
        <v>0.27300000000000008</v>
      </c>
      <c r="EF51" s="157">
        <f t="shared" si="4"/>
        <v>0.4</v>
      </c>
    </row>
    <row r="52" spans="1:136" ht="14.25" customHeight="1">
      <c r="A52" s="444" t="b">
        <f t="shared" si="0"/>
        <v>1</v>
      </c>
      <c r="B52" s="292"/>
      <c r="C52" s="355" t="s">
        <v>3327</v>
      </c>
      <c r="D52" s="345"/>
      <c r="E52" s="383" t="s">
        <v>3328</v>
      </c>
      <c r="F52" s="362">
        <v>0.4</v>
      </c>
      <c r="G52" s="365"/>
      <c r="H52" s="362">
        <v>0.4</v>
      </c>
      <c r="I52" s="365"/>
      <c r="J52" s="362">
        <v>0.4</v>
      </c>
      <c r="K52" s="365"/>
      <c r="L52" s="362">
        <v>0.4</v>
      </c>
      <c r="M52" s="365"/>
      <c r="N52" s="362">
        <v>0.4</v>
      </c>
      <c r="O52" s="365"/>
      <c r="P52" s="370"/>
      <c r="Q52" s="360">
        <v>1</v>
      </c>
      <c r="R52" s="351" t="e">
        <f>IF('Inhaltliche Bewertung - GI'!RechtsformGI=H$13,H52*Q52,IF('Inhaltliche Bewertung - GI'!RechtsformGI=J$13,J52*Q52,IF('Inhaltliche Bewertung - GI'!RechtsformGI=L$13,L52*Q52,IF('Inhaltliche Bewertung - GI'!RechtsformGI=N$13,N52*Q52,IF('Inhaltliche Bewertung - GI'!RechtsformGI=F$13,F52*Q52,"")))))</f>
        <v>#N/A</v>
      </c>
      <c r="S52" s="351" t="e">
        <f>IF('Inhaltliche Bewertung - GI'!RechtsformAngebot=H$13,H52*Q52,IF('Inhaltliche Bewertung - GI'!RechtsformAngebot=J$13,J52*Q52,IF('Inhaltliche Bewertung - GI'!RechtsformAngebot=L$13,L52*Q52,IF('Inhaltliche Bewertung - GI'!RechtsformAngebot=N$13,N52*Q52,IF('Inhaltliche Bewertung - GI'!RechtsformAngebot=F$13,F52*Q52,"")))))</f>
        <v>#N/A</v>
      </c>
      <c r="T52" s="351"/>
      <c r="U52" s="383" t="s">
        <v>3329</v>
      </c>
      <c r="V52" s="362">
        <v>0.4</v>
      </c>
      <c r="W52" s="363"/>
      <c r="X52" s="364">
        <v>0.4</v>
      </c>
      <c r="Y52" s="363"/>
      <c r="Z52" s="364">
        <v>0.4</v>
      </c>
      <c r="AA52" s="363"/>
      <c r="AB52" s="364">
        <v>0.4</v>
      </c>
      <c r="AC52" s="363"/>
      <c r="AD52" s="364">
        <v>0.4</v>
      </c>
      <c r="AE52" s="363"/>
      <c r="AF52" s="363"/>
      <c r="AG52" s="360">
        <v>1</v>
      </c>
      <c r="AH52" s="351" t="e">
        <f>IF('Inhaltliche Bewertung - GI'!RechtsformGI=X$13,X52*AG52,IF('Inhaltliche Bewertung - GI'!RechtsformGI=Z$13,Z52*AG52,IF('Inhaltliche Bewertung - GI'!RechtsformGI=AB$13,AB52*AG52,IF('Inhaltliche Bewertung - GI'!RechtsformGI=AD$13,AD52*AG52,IF('Inhaltliche Bewertung - GI'!RechtsformGI=V$13,V52*AG52,"")))))</f>
        <v>#N/A</v>
      </c>
      <c r="AI52" s="351" t="e">
        <f>IF('Inhaltliche Bewertung - GI'!RechtsformAngebot=X$13,X52*AG52,IF('Inhaltliche Bewertung - GI'!RechtsformAngebot=Z$13,Z52*AG52,IF('Inhaltliche Bewertung - GI'!RechtsformAngebot=AB$13,AB52*AG52,IF('Inhaltliche Bewertung - GI'!RechtsformAngebot=AD$13,AD52*AG52,IF('Inhaltliche Bewertung - GI'!RechtsformAngebot=V$13,V52*AG52,"")))))</f>
        <v>#N/A</v>
      </c>
      <c r="AJ52" s="351"/>
      <c r="AK52" s="383" t="s">
        <v>3329</v>
      </c>
      <c r="AL52" s="362">
        <v>0.4</v>
      </c>
      <c r="AM52" s="365"/>
      <c r="AN52" s="362">
        <v>0.4</v>
      </c>
      <c r="AO52" s="365"/>
      <c r="AP52" s="362">
        <v>0.4</v>
      </c>
      <c r="AQ52" s="365"/>
      <c r="AR52" s="362">
        <v>0.4</v>
      </c>
      <c r="AS52" s="365"/>
      <c r="AT52" s="362">
        <v>0.4</v>
      </c>
      <c r="AU52" s="365"/>
      <c r="AV52" s="365"/>
      <c r="AW52" s="360">
        <v>1</v>
      </c>
      <c r="AX52" s="351" t="e">
        <f>IF('Inhaltliche Bewertung - GI'!RechtsformGI=AN$13,AN52*AW52,IF('Inhaltliche Bewertung - GI'!RechtsformGI=AP$13,AP52*AW52,IF('Inhaltliche Bewertung - GI'!RechtsformGI=AR$13,AR52*AW52,IF('Inhaltliche Bewertung - GI'!RechtsformGI=AT$13,AT52*AW52,IF('Inhaltliche Bewertung - GI'!RechtsformGI=AL$13,AL52*AW52,"")))))</f>
        <v>#N/A</v>
      </c>
      <c r="AY52" s="351" t="e">
        <f>IF('Inhaltliche Bewertung - GI'!RechtsformAngebot=AN$13,AN52*AW52,IF('Inhaltliche Bewertung - GI'!RechtsformAngebot=AP$13,AP52*AW52,IF('Inhaltliche Bewertung - GI'!RechtsformAngebot=AR$13,AR52*AW52,IF('Inhaltliche Bewertung - GI'!RechtsformAngebot=AT$13,AT52*AW52,IF('Inhaltliche Bewertung - GI'!RechtsformAngebot=AL$13,AL52*AW52,"")))))</f>
        <v>#N/A</v>
      </c>
      <c r="AZ52" s="351"/>
      <c r="BA52" s="383" t="s">
        <v>3330</v>
      </c>
      <c r="BB52" s="366">
        <v>0.4</v>
      </c>
      <c r="BC52" s="365"/>
      <c r="BD52" s="366">
        <v>0.4</v>
      </c>
      <c r="BE52" s="365"/>
      <c r="BF52" s="366">
        <v>0.4</v>
      </c>
      <c r="BG52" s="365"/>
      <c r="BH52" s="366">
        <v>0.4</v>
      </c>
      <c r="BI52" s="365"/>
      <c r="BJ52" s="366">
        <v>0.4</v>
      </c>
      <c r="BK52" s="365"/>
      <c r="BL52" s="365"/>
      <c r="BM52" s="360">
        <v>1</v>
      </c>
      <c r="BN52" s="351" t="e">
        <f>IF('Inhaltliche Bewertung - GI'!RechtsformGI=BD$13,BD52*BM52,IF('Inhaltliche Bewertung - GI'!RechtsformGI=BF$13,BF52*BM52,IF('Inhaltliche Bewertung - GI'!RechtsformGI=BH$13,BH52*BM52,IF('Inhaltliche Bewertung - GI'!RechtsformGI=BJ$13,BJ52*BM52,IF('Inhaltliche Bewertung - GI'!RechtsformGI=BB$13,BB52*BM52,"")))))</f>
        <v>#N/A</v>
      </c>
      <c r="BO52" s="351" t="e">
        <f>IF('Inhaltliche Bewertung - GI'!RechtsformAngebot=BD$13,BD52*BM52,IF('Inhaltliche Bewertung - GI'!RechtsformAngebot=BF$13,BF52*BM52,IF('Inhaltliche Bewertung - GI'!RechtsformAngebot=BH$13,BH52*BM52,IF('Inhaltliche Bewertung - GI'!RechtsformAngebot=BJ$13,BJ52*BM52,IF('Inhaltliche Bewertung - GI'!RechtsformAngebot=BB$13,BB52*BM52,"")))))</f>
        <v>#N/A</v>
      </c>
      <c r="BP52" s="351"/>
      <c r="BQ52" s="383" t="s">
        <v>3329</v>
      </c>
      <c r="BR52" s="367">
        <v>0.4</v>
      </c>
      <c r="BS52" s="368"/>
      <c r="BT52" s="367">
        <v>0.4</v>
      </c>
      <c r="BU52" s="368"/>
      <c r="BV52" s="367">
        <v>0.4</v>
      </c>
      <c r="BW52" s="368"/>
      <c r="BX52" s="367">
        <v>0.4</v>
      </c>
      <c r="BY52" s="368"/>
      <c r="BZ52" s="367">
        <v>0.4</v>
      </c>
      <c r="CA52" s="368"/>
      <c r="CB52" s="368"/>
      <c r="CC52" s="360">
        <v>1</v>
      </c>
      <c r="CD52" s="351" t="e">
        <f>IF('Inhaltliche Bewertung - GI'!RechtsformGI=BT$13,BT52*CC52,IF('Inhaltliche Bewertung - GI'!RechtsformGI=BV$13,BV52*CC52,IF('Inhaltliche Bewertung - GI'!RechtsformGI=BX$13,BX52*CC52,IF('Inhaltliche Bewertung - GI'!RechtsformGI=BZ$13,BZ52*CC52,IF('Inhaltliche Bewertung - GI'!RechtsformGI=BR$13,BR52*CC52,"")))))</f>
        <v>#N/A</v>
      </c>
      <c r="CE52" s="351" t="e">
        <f>IF('Inhaltliche Bewertung - GI'!RechtsformAngebot=BT$13,BT52*CC52,IF('Inhaltliche Bewertung - GI'!RechtsformAngebot=BV$13,BV52*CC52,IF('Inhaltliche Bewertung - GI'!RechtsformAngebot=BX$13,BX52*CC52,IF('Inhaltliche Bewertung - GI'!RechtsformAngebot=BZ$13,BZ52*CC52,IF('Inhaltliche Bewertung - GI'!RechtsformAngebot=BR$13,BR52*CC52,"")))))</f>
        <v>#N/A</v>
      </c>
      <c r="CF52" s="351"/>
      <c r="CG52" s="383" t="s">
        <v>3330</v>
      </c>
      <c r="CH52" s="367">
        <v>0.4</v>
      </c>
      <c r="CI52" s="368"/>
      <c r="CJ52" s="367">
        <v>0.4</v>
      </c>
      <c r="CK52" s="368"/>
      <c r="CL52" s="367">
        <v>0.4</v>
      </c>
      <c r="CM52" s="368"/>
      <c r="CN52" s="367">
        <v>0.4</v>
      </c>
      <c r="CO52" s="368"/>
      <c r="CP52" s="367">
        <v>0.4</v>
      </c>
      <c r="CQ52" s="368"/>
      <c r="CR52" s="368"/>
      <c r="CS52" s="360">
        <v>1</v>
      </c>
      <c r="CT52" s="351" t="e">
        <f>IF('Inhaltliche Bewertung - GI'!RechtsformGI=CJ$13,CJ52*CS52,IF('Inhaltliche Bewertung - GI'!RechtsformGI=CL$13,CL52*CS52,IF('Inhaltliche Bewertung - GI'!RechtsformGI=CN$13,CN52*CS52,IF('Inhaltliche Bewertung - GI'!RechtsformGI=CP$13,CP52*CS52,IF('Inhaltliche Bewertung - GI'!RechtsformGI=CH$13,CH52*CS52,"")))))</f>
        <v>#N/A</v>
      </c>
      <c r="CU52" s="351" t="e">
        <f>IF('Inhaltliche Bewertung - GI'!RechtsformAngebot=CJ$13,CJ52*CS52,IF('Inhaltliche Bewertung - GI'!RechtsformAngebot=CL$13,CL52*CS52,IF('Inhaltliche Bewertung - GI'!RechtsformAngebot=CN$13,CN52*CS52,IF('Inhaltliche Bewertung - GI'!RechtsformAngebot=CP$13,CP52*CS52,IF('Inhaltliche Bewertung - GI'!RechtsformAngebot=CH$13,CH52*CS52,"")))))</f>
        <v>#N/A</v>
      </c>
      <c r="CV52" s="351"/>
      <c r="CW52" s="383" t="s">
        <v>3329</v>
      </c>
      <c r="CX52" s="367">
        <v>0.4</v>
      </c>
      <c r="CY52" s="368"/>
      <c r="CZ52" s="367">
        <v>0.4</v>
      </c>
      <c r="DA52" s="368"/>
      <c r="DB52" s="367">
        <v>0.4</v>
      </c>
      <c r="DC52" s="368"/>
      <c r="DD52" s="367">
        <v>0.4</v>
      </c>
      <c r="DE52" s="368"/>
      <c r="DF52" s="367">
        <v>0.4</v>
      </c>
      <c r="DG52" s="368"/>
      <c r="DH52" s="368"/>
      <c r="DI52" s="360">
        <v>1</v>
      </c>
      <c r="DJ52" s="351" t="e">
        <f>IF('Inhaltliche Bewertung - GI'!RechtsformGI=CZ$13,CZ52*DI52,IF('Inhaltliche Bewertung - GI'!RechtsformGI=DB$13,DB52*DI52,IF('Inhaltliche Bewertung - GI'!RechtsformGI=DD$13,DD52*DI52,IF('Inhaltliche Bewertung - GI'!RechtsformGI=DF$13,DF52*DI52,IF('Inhaltliche Bewertung - GI'!RechtsformGI=CX$13,CX52*DI52,"")))))</f>
        <v>#N/A</v>
      </c>
      <c r="DK52" s="351" t="e">
        <f>IF('Inhaltliche Bewertung - GI'!RechtsformAngebot=CZ$13,CZ52*DI52,IF('Inhaltliche Bewertung - GI'!RechtsformAngebot=DB$13,DB52*DI52,IF('Inhaltliche Bewertung - GI'!RechtsformAngebot=DD$13,DD52*DI52,IF('Inhaltliche Bewertung - GI'!RechtsformAngebot=DF$13,DF52*DI52,IF('Inhaltliche Bewertung - GI'!RechtsformAngebot=CX$13,CX52*DI52,"")))))</f>
        <v>#N/A</v>
      </c>
      <c r="DL52" s="351"/>
      <c r="DM52" s="383" t="s">
        <v>3329</v>
      </c>
      <c r="DN52" s="367">
        <v>0.4</v>
      </c>
      <c r="DO52" s="368"/>
      <c r="DP52" s="367">
        <v>0.4</v>
      </c>
      <c r="DQ52" s="368"/>
      <c r="DR52" s="367">
        <v>0.4</v>
      </c>
      <c r="DS52" s="368"/>
      <c r="DT52" s="367">
        <v>0.4</v>
      </c>
      <c r="DU52" s="368"/>
      <c r="DV52" s="367">
        <v>0.4</v>
      </c>
      <c r="DW52" s="368"/>
      <c r="DX52" s="368"/>
      <c r="DY52" s="360">
        <v>1</v>
      </c>
      <c r="DZ52" s="351" t="e">
        <f>IF('Inhaltliche Bewertung - GI'!RechtsformGI=DP$13,DP52*DY52,IF('Inhaltliche Bewertung - GI'!RechtsformGI=DR$13,DR52*DY52,IF('Inhaltliche Bewertung - GI'!RechtsformGI=DT$13,DT52*DY52,IF('Inhaltliche Bewertung - GI'!RechtsformGI=DV$13,DV52*DY52,IF('Inhaltliche Bewertung - GI'!RechtsformGI=DN$13,DN52*DY52,"")))))</f>
        <v>#N/A</v>
      </c>
      <c r="EA52" s="351" t="e">
        <f>IF('Inhaltliche Bewertung - GI'!RechtsformAngebot=DP$13,DP52*DY52,IF('Inhaltliche Bewertung - GI'!RechtsformAngebot=DR$13,DR52*DY52,IF('Inhaltliche Bewertung - GI'!RechtsformAngebot=DT$13,DT52*DY52,IF('Inhaltliche Bewertung - GI'!RechtsformAngebot=DV$13,DV52*DY52,IF('Inhaltliche Bewertung - GI'!RechtsformAngebot=DN$13,DN52*DY52,"")))))</f>
        <v>#N/A</v>
      </c>
      <c r="EB52" s="351"/>
      <c r="EC52" s="157">
        <f t="shared" si="1"/>
        <v>0.4</v>
      </c>
      <c r="ED52" s="157">
        <f t="shared" si="2"/>
        <v>0.4</v>
      </c>
      <c r="EE52" s="157">
        <f t="shared" si="3"/>
        <v>0.40000000000000019</v>
      </c>
      <c r="EF52" s="157">
        <f t="shared" si="4"/>
        <v>0.4</v>
      </c>
    </row>
    <row r="53" spans="1:136" ht="14.25" customHeight="1">
      <c r="A53" s="444" t="b">
        <f t="shared" si="0"/>
        <v>1</v>
      </c>
      <c r="B53" s="292"/>
      <c r="C53" s="355" t="s">
        <v>3331</v>
      </c>
      <c r="D53" s="345"/>
      <c r="E53" s="361" t="s">
        <v>3325</v>
      </c>
      <c r="F53" s="362">
        <v>1</v>
      </c>
      <c r="G53" s="365"/>
      <c r="H53" s="362">
        <v>1</v>
      </c>
      <c r="I53" s="365"/>
      <c r="J53" s="362">
        <v>1</v>
      </c>
      <c r="K53" s="365"/>
      <c r="L53" s="362">
        <v>1</v>
      </c>
      <c r="M53" s="365"/>
      <c r="N53" s="362">
        <v>1</v>
      </c>
      <c r="O53" s="365"/>
      <c r="P53" s="370"/>
      <c r="Q53" s="360">
        <v>1</v>
      </c>
      <c r="R53" s="351" t="e">
        <f>IF('Inhaltliche Bewertung - GI'!RechtsformGI=H$13,H53*Q53,IF('Inhaltliche Bewertung - GI'!RechtsformGI=J$13,J53*Q53,IF('Inhaltliche Bewertung - GI'!RechtsformGI=L$13,L53*Q53,IF('Inhaltliche Bewertung - GI'!RechtsformGI=N$13,N53*Q53,IF('Inhaltliche Bewertung - GI'!RechtsformGI=F$13,F53*Q53,"")))))</f>
        <v>#N/A</v>
      </c>
      <c r="S53" s="351" t="e">
        <f>IF('Inhaltliche Bewertung - GI'!RechtsformAngebot=H$13,H53*Q53,IF('Inhaltliche Bewertung - GI'!RechtsformAngebot=J$13,J53*Q53,IF('Inhaltliche Bewertung - GI'!RechtsformAngebot=L$13,L53*Q53,IF('Inhaltliche Bewertung - GI'!RechtsformAngebot=N$13,N53*Q53,IF('Inhaltliche Bewertung - GI'!RechtsformAngebot=F$13,F53*Q53,"")))))</f>
        <v>#N/A</v>
      </c>
      <c r="T53" s="351"/>
      <c r="U53" s="361" t="s">
        <v>3325</v>
      </c>
      <c r="V53" s="362">
        <v>1</v>
      </c>
      <c r="W53" s="365"/>
      <c r="X53" s="362">
        <v>1</v>
      </c>
      <c r="Y53" s="365"/>
      <c r="Z53" s="362">
        <v>1</v>
      </c>
      <c r="AA53" s="365"/>
      <c r="AB53" s="362">
        <v>1</v>
      </c>
      <c r="AC53" s="365"/>
      <c r="AD53" s="362">
        <v>1</v>
      </c>
      <c r="AE53" s="365"/>
      <c r="AF53" s="370"/>
      <c r="AG53" s="360">
        <v>1</v>
      </c>
      <c r="AH53" s="351" t="e">
        <f>IF('Inhaltliche Bewertung - GI'!RechtsformGI=X$13,X53*AG53,IF('Inhaltliche Bewertung - GI'!RechtsformGI=Z$13,Z53*AG53,IF('Inhaltliche Bewertung - GI'!RechtsformGI=AB$13,AB53*AG53,IF('Inhaltliche Bewertung - GI'!RechtsformGI=AD$13,AD53*AG53,IF('Inhaltliche Bewertung - GI'!RechtsformGI=V$13,V53*AG53,"")))))</f>
        <v>#N/A</v>
      </c>
      <c r="AI53" s="351" t="e">
        <f>IF('Inhaltliche Bewertung - GI'!RechtsformAngebot=X$13,X53*AG53,IF('Inhaltliche Bewertung - GI'!RechtsformAngebot=Z$13,Z53*AG53,IF('Inhaltliche Bewertung - GI'!RechtsformAngebot=AB$13,AB53*AG53,IF('Inhaltliche Bewertung - GI'!RechtsformAngebot=AD$13,AD53*AG53,IF('Inhaltliche Bewertung - GI'!RechtsformAngebot=V$13,V53*AG53,"")))))</f>
        <v>#N/A</v>
      </c>
      <c r="AJ53" s="351"/>
      <c r="AK53" s="361" t="s">
        <v>3325</v>
      </c>
      <c r="AL53" s="362">
        <v>1</v>
      </c>
      <c r="AM53" s="365"/>
      <c r="AN53" s="362">
        <v>1</v>
      </c>
      <c r="AO53" s="365"/>
      <c r="AP53" s="362">
        <v>1</v>
      </c>
      <c r="AQ53" s="365"/>
      <c r="AR53" s="362">
        <v>1</v>
      </c>
      <c r="AS53" s="365"/>
      <c r="AT53" s="362">
        <v>1</v>
      </c>
      <c r="AU53" s="365"/>
      <c r="AV53" s="370"/>
      <c r="AW53" s="360">
        <v>1</v>
      </c>
      <c r="AX53" s="351" t="e">
        <f>IF('Inhaltliche Bewertung - GI'!RechtsformGI=AN$13,AN53*AW53,IF('Inhaltliche Bewertung - GI'!RechtsformGI=AP$13,AP53*AW53,IF('Inhaltliche Bewertung - GI'!RechtsformGI=AR$13,AR53*AW53,IF('Inhaltliche Bewertung - GI'!RechtsformGI=AT$13,AT53*AW53,IF('Inhaltliche Bewertung - GI'!RechtsformGI=AL$13,AL53*AW53,"")))))</f>
        <v>#N/A</v>
      </c>
      <c r="AY53" s="351" t="e">
        <f>IF('Inhaltliche Bewertung - GI'!RechtsformAngebot=AN$13,AN53*AW53,IF('Inhaltliche Bewertung - GI'!RechtsformAngebot=AP$13,AP53*AW53,IF('Inhaltliche Bewertung - GI'!RechtsformAngebot=AR$13,AR53*AW53,IF('Inhaltliche Bewertung - GI'!RechtsformAngebot=AT$13,AT53*AW53,IF('Inhaltliche Bewertung - GI'!RechtsformAngebot=AL$13,AL53*AW53,"")))))</f>
        <v>#N/A</v>
      </c>
      <c r="AZ53" s="351"/>
      <c r="BA53" s="361" t="s">
        <v>3325</v>
      </c>
      <c r="BB53" s="362">
        <v>1</v>
      </c>
      <c r="BC53" s="365"/>
      <c r="BD53" s="362">
        <v>1</v>
      </c>
      <c r="BE53" s="365"/>
      <c r="BF53" s="362">
        <v>1</v>
      </c>
      <c r="BG53" s="365"/>
      <c r="BH53" s="362">
        <v>1</v>
      </c>
      <c r="BI53" s="365"/>
      <c r="BJ53" s="362">
        <v>1</v>
      </c>
      <c r="BK53" s="365"/>
      <c r="BL53" s="370"/>
      <c r="BM53" s="360">
        <v>1</v>
      </c>
      <c r="BN53" s="351" t="e">
        <f>IF('Inhaltliche Bewertung - GI'!RechtsformGI=BD$13,BD53*BM53,IF('Inhaltliche Bewertung - GI'!RechtsformGI=BF$13,BF53*BM53,IF('Inhaltliche Bewertung - GI'!RechtsformGI=BH$13,BH53*BM53,IF('Inhaltliche Bewertung - GI'!RechtsformGI=BJ$13,BJ53*BM53,IF('Inhaltliche Bewertung - GI'!RechtsformGI=BB$13,BB53*BM53,"")))))</f>
        <v>#N/A</v>
      </c>
      <c r="BO53" s="351" t="e">
        <f>IF('Inhaltliche Bewertung - GI'!RechtsformAngebot=BD$13,BD53*BM53,IF('Inhaltliche Bewertung - GI'!RechtsformAngebot=BF$13,BF53*BM53,IF('Inhaltliche Bewertung - GI'!RechtsformAngebot=BH$13,BH53*BM53,IF('Inhaltliche Bewertung - GI'!RechtsformAngebot=BJ$13,BJ53*BM53,IF('Inhaltliche Bewertung - GI'!RechtsformAngebot=BB$13,BB53*BM53,"")))))</f>
        <v>#N/A</v>
      </c>
      <c r="BP53" s="351"/>
      <c r="BQ53" s="361" t="s">
        <v>3325</v>
      </c>
      <c r="BR53" s="362">
        <v>1</v>
      </c>
      <c r="BS53" s="365"/>
      <c r="BT53" s="362">
        <v>1</v>
      </c>
      <c r="BU53" s="365"/>
      <c r="BV53" s="362">
        <v>1</v>
      </c>
      <c r="BW53" s="365"/>
      <c r="BX53" s="362">
        <v>1</v>
      </c>
      <c r="BY53" s="365"/>
      <c r="BZ53" s="362">
        <v>1</v>
      </c>
      <c r="CA53" s="365"/>
      <c r="CB53" s="370"/>
      <c r="CC53" s="360">
        <v>1</v>
      </c>
      <c r="CD53" s="351" t="e">
        <f>IF('Inhaltliche Bewertung - GI'!RechtsformGI=BT$13,BT53*CC53,IF('Inhaltliche Bewertung - GI'!RechtsformGI=BV$13,BV53*CC53,IF('Inhaltliche Bewertung - GI'!RechtsformGI=BX$13,BX53*CC53,IF('Inhaltliche Bewertung - GI'!RechtsformGI=BZ$13,BZ53*CC53,IF('Inhaltliche Bewertung - GI'!RechtsformGI=BR$13,BR53*CC53,"")))))</f>
        <v>#N/A</v>
      </c>
      <c r="CE53" s="351" t="e">
        <f>IF('Inhaltliche Bewertung - GI'!RechtsformAngebot=BT$13,BT53*CC53,IF('Inhaltliche Bewertung - GI'!RechtsformAngebot=BV$13,BV53*CC53,IF('Inhaltliche Bewertung - GI'!RechtsformAngebot=BX$13,BX53*CC53,IF('Inhaltliche Bewertung - GI'!RechtsformAngebot=BZ$13,BZ53*CC53,IF('Inhaltliche Bewertung - GI'!RechtsformAngebot=BR$13,BR53*CC53,"")))))</f>
        <v>#N/A</v>
      </c>
      <c r="CF53" s="351"/>
      <c r="CG53" s="361" t="s">
        <v>3325</v>
      </c>
      <c r="CH53" s="362">
        <v>1</v>
      </c>
      <c r="CI53" s="365"/>
      <c r="CJ53" s="362">
        <v>1</v>
      </c>
      <c r="CK53" s="365"/>
      <c r="CL53" s="362">
        <v>1</v>
      </c>
      <c r="CM53" s="365"/>
      <c r="CN53" s="362">
        <v>1</v>
      </c>
      <c r="CO53" s="365"/>
      <c r="CP53" s="362">
        <v>1</v>
      </c>
      <c r="CQ53" s="365"/>
      <c r="CR53" s="370"/>
      <c r="CS53" s="360">
        <v>1</v>
      </c>
      <c r="CT53" s="351" t="e">
        <f>IF('Inhaltliche Bewertung - GI'!RechtsformGI=CJ$13,CJ53*CS53,IF('Inhaltliche Bewertung - GI'!RechtsformGI=CL$13,CL53*CS53,IF('Inhaltliche Bewertung - GI'!RechtsformGI=CN$13,CN53*CS53,IF('Inhaltliche Bewertung - GI'!RechtsformGI=CP$13,CP53*CS53,IF('Inhaltliche Bewertung - GI'!RechtsformGI=CH$13,CH53*CS53,"")))))</f>
        <v>#N/A</v>
      </c>
      <c r="CU53" s="351" t="e">
        <f>IF('Inhaltliche Bewertung - GI'!RechtsformAngebot=CJ$13,CJ53*CS53,IF('Inhaltliche Bewertung - GI'!RechtsformAngebot=CL$13,CL53*CS53,IF('Inhaltliche Bewertung - GI'!RechtsformAngebot=CN$13,CN53*CS53,IF('Inhaltliche Bewertung - GI'!RechtsformAngebot=CP$13,CP53*CS53,IF('Inhaltliche Bewertung - GI'!RechtsformAngebot=CH$13,CH53*CS53,"")))))</f>
        <v>#N/A</v>
      </c>
      <c r="CV53" s="351"/>
      <c r="CW53" s="361" t="s">
        <v>3325</v>
      </c>
      <c r="CX53" s="362">
        <v>1</v>
      </c>
      <c r="CY53" s="365"/>
      <c r="CZ53" s="362">
        <v>1</v>
      </c>
      <c r="DA53" s="365"/>
      <c r="DB53" s="362">
        <v>1</v>
      </c>
      <c r="DC53" s="365"/>
      <c r="DD53" s="362">
        <v>1</v>
      </c>
      <c r="DE53" s="365"/>
      <c r="DF53" s="362">
        <v>1</v>
      </c>
      <c r="DG53" s="365"/>
      <c r="DH53" s="370"/>
      <c r="DI53" s="360">
        <v>1</v>
      </c>
      <c r="DJ53" s="351" t="e">
        <f>IF('Inhaltliche Bewertung - GI'!RechtsformGI=CZ$13,CZ53*DI53,IF('Inhaltliche Bewertung - GI'!RechtsformGI=DB$13,DB53*DI53,IF('Inhaltliche Bewertung - GI'!RechtsformGI=DD$13,DD53*DI53,IF('Inhaltliche Bewertung - GI'!RechtsformGI=DF$13,DF53*DI53,IF('Inhaltliche Bewertung - GI'!RechtsformGI=CX$13,CX53*DI53,"")))))</f>
        <v>#N/A</v>
      </c>
      <c r="DK53" s="351" t="e">
        <f>IF('Inhaltliche Bewertung - GI'!RechtsformAngebot=CZ$13,CZ53*DI53,IF('Inhaltliche Bewertung - GI'!RechtsformAngebot=DB$13,DB53*DI53,IF('Inhaltliche Bewertung - GI'!RechtsformAngebot=DD$13,DD53*DI53,IF('Inhaltliche Bewertung - GI'!RechtsformAngebot=DF$13,DF53*DI53,IF('Inhaltliche Bewertung - GI'!RechtsformAngebot=CX$13,CX53*DI53,"")))))</f>
        <v>#N/A</v>
      </c>
      <c r="DL53" s="351"/>
      <c r="DM53" s="361" t="s">
        <v>3325</v>
      </c>
      <c r="DN53" s="362">
        <v>1</v>
      </c>
      <c r="DO53" s="365"/>
      <c r="DP53" s="362">
        <v>1</v>
      </c>
      <c r="DQ53" s="365"/>
      <c r="DR53" s="362">
        <v>1</v>
      </c>
      <c r="DS53" s="365"/>
      <c r="DT53" s="362">
        <v>1</v>
      </c>
      <c r="DU53" s="365"/>
      <c r="DV53" s="362">
        <v>1</v>
      </c>
      <c r="DW53" s="365"/>
      <c r="DX53" s="370"/>
      <c r="DY53" s="360">
        <v>1</v>
      </c>
      <c r="DZ53" s="351" t="e">
        <f>IF('Inhaltliche Bewertung - GI'!RechtsformGI=DP$13,DP53*DY53,IF('Inhaltliche Bewertung - GI'!RechtsformGI=DR$13,DR53*DY53,IF('Inhaltliche Bewertung - GI'!RechtsformGI=DT$13,DT53*DY53,IF('Inhaltliche Bewertung - GI'!RechtsformGI=DV$13,DV53*DY53,IF('Inhaltliche Bewertung - GI'!RechtsformGI=DN$13,DN53*DY53,"")))))</f>
        <v>#N/A</v>
      </c>
      <c r="EA53" s="351" t="e">
        <f>IF('Inhaltliche Bewertung - GI'!RechtsformAngebot=DP$13,DP53*DY53,IF('Inhaltliche Bewertung - GI'!RechtsformAngebot=DR$13,DR53*DY53,IF('Inhaltliche Bewertung - GI'!RechtsformAngebot=DT$13,DT53*DY53,IF('Inhaltliche Bewertung - GI'!RechtsformAngebot=DV$13,DV53*DY53,IF('Inhaltliche Bewertung - GI'!RechtsformAngebot=DN$13,DN53*DY53,"")))))</f>
        <v>#N/A</v>
      </c>
      <c r="EB53" s="351"/>
      <c r="EC53" s="157">
        <f t="shared" si="1"/>
        <v>1</v>
      </c>
      <c r="ED53" s="157">
        <f t="shared" si="2"/>
        <v>1</v>
      </c>
      <c r="EE53" s="157">
        <f t="shared" si="3"/>
        <v>1</v>
      </c>
      <c r="EF53" s="157">
        <f t="shared" si="4"/>
        <v>1</v>
      </c>
    </row>
    <row r="54" spans="1:136" ht="14.25" customHeight="1">
      <c r="A54" s="444" t="b">
        <f t="shared" si="0"/>
        <v>0</v>
      </c>
      <c r="B54" s="292"/>
      <c r="C54" s="355" t="s">
        <v>3332</v>
      </c>
      <c r="D54" s="345"/>
      <c r="E54" s="371" t="s">
        <v>3333</v>
      </c>
      <c r="F54" s="372">
        <v>0.5</v>
      </c>
      <c r="G54" s="358"/>
      <c r="H54" s="372">
        <v>0.5</v>
      </c>
      <c r="I54" s="358"/>
      <c r="J54" s="372">
        <v>0.5</v>
      </c>
      <c r="K54" s="358"/>
      <c r="L54" s="372">
        <v>0.5</v>
      </c>
      <c r="M54" s="358"/>
      <c r="N54" s="372">
        <v>0.3</v>
      </c>
      <c r="O54" s="358"/>
      <c r="P54" s="359"/>
      <c r="Q54" s="360">
        <v>1</v>
      </c>
      <c r="R54" s="351" t="e">
        <f>IF('Inhaltliche Bewertung - GI'!RechtsformGI=H$13,H54*Q54,IF('Inhaltliche Bewertung - GI'!RechtsformGI=J$13,J54*Q54,IF('Inhaltliche Bewertung - GI'!RechtsformGI=L$13,L54*Q54,IF('Inhaltliche Bewertung - GI'!RechtsformGI=N$13,N54*Q54,IF('Inhaltliche Bewertung - GI'!RechtsformGI=F$13,F54*Q54,"")))))</f>
        <v>#N/A</v>
      </c>
      <c r="S54" s="351" t="e">
        <f>IF('Inhaltliche Bewertung - GI'!RechtsformAngebot=H$13,H54*Q54,IF('Inhaltliche Bewertung - GI'!RechtsformAngebot=J$13,J54*Q54,IF('Inhaltliche Bewertung - GI'!RechtsformAngebot=L$13,L54*Q54,IF('Inhaltliche Bewertung - GI'!RechtsformAngebot=N$13,N54*Q54,IF('Inhaltliche Bewertung - GI'!RechtsformAngebot=F$13,F54*Q54,"")))))</f>
        <v>#N/A</v>
      </c>
      <c r="T54" s="351"/>
      <c r="U54" s="361" t="s">
        <v>3334</v>
      </c>
      <c r="V54" s="372">
        <v>0.6</v>
      </c>
      <c r="W54" s="358"/>
      <c r="X54" s="372">
        <v>0.6</v>
      </c>
      <c r="Y54" s="358"/>
      <c r="Z54" s="372">
        <v>0.6</v>
      </c>
      <c r="AA54" s="358"/>
      <c r="AB54" s="372">
        <v>0.6</v>
      </c>
      <c r="AC54" s="358"/>
      <c r="AD54" s="372">
        <v>0.4</v>
      </c>
      <c r="AE54" s="358"/>
      <c r="AF54" s="359"/>
      <c r="AG54" s="360">
        <v>1</v>
      </c>
      <c r="AH54" s="351" t="e">
        <f>IF('Inhaltliche Bewertung - GI'!RechtsformGI=X$13,X54*AG54,IF('Inhaltliche Bewertung - GI'!RechtsformGI=Z$13,Z54*AG54,IF('Inhaltliche Bewertung - GI'!RechtsformGI=AB$13,AB54*AG54,IF('Inhaltliche Bewertung - GI'!RechtsformGI=AD$13,AD54*AG54,IF('Inhaltliche Bewertung - GI'!RechtsformGI=V$13,V54*AG54,"")))))</f>
        <v>#N/A</v>
      </c>
      <c r="AI54" s="351" t="e">
        <f>IF('Inhaltliche Bewertung - GI'!RechtsformAngebot=X$13,X54*AG54,IF('Inhaltliche Bewertung - GI'!RechtsformAngebot=Z$13,Z54*AG54,IF('Inhaltliche Bewertung - GI'!RechtsformAngebot=AB$13,AB54*AG54,IF('Inhaltliche Bewertung - GI'!RechtsformAngebot=AD$13,AD54*AG54,IF('Inhaltliche Bewertung - GI'!RechtsformAngebot=V$13,V54*AG54,"")))))</f>
        <v>#N/A</v>
      </c>
      <c r="AJ54" s="351"/>
      <c r="AK54" s="361" t="s">
        <v>3334</v>
      </c>
      <c r="AL54" s="372">
        <v>0.6</v>
      </c>
      <c r="AM54" s="358"/>
      <c r="AN54" s="372">
        <v>0.6</v>
      </c>
      <c r="AO54" s="358"/>
      <c r="AP54" s="372">
        <v>0.6</v>
      </c>
      <c r="AQ54" s="358"/>
      <c r="AR54" s="372">
        <v>0.6</v>
      </c>
      <c r="AS54" s="358"/>
      <c r="AT54" s="372">
        <v>0.4</v>
      </c>
      <c r="AU54" s="358"/>
      <c r="AV54" s="359"/>
      <c r="AW54" s="360">
        <v>1</v>
      </c>
      <c r="AX54" s="351" t="e">
        <f>IF('Inhaltliche Bewertung - GI'!RechtsformGI=AN$13,AN54*AW54,IF('Inhaltliche Bewertung - GI'!RechtsformGI=AP$13,AP54*AW54,IF('Inhaltliche Bewertung - GI'!RechtsformGI=AR$13,AR54*AW54,IF('Inhaltliche Bewertung - GI'!RechtsformGI=AT$13,AT54*AW54,IF('Inhaltliche Bewertung - GI'!RechtsformGI=AL$13,AL54*AW54,"")))))</f>
        <v>#N/A</v>
      </c>
      <c r="AY54" s="351" t="e">
        <f>IF('Inhaltliche Bewertung - GI'!RechtsformAngebot=AN$13,AN54*AW54,IF('Inhaltliche Bewertung - GI'!RechtsformAngebot=AP$13,AP54*AW54,IF('Inhaltliche Bewertung - GI'!RechtsformAngebot=AR$13,AR54*AW54,IF('Inhaltliche Bewertung - GI'!RechtsformAngebot=AT$13,AT54*AW54,IF('Inhaltliche Bewertung - GI'!RechtsformAngebot=AL$13,AL54*AW54,"")))))</f>
        <v>#N/A</v>
      </c>
      <c r="AZ54" s="351"/>
      <c r="BA54" s="371" t="s">
        <v>3335</v>
      </c>
      <c r="BB54" s="372">
        <v>0.6</v>
      </c>
      <c r="BC54" s="358"/>
      <c r="BD54" s="372">
        <v>0.6</v>
      </c>
      <c r="BE54" s="358"/>
      <c r="BF54" s="372">
        <v>0.6</v>
      </c>
      <c r="BG54" s="358"/>
      <c r="BH54" s="372">
        <v>0.6</v>
      </c>
      <c r="BI54" s="358"/>
      <c r="BJ54" s="372">
        <v>0.4</v>
      </c>
      <c r="BK54" s="358"/>
      <c r="BL54" s="359"/>
      <c r="BM54" s="360">
        <v>1</v>
      </c>
      <c r="BN54" s="351" t="e">
        <f>IF('Inhaltliche Bewertung - GI'!RechtsformGI=BD$13,BD54*BM54,IF('Inhaltliche Bewertung - GI'!RechtsformGI=BF$13,BF54*BM54,IF('Inhaltliche Bewertung - GI'!RechtsformGI=BH$13,BH54*BM54,IF('Inhaltliche Bewertung - GI'!RechtsformGI=BJ$13,BJ54*BM54,IF('Inhaltliche Bewertung - GI'!RechtsformGI=BB$13,BB54*BM54,"")))))</f>
        <v>#N/A</v>
      </c>
      <c r="BO54" s="351" t="e">
        <f>IF('Inhaltliche Bewertung - GI'!RechtsformAngebot=BD$13,BD54*BM54,IF('Inhaltliche Bewertung - GI'!RechtsformAngebot=BF$13,BF54*BM54,IF('Inhaltliche Bewertung - GI'!RechtsformAngebot=BH$13,BH54*BM54,IF('Inhaltliche Bewertung - GI'!RechtsformAngebot=BJ$13,BJ54*BM54,IF('Inhaltliche Bewertung - GI'!RechtsformAngebot=BB$13,BB54*BM54,"")))))</f>
        <v>#N/A</v>
      </c>
      <c r="BP54" s="351"/>
      <c r="BQ54" s="361" t="s">
        <v>3334</v>
      </c>
      <c r="BR54" s="372">
        <v>0.6</v>
      </c>
      <c r="BS54" s="358"/>
      <c r="BT54" s="372">
        <v>0.6</v>
      </c>
      <c r="BU54" s="358"/>
      <c r="BV54" s="372">
        <v>0.6</v>
      </c>
      <c r="BW54" s="358"/>
      <c r="BX54" s="372">
        <v>0.6</v>
      </c>
      <c r="BY54" s="358"/>
      <c r="BZ54" s="372">
        <v>0.4</v>
      </c>
      <c r="CA54" s="358"/>
      <c r="CB54" s="359"/>
      <c r="CC54" s="360">
        <v>1</v>
      </c>
      <c r="CD54" s="351" t="e">
        <f>IF('Inhaltliche Bewertung - GI'!RechtsformGI=BT$13,BT54*CC54,IF('Inhaltliche Bewertung - GI'!RechtsformGI=BV$13,BV54*CC54,IF('Inhaltliche Bewertung - GI'!RechtsformGI=BX$13,BX54*CC54,IF('Inhaltliche Bewertung - GI'!RechtsformGI=BZ$13,BZ54*CC54,IF('Inhaltliche Bewertung - GI'!RechtsformGI=BR$13,BR54*CC54,"")))))</f>
        <v>#N/A</v>
      </c>
      <c r="CE54" s="351" t="e">
        <f>IF('Inhaltliche Bewertung - GI'!RechtsformAngebot=BT$13,BT54*CC54,IF('Inhaltliche Bewertung - GI'!RechtsformAngebot=BV$13,BV54*CC54,IF('Inhaltliche Bewertung - GI'!RechtsformAngebot=BX$13,BX54*CC54,IF('Inhaltliche Bewertung - GI'!RechtsformAngebot=BZ$13,BZ54*CC54,IF('Inhaltliche Bewertung - GI'!RechtsformAngebot=BR$13,BR54*CC54,"")))))</f>
        <v>#N/A</v>
      </c>
      <c r="CF54" s="351"/>
      <c r="CG54" s="371" t="s">
        <v>3336</v>
      </c>
      <c r="CH54" s="372">
        <v>0.6</v>
      </c>
      <c r="CI54" s="358"/>
      <c r="CJ54" s="372">
        <v>0.6</v>
      </c>
      <c r="CK54" s="358"/>
      <c r="CL54" s="372">
        <v>0.6</v>
      </c>
      <c r="CM54" s="358"/>
      <c r="CN54" s="372">
        <v>0.6</v>
      </c>
      <c r="CO54" s="358"/>
      <c r="CP54" s="372">
        <v>0.4</v>
      </c>
      <c r="CQ54" s="358"/>
      <c r="CR54" s="359"/>
      <c r="CS54" s="360">
        <v>1</v>
      </c>
      <c r="CT54" s="351" t="e">
        <f>IF('Inhaltliche Bewertung - GI'!RechtsformGI=CJ$13,CJ54*CS54,IF('Inhaltliche Bewertung - GI'!RechtsformGI=CL$13,CL54*CS54,IF('Inhaltliche Bewertung - GI'!RechtsformGI=CN$13,CN54*CS54,IF('Inhaltliche Bewertung - GI'!RechtsformGI=CP$13,CP54*CS54,IF('Inhaltliche Bewertung - GI'!RechtsformGI=CH$13,CH54*CS54,"")))))</f>
        <v>#N/A</v>
      </c>
      <c r="CU54" s="351" t="e">
        <f>IF('Inhaltliche Bewertung - GI'!RechtsformAngebot=CJ$13,CJ54*CS54,IF('Inhaltliche Bewertung - GI'!RechtsformAngebot=CL$13,CL54*CS54,IF('Inhaltliche Bewertung - GI'!RechtsformAngebot=CN$13,CN54*CS54,IF('Inhaltliche Bewertung - GI'!RechtsformAngebot=CP$13,CP54*CS54,IF('Inhaltliche Bewertung - GI'!RechtsformAngebot=CH$13,CH54*CS54,"")))))</f>
        <v>#N/A</v>
      </c>
      <c r="CV54" s="351"/>
      <c r="CW54" s="371" t="s">
        <v>3337</v>
      </c>
      <c r="CX54" s="372">
        <v>0.6</v>
      </c>
      <c r="CY54" s="358"/>
      <c r="CZ54" s="372">
        <v>0.6</v>
      </c>
      <c r="DA54" s="358"/>
      <c r="DB54" s="372">
        <v>0.6</v>
      </c>
      <c r="DC54" s="358"/>
      <c r="DD54" s="372">
        <v>0.6</v>
      </c>
      <c r="DE54" s="358"/>
      <c r="DF54" s="372">
        <v>0.4</v>
      </c>
      <c r="DG54" s="358"/>
      <c r="DH54" s="359"/>
      <c r="DI54" s="360">
        <v>1</v>
      </c>
      <c r="DJ54" s="351" t="e">
        <f>IF('Inhaltliche Bewertung - GI'!RechtsformGI=CZ$13,CZ54*DI54,IF('Inhaltliche Bewertung - GI'!RechtsformGI=DB$13,DB54*DI54,IF('Inhaltliche Bewertung - GI'!RechtsformGI=DD$13,DD54*DI54,IF('Inhaltliche Bewertung - GI'!RechtsformGI=DF$13,DF54*DI54,IF('Inhaltliche Bewertung - GI'!RechtsformGI=CX$13,CX54*DI54,"")))))</f>
        <v>#N/A</v>
      </c>
      <c r="DK54" s="351" t="e">
        <f>IF('Inhaltliche Bewertung - GI'!RechtsformAngebot=CZ$13,CZ54*DI54,IF('Inhaltliche Bewertung - GI'!RechtsformAngebot=DB$13,DB54*DI54,IF('Inhaltliche Bewertung - GI'!RechtsformAngebot=DD$13,DD54*DI54,IF('Inhaltliche Bewertung - GI'!RechtsformAngebot=DF$13,DF54*DI54,IF('Inhaltliche Bewertung - GI'!RechtsformAngebot=CX$13,CX54*DI54,"")))))</f>
        <v>#N/A</v>
      </c>
      <c r="DL54" s="351"/>
      <c r="DM54" s="361" t="s">
        <v>3334</v>
      </c>
      <c r="DN54" s="372">
        <v>0.6</v>
      </c>
      <c r="DO54" s="358"/>
      <c r="DP54" s="372">
        <v>0.6</v>
      </c>
      <c r="DQ54" s="358"/>
      <c r="DR54" s="372">
        <v>0.6</v>
      </c>
      <c r="DS54" s="358"/>
      <c r="DT54" s="372">
        <v>0.6</v>
      </c>
      <c r="DU54" s="358"/>
      <c r="DV54" s="372">
        <v>0.4</v>
      </c>
      <c r="DW54" s="358"/>
      <c r="DX54" s="359"/>
      <c r="DY54" s="360">
        <v>1</v>
      </c>
      <c r="DZ54" s="351" t="e">
        <f>IF('Inhaltliche Bewertung - GI'!RechtsformGI=DP$13,DP54*DY54,IF('Inhaltliche Bewertung - GI'!RechtsformGI=DR$13,DR54*DY54,IF('Inhaltliche Bewertung - GI'!RechtsformGI=DT$13,DT54*DY54,IF('Inhaltliche Bewertung - GI'!RechtsformGI=DV$13,DV54*DY54,IF('Inhaltliche Bewertung - GI'!RechtsformGI=DN$13,DN54*DY54,"")))))</f>
        <v>#N/A</v>
      </c>
      <c r="EA54" s="351" t="e">
        <f>IF('Inhaltliche Bewertung - GI'!RechtsformAngebot=DP$13,DP54*DY54,IF('Inhaltliche Bewertung - GI'!RechtsformAngebot=DR$13,DR54*DY54,IF('Inhaltliche Bewertung - GI'!RechtsformAngebot=DT$13,DT54*DY54,IF('Inhaltliche Bewertung - GI'!RechtsformAngebot=DV$13,DV54*DY54,IF('Inhaltliche Bewertung - GI'!RechtsformAngebot=DN$13,DN54*DY54,"")))))</f>
        <v>#N/A</v>
      </c>
      <c r="EB54" s="351"/>
      <c r="EC54" s="157">
        <f t="shared" si="1"/>
        <v>0.3</v>
      </c>
      <c r="ED54" s="157">
        <f t="shared" si="2"/>
        <v>0.6</v>
      </c>
      <c r="EE54" s="157">
        <f t="shared" si="3"/>
        <v>0.5475000000000001</v>
      </c>
      <c r="EF54" s="157">
        <f t="shared" si="4"/>
        <v>0.6</v>
      </c>
    </row>
    <row r="55" spans="1:136" ht="14.25" customHeight="1">
      <c r="A55" s="444" t="b">
        <f t="shared" si="0"/>
        <v>0</v>
      </c>
      <c r="B55" s="292"/>
      <c r="C55" s="355" t="s">
        <v>3338</v>
      </c>
      <c r="D55" s="345"/>
      <c r="E55" s="356" t="s">
        <v>3339</v>
      </c>
      <c r="F55" s="357">
        <v>0.3</v>
      </c>
      <c r="G55" s="358"/>
      <c r="H55" s="357">
        <v>0.3</v>
      </c>
      <c r="I55" s="358"/>
      <c r="J55" s="357">
        <v>0.3</v>
      </c>
      <c r="K55" s="358"/>
      <c r="L55" s="357">
        <v>0.3</v>
      </c>
      <c r="M55" s="358"/>
      <c r="N55" s="357">
        <v>0.3</v>
      </c>
      <c r="O55" s="358"/>
      <c r="P55" s="359"/>
      <c r="Q55" s="360">
        <v>1</v>
      </c>
      <c r="R55" s="351" t="e">
        <f>IF('Inhaltliche Bewertung - GI'!RechtsformGI=H$13,H55*Q55,IF('Inhaltliche Bewertung - GI'!RechtsformGI=J$13,J55*Q55,IF('Inhaltliche Bewertung - GI'!RechtsformGI=L$13,L55*Q55,IF('Inhaltliche Bewertung - GI'!RechtsformGI=N$13,N55*Q55,IF('Inhaltliche Bewertung - GI'!RechtsformGI=F$13,F55*Q55,"")))))</f>
        <v>#N/A</v>
      </c>
      <c r="S55" s="351" t="e">
        <f>IF('Inhaltliche Bewertung - GI'!RechtsformAngebot=H$13,H55*Q55,IF('Inhaltliche Bewertung - GI'!RechtsformAngebot=J$13,J55*Q55,IF('Inhaltliche Bewertung - GI'!RechtsformAngebot=L$13,L55*Q55,IF('Inhaltliche Bewertung - GI'!RechtsformAngebot=N$13,N55*Q55,IF('Inhaltliche Bewertung - GI'!RechtsformAngebot=F$13,F55*Q55,"")))))</f>
        <v>#N/A</v>
      </c>
      <c r="T55" s="351"/>
      <c r="U55" s="361" t="s">
        <v>3340</v>
      </c>
      <c r="V55" s="362">
        <v>0.4</v>
      </c>
      <c r="W55" s="363"/>
      <c r="X55" s="364">
        <v>0.4</v>
      </c>
      <c r="Y55" s="363"/>
      <c r="Z55" s="364">
        <v>0.4</v>
      </c>
      <c r="AA55" s="363"/>
      <c r="AB55" s="364">
        <v>0.4</v>
      </c>
      <c r="AC55" s="363"/>
      <c r="AD55" s="364">
        <v>0.4</v>
      </c>
      <c r="AE55" s="363"/>
      <c r="AF55" s="363"/>
      <c r="AG55" s="360">
        <v>1</v>
      </c>
      <c r="AH55" s="351" t="e">
        <f>IF('Inhaltliche Bewertung - GI'!RechtsformGI=X$13,X55*AG55,IF('Inhaltliche Bewertung - GI'!RechtsformGI=Z$13,Z55*AG55,IF('Inhaltliche Bewertung - GI'!RechtsformGI=AB$13,AB55*AG55,IF('Inhaltliche Bewertung - GI'!RechtsformGI=AD$13,AD55*AG55,IF('Inhaltliche Bewertung - GI'!RechtsformGI=V$13,V55*AG55,"")))))</f>
        <v>#N/A</v>
      </c>
      <c r="AI55" s="351" t="e">
        <f>IF('Inhaltliche Bewertung - GI'!RechtsformAngebot=X$13,X55*AG55,IF('Inhaltliche Bewertung - GI'!RechtsformAngebot=Z$13,Z55*AG55,IF('Inhaltliche Bewertung - GI'!RechtsformAngebot=AB$13,AB55*AG55,IF('Inhaltliche Bewertung - GI'!RechtsformAngebot=AD$13,AD55*AG55,IF('Inhaltliche Bewertung - GI'!RechtsformAngebot=V$13,V55*AG55,"")))))</f>
        <v>#N/A</v>
      </c>
      <c r="AJ55" s="351"/>
      <c r="AK55" s="361" t="s">
        <v>3340</v>
      </c>
      <c r="AL55" s="362">
        <v>0.4</v>
      </c>
      <c r="AM55" s="365"/>
      <c r="AN55" s="362">
        <v>0.4</v>
      </c>
      <c r="AO55" s="365"/>
      <c r="AP55" s="362">
        <v>0.4</v>
      </c>
      <c r="AQ55" s="365"/>
      <c r="AR55" s="362">
        <v>0.4</v>
      </c>
      <c r="AS55" s="365"/>
      <c r="AT55" s="362">
        <v>0.4</v>
      </c>
      <c r="AU55" s="365"/>
      <c r="AV55" s="365"/>
      <c r="AW55" s="360">
        <v>1</v>
      </c>
      <c r="AX55" s="351" t="e">
        <f>IF('Inhaltliche Bewertung - GI'!RechtsformGI=AN$13,AN55*AW55,IF('Inhaltliche Bewertung - GI'!RechtsformGI=AP$13,AP55*AW55,IF('Inhaltliche Bewertung - GI'!RechtsformGI=AR$13,AR55*AW55,IF('Inhaltliche Bewertung - GI'!RechtsformGI=AT$13,AT55*AW55,IF('Inhaltliche Bewertung - GI'!RechtsformGI=AL$13,AL55*AW55,"")))))</f>
        <v>#N/A</v>
      </c>
      <c r="AY55" s="351" t="e">
        <f>IF('Inhaltliche Bewertung - GI'!RechtsformAngebot=AN$13,AN55*AW55,IF('Inhaltliche Bewertung - GI'!RechtsformAngebot=AP$13,AP55*AW55,IF('Inhaltliche Bewertung - GI'!RechtsformAngebot=AR$13,AR55*AW55,IF('Inhaltliche Bewertung - GI'!RechtsformAngebot=AT$13,AT55*AW55,IF('Inhaltliche Bewertung - GI'!RechtsformAngebot=AL$13,AL55*AW55,"")))))</f>
        <v>#N/A</v>
      </c>
      <c r="AZ55" s="351"/>
      <c r="BA55" s="371" t="s">
        <v>3341</v>
      </c>
      <c r="BB55" s="384">
        <v>0.1</v>
      </c>
      <c r="BC55" s="358"/>
      <c r="BD55" s="384">
        <v>0.1</v>
      </c>
      <c r="BE55" s="358"/>
      <c r="BF55" s="384">
        <v>0.1</v>
      </c>
      <c r="BG55" s="358"/>
      <c r="BH55" s="384">
        <v>0.1</v>
      </c>
      <c r="BI55" s="358"/>
      <c r="BJ55" s="384">
        <v>0.1</v>
      </c>
      <c r="BK55" s="358"/>
      <c r="BL55" s="358"/>
      <c r="BM55" s="360">
        <v>1</v>
      </c>
      <c r="BN55" s="351" t="e">
        <f>IF('Inhaltliche Bewertung - GI'!RechtsformGI=BD$13,BD55*BM55,IF('Inhaltliche Bewertung - GI'!RechtsformGI=BF$13,BF55*BM55,IF('Inhaltliche Bewertung - GI'!RechtsformGI=BH$13,BH55*BM55,IF('Inhaltliche Bewertung - GI'!RechtsformGI=BJ$13,BJ55*BM55,IF('Inhaltliche Bewertung - GI'!RechtsformGI=BB$13,BB55*BM55,"")))))</f>
        <v>#N/A</v>
      </c>
      <c r="BO55" s="351" t="e">
        <f>IF('Inhaltliche Bewertung - GI'!RechtsformAngebot=BD$13,BD55*BM55,IF('Inhaltliche Bewertung - GI'!RechtsformAngebot=BF$13,BF55*BM55,IF('Inhaltliche Bewertung - GI'!RechtsformAngebot=BH$13,BH55*BM55,IF('Inhaltliche Bewertung - GI'!RechtsformAngebot=BJ$13,BJ55*BM55,IF('Inhaltliche Bewertung - GI'!RechtsformAngebot=BB$13,BB55*BM55,"")))))</f>
        <v>#N/A</v>
      </c>
      <c r="BP55" s="351"/>
      <c r="BQ55" s="371" t="s">
        <v>3341</v>
      </c>
      <c r="BR55" s="385">
        <v>0.1</v>
      </c>
      <c r="BS55" s="377"/>
      <c r="BT55" s="385">
        <v>0.1</v>
      </c>
      <c r="BU55" s="377"/>
      <c r="BV55" s="385">
        <v>0.1</v>
      </c>
      <c r="BW55" s="377"/>
      <c r="BX55" s="385">
        <v>0.1</v>
      </c>
      <c r="BY55" s="377"/>
      <c r="BZ55" s="385">
        <v>0.1</v>
      </c>
      <c r="CA55" s="377"/>
      <c r="CB55" s="377"/>
      <c r="CC55" s="360">
        <v>1</v>
      </c>
      <c r="CD55" s="351" t="e">
        <f>IF('Inhaltliche Bewertung - GI'!RechtsformGI=BT$13,BT55*CC55,IF('Inhaltliche Bewertung - GI'!RechtsformGI=BV$13,BV55*CC55,IF('Inhaltliche Bewertung - GI'!RechtsformGI=BX$13,BX55*CC55,IF('Inhaltliche Bewertung - GI'!RechtsformGI=BZ$13,BZ55*CC55,IF('Inhaltliche Bewertung - GI'!RechtsformGI=BR$13,BR55*CC55,"")))))</f>
        <v>#N/A</v>
      </c>
      <c r="CE55" s="351" t="e">
        <f>IF('Inhaltliche Bewertung - GI'!RechtsformAngebot=BT$13,BT55*CC55,IF('Inhaltliche Bewertung - GI'!RechtsformAngebot=BV$13,BV55*CC55,IF('Inhaltliche Bewertung - GI'!RechtsformAngebot=BX$13,BX55*CC55,IF('Inhaltliche Bewertung - GI'!RechtsformAngebot=BZ$13,BZ55*CC55,IF('Inhaltliche Bewertung - GI'!RechtsformAngebot=BR$13,BR55*CC55,"")))))</f>
        <v>#N/A</v>
      </c>
      <c r="CF55" s="351"/>
      <c r="CG55" s="371" t="s">
        <v>3339</v>
      </c>
      <c r="CH55" s="385">
        <v>0.1</v>
      </c>
      <c r="CI55" s="377"/>
      <c r="CJ55" s="385">
        <v>0.1</v>
      </c>
      <c r="CK55" s="377"/>
      <c r="CL55" s="385">
        <v>0.1</v>
      </c>
      <c r="CM55" s="377"/>
      <c r="CN55" s="385">
        <v>0.1</v>
      </c>
      <c r="CO55" s="377"/>
      <c r="CP55" s="385">
        <v>0.1</v>
      </c>
      <c r="CQ55" s="377"/>
      <c r="CR55" s="377"/>
      <c r="CS55" s="360">
        <v>1</v>
      </c>
      <c r="CT55" s="351" t="e">
        <f>IF('Inhaltliche Bewertung - GI'!RechtsformGI=CJ$13,CJ55*CS55,IF('Inhaltliche Bewertung - GI'!RechtsformGI=CL$13,CL55*CS55,IF('Inhaltliche Bewertung - GI'!RechtsformGI=CN$13,CN55*CS55,IF('Inhaltliche Bewertung - GI'!RechtsformGI=CP$13,CP55*CS55,IF('Inhaltliche Bewertung - GI'!RechtsformGI=CH$13,CH55*CS55,"")))))</f>
        <v>#N/A</v>
      </c>
      <c r="CU55" s="351" t="e">
        <f>IF('Inhaltliche Bewertung - GI'!RechtsformAngebot=CJ$13,CJ55*CS55,IF('Inhaltliche Bewertung - GI'!RechtsformAngebot=CL$13,CL55*CS55,IF('Inhaltliche Bewertung - GI'!RechtsformAngebot=CN$13,CN55*CS55,IF('Inhaltliche Bewertung - GI'!RechtsformAngebot=CP$13,CP55*CS55,IF('Inhaltliche Bewertung - GI'!RechtsformAngebot=CH$13,CH55*CS55,"")))))</f>
        <v>#N/A</v>
      </c>
      <c r="CV55" s="351"/>
      <c r="CW55" s="361" t="s">
        <v>3340</v>
      </c>
      <c r="CX55" s="367">
        <v>0.4</v>
      </c>
      <c r="CY55" s="368"/>
      <c r="CZ55" s="367">
        <v>0.4</v>
      </c>
      <c r="DA55" s="369"/>
      <c r="DB55" s="367">
        <v>0.4</v>
      </c>
      <c r="DC55" s="368"/>
      <c r="DD55" s="367">
        <v>0.4</v>
      </c>
      <c r="DE55" s="368"/>
      <c r="DF55" s="367">
        <v>0.4</v>
      </c>
      <c r="DG55" s="368"/>
      <c r="DH55" s="368"/>
      <c r="DI55" s="360">
        <v>1</v>
      </c>
      <c r="DJ55" s="351" t="e">
        <f>IF('Inhaltliche Bewertung - GI'!RechtsformGI=CZ$13,CZ55*DI55,IF('Inhaltliche Bewertung - GI'!RechtsformGI=DB$13,DB55*DI55,IF('Inhaltliche Bewertung - GI'!RechtsformGI=DD$13,DD55*DI55,IF('Inhaltliche Bewertung - GI'!RechtsformGI=DF$13,DF55*DI55,IF('Inhaltliche Bewertung - GI'!RechtsformGI=CX$13,CX55*DI55,"")))))</f>
        <v>#N/A</v>
      </c>
      <c r="DK55" s="351" t="e">
        <f>IF('Inhaltliche Bewertung - GI'!RechtsformAngebot=CZ$13,CZ55*DI55,IF('Inhaltliche Bewertung - GI'!RechtsformAngebot=DB$13,DB55*DI55,IF('Inhaltliche Bewertung - GI'!RechtsformAngebot=DD$13,DD55*DI55,IF('Inhaltliche Bewertung - GI'!RechtsformAngebot=DF$13,DF55*DI55,IF('Inhaltliche Bewertung - GI'!RechtsformAngebot=CX$13,CX55*DI55,"")))))</f>
        <v>#N/A</v>
      </c>
      <c r="DL55" s="351"/>
      <c r="DM55" s="361" t="s">
        <v>3340</v>
      </c>
      <c r="DN55" s="367">
        <v>0.4</v>
      </c>
      <c r="DO55" s="368"/>
      <c r="DP55" s="367">
        <v>0.4</v>
      </c>
      <c r="DQ55" s="368"/>
      <c r="DR55" s="367">
        <v>0.4</v>
      </c>
      <c r="DS55" s="368"/>
      <c r="DT55" s="367">
        <v>0.4</v>
      </c>
      <c r="DU55" s="368"/>
      <c r="DV55" s="367">
        <v>0.4</v>
      </c>
      <c r="DW55" s="368"/>
      <c r="DX55" s="368"/>
      <c r="DY55" s="360">
        <v>1</v>
      </c>
      <c r="DZ55" s="351" t="e">
        <f>IF('Inhaltliche Bewertung - GI'!RechtsformGI=DP$13,DP55*DY55,IF('Inhaltliche Bewertung - GI'!RechtsformGI=DR$13,DR55*DY55,IF('Inhaltliche Bewertung - GI'!RechtsformGI=DT$13,DT55*DY55,IF('Inhaltliche Bewertung - GI'!RechtsformGI=DV$13,DV55*DY55,IF('Inhaltliche Bewertung - GI'!RechtsformGI=DN$13,DN55*DY55,"")))))</f>
        <v>#N/A</v>
      </c>
      <c r="EA55" s="351" t="e">
        <f>IF('Inhaltliche Bewertung - GI'!RechtsformAngebot=DP$13,DP55*DY55,IF('Inhaltliche Bewertung - GI'!RechtsformAngebot=DR$13,DR55*DY55,IF('Inhaltliche Bewertung - GI'!RechtsformAngebot=DT$13,DT55*DY55,IF('Inhaltliche Bewertung - GI'!RechtsformAngebot=DV$13,DV55*DY55,IF('Inhaltliche Bewertung - GI'!RechtsformAngebot=DN$13,DN55*DY55,"")))))</f>
        <v>#N/A</v>
      </c>
      <c r="EB55" s="351"/>
      <c r="EC55" s="157">
        <f t="shared" si="1"/>
        <v>0.1</v>
      </c>
      <c r="ED55" s="157">
        <f t="shared" si="2"/>
        <v>0.4</v>
      </c>
      <c r="EE55" s="157">
        <f t="shared" si="3"/>
        <v>0.27499999999999997</v>
      </c>
      <c r="EF55" s="157">
        <f t="shared" si="4"/>
        <v>0.35</v>
      </c>
    </row>
    <row r="56" spans="1:136" ht="14.25" customHeight="1">
      <c r="A56" s="444" t="b">
        <f t="shared" si="0"/>
        <v>0</v>
      </c>
      <c r="B56" s="292"/>
      <c r="C56" s="355" t="s">
        <v>3342</v>
      </c>
      <c r="D56" s="345"/>
      <c r="E56" s="383" t="s">
        <v>3343</v>
      </c>
      <c r="F56" s="362">
        <v>0.8</v>
      </c>
      <c r="G56" s="365"/>
      <c r="H56" s="362">
        <v>0.8</v>
      </c>
      <c r="I56" s="365"/>
      <c r="J56" s="362">
        <v>0.8</v>
      </c>
      <c r="K56" s="365"/>
      <c r="L56" s="362">
        <v>0.8</v>
      </c>
      <c r="M56" s="365"/>
      <c r="N56" s="362">
        <v>0.8</v>
      </c>
      <c r="O56" s="365"/>
      <c r="P56" s="370"/>
      <c r="Q56" s="386" t="s">
        <v>98</v>
      </c>
      <c r="R56" s="351" t="e">
        <f>IF('Inhaltliche Bewertung - GI'!RechtsformGI=H$13,H56*Q56,IF('Inhaltliche Bewertung - GI'!RechtsformGI=J$13,J56*Q56,IF('Inhaltliche Bewertung - GI'!RechtsformGI=L$13,L56*Q56,IF('Inhaltliche Bewertung - GI'!RechtsformGI=N$13,N56*Q56,IF('Inhaltliche Bewertung - GI'!RechtsformGI=F$13,F56*Q56,"")))))</f>
        <v>#N/A</v>
      </c>
      <c r="S56" s="351" t="e">
        <f>IF('Inhaltliche Bewertung - GI'!RechtsformAngebot=H$13,H56*Q56,IF('Inhaltliche Bewertung - GI'!RechtsformAngebot=J$13,J56*Q56,IF('Inhaltliche Bewertung - GI'!RechtsformAngebot=L$13,L56*Q56,IF('Inhaltliche Bewertung - GI'!RechtsformAngebot=N$13,N56*Q56,IF('Inhaltliche Bewertung - GI'!RechtsformAngebot=F$13,F56*Q56,"")))))</f>
        <v>#N/A</v>
      </c>
      <c r="T56" s="351"/>
      <c r="U56" s="387" t="s">
        <v>3344</v>
      </c>
      <c r="V56" s="372">
        <v>0.8</v>
      </c>
      <c r="W56" s="374"/>
      <c r="X56" s="380">
        <v>0.8</v>
      </c>
      <c r="Y56" s="374"/>
      <c r="Z56" s="380">
        <v>0.8</v>
      </c>
      <c r="AA56" s="374"/>
      <c r="AB56" s="380">
        <v>0.8</v>
      </c>
      <c r="AC56" s="374"/>
      <c r="AD56" s="380">
        <v>0.8</v>
      </c>
      <c r="AE56" s="374"/>
      <c r="AF56" s="374"/>
      <c r="AG56" s="386" t="s">
        <v>98</v>
      </c>
      <c r="AH56" s="351" t="e">
        <f>IF('Inhaltliche Bewertung - GI'!RechtsformGI=X$13,X56*AG56,IF('Inhaltliche Bewertung - GI'!RechtsformGI=Z$13,Z56*AG56,IF('Inhaltliche Bewertung - GI'!RechtsformGI=AB$13,AB56*AG56,IF('Inhaltliche Bewertung - GI'!RechtsformGI=AD$13,AD56*AG56,IF('Inhaltliche Bewertung - GI'!RechtsformGI=V$13,V56*AG56,"")))))</f>
        <v>#N/A</v>
      </c>
      <c r="AI56" s="351" t="e">
        <f>IF('Inhaltliche Bewertung - GI'!RechtsformAngebot=X$13,X56*AG56,IF('Inhaltliche Bewertung - GI'!RechtsformAngebot=Z$13,Z56*AG56,IF('Inhaltliche Bewertung - GI'!RechtsformAngebot=AB$13,AB56*AG56,IF('Inhaltliche Bewertung - GI'!RechtsformAngebot=AD$13,AD56*AG56,IF('Inhaltliche Bewertung - GI'!RechtsformAngebot=V$13,V56*AG56,"")))))</f>
        <v>#N/A</v>
      </c>
      <c r="AJ56" s="351"/>
      <c r="AK56" s="387" t="s">
        <v>3345</v>
      </c>
      <c r="AL56" s="372">
        <v>0.8</v>
      </c>
      <c r="AM56" s="358"/>
      <c r="AN56" s="372">
        <v>0.8</v>
      </c>
      <c r="AO56" s="358"/>
      <c r="AP56" s="372">
        <v>0.8</v>
      </c>
      <c r="AQ56" s="358"/>
      <c r="AR56" s="372">
        <v>0.8</v>
      </c>
      <c r="AS56" s="358"/>
      <c r="AT56" s="372">
        <v>0.8</v>
      </c>
      <c r="AU56" s="358"/>
      <c r="AV56" s="358"/>
      <c r="AW56" s="386" t="s">
        <v>98</v>
      </c>
      <c r="AX56" s="351" t="e">
        <f>IF('Inhaltliche Bewertung - GI'!RechtsformGI=AN$13,AN56*AW56,IF('Inhaltliche Bewertung - GI'!RechtsformGI=AP$13,AP56*AW56,IF('Inhaltliche Bewertung - GI'!RechtsformGI=AR$13,AR56*AW56,IF('Inhaltliche Bewertung - GI'!RechtsformGI=AT$13,AT56*AW56,IF('Inhaltliche Bewertung - GI'!RechtsformGI=AL$13,AL56*AW56,"")))))</f>
        <v>#N/A</v>
      </c>
      <c r="AY56" s="351" t="e">
        <f>IF('Inhaltliche Bewertung - GI'!RechtsformAngebot=AN$13,AN56*AW56,IF('Inhaltliche Bewertung - GI'!RechtsformAngebot=AP$13,AP56*AW56,IF('Inhaltliche Bewertung - GI'!RechtsformAngebot=AR$13,AR56*AW56,IF('Inhaltliche Bewertung - GI'!RechtsformAngebot=AT$13,AT56*AW56,IF('Inhaltliche Bewertung - GI'!RechtsformAngebot=AL$13,AL56*AW56,"")))))</f>
        <v>#N/A</v>
      </c>
      <c r="AZ56" s="351"/>
      <c r="BA56" s="383" t="s">
        <v>3346</v>
      </c>
      <c r="BB56" s="366">
        <v>1</v>
      </c>
      <c r="BC56" s="365"/>
      <c r="BD56" s="366">
        <v>1</v>
      </c>
      <c r="BE56" s="365"/>
      <c r="BF56" s="366">
        <v>1</v>
      </c>
      <c r="BG56" s="365"/>
      <c r="BH56" s="366">
        <v>1</v>
      </c>
      <c r="BI56" s="365"/>
      <c r="BJ56" s="366">
        <v>1</v>
      </c>
      <c r="BK56" s="365"/>
      <c r="BL56" s="365"/>
      <c r="BM56" s="386" t="s">
        <v>98</v>
      </c>
      <c r="BN56" s="351" t="e">
        <f>IF('Inhaltliche Bewertung - GI'!RechtsformGI=BD$13,BD56*BM56,IF('Inhaltliche Bewertung - GI'!RechtsformGI=BF$13,BF56*BM56,IF('Inhaltliche Bewertung - GI'!RechtsformGI=BH$13,BH56*BM56,IF('Inhaltliche Bewertung - GI'!RechtsformGI=BJ$13,BJ56*BM56,IF('Inhaltliche Bewertung - GI'!RechtsformGI=BB$13,BB56*BM56,"")))))</f>
        <v>#N/A</v>
      </c>
      <c r="BO56" s="351" t="e">
        <f>IF('Inhaltliche Bewertung - GI'!RechtsformAngebot=BD$13,BD56*BM56,IF('Inhaltliche Bewertung - GI'!RechtsformAngebot=BF$13,BF56*BM56,IF('Inhaltliche Bewertung - GI'!RechtsformAngebot=BH$13,BH56*BM56,IF('Inhaltliche Bewertung - GI'!RechtsformAngebot=BJ$13,BJ56*BM56,IF('Inhaltliche Bewertung - GI'!RechtsformAngebot=BB$13,BB56*BM56,"")))))</f>
        <v>#N/A</v>
      </c>
      <c r="BP56" s="351"/>
      <c r="BQ56" s="383" t="s">
        <v>3347</v>
      </c>
      <c r="BR56" s="367">
        <v>1</v>
      </c>
      <c r="BS56" s="368"/>
      <c r="BT56" s="367">
        <v>1</v>
      </c>
      <c r="BU56" s="368"/>
      <c r="BV56" s="367">
        <v>1</v>
      </c>
      <c r="BW56" s="368"/>
      <c r="BX56" s="367">
        <v>1</v>
      </c>
      <c r="BY56" s="368"/>
      <c r="BZ56" s="367">
        <v>1</v>
      </c>
      <c r="CA56" s="368"/>
      <c r="CB56" s="368"/>
      <c r="CC56" s="386" t="s">
        <v>98</v>
      </c>
      <c r="CD56" s="351" t="e">
        <f>IF('Inhaltliche Bewertung - GI'!RechtsformGI=BT$13,BT56*CC56,IF('Inhaltliche Bewertung - GI'!RechtsformGI=BV$13,BV56*CC56,IF('Inhaltliche Bewertung - GI'!RechtsformGI=BX$13,BX56*CC56,IF('Inhaltliche Bewertung - GI'!RechtsformGI=BZ$13,BZ56*CC56,IF('Inhaltliche Bewertung - GI'!RechtsformGI=BR$13,BR56*CC56,"")))))</f>
        <v>#N/A</v>
      </c>
      <c r="CE56" s="351" t="e">
        <f>IF('Inhaltliche Bewertung - GI'!RechtsformAngebot=BT$13,BT56*CC56,IF('Inhaltliche Bewertung - GI'!RechtsformAngebot=BV$13,BV56*CC56,IF('Inhaltliche Bewertung - GI'!RechtsformAngebot=BX$13,BX56*CC56,IF('Inhaltliche Bewertung - GI'!RechtsformAngebot=BZ$13,BZ56*CC56,IF('Inhaltliche Bewertung - GI'!RechtsformAngebot=BR$13,BR56*CC56,"")))))</f>
        <v>#N/A</v>
      </c>
      <c r="CF56" s="351"/>
      <c r="CG56" s="387" t="s">
        <v>3348</v>
      </c>
      <c r="CH56" s="385">
        <v>0.8</v>
      </c>
      <c r="CI56" s="377"/>
      <c r="CJ56" s="385">
        <v>0.8</v>
      </c>
      <c r="CK56" s="377"/>
      <c r="CL56" s="385">
        <v>0.8</v>
      </c>
      <c r="CM56" s="377"/>
      <c r="CN56" s="385">
        <v>0.8</v>
      </c>
      <c r="CO56" s="377"/>
      <c r="CP56" s="385">
        <v>0.8</v>
      </c>
      <c r="CQ56" s="377"/>
      <c r="CR56" s="377"/>
      <c r="CS56" s="386" t="s">
        <v>98</v>
      </c>
      <c r="CT56" s="351" t="e">
        <f>IF('Inhaltliche Bewertung - GI'!RechtsformGI=CJ$13,CJ56*CS56,IF('Inhaltliche Bewertung - GI'!RechtsformGI=CL$13,CL56*CS56,IF('Inhaltliche Bewertung - GI'!RechtsformGI=CN$13,CN56*CS56,IF('Inhaltliche Bewertung - GI'!RechtsformGI=CP$13,CP56*CS56,IF('Inhaltliche Bewertung - GI'!RechtsformGI=CH$13,CH56*CS56,"")))))</f>
        <v>#N/A</v>
      </c>
      <c r="CU56" s="351" t="e">
        <f>IF('Inhaltliche Bewertung - GI'!RechtsformAngebot=CJ$13,CJ56*CS56,IF('Inhaltliche Bewertung - GI'!RechtsformAngebot=CL$13,CL56*CS56,IF('Inhaltliche Bewertung - GI'!RechtsformAngebot=CN$13,CN56*CS56,IF('Inhaltliche Bewertung - GI'!RechtsformAngebot=CP$13,CP56*CS56,IF('Inhaltliche Bewertung - GI'!RechtsformAngebot=CH$13,CH56*CS56,"")))))</f>
        <v>#N/A</v>
      </c>
      <c r="CV56" s="351"/>
      <c r="CW56" s="387" t="s">
        <v>3349</v>
      </c>
      <c r="CX56" s="385">
        <v>0.8</v>
      </c>
      <c r="CY56" s="377"/>
      <c r="CZ56" s="385">
        <v>0.8</v>
      </c>
      <c r="DA56" s="377"/>
      <c r="DB56" s="385">
        <v>0.8</v>
      </c>
      <c r="DC56" s="377"/>
      <c r="DD56" s="385">
        <v>0.8</v>
      </c>
      <c r="DE56" s="377"/>
      <c r="DF56" s="385">
        <v>0.8</v>
      </c>
      <c r="DG56" s="377"/>
      <c r="DH56" s="377"/>
      <c r="DI56" s="386" t="s">
        <v>98</v>
      </c>
      <c r="DJ56" s="351" t="e">
        <f>IF('Inhaltliche Bewertung - GI'!RechtsformGI=CZ$13,CZ56*DI56,IF('Inhaltliche Bewertung - GI'!RechtsformGI=DB$13,DB56*DI56,IF('Inhaltliche Bewertung - GI'!RechtsformGI=DD$13,DD56*DI56,IF('Inhaltliche Bewertung - GI'!RechtsformGI=DF$13,DF56*DI56,IF('Inhaltliche Bewertung - GI'!RechtsformGI=CX$13,CX56*DI56,"")))))</f>
        <v>#N/A</v>
      </c>
      <c r="DK56" s="351" t="e">
        <f>IF('Inhaltliche Bewertung - GI'!RechtsformAngebot=CZ$13,CZ56*DI56,IF('Inhaltliche Bewertung - GI'!RechtsformAngebot=DB$13,DB56*DI56,IF('Inhaltliche Bewertung - GI'!RechtsformAngebot=DD$13,DD56*DI56,IF('Inhaltliche Bewertung - GI'!RechtsformAngebot=DF$13,DF56*DI56,IF('Inhaltliche Bewertung - GI'!RechtsformAngebot=CX$13,CX56*DI56,"")))))</f>
        <v>#N/A</v>
      </c>
      <c r="DL56" s="351"/>
      <c r="DM56" s="383" t="s">
        <v>3350</v>
      </c>
      <c r="DN56" s="367">
        <v>1</v>
      </c>
      <c r="DO56" s="368"/>
      <c r="DP56" s="367">
        <v>1</v>
      </c>
      <c r="DQ56" s="368"/>
      <c r="DR56" s="367">
        <v>1</v>
      </c>
      <c r="DS56" s="368"/>
      <c r="DT56" s="367">
        <v>1</v>
      </c>
      <c r="DU56" s="368"/>
      <c r="DV56" s="367">
        <v>1</v>
      </c>
      <c r="DW56" s="368"/>
      <c r="DX56" s="368"/>
      <c r="DY56" s="386" t="s">
        <v>98</v>
      </c>
      <c r="DZ56" s="351" t="e">
        <f>IF('Inhaltliche Bewertung - GI'!RechtsformGI=DP$13,DP56*DY56,IF('Inhaltliche Bewertung - GI'!RechtsformGI=DR$13,DR56*DY56,IF('Inhaltliche Bewertung - GI'!RechtsformGI=DT$13,DT56*DY56,IF('Inhaltliche Bewertung - GI'!RechtsformGI=DV$13,DV56*DY56,IF('Inhaltliche Bewertung - GI'!RechtsformGI=DN$13,DN56*DY56,"")))))</f>
        <v>#N/A</v>
      </c>
      <c r="EA56" s="351" t="e">
        <f>IF('Inhaltliche Bewertung - GI'!RechtsformAngebot=DP$13,DP56*DY56,IF('Inhaltliche Bewertung - GI'!RechtsformAngebot=DR$13,DR56*DY56,IF('Inhaltliche Bewertung - GI'!RechtsformAngebot=DT$13,DT56*DY56,IF('Inhaltliche Bewertung - GI'!RechtsformAngebot=DV$13,DV56*DY56,IF('Inhaltliche Bewertung - GI'!RechtsformAngebot=DN$13,DN56*DY56,"")))))</f>
        <v>#N/A</v>
      </c>
      <c r="EB56" s="351"/>
      <c r="EC56" s="157">
        <f t="shared" si="1"/>
        <v>0.8</v>
      </c>
      <c r="ED56" s="157">
        <f t="shared" si="2"/>
        <v>1</v>
      </c>
      <c r="EE56" s="157">
        <f t="shared" si="3"/>
        <v>0.87500000000000022</v>
      </c>
      <c r="EF56" s="157">
        <f t="shared" si="4"/>
        <v>0.8</v>
      </c>
    </row>
    <row r="57" spans="1:136" ht="14.25" customHeight="1">
      <c r="A57" s="444" t="b">
        <f t="shared" si="0"/>
        <v>1</v>
      </c>
      <c r="B57" s="292"/>
      <c r="C57" s="355" t="s">
        <v>3351</v>
      </c>
      <c r="D57" s="345"/>
      <c r="E57" s="371" t="s">
        <v>3352</v>
      </c>
      <c r="F57" s="372">
        <v>0.4</v>
      </c>
      <c r="G57" s="358"/>
      <c r="H57" s="372">
        <v>0.4</v>
      </c>
      <c r="I57" s="358"/>
      <c r="J57" s="372">
        <v>0.4</v>
      </c>
      <c r="K57" s="358"/>
      <c r="L57" s="372">
        <v>0.4</v>
      </c>
      <c r="M57" s="358"/>
      <c r="N57" s="372">
        <v>0.4</v>
      </c>
      <c r="O57" s="358"/>
      <c r="P57" s="359"/>
      <c r="Q57" s="360">
        <v>1</v>
      </c>
      <c r="R57" s="351" t="e">
        <f>IF('Inhaltliche Bewertung - GI'!RechtsformGI=H$13,H57*Q57,IF('Inhaltliche Bewertung - GI'!RechtsformGI=J$13,J57*Q57,IF('Inhaltliche Bewertung - GI'!RechtsformGI=L$13,L57*Q57,IF('Inhaltliche Bewertung - GI'!RechtsformGI=N$13,N57*Q57,IF('Inhaltliche Bewertung - GI'!RechtsformGI=F$13,F57*Q57,"")))))</f>
        <v>#N/A</v>
      </c>
      <c r="S57" s="351" t="e">
        <f>IF('Inhaltliche Bewertung - GI'!RechtsformAngebot=H$13,H57*Q57,IF('Inhaltliche Bewertung - GI'!RechtsformAngebot=J$13,J57*Q57,IF('Inhaltliche Bewertung - GI'!RechtsformAngebot=L$13,L57*Q57,IF('Inhaltliche Bewertung - GI'!RechtsformAngebot=N$13,N57*Q57,IF('Inhaltliche Bewertung - GI'!RechtsformAngebot=F$13,F57*Q57,"")))))</f>
        <v>#N/A</v>
      </c>
      <c r="T57" s="351"/>
      <c r="U57" s="371" t="s">
        <v>3353</v>
      </c>
      <c r="V57" s="372">
        <v>0.4</v>
      </c>
      <c r="W57" s="358"/>
      <c r="X57" s="372">
        <v>0.4</v>
      </c>
      <c r="Y57" s="358"/>
      <c r="Z57" s="372">
        <v>0.4</v>
      </c>
      <c r="AA57" s="358"/>
      <c r="AB57" s="372">
        <v>0.4</v>
      </c>
      <c r="AC57" s="358"/>
      <c r="AD57" s="372">
        <v>0.4</v>
      </c>
      <c r="AE57" s="358"/>
      <c r="AF57" s="359"/>
      <c r="AG57" s="360">
        <v>1</v>
      </c>
      <c r="AH57" s="351" t="e">
        <f>IF('Inhaltliche Bewertung - GI'!RechtsformGI=X$13,X57*AG57,IF('Inhaltliche Bewertung - GI'!RechtsformGI=Z$13,Z57*AG57,IF('Inhaltliche Bewertung - GI'!RechtsformGI=AB$13,AB57*AG57,IF('Inhaltliche Bewertung - GI'!RechtsformGI=AD$13,AD57*AG57,IF('Inhaltliche Bewertung - GI'!RechtsformGI=V$13,V57*AG57,"")))))</f>
        <v>#N/A</v>
      </c>
      <c r="AI57" s="351" t="e">
        <f>IF('Inhaltliche Bewertung - GI'!RechtsformAngebot=X$13,X57*AG57,IF('Inhaltliche Bewertung - GI'!RechtsformAngebot=Z$13,Z57*AG57,IF('Inhaltliche Bewertung - GI'!RechtsformAngebot=AB$13,AB57*AG57,IF('Inhaltliche Bewertung - GI'!RechtsformAngebot=AD$13,AD57*AG57,IF('Inhaltliche Bewertung - GI'!RechtsformAngebot=V$13,V57*AG57,"")))))</f>
        <v>#N/A</v>
      </c>
      <c r="AJ57" s="351"/>
      <c r="AK57" s="361" t="s">
        <v>3354</v>
      </c>
      <c r="AL57" s="372">
        <v>0.4</v>
      </c>
      <c r="AM57" s="358"/>
      <c r="AN57" s="372">
        <v>0.4</v>
      </c>
      <c r="AO57" s="358"/>
      <c r="AP57" s="372">
        <v>0.4</v>
      </c>
      <c r="AQ57" s="358"/>
      <c r="AR57" s="372">
        <v>0.4</v>
      </c>
      <c r="AS57" s="358"/>
      <c r="AT57" s="372">
        <v>0.4</v>
      </c>
      <c r="AU57" s="358"/>
      <c r="AV57" s="359"/>
      <c r="AW57" s="360">
        <v>1</v>
      </c>
      <c r="AX57" s="351" t="e">
        <f>IF('Inhaltliche Bewertung - GI'!RechtsformGI=AN$13,AN57*AW57,IF('Inhaltliche Bewertung - GI'!RechtsformGI=AP$13,AP57*AW57,IF('Inhaltliche Bewertung - GI'!RechtsformGI=AR$13,AR57*AW57,IF('Inhaltliche Bewertung - GI'!RechtsformGI=AT$13,AT57*AW57,IF('Inhaltliche Bewertung - GI'!RechtsformGI=AL$13,AL57*AW57,"")))))</f>
        <v>#N/A</v>
      </c>
      <c r="AY57" s="351" t="e">
        <f>IF('Inhaltliche Bewertung - GI'!RechtsformAngebot=AN$13,AN57*AW57,IF('Inhaltliche Bewertung - GI'!RechtsformAngebot=AP$13,AP57*AW57,IF('Inhaltliche Bewertung - GI'!RechtsformAngebot=AR$13,AR57*AW57,IF('Inhaltliche Bewertung - GI'!RechtsformAngebot=AT$13,AT57*AW57,IF('Inhaltliche Bewertung - GI'!RechtsformAngebot=AL$13,AL57*AW57,"")))))</f>
        <v>#N/A</v>
      </c>
      <c r="AZ57" s="351"/>
      <c r="BA57" s="371" t="s">
        <v>3355</v>
      </c>
      <c r="BB57" s="372">
        <v>0.4</v>
      </c>
      <c r="BC57" s="358"/>
      <c r="BD57" s="372">
        <v>0.4</v>
      </c>
      <c r="BE57" s="358"/>
      <c r="BF57" s="372">
        <v>0.4</v>
      </c>
      <c r="BG57" s="358"/>
      <c r="BH57" s="372">
        <v>0.4</v>
      </c>
      <c r="BI57" s="358"/>
      <c r="BJ57" s="372">
        <v>0.4</v>
      </c>
      <c r="BK57" s="358"/>
      <c r="BL57" s="359"/>
      <c r="BM57" s="360">
        <v>1</v>
      </c>
      <c r="BN57" s="351" t="e">
        <f>IF('Inhaltliche Bewertung - GI'!RechtsformGI=BD$13,BD57*BM57,IF('Inhaltliche Bewertung - GI'!RechtsformGI=BF$13,BF57*BM57,IF('Inhaltliche Bewertung - GI'!RechtsformGI=BH$13,BH57*BM57,IF('Inhaltliche Bewertung - GI'!RechtsformGI=BJ$13,BJ57*BM57,IF('Inhaltliche Bewertung - GI'!RechtsformGI=BB$13,BB57*BM57,"")))))</f>
        <v>#N/A</v>
      </c>
      <c r="BO57" s="351" t="e">
        <f>IF('Inhaltliche Bewertung - GI'!RechtsformAngebot=BD$13,BD57*BM57,IF('Inhaltliche Bewertung - GI'!RechtsformAngebot=BF$13,BF57*BM57,IF('Inhaltliche Bewertung - GI'!RechtsformAngebot=BH$13,BH57*BM57,IF('Inhaltliche Bewertung - GI'!RechtsformAngebot=BJ$13,BJ57*BM57,IF('Inhaltliche Bewertung - GI'!RechtsformAngebot=BB$13,BB57*BM57,"")))))</f>
        <v>#N/A</v>
      </c>
      <c r="BP57" s="351"/>
      <c r="BQ57" s="371" t="s">
        <v>3356</v>
      </c>
      <c r="BR57" s="372">
        <v>0.4</v>
      </c>
      <c r="BS57" s="358"/>
      <c r="BT57" s="372">
        <v>0.4</v>
      </c>
      <c r="BU57" s="358"/>
      <c r="BV57" s="372">
        <v>0.4</v>
      </c>
      <c r="BW57" s="358"/>
      <c r="BX57" s="372">
        <v>0.4</v>
      </c>
      <c r="BY57" s="358"/>
      <c r="BZ57" s="372">
        <v>0.4</v>
      </c>
      <c r="CA57" s="358"/>
      <c r="CB57" s="359"/>
      <c r="CC57" s="360">
        <v>1</v>
      </c>
      <c r="CD57" s="351" t="e">
        <f>IF('Inhaltliche Bewertung - GI'!RechtsformGI=BT$13,BT57*CC57,IF('Inhaltliche Bewertung - GI'!RechtsformGI=BV$13,BV57*CC57,IF('Inhaltliche Bewertung - GI'!RechtsformGI=BX$13,BX57*CC57,IF('Inhaltliche Bewertung - GI'!RechtsformGI=BZ$13,BZ57*CC57,IF('Inhaltliche Bewertung - GI'!RechtsformGI=BR$13,BR57*CC57,"")))))</f>
        <v>#N/A</v>
      </c>
      <c r="CE57" s="351" t="e">
        <f>IF('Inhaltliche Bewertung - GI'!RechtsformAngebot=BT$13,BT57*CC57,IF('Inhaltliche Bewertung - GI'!RechtsformAngebot=BV$13,BV57*CC57,IF('Inhaltliche Bewertung - GI'!RechtsformAngebot=BX$13,BX57*CC57,IF('Inhaltliche Bewertung - GI'!RechtsformAngebot=BZ$13,BZ57*CC57,IF('Inhaltliche Bewertung - GI'!RechtsformAngebot=BR$13,BR57*CC57,"")))))</f>
        <v>#N/A</v>
      </c>
      <c r="CF57" s="351"/>
      <c r="CG57" s="371" t="s">
        <v>3356</v>
      </c>
      <c r="CH57" s="372">
        <v>0.4</v>
      </c>
      <c r="CI57" s="358"/>
      <c r="CJ57" s="372">
        <v>0.4</v>
      </c>
      <c r="CK57" s="358"/>
      <c r="CL57" s="372">
        <v>0.4</v>
      </c>
      <c r="CM57" s="358"/>
      <c r="CN57" s="372">
        <v>0.4</v>
      </c>
      <c r="CO57" s="358"/>
      <c r="CP57" s="372">
        <v>0.4</v>
      </c>
      <c r="CQ57" s="358"/>
      <c r="CR57" s="359"/>
      <c r="CS57" s="360">
        <v>1</v>
      </c>
      <c r="CT57" s="351" t="e">
        <f>IF('Inhaltliche Bewertung - GI'!RechtsformGI=CJ$13,CJ57*CS57,IF('Inhaltliche Bewertung - GI'!RechtsformGI=CL$13,CL57*CS57,IF('Inhaltliche Bewertung - GI'!RechtsformGI=CN$13,CN57*CS57,IF('Inhaltliche Bewertung - GI'!RechtsformGI=CP$13,CP57*CS57,IF('Inhaltliche Bewertung - GI'!RechtsformGI=CH$13,CH57*CS57,"")))))</f>
        <v>#N/A</v>
      </c>
      <c r="CU57" s="351" t="e">
        <f>IF('Inhaltliche Bewertung - GI'!RechtsformAngebot=CJ$13,CJ57*CS57,IF('Inhaltliche Bewertung - GI'!RechtsformAngebot=CL$13,CL57*CS57,IF('Inhaltliche Bewertung - GI'!RechtsformAngebot=CN$13,CN57*CS57,IF('Inhaltliche Bewertung - GI'!RechtsformAngebot=CP$13,CP57*CS57,IF('Inhaltliche Bewertung - GI'!RechtsformAngebot=CH$13,CH57*CS57,"")))))</f>
        <v>#N/A</v>
      </c>
      <c r="CV57" s="351"/>
      <c r="CW57" s="371" t="s">
        <v>3356</v>
      </c>
      <c r="CX57" s="372">
        <v>0.4</v>
      </c>
      <c r="CY57" s="358"/>
      <c r="CZ57" s="372">
        <v>0.4</v>
      </c>
      <c r="DA57" s="358"/>
      <c r="DB57" s="372">
        <v>0.4</v>
      </c>
      <c r="DC57" s="358"/>
      <c r="DD57" s="372">
        <v>0.4</v>
      </c>
      <c r="DE57" s="358"/>
      <c r="DF57" s="372">
        <v>0.4</v>
      </c>
      <c r="DG57" s="358"/>
      <c r="DH57" s="359"/>
      <c r="DI57" s="360">
        <v>1</v>
      </c>
      <c r="DJ57" s="351" t="e">
        <f>IF('Inhaltliche Bewertung - GI'!RechtsformGI=CZ$13,CZ57*DI57,IF('Inhaltliche Bewertung - GI'!RechtsformGI=DB$13,DB57*DI57,IF('Inhaltliche Bewertung - GI'!RechtsformGI=DD$13,DD57*DI57,IF('Inhaltliche Bewertung - GI'!RechtsformGI=DF$13,DF57*DI57,IF('Inhaltliche Bewertung - GI'!RechtsformGI=CX$13,CX57*DI57,"")))))</f>
        <v>#N/A</v>
      </c>
      <c r="DK57" s="351" t="e">
        <f>IF('Inhaltliche Bewertung - GI'!RechtsformAngebot=CZ$13,CZ57*DI57,IF('Inhaltliche Bewertung - GI'!RechtsformAngebot=DB$13,DB57*DI57,IF('Inhaltliche Bewertung - GI'!RechtsformAngebot=DD$13,DD57*DI57,IF('Inhaltliche Bewertung - GI'!RechtsformAngebot=DF$13,DF57*DI57,IF('Inhaltliche Bewertung - GI'!RechtsformAngebot=CX$13,CX57*DI57,"")))))</f>
        <v>#N/A</v>
      </c>
      <c r="DL57" s="351"/>
      <c r="DM57" s="361" t="s">
        <v>3357</v>
      </c>
      <c r="DN57" s="372">
        <v>0.4</v>
      </c>
      <c r="DO57" s="358"/>
      <c r="DP57" s="372">
        <v>0.4</v>
      </c>
      <c r="DQ57" s="358"/>
      <c r="DR57" s="372">
        <v>0.4</v>
      </c>
      <c r="DS57" s="358"/>
      <c r="DT57" s="372">
        <v>0.4</v>
      </c>
      <c r="DU57" s="358"/>
      <c r="DV57" s="372">
        <v>0.4</v>
      </c>
      <c r="DW57" s="358"/>
      <c r="DX57" s="359"/>
      <c r="DY57" s="360">
        <v>1</v>
      </c>
      <c r="DZ57" s="351" t="e">
        <f>IF('Inhaltliche Bewertung - GI'!RechtsformGI=DP$13,DP57*DY57,IF('Inhaltliche Bewertung - GI'!RechtsformGI=DR$13,DR57*DY57,IF('Inhaltliche Bewertung - GI'!RechtsformGI=DT$13,DT57*DY57,IF('Inhaltliche Bewertung - GI'!RechtsformGI=DV$13,DV57*DY57,IF('Inhaltliche Bewertung - GI'!RechtsformGI=DN$13,DN57*DY57,"")))))</f>
        <v>#N/A</v>
      </c>
      <c r="EA57" s="351" t="e">
        <f>IF('Inhaltliche Bewertung - GI'!RechtsformAngebot=DP$13,DP57*DY57,IF('Inhaltliche Bewertung - GI'!RechtsformAngebot=DR$13,DR57*DY57,IF('Inhaltliche Bewertung - GI'!RechtsformAngebot=DT$13,DT57*DY57,IF('Inhaltliche Bewertung - GI'!RechtsformAngebot=DV$13,DV57*DY57,IF('Inhaltliche Bewertung - GI'!RechtsformAngebot=DN$13,DN57*DY57,"")))))</f>
        <v>#N/A</v>
      </c>
      <c r="EB57" s="351"/>
      <c r="EC57" s="157">
        <f t="shared" si="1"/>
        <v>0.4</v>
      </c>
      <c r="ED57" s="157">
        <f t="shared" si="2"/>
        <v>0.4</v>
      </c>
      <c r="EE57" s="157">
        <f t="shared" si="3"/>
        <v>0.40000000000000019</v>
      </c>
      <c r="EF57" s="157">
        <f t="shared" si="4"/>
        <v>0.4</v>
      </c>
    </row>
    <row r="58" spans="1:136" ht="14.25" customHeight="1">
      <c r="A58" s="444" t="b">
        <f t="shared" si="0"/>
        <v>0</v>
      </c>
      <c r="B58" s="292"/>
      <c r="C58" s="355" t="s">
        <v>3358</v>
      </c>
      <c r="D58" s="345"/>
      <c r="E58" s="361" t="s">
        <v>3359</v>
      </c>
      <c r="F58" s="362">
        <v>0.6</v>
      </c>
      <c r="G58" s="365"/>
      <c r="H58" s="362">
        <v>0.6</v>
      </c>
      <c r="I58" s="365"/>
      <c r="J58" s="362">
        <v>0.6</v>
      </c>
      <c r="K58" s="365"/>
      <c r="L58" s="362">
        <v>0.6</v>
      </c>
      <c r="M58" s="365"/>
      <c r="N58" s="362">
        <v>0.6</v>
      </c>
      <c r="O58" s="365"/>
      <c r="P58" s="370"/>
      <c r="Q58" s="360">
        <v>1</v>
      </c>
      <c r="R58" s="351" t="e">
        <f>IF('Inhaltliche Bewertung - GI'!RechtsformGI=H$13,H58*Q58,IF('Inhaltliche Bewertung - GI'!RechtsformGI=J$13,J58*Q58,IF('Inhaltliche Bewertung - GI'!RechtsformGI=L$13,L58*Q58,IF('Inhaltliche Bewertung - GI'!RechtsformGI=N$13,N58*Q58,IF('Inhaltliche Bewertung - GI'!RechtsformGI=F$13,F58*Q58,"")))))</f>
        <v>#N/A</v>
      </c>
      <c r="S58" s="351" t="e">
        <f>IF('Inhaltliche Bewertung - GI'!RechtsformAngebot=H$13,H58*Q58,IF('Inhaltliche Bewertung - GI'!RechtsformAngebot=J$13,J58*Q58,IF('Inhaltliche Bewertung - GI'!RechtsformAngebot=L$13,L58*Q58,IF('Inhaltliche Bewertung - GI'!RechtsformAngebot=N$13,N58*Q58,IF('Inhaltliche Bewertung - GI'!RechtsformAngebot=F$13,F58*Q58,"")))))</f>
        <v>#N/A</v>
      </c>
      <c r="T58" s="351"/>
      <c r="U58" s="371" t="s">
        <v>3360</v>
      </c>
      <c r="V58" s="362">
        <v>0.8</v>
      </c>
      <c r="W58" s="365"/>
      <c r="X58" s="362">
        <v>0.8</v>
      </c>
      <c r="Y58" s="365"/>
      <c r="Z58" s="362">
        <v>0.8</v>
      </c>
      <c r="AA58" s="365"/>
      <c r="AB58" s="362">
        <v>0.8</v>
      </c>
      <c r="AC58" s="365"/>
      <c r="AD58" s="362">
        <v>0.8</v>
      </c>
      <c r="AE58" s="365"/>
      <c r="AF58" s="370"/>
      <c r="AG58" s="360">
        <v>1</v>
      </c>
      <c r="AH58" s="351" t="e">
        <f>IF('Inhaltliche Bewertung - GI'!RechtsformGI=X$13,X58*AG58,IF('Inhaltliche Bewertung - GI'!RechtsformGI=Z$13,Z58*AG58,IF('Inhaltliche Bewertung - GI'!RechtsformGI=AB$13,AB58*AG58,IF('Inhaltliche Bewertung - GI'!RechtsformGI=AD$13,AD58*AG58,IF('Inhaltliche Bewertung - GI'!RechtsformGI=V$13,V58*AG58,"")))))</f>
        <v>#N/A</v>
      </c>
      <c r="AI58" s="351" t="e">
        <f>IF('Inhaltliche Bewertung - GI'!RechtsformAngebot=X$13,X58*AG58,IF('Inhaltliche Bewertung - GI'!RechtsformAngebot=Z$13,Z58*AG58,IF('Inhaltliche Bewertung - GI'!RechtsformAngebot=AB$13,AB58*AG58,IF('Inhaltliche Bewertung - GI'!RechtsformAngebot=AD$13,AD58*AG58,IF('Inhaltliche Bewertung - GI'!RechtsformAngebot=V$13,V58*AG58,"")))))</f>
        <v>#N/A</v>
      </c>
      <c r="AJ58" s="351"/>
      <c r="AK58" s="371" t="s">
        <v>3361</v>
      </c>
      <c r="AL58" s="362">
        <v>0.8</v>
      </c>
      <c r="AM58" s="365"/>
      <c r="AN58" s="362">
        <v>0.8</v>
      </c>
      <c r="AO58" s="365"/>
      <c r="AP58" s="362">
        <v>0.8</v>
      </c>
      <c r="AQ58" s="365"/>
      <c r="AR58" s="362">
        <v>0.8</v>
      </c>
      <c r="AS58" s="365"/>
      <c r="AT58" s="362">
        <v>0.8</v>
      </c>
      <c r="AU58" s="365"/>
      <c r="AV58" s="370"/>
      <c r="AW58" s="360">
        <v>1</v>
      </c>
      <c r="AX58" s="351" t="e">
        <f>IF('Inhaltliche Bewertung - GI'!RechtsformGI=AN$13,AN58*AW58,IF('Inhaltliche Bewertung - GI'!RechtsformGI=AP$13,AP58*AW58,IF('Inhaltliche Bewertung - GI'!RechtsformGI=AR$13,AR58*AW58,IF('Inhaltliche Bewertung - GI'!RechtsformGI=AT$13,AT58*AW58,IF('Inhaltliche Bewertung - GI'!RechtsformGI=AL$13,AL58*AW58,"")))))</f>
        <v>#N/A</v>
      </c>
      <c r="AY58" s="351" t="e">
        <f>IF('Inhaltliche Bewertung - GI'!RechtsformAngebot=AN$13,AN58*AW58,IF('Inhaltliche Bewertung - GI'!RechtsformAngebot=AP$13,AP58*AW58,IF('Inhaltliche Bewertung - GI'!RechtsformAngebot=AR$13,AR58*AW58,IF('Inhaltliche Bewertung - GI'!RechtsformAngebot=AT$13,AT58*AW58,IF('Inhaltliche Bewertung - GI'!RechtsformAngebot=AL$13,AL58*AW58,"")))))</f>
        <v>#N/A</v>
      </c>
      <c r="AZ58" s="351"/>
      <c r="BA58" s="371" t="s">
        <v>3362</v>
      </c>
      <c r="BB58" s="362">
        <v>0.8</v>
      </c>
      <c r="BC58" s="365"/>
      <c r="BD58" s="362">
        <v>0.8</v>
      </c>
      <c r="BE58" s="365"/>
      <c r="BF58" s="362">
        <v>0.8</v>
      </c>
      <c r="BG58" s="365"/>
      <c r="BH58" s="362">
        <v>0.8</v>
      </c>
      <c r="BI58" s="365"/>
      <c r="BJ58" s="362">
        <v>0.8</v>
      </c>
      <c r="BK58" s="365"/>
      <c r="BL58" s="370"/>
      <c r="BM58" s="360">
        <v>1</v>
      </c>
      <c r="BN58" s="351" t="e">
        <f>IF('Inhaltliche Bewertung - GI'!RechtsformGI=BD$13,BD58*BM58,IF('Inhaltliche Bewertung - GI'!RechtsformGI=BF$13,BF58*BM58,IF('Inhaltliche Bewertung - GI'!RechtsformGI=BH$13,BH58*BM58,IF('Inhaltliche Bewertung - GI'!RechtsformGI=BJ$13,BJ58*BM58,IF('Inhaltliche Bewertung - GI'!RechtsformGI=BB$13,BB58*BM58,"")))))</f>
        <v>#N/A</v>
      </c>
      <c r="BO58" s="351" t="e">
        <f>IF('Inhaltliche Bewertung - GI'!RechtsformAngebot=BD$13,BD58*BM58,IF('Inhaltliche Bewertung - GI'!RechtsformAngebot=BF$13,BF58*BM58,IF('Inhaltliche Bewertung - GI'!RechtsformAngebot=BH$13,BH58*BM58,IF('Inhaltliche Bewertung - GI'!RechtsformAngebot=BJ$13,BJ58*BM58,IF('Inhaltliche Bewertung - GI'!RechtsformAngebot=BB$13,BB58*BM58,"")))))</f>
        <v>#N/A</v>
      </c>
      <c r="BP58" s="351"/>
      <c r="BQ58" s="371" t="s">
        <v>3363</v>
      </c>
      <c r="BR58" s="362">
        <v>0.8</v>
      </c>
      <c r="BS58" s="365"/>
      <c r="BT58" s="362">
        <v>0.8</v>
      </c>
      <c r="BU58" s="365"/>
      <c r="BV58" s="362">
        <v>0.8</v>
      </c>
      <c r="BW58" s="365"/>
      <c r="BX58" s="362">
        <v>0.8</v>
      </c>
      <c r="BY58" s="365"/>
      <c r="BZ58" s="362">
        <v>0.8</v>
      </c>
      <c r="CA58" s="365"/>
      <c r="CB58" s="370"/>
      <c r="CC58" s="360">
        <v>1</v>
      </c>
      <c r="CD58" s="351" t="e">
        <f>IF('Inhaltliche Bewertung - GI'!RechtsformGI=BT$13,BT58*CC58,IF('Inhaltliche Bewertung - GI'!RechtsformGI=BV$13,BV58*CC58,IF('Inhaltliche Bewertung - GI'!RechtsformGI=BX$13,BX58*CC58,IF('Inhaltliche Bewertung - GI'!RechtsformGI=BZ$13,BZ58*CC58,IF('Inhaltliche Bewertung - GI'!RechtsformGI=BR$13,BR58*CC58,"")))))</f>
        <v>#N/A</v>
      </c>
      <c r="CE58" s="351" t="e">
        <f>IF('Inhaltliche Bewertung - GI'!RechtsformAngebot=BT$13,BT58*CC58,IF('Inhaltliche Bewertung - GI'!RechtsformAngebot=BV$13,BV58*CC58,IF('Inhaltliche Bewertung - GI'!RechtsformAngebot=BX$13,BX58*CC58,IF('Inhaltliche Bewertung - GI'!RechtsformAngebot=BZ$13,BZ58*CC58,IF('Inhaltliche Bewertung - GI'!RechtsformAngebot=BR$13,BR58*CC58,"")))))</f>
        <v>#N/A</v>
      </c>
      <c r="CF58" s="351"/>
      <c r="CG58" s="371" t="s">
        <v>3364</v>
      </c>
      <c r="CH58" s="362">
        <v>0.8</v>
      </c>
      <c r="CI58" s="365"/>
      <c r="CJ58" s="362">
        <v>0.8</v>
      </c>
      <c r="CK58" s="365"/>
      <c r="CL58" s="362">
        <v>0.8</v>
      </c>
      <c r="CM58" s="365"/>
      <c r="CN58" s="362">
        <v>0.8</v>
      </c>
      <c r="CO58" s="365"/>
      <c r="CP58" s="362">
        <v>0.8</v>
      </c>
      <c r="CQ58" s="365"/>
      <c r="CR58" s="370"/>
      <c r="CS58" s="360">
        <v>1</v>
      </c>
      <c r="CT58" s="351" t="e">
        <f>IF('Inhaltliche Bewertung - GI'!RechtsformGI=CJ$13,CJ58*CS58,IF('Inhaltliche Bewertung - GI'!RechtsformGI=CL$13,CL58*CS58,IF('Inhaltliche Bewertung - GI'!RechtsformGI=CN$13,CN58*CS58,IF('Inhaltliche Bewertung - GI'!RechtsformGI=CP$13,CP58*CS58,IF('Inhaltliche Bewertung - GI'!RechtsformGI=CH$13,CH58*CS58,"")))))</f>
        <v>#N/A</v>
      </c>
      <c r="CU58" s="351" t="e">
        <f>IF('Inhaltliche Bewertung - GI'!RechtsformAngebot=CJ$13,CJ58*CS58,IF('Inhaltliche Bewertung - GI'!RechtsformAngebot=CL$13,CL58*CS58,IF('Inhaltliche Bewertung - GI'!RechtsformAngebot=CN$13,CN58*CS58,IF('Inhaltliche Bewertung - GI'!RechtsformAngebot=CP$13,CP58*CS58,IF('Inhaltliche Bewertung - GI'!RechtsformAngebot=CH$13,CH58*CS58,"")))))</f>
        <v>#N/A</v>
      </c>
      <c r="CV58" s="351"/>
      <c r="CW58" s="371" t="s">
        <v>3361</v>
      </c>
      <c r="CX58" s="362">
        <v>0.8</v>
      </c>
      <c r="CY58" s="365"/>
      <c r="CZ58" s="362">
        <v>0.8</v>
      </c>
      <c r="DA58" s="365"/>
      <c r="DB58" s="362">
        <v>0.8</v>
      </c>
      <c r="DC58" s="365"/>
      <c r="DD58" s="362">
        <v>0.8</v>
      </c>
      <c r="DE58" s="365"/>
      <c r="DF58" s="362">
        <v>0.8</v>
      </c>
      <c r="DG58" s="365"/>
      <c r="DH58" s="370"/>
      <c r="DI58" s="360">
        <v>1</v>
      </c>
      <c r="DJ58" s="351" t="e">
        <f>IF('Inhaltliche Bewertung - GI'!RechtsformGI=CZ$13,CZ58*DI58,IF('Inhaltliche Bewertung - GI'!RechtsformGI=DB$13,DB58*DI58,IF('Inhaltliche Bewertung - GI'!RechtsformGI=DD$13,DD58*DI58,IF('Inhaltliche Bewertung - GI'!RechtsformGI=DF$13,DF58*DI58,IF('Inhaltliche Bewertung - GI'!RechtsformGI=CX$13,CX58*DI58,"")))))</f>
        <v>#N/A</v>
      </c>
      <c r="DK58" s="351" t="e">
        <f>IF('Inhaltliche Bewertung - GI'!RechtsformAngebot=CZ$13,CZ58*DI58,IF('Inhaltliche Bewertung - GI'!RechtsformAngebot=DB$13,DB58*DI58,IF('Inhaltliche Bewertung - GI'!RechtsformAngebot=DD$13,DD58*DI58,IF('Inhaltliche Bewertung - GI'!RechtsformAngebot=DF$13,DF58*DI58,IF('Inhaltliche Bewertung - GI'!RechtsformAngebot=CX$13,CX58*DI58,"")))))</f>
        <v>#N/A</v>
      </c>
      <c r="DL58" s="351"/>
      <c r="DM58" s="371" t="s">
        <v>3361</v>
      </c>
      <c r="DN58" s="362">
        <v>0.8</v>
      </c>
      <c r="DO58" s="365"/>
      <c r="DP58" s="362">
        <v>0.8</v>
      </c>
      <c r="DQ58" s="365"/>
      <c r="DR58" s="362">
        <v>0.8</v>
      </c>
      <c r="DS58" s="365"/>
      <c r="DT58" s="362">
        <v>0.8</v>
      </c>
      <c r="DU58" s="365"/>
      <c r="DV58" s="362">
        <v>0.8</v>
      </c>
      <c r="DW58" s="365"/>
      <c r="DX58" s="370"/>
      <c r="DY58" s="360">
        <v>1</v>
      </c>
      <c r="DZ58" s="351" t="e">
        <f>IF('Inhaltliche Bewertung - GI'!RechtsformGI=DP$13,DP58*DY58,IF('Inhaltliche Bewertung - GI'!RechtsformGI=DR$13,DR58*DY58,IF('Inhaltliche Bewertung - GI'!RechtsformGI=DT$13,DT58*DY58,IF('Inhaltliche Bewertung - GI'!RechtsformGI=DV$13,DV58*DY58,IF('Inhaltliche Bewertung - GI'!RechtsformGI=DN$13,DN58*DY58,"")))))</f>
        <v>#N/A</v>
      </c>
      <c r="EA58" s="351" t="e">
        <f>IF('Inhaltliche Bewertung - GI'!RechtsformAngebot=DP$13,DP58*DY58,IF('Inhaltliche Bewertung - GI'!RechtsformAngebot=DR$13,DR58*DY58,IF('Inhaltliche Bewertung - GI'!RechtsformAngebot=DT$13,DT58*DY58,IF('Inhaltliche Bewertung - GI'!RechtsformAngebot=DV$13,DV58*DY58,IF('Inhaltliche Bewertung - GI'!RechtsformAngebot=DN$13,DN58*DY58,"")))))</f>
        <v>#N/A</v>
      </c>
      <c r="EB58" s="351"/>
      <c r="EC58" s="157">
        <f t="shared" si="1"/>
        <v>0.6</v>
      </c>
      <c r="ED58" s="157">
        <f t="shared" si="2"/>
        <v>0.8</v>
      </c>
      <c r="EE58" s="157">
        <f t="shared" si="3"/>
        <v>0.77500000000000047</v>
      </c>
      <c r="EF58" s="157">
        <f t="shared" si="4"/>
        <v>0.8</v>
      </c>
    </row>
    <row r="59" spans="1:136" ht="14.25" customHeight="1">
      <c r="A59" s="444" t="b">
        <f t="shared" si="0"/>
        <v>1</v>
      </c>
      <c r="B59" s="292"/>
      <c r="C59" s="355" t="s">
        <v>3365</v>
      </c>
      <c r="D59" s="345"/>
      <c r="E59" s="361" t="s">
        <v>3366</v>
      </c>
      <c r="F59" s="362">
        <v>0.5</v>
      </c>
      <c r="G59" s="365"/>
      <c r="H59" s="362">
        <v>0.5</v>
      </c>
      <c r="I59" s="365"/>
      <c r="J59" s="362">
        <v>0.5</v>
      </c>
      <c r="K59" s="365"/>
      <c r="L59" s="362">
        <v>0.5</v>
      </c>
      <c r="M59" s="365"/>
      <c r="N59" s="362">
        <v>0.5</v>
      </c>
      <c r="O59" s="365"/>
      <c r="P59" s="370"/>
      <c r="Q59" s="360">
        <v>1</v>
      </c>
      <c r="R59" s="351" t="e">
        <f>IF('Inhaltliche Bewertung - GI'!RechtsformGI=H$13,H59*Q59,IF('Inhaltliche Bewertung - GI'!RechtsformGI=J$13,J59*Q59,IF('Inhaltliche Bewertung - GI'!RechtsformGI=L$13,L59*Q59,IF('Inhaltliche Bewertung - GI'!RechtsformGI=N$13,N59*Q59,IF('Inhaltliche Bewertung - GI'!RechtsformGI=F$13,F59*Q59,"")))))</f>
        <v>#N/A</v>
      </c>
      <c r="S59" s="351" t="e">
        <f>IF('Inhaltliche Bewertung - GI'!RechtsformAngebot=H$13,H59*Q59,IF('Inhaltliche Bewertung - GI'!RechtsformAngebot=J$13,J59*Q59,IF('Inhaltliche Bewertung - GI'!RechtsformAngebot=L$13,L59*Q59,IF('Inhaltliche Bewertung - GI'!RechtsformAngebot=N$13,N59*Q59,IF('Inhaltliche Bewertung - GI'!RechtsformAngebot=F$13,F59*Q59,"")))))</f>
        <v>#N/A</v>
      </c>
      <c r="T59" s="351"/>
      <c r="U59" s="361" t="s">
        <v>3366</v>
      </c>
      <c r="V59" s="362">
        <v>0.5</v>
      </c>
      <c r="W59" s="365"/>
      <c r="X59" s="362">
        <v>0.5</v>
      </c>
      <c r="Y59" s="365"/>
      <c r="Z59" s="362">
        <v>0.5</v>
      </c>
      <c r="AA59" s="365"/>
      <c r="AB59" s="362">
        <v>0.5</v>
      </c>
      <c r="AC59" s="365"/>
      <c r="AD59" s="362">
        <v>0.5</v>
      </c>
      <c r="AE59" s="365"/>
      <c r="AF59" s="370"/>
      <c r="AG59" s="360">
        <v>1</v>
      </c>
      <c r="AH59" s="351" t="e">
        <f>IF('Inhaltliche Bewertung - GI'!RechtsformGI=X$13,X59*AG59,IF('Inhaltliche Bewertung - GI'!RechtsformGI=Z$13,Z59*AG59,IF('Inhaltliche Bewertung - GI'!RechtsformGI=AB$13,AB59*AG59,IF('Inhaltliche Bewertung - GI'!RechtsformGI=AD$13,AD59*AG59,IF('Inhaltliche Bewertung - GI'!RechtsformGI=V$13,V59*AG59,"")))))</f>
        <v>#N/A</v>
      </c>
      <c r="AI59" s="351" t="e">
        <f>IF('Inhaltliche Bewertung - GI'!RechtsformAngebot=X$13,X59*AG59,IF('Inhaltliche Bewertung - GI'!RechtsformAngebot=Z$13,Z59*AG59,IF('Inhaltliche Bewertung - GI'!RechtsformAngebot=AB$13,AB59*AG59,IF('Inhaltliche Bewertung - GI'!RechtsformAngebot=AD$13,AD59*AG59,IF('Inhaltliche Bewertung - GI'!RechtsformAngebot=V$13,V59*AG59,"")))))</f>
        <v>#N/A</v>
      </c>
      <c r="AJ59" s="351"/>
      <c r="AK59" s="361" t="s">
        <v>3366</v>
      </c>
      <c r="AL59" s="362">
        <v>0.5</v>
      </c>
      <c r="AM59" s="365"/>
      <c r="AN59" s="362">
        <v>0.5</v>
      </c>
      <c r="AO59" s="365"/>
      <c r="AP59" s="362">
        <v>0.5</v>
      </c>
      <c r="AQ59" s="365"/>
      <c r="AR59" s="362">
        <v>0.5</v>
      </c>
      <c r="AS59" s="365"/>
      <c r="AT59" s="362">
        <v>0.5</v>
      </c>
      <c r="AU59" s="365"/>
      <c r="AV59" s="370"/>
      <c r="AW59" s="360">
        <v>1</v>
      </c>
      <c r="AX59" s="351" t="e">
        <f>IF('Inhaltliche Bewertung - GI'!RechtsformGI=AN$13,AN59*AW59,IF('Inhaltliche Bewertung - GI'!RechtsformGI=AP$13,AP59*AW59,IF('Inhaltliche Bewertung - GI'!RechtsformGI=AR$13,AR59*AW59,IF('Inhaltliche Bewertung - GI'!RechtsformGI=AT$13,AT59*AW59,IF('Inhaltliche Bewertung - GI'!RechtsformGI=AL$13,AL59*AW59,"")))))</f>
        <v>#N/A</v>
      </c>
      <c r="AY59" s="351" t="e">
        <f>IF('Inhaltliche Bewertung - GI'!RechtsformAngebot=AN$13,AN59*AW59,IF('Inhaltliche Bewertung - GI'!RechtsformAngebot=AP$13,AP59*AW59,IF('Inhaltliche Bewertung - GI'!RechtsformAngebot=AR$13,AR59*AW59,IF('Inhaltliche Bewertung - GI'!RechtsformAngebot=AT$13,AT59*AW59,IF('Inhaltliche Bewertung - GI'!RechtsformAngebot=AL$13,AL59*AW59,"")))))</f>
        <v>#N/A</v>
      </c>
      <c r="AZ59" s="351"/>
      <c r="BA59" s="361" t="s">
        <v>3366</v>
      </c>
      <c r="BB59" s="362">
        <v>0.5</v>
      </c>
      <c r="BC59" s="365"/>
      <c r="BD59" s="362">
        <v>0.5</v>
      </c>
      <c r="BE59" s="365"/>
      <c r="BF59" s="362">
        <v>0.5</v>
      </c>
      <c r="BG59" s="365"/>
      <c r="BH59" s="362">
        <v>0.5</v>
      </c>
      <c r="BI59" s="365"/>
      <c r="BJ59" s="362">
        <v>0.5</v>
      </c>
      <c r="BK59" s="365"/>
      <c r="BL59" s="370"/>
      <c r="BM59" s="360">
        <v>1</v>
      </c>
      <c r="BN59" s="351" t="e">
        <f>IF('Inhaltliche Bewertung - GI'!RechtsformGI=BD$13,BD59*BM59,IF('Inhaltliche Bewertung - GI'!RechtsformGI=BF$13,BF59*BM59,IF('Inhaltliche Bewertung - GI'!RechtsformGI=BH$13,BH59*BM59,IF('Inhaltliche Bewertung - GI'!RechtsformGI=BJ$13,BJ59*BM59,IF('Inhaltliche Bewertung - GI'!RechtsformGI=BB$13,BB59*BM59,"")))))</f>
        <v>#N/A</v>
      </c>
      <c r="BO59" s="351" t="e">
        <f>IF('Inhaltliche Bewertung - GI'!RechtsformAngebot=BD$13,BD59*BM59,IF('Inhaltliche Bewertung - GI'!RechtsformAngebot=BF$13,BF59*BM59,IF('Inhaltliche Bewertung - GI'!RechtsformAngebot=BH$13,BH59*BM59,IF('Inhaltliche Bewertung - GI'!RechtsformAngebot=BJ$13,BJ59*BM59,IF('Inhaltliche Bewertung - GI'!RechtsformAngebot=BB$13,BB59*BM59,"")))))</f>
        <v>#N/A</v>
      </c>
      <c r="BP59" s="351"/>
      <c r="BQ59" s="361" t="s">
        <v>3366</v>
      </c>
      <c r="BR59" s="362">
        <v>0.5</v>
      </c>
      <c r="BS59" s="365"/>
      <c r="BT59" s="362">
        <v>0.5</v>
      </c>
      <c r="BU59" s="365"/>
      <c r="BV59" s="362">
        <v>0.5</v>
      </c>
      <c r="BW59" s="365"/>
      <c r="BX59" s="362">
        <v>0.5</v>
      </c>
      <c r="BY59" s="365"/>
      <c r="BZ59" s="362">
        <v>0.5</v>
      </c>
      <c r="CA59" s="365"/>
      <c r="CB59" s="370"/>
      <c r="CC59" s="360">
        <v>1</v>
      </c>
      <c r="CD59" s="351" t="e">
        <f>IF('Inhaltliche Bewertung - GI'!RechtsformGI=BT$13,BT59*CC59,IF('Inhaltliche Bewertung - GI'!RechtsformGI=BV$13,BV59*CC59,IF('Inhaltliche Bewertung - GI'!RechtsformGI=BX$13,BX59*CC59,IF('Inhaltliche Bewertung - GI'!RechtsformGI=BZ$13,BZ59*CC59,IF('Inhaltliche Bewertung - GI'!RechtsformGI=BR$13,BR59*CC59,"")))))</f>
        <v>#N/A</v>
      </c>
      <c r="CE59" s="351" t="e">
        <f>IF('Inhaltliche Bewertung - GI'!RechtsformAngebot=BT$13,BT59*CC59,IF('Inhaltliche Bewertung - GI'!RechtsformAngebot=BV$13,BV59*CC59,IF('Inhaltliche Bewertung - GI'!RechtsformAngebot=BX$13,BX59*CC59,IF('Inhaltliche Bewertung - GI'!RechtsformAngebot=BZ$13,BZ59*CC59,IF('Inhaltliche Bewertung - GI'!RechtsformAngebot=BR$13,BR59*CC59,"")))))</f>
        <v>#N/A</v>
      </c>
      <c r="CF59" s="351"/>
      <c r="CG59" s="361" t="s">
        <v>3366</v>
      </c>
      <c r="CH59" s="362">
        <v>0.5</v>
      </c>
      <c r="CI59" s="365"/>
      <c r="CJ59" s="362">
        <v>0.5</v>
      </c>
      <c r="CK59" s="365"/>
      <c r="CL59" s="362">
        <v>0.5</v>
      </c>
      <c r="CM59" s="365"/>
      <c r="CN59" s="362">
        <v>0.5</v>
      </c>
      <c r="CO59" s="365"/>
      <c r="CP59" s="362">
        <v>0.5</v>
      </c>
      <c r="CQ59" s="365"/>
      <c r="CR59" s="370"/>
      <c r="CS59" s="360">
        <v>1</v>
      </c>
      <c r="CT59" s="351" t="e">
        <f>IF('Inhaltliche Bewertung - GI'!RechtsformGI=CJ$13,CJ59*CS59,IF('Inhaltliche Bewertung - GI'!RechtsformGI=CL$13,CL59*CS59,IF('Inhaltliche Bewertung - GI'!RechtsformGI=CN$13,CN59*CS59,IF('Inhaltliche Bewertung - GI'!RechtsformGI=CP$13,CP59*CS59,IF('Inhaltliche Bewertung - GI'!RechtsformGI=CH$13,CH59*CS59,"")))))</f>
        <v>#N/A</v>
      </c>
      <c r="CU59" s="351" t="e">
        <f>IF('Inhaltliche Bewertung - GI'!RechtsformAngebot=CJ$13,CJ59*CS59,IF('Inhaltliche Bewertung - GI'!RechtsformAngebot=CL$13,CL59*CS59,IF('Inhaltliche Bewertung - GI'!RechtsformAngebot=CN$13,CN59*CS59,IF('Inhaltliche Bewertung - GI'!RechtsformAngebot=CP$13,CP59*CS59,IF('Inhaltliche Bewertung - GI'!RechtsformAngebot=CH$13,CH59*CS59,"")))))</f>
        <v>#N/A</v>
      </c>
      <c r="CV59" s="351"/>
      <c r="CW59" s="361" t="s">
        <v>3366</v>
      </c>
      <c r="CX59" s="362">
        <v>0.5</v>
      </c>
      <c r="CY59" s="365"/>
      <c r="CZ59" s="362">
        <v>0.5</v>
      </c>
      <c r="DA59" s="365"/>
      <c r="DB59" s="362">
        <v>0.5</v>
      </c>
      <c r="DC59" s="365"/>
      <c r="DD59" s="362">
        <v>0.5</v>
      </c>
      <c r="DE59" s="365"/>
      <c r="DF59" s="362">
        <v>0.5</v>
      </c>
      <c r="DG59" s="365"/>
      <c r="DH59" s="370"/>
      <c r="DI59" s="360">
        <v>1</v>
      </c>
      <c r="DJ59" s="351" t="e">
        <f>IF('Inhaltliche Bewertung - GI'!RechtsformGI=CZ$13,CZ59*DI59,IF('Inhaltliche Bewertung - GI'!RechtsformGI=DB$13,DB59*DI59,IF('Inhaltliche Bewertung - GI'!RechtsformGI=DD$13,DD59*DI59,IF('Inhaltliche Bewertung - GI'!RechtsformGI=DF$13,DF59*DI59,IF('Inhaltliche Bewertung - GI'!RechtsformGI=CX$13,CX59*DI59,"")))))</f>
        <v>#N/A</v>
      </c>
      <c r="DK59" s="351" t="e">
        <f>IF('Inhaltliche Bewertung - GI'!RechtsformAngebot=CZ$13,CZ59*DI59,IF('Inhaltliche Bewertung - GI'!RechtsformAngebot=DB$13,DB59*DI59,IF('Inhaltliche Bewertung - GI'!RechtsformAngebot=DD$13,DD59*DI59,IF('Inhaltliche Bewertung - GI'!RechtsformAngebot=DF$13,DF59*DI59,IF('Inhaltliche Bewertung - GI'!RechtsformAngebot=CX$13,CX59*DI59,"")))))</f>
        <v>#N/A</v>
      </c>
      <c r="DL59" s="351"/>
      <c r="DM59" s="361" t="s">
        <v>3366</v>
      </c>
      <c r="DN59" s="362">
        <v>0.5</v>
      </c>
      <c r="DO59" s="365"/>
      <c r="DP59" s="362">
        <v>0.5</v>
      </c>
      <c r="DQ59" s="365"/>
      <c r="DR59" s="362">
        <v>0.5</v>
      </c>
      <c r="DS59" s="365"/>
      <c r="DT59" s="362">
        <v>0.5</v>
      </c>
      <c r="DU59" s="365"/>
      <c r="DV59" s="362">
        <v>0.5</v>
      </c>
      <c r="DW59" s="365"/>
      <c r="DX59" s="370"/>
      <c r="DY59" s="360">
        <v>1</v>
      </c>
      <c r="DZ59" s="351" t="e">
        <f>IF('Inhaltliche Bewertung - GI'!RechtsformGI=DP$13,DP59*DY59,IF('Inhaltliche Bewertung - GI'!RechtsformGI=DR$13,DR59*DY59,IF('Inhaltliche Bewertung - GI'!RechtsformGI=DT$13,DT59*DY59,IF('Inhaltliche Bewertung - GI'!RechtsformGI=DV$13,DV59*DY59,IF('Inhaltliche Bewertung - GI'!RechtsformGI=DN$13,DN59*DY59,"")))))</f>
        <v>#N/A</v>
      </c>
      <c r="EA59" s="351" t="e">
        <f>IF('Inhaltliche Bewertung - GI'!RechtsformAngebot=DP$13,DP59*DY59,IF('Inhaltliche Bewertung - GI'!RechtsformAngebot=DR$13,DR59*DY59,IF('Inhaltliche Bewertung - GI'!RechtsformAngebot=DT$13,DT59*DY59,IF('Inhaltliche Bewertung - GI'!RechtsformAngebot=DV$13,DV59*DY59,IF('Inhaltliche Bewertung - GI'!RechtsformAngebot=DN$13,DN59*DY59,"")))))</f>
        <v>#N/A</v>
      </c>
      <c r="EB59" s="351"/>
      <c r="EC59" s="157">
        <f t="shared" si="1"/>
        <v>0.5</v>
      </c>
      <c r="ED59" s="157">
        <f t="shared" si="2"/>
        <v>0.5</v>
      </c>
      <c r="EE59" s="157">
        <f t="shared" si="3"/>
        <v>0.5</v>
      </c>
      <c r="EF59" s="157">
        <f t="shared" si="4"/>
        <v>0.5</v>
      </c>
    </row>
    <row r="60" spans="1:136" ht="14.25" customHeight="1">
      <c r="A60" s="444" t="b">
        <f t="shared" si="0"/>
        <v>1</v>
      </c>
      <c r="B60" s="292"/>
      <c r="C60" s="355" t="s">
        <v>3367</v>
      </c>
      <c r="D60" s="345"/>
      <c r="E60" s="361" t="s">
        <v>3368</v>
      </c>
      <c r="F60" s="362">
        <v>0.8</v>
      </c>
      <c r="G60" s="365"/>
      <c r="H60" s="362">
        <v>0.8</v>
      </c>
      <c r="I60" s="365"/>
      <c r="J60" s="362">
        <v>0.8</v>
      </c>
      <c r="K60" s="365"/>
      <c r="L60" s="362">
        <v>0.8</v>
      </c>
      <c r="M60" s="365"/>
      <c r="N60" s="362">
        <v>0.8</v>
      </c>
      <c r="O60" s="365"/>
      <c r="P60" s="370"/>
      <c r="Q60" s="360">
        <v>1</v>
      </c>
      <c r="R60" s="351" t="e">
        <f>IF('Inhaltliche Bewertung - GI'!RechtsformGI=H$13,H60*Q60,IF('Inhaltliche Bewertung - GI'!RechtsformGI=J$13,J60*Q60,IF('Inhaltliche Bewertung - GI'!RechtsformGI=L$13,L60*Q60,IF('Inhaltliche Bewertung - GI'!RechtsformGI=N$13,N60*Q60,IF('Inhaltliche Bewertung - GI'!RechtsformGI=F$13,F60*Q60,"")))))</f>
        <v>#N/A</v>
      </c>
      <c r="S60" s="351" t="e">
        <f>IF('Inhaltliche Bewertung - GI'!RechtsformAngebot=H$13,H60*Q60,IF('Inhaltliche Bewertung - GI'!RechtsformAngebot=J$13,J60*Q60,IF('Inhaltliche Bewertung - GI'!RechtsformAngebot=L$13,L60*Q60,IF('Inhaltliche Bewertung - GI'!RechtsformAngebot=N$13,N60*Q60,IF('Inhaltliche Bewertung - GI'!RechtsformAngebot=F$13,F60*Q60,"")))))</f>
        <v>#N/A</v>
      </c>
      <c r="T60" s="351"/>
      <c r="U60" s="361" t="s">
        <v>3369</v>
      </c>
      <c r="V60" s="362">
        <v>0.8</v>
      </c>
      <c r="W60" s="365"/>
      <c r="X60" s="362">
        <v>0.8</v>
      </c>
      <c r="Y60" s="365"/>
      <c r="Z60" s="362">
        <v>0.8</v>
      </c>
      <c r="AA60" s="365"/>
      <c r="AB60" s="362">
        <v>0.8</v>
      </c>
      <c r="AC60" s="365"/>
      <c r="AD60" s="362">
        <v>0.8</v>
      </c>
      <c r="AE60" s="365"/>
      <c r="AF60" s="370"/>
      <c r="AG60" s="360">
        <v>1</v>
      </c>
      <c r="AH60" s="351" t="e">
        <f>IF('Inhaltliche Bewertung - GI'!RechtsformGI=X$13,X60*AG60,IF('Inhaltliche Bewertung - GI'!RechtsformGI=Z$13,Z60*AG60,IF('Inhaltliche Bewertung - GI'!RechtsformGI=AB$13,AB60*AG60,IF('Inhaltliche Bewertung - GI'!RechtsformGI=AD$13,AD60*AG60,IF('Inhaltliche Bewertung - GI'!RechtsformGI=V$13,V60*AG60,"")))))</f>
        <v>#N/A</v>
      </c>
      <c r="AI60" s="351" t="e">
        <f>IF('Inhaltliche Bewertung - GI'!RechtsformAngebot=X$13,X60*AG60,IF('Inhaltliche Bewertung - GI'!RechtsformAngebot=Z$13,Z60*AG60,IF('Inhaltliche Bewertung - GI'!RechtsformAngebot=AB$13,AB60*AG60,IF('Inhaltliche Bewertung - GI'!RechtsformAngebot=AD$13,AD60*AG60,IF('Inhaltliche Bewertung - GI'!RechtsformAngebot=V$13,V60*AG60,"")))))</f>
        <v>#N/A</v>
      </c>
      <c r="AJ60" s="351"/>
      <c r="AK60" s="361" t="s">
        <v>3370</v>
      </c>
      <c r="AL60" s="362">
        <v>0.8</v>
      </c>
      <c r="AM60" s="365"/>
      <c r="AN60" s="362">
        <v>0.8</v>
      </c>
      <c r="AO60" s="365"/>
      <c r="AP60" s="362">
        <v>0.8</v>
      </c>
      <c r="AQ60" s="365"/>
      <c r="AR60" s="362">
        <v>0.8</v>
      </c>
      <c r="AS60" s="365"/>
      <c r="AT60" s="362">
        <v>0.8</v>
      </c>
      <c r="AU60" s="365"/>
      <c r="AV60" s="370"/>
      <c r="AW60" s="360">
        <v>1</v>
      </c>
      <c r="AX60" s="351" t="e">
        <f>IF('Inhaltliche Bewertung - GI'!RechtsformGI=AN$13,AN60*AW60,IF('Inhaltliche Bewertung - GI'!RechtsformGI=AP$13,AP60*AW60,IF('Inhaltliche Bewertung - GI'!RechtsformGI=AR$13,AR60*AW60,IF('Inhaltliche Bewertung - GI'!RechtsformGI=AT$13,AT60*AW60,IF('Inhaltliche Bewertung - GI'!RechtsformGI=AL$13,AL60*AW60,"")))))</f>
        <v>#N/A</v>
      </c>
      <c r="AY60" s="351" t="e">
        <f>IF('Inhaltliche Bewertung - GI'!RechtsformAngebot=AN$13,AN60*AW60,IF('Inhaltliche Bewertung - GI'!RechtsformAngebot=AP$13,AP60*AW60,IF('Inhaltliche Bewertung - GI'!RechtsformAngebot=AR$13,AR60*AW60,IF('Inhaltliche Bewertung - GI'!RechtsformAngebot=AT$13,AT60*AW60,IF('Inhaltliche Bewertung - GI'!RechtsformAngebot=AL$13,AL60*AW60,"")))))</f>
        <v>#N/A</v>
      </c>
      <c r="AZ60" s="351"/>
      <c r="BA60" s="361" t="s">
        <v>3369</v>
      </c>
      <c r="BB60" s="362">
        <v>0.8</v>
      </c>
      <c r="BC60" s="365"/>
      <c r="BD60" s="362">
        <v>0.8</v>
      </c>
      <c r="BE60" s="365"/>
      <c r="BF60" s="362">
        <v>0.8</v>
      </c>
      <c r="BG60" s="365"/>
      <c r="BH60" s="362">
        <v>0.8</v>
      </c>
      <c r="BI60" s="365"/>
      <c r="BJ60" s="362">
        <v>0.8</v>
      </c>
      <c r="BK60" s="365"/>
      <c r="BL60" s="370"/>
      <c r="BM60" s="360">
        <v>1</v>
      </c>
      <c r="BN60" s="351" t="e">
        <f>IF('Inhaltliche Bewertung - GI'!RechtsformGI=BD$13,BD60*BM60,IF('Inhaltliche Bewertung - GI'!RechtsformGI=BF$13,BF60*BM60,IF('Inhaltliche Bewertung - GI'!RechtsformGI=BH$13,BH60*BM60,IF('Inhaltliche Bewertung - GI'!RechtsformGI=BJ$13,BJ60*BM60,IF('Inhaltliche Bewertung - GI'!RechtsformGI=BB$13,BB60*BM60,"")))))</f>
        <v>#N/A</v>
      </c>
      <c r="BO60" s="351" t="e">
        <f>IF('Inhaltliche Bewertung - GI'!RechtsformAngebot=BD$13,BD60*BM60,IF('Inhaltliche Bewertung - GI'!RechtsformAngebot=BF$13,BF60*BM60,IF('Inhaltliche Bewertung - GI'!RechtsformAngebot=BH$13,BH60*BM60,IF('Inhaltliche Bewertung - GI'!RechtsformAngebot=BJ$13,BJ60*BM60,IF('Inhaltliche Bewertung - GI'!RechtsformAngebot=BB$13,BB60*BM60,"")))))</f>
        <v>#N/A</v>
      </c>
      <c r="BP60" s="351"/>
      <c r="BQ60" s="361" t="s">
        <v>3369</v>
      </c>
      <c r="BR60" s="362">
        <v>0.8</v>
      </c>
      <c r="BS60" s="365"/>
      <c r="BT60" s="362">
        <v>0.8</v>
      </c>
      <c r="BU60" s="365"/>
      <c r="BV60" s="362">
        <v>0.8</v>
      </c>
      <c r="BW60" s="365"/>
      <c r="BX60" s="362">
        <v>0.8</v>
      </c>
      <c r="BY60" s="365"/>
      <c r="BZ60" s="362">
        <v>0.8</v>
      </c>
      <c r="CA60" s="365"/>
      <c r="CB60" s="370"/>
      <c r="CC60" s="360">
        <v>1</v>
      </c>
      <c r="CD60" s="351" t="e">
        <f>IF('Inhaltliche Bewertung - GI'!RechtsformGI=BT$13,BT60*CC60,IF('Inhaltliche Bewertung - GI'!RechtsformGI=BV$13,BV60*CC60,IF('Inhaltliche Bewertung - GI'!RechtsformGI=BX$13,BX60*CC60,IF('Inhaltliche Bewertung - GI'!RechtsformGI=BZ$13,BZ60*CC60,IF('Inhaltliche Bewertung - GI'!RechtsformGI=BR$13,BR60*CC60,"")))))</f>
        <v>#N/A</v>
      </c>
      <c r="CE60" s="351" t="e">
        <f>IF('Inhaltliche Bewertung - GI'!RechtsformAngebot=BT$13,BT60*CC60,IF('Inhaltliche Bewertung - GI'!RechtsformAngebot=BV$13,BV60*CC60,IF('Inhaltliche Bewertung - GI'!RechtsformAngebot=BX$13,BX60*CC60,IF('Inhaltliche Bewertung - GI'!RechtsformAngebot=BZ$13,BZ60*CC60,IF('Inhaltliche Bewertung - GI'!RechtsformAngebot=BR$13,BR60*CC60,"")))))</f>
        <v>#N/A</v>
      </c>
      <c r="CF60" s="351"/>
      <c r="CG60" s="361" t="s">
        <v>3369</v>
      </c>
      <c r="CH60" s="362">
        <v>0.8</v>
      </c>
      <c r="CI60" s="365"/>
      <c r="CJ60" s="362">
        <v>0.8</v>
      </c>
      <c r="CK60" s="365"/>
      <c r="CL60" s="362">
        <v>0.8</v>
      </c>
      <c r="CM60" s="365"/>
      <c r="CN60" s="362">
        <v>0.8</v>
      </c>
      <c r="CO60" s="365"/>
      <c r="CP60" s="362">
        <v>0.8</v>
      </c>
      <c r="CQ60" s="365"/>
      <c r="CR60" s="370"/>
      <c r="CS60" s="360">
        <v>1</v>
      </c>
      <c r="CT60" s="351" t="e">
        <f>IF('Inhaltliche Bewertung - GI'!RechtsformGI=CJ$13,CJ60*CS60,IF('Inhaltliche Bewertung - GI'!RechtsformGI=CL$13,CL60*CS60,IF('Inhaltliche Bewertung - GI'!RechtsformGI=CN$13,CN60*CS60,IF('Inhaltliche Bewertung - GI'!RechtsformGI=CP$13,CP60*CS60,IF('Inhaltliche Bewertung - GI'!RechtsformGI=CH$13,CH60*CS60,"")))))</f>
        <v>#N/A</v>
      </c>
      <c r="CU60" s="351" t="e">
        <f>IF('Inhaltliche Bewertung - GI'!RechtsformAngebot=CJ$13,CJ60*CS60,IF('Inhaltliche Bewertung - GI'!RechtsformAngebot=CL$13,CL60*CS60,IF('Inhaltliche Bewertung - GI'!RechtsformAngebot=CN$13,CN60*CS60,IF('Inhaltliche Bewertung - GI'!RechtsformAngebot=CP$13,CP60*CS60,IF('Inhaltliche Bewertung - GI'!RechtsformAngebot=CH$13,CH60*CS60,"")))))</f>
        <v>#N/A</v>
      </c>
      <c r="CV60" s="351"/>
      <c r="CW60" s="361" t="s">
        <v>3371</v>
      </c>
      <c r="CX60" s="362">
        <v>0.8</v>
      </c>
      <c r="CY60" s="365"/>
      <c r="CZ60" s="362">
        <v>0.8</v>
      </c>
      <c r="DA60" s="365"/>
      <c r="DB60" s="362">
        <v>0.8</v>
      </c>
      <c r="DC60" s="365"/>
      <c r="DD60" s="362">
        <v>0.8</v>
      </c>
      <c r="DE60" s="365"/>
      <c r="DF60" s="362">
        <v>0.8</v>
      </c>
      <c r="DG60" s="365"/>
      <c r="DH60" s="370"/>
      <c r="DI60" s="360">
        <v>1</v>
      </c>
      <c r="DJ60" s="351" t="e">
        <f>IF('Inhaltliche Bewertung - GI'!RechtsformGI=CZ$13,CZ60*DI60,IF('Inhaltliche Bewertung - GI'!RechtsformGI=DB$13,DB60*DI60,IF('Inhaltliche Bewertung - GI'!RechtsformGI=DD$13,DD60*DI60,IF('Inhaltliche Bewertung - GI'!RechtsformGI=DF$13,DF60*DI60,IF('Inhaltliche Bewertung - GI'!RechtsformGI=CX$13,CX60*DI60,"")))))</f>
        <v>#N/A</v>
      </c>
      <c r="DK60" s="351" t="e">
        <f>IF('Inhaltliche Bewertung - GI'!RechtsformAngebot=CZ$13,CZ60*DI60,IF('Inhaltliche Bewertung - GI'!RechtsformAngebot=DB$13,DB60*DI60,IF('Inhaltliche Bewertung - GI'!RechtsformAngebot=DD$13,DD60*DI60,IF('Inhaltliche Bewertung - GI'!RechtsformAngebot=DF$13,DF60*DI60,IF('Inhaltliche Bewertung - GI'!RechtsformAngebot=CX$13,CX60*DI60,"")))))</f>
        <v>#N/A</v>
      </c>
      <c r="DL60" s="351"/>
      <c r="DM60" s="361" t="s">
        <v>3369</v>
      </c>
      <c r="DN60" s="362">
        <v>0.8</v>
      </c>
      <c r="DO60" s="365"/>
      <c r="DP60" s="362">
        <v>0.8</v>
      </c>
      <c r="DQ60" s="365"/>
      <c r="DR60" s="362">
        <v>0.8</v>
      </c>
      <c r="DS60" s="365"/>
      <c r="DT60" s="362">
        <v>0.8</v>
      </c>
      <c r="DU60" s="365"/>
      <c r="DV60" s="362">
        <v>0.8</v>
      </c>
      <c r="DW60" s="365"/>
      <c r="DX60" s="370"/>
      <c r="DY60" s="360">
        <v>1</v>
      </c>
      <c r="DZ60" s="351" t="e">
        <f>IF('Inhaltliche Bewertung - GI'!RechtsformGI=DP$13,DP60*DY60,IF('Inhaltliche Bewertung - GI'!RechtsformGI=DR$13,DR60*DY60,IF('Inhaltliche Bewertung - GI'!RechtsformGI=DT$13,DT60*DY60,IF('Inhaltliche Bewertung - GI'!RechtsformGI=DV$13,DV60*DY60,IF('Inhaltliche Bewertung - GI'!RechtsformGI=DN$13,DN60*DY60,"")))))</f>
        <v>#N/A</v>
      </c>
      <c r="EA60" s="351" t="e">
        <f>IF('Inhaltliche Bewertung - GI'!RechtsformAngebot=DP$13,DP60*DY60,IF('Inhaltliche Bewertung - GI'!RechtsformAngebot=DR$13,DR60*DY60,IF('Inhaltliche Bewertung - GI'!RechtsformAngebot=DT$13,DT60*DY60,IF('Inhaltliche Bewertung - GI'!RechtsformAngebot=DV$13,DV60*DY60,IF('Inhaltliche Bewertung - GI'!RechtsformAngebot=DN$13,DN60*DY60,"")))))</f>
        <v>#N/A</v>
      </c>
      <c r="EB60" s="351"/>
      <c r="EC60" s="157">
        <f t="shared" si="1"/>
        <v>0.8</v>
      </c>
      <c r="ED60" s="157">
        <f t="shared" si="2"/>
        <v>0.8</v>
      </c>
      <c r="EE60" s="157">
        <f t="shared" si="3"/>
        <v>0.80000000000000038</v>
      </c>
      <c r="EF60" s="157">
        <f t="shared" si="4"/>
        <v>0.8</v>
      </c>
    </row>
    <row r="61" spans="1:136" ht="14.25" customHeight="1">
      <c r="A61" s="444" t="b">
        <f t="shared" si="0"/>
        <v>1</v>
      </c>
      <c r="B61" s="292"/>
      <c r="C61" s="355" t="s">
        <v>3372</v>
      </c>
      <c r="D61" s="345"/>
      <c r="E61" s="371" t="s">
        <v>3373</v>
      </c>
      <c r="F61" s="372">
        <v>0.5</v>
      </c>
      <c r="G61" s="358"/>
      <c r="H61" s="372">
        <v>0.5</v>
      </c>
      <c r="I61" s="358"/>
      <c r="J61" s="372">
        <v>0.5</v>
      </c>
      <c r="K61" s="358"/>
      <c r="L61" s="372">
        <v>0.5</v>
      </c>
      <c r="M61" s="358"/>
      <c r="N61" s="372">
        <v>0.5</v>
      </c>
      <c r="O61" s="358"/>
      <c r="P61" s="359"/>
      <c r="Q61" s="360">
        <v>1</v>
      </c>
      <c r="R61" s="351" t="e">
        <f>IF('Inhaltliche Bewertung - GI'!RechtsformGI=H$13,H61*Q61,IF('Inhaltliche Bewertung - GI'!RechtsformGI=J$13,J61*Q61,IF('Inhaltliche Bewertung - GI'!RechtsformGI=L$13,L61*Q61,IF('Inhaltliche Bewertung - GI'!RechtsformGI=N$13,N61*Q61,IF('Inhaltliche Bewertung - GI'!RechtsformGI=F$13,F61*Q61,"")))))</f>
        <v>#N/A</v>
      </c>
      <c r="S61" s="351" t="e">
        <f>IF('Inhaltliche Bewertung - GI'!RechtsformAngebot=H$13,H61*Q61,IF('Inhaltliche Bewertung - GI'!RechtsformAngebot=J$13,J61*Q61,IF('Inhaltliche Bewertung - GI'!RechtsformAngebot=L$13,L61*Q61,IF('Inhaltliche Bewertung - GI'!RechtsformAngebot=N$13,N61*Q61,IF('Inhaltliche Bewertung - GI'!RechtsformAngebot=F$13,F61*Q61,"")))))</f>
        <v>#N/A</v>
      </c>
      <c r="T61" s="351"/>
      <c r="U61" s="371" t="s">
        <v>3374</v>
      </c>
      <c r="V61" s="372">
        <v>0.5</v>
      </c>
      <c r="W61" s="358"/>
      <c r="X61" s="372">
        <v>0.5</v>
      </c>
      <c r="Y61" s="358"/>
      <c r="Z61" s="372">
        <v>0.5</v>
      </c>
      <c r="AA61" s="358"/>
      <c r="AB61" s="372">
        <v>0.5</v>
      </c>
      <c r="AC61" s="358"/>
      <c r="AD61" s="372">
        <v>0.5</v>
      </c>
      <c r="AE61" s="358"/>
      <c r="AF61" s="359"/>
      <c r="AG61" s="360">
        <v>1</v>
      </c>
      <c r="AH61" s="351" t="e">
        <f>IF('Inhaltliche Bewertung - GI'!RechtsformGI=X$13,X61*AG61,IF('Inhaltliche Bewertung - GI'!RechtsformGI=Z$13,Z61*AG61,IF('Inhaltliche Bewertung - GI'!RechtsformGI=AB$13,AB61*AG61,IF('Inhaltliche Bewertung - GI'!RechtsformGI=AD$13,AD61*AG61,IF('Inhaltliche Bewertung - GI'!RechtsformGI=V$13,V61*AG61,"")))))</f>
        <v>#N/A</v>
      </c>
      <c r="AI61" s="351" t="e">
        <f>IF('Inhaltliche Bewertung - GI'!RechtsformAngebot=X$13,X61*AG61,IF('Inhaltliche Bewertung - GI'!RechtsformAngebot=Z$13,Z61*AG61,IF('Inhaltliche Bewertung - GI'!RechtsformAngebot=AB$13,AB61*AG61,IF('Inhaltliche Bewertung - GI'!RechtsformAngebot=AD$13,AD61*AG61,IF('Inhaltliche Bewertung - GI'!RechtsformAngebot=V$13,V61*AG61,"")))))</f>
        <v>#N/A</v>
      </c>
      <c r="AJ61" s="351"/>
      <c r="AK61" s="361" t="s">
        <v>3375</v>
      </c>
      <c r="AL61" s="372">
        <v>0.5</v>
      </c>
      <c r="AM61" s="358"/>
      <c r="AN61" s="372">
        <v>0.5</v>
      </c>
      <c r="AO61" s="358"/>
      <c r="AP61" s="372">
        <v>0.5</v>
      </c>
      <c r="AQ61" s="358"/>
      <c r="AR61" s="372">
        <v>0.5</v>
      </c>
      <c r="AS61" s="358"/>
      <c r="AT61" s="372">
        <v>0.5</v>
      </c>
      <c r="AU61" s="358"/>
      <c r="AV61" s="359"/>
      <c r="AW61" s="360">
        <v>1</v>
      </c>
      <c r="AX61" s="351" t="e">
        <f>IF('Inhaltliche Bewertung - GI'!RechtsformGI=AN$13,AN61*AW61,IF('Inhaltliche Bewertung - GI'!RechtsformGI=AP$13,AP61*AW61,IF('Inhaltliche Bewertung - GI'!RechtsformGI=AR$13,AR61*AW61,IF('Inhaltliche Bewertung - GI'!RechtsformGI=AT$13,AT61*AW61,IF('Inhaltliche Bewertung - GI'!RechtsformGI=AL$13,AL61*AW61,"")))))</f>
        <v>#N/A</v>
      </c>
      <c r="AY61" s="351" t="e">
        <f>IF('Inhaltliche Bewertung - GI'!RechtsformAngebot=AN$13,AN61*AW61,IF('Inhaltliche Bewertung - GI'!RechtsformAngebot=AP$13,AP61*AW61,IF('Inhaltliche Bewertung - GI'!RechtsformAngebot=AR$13,AR61*AW61,IF('Inhaltliche Bewertung - GI'!RechtsformAngebot=AT$13,AT61*AW61,IF('Inhaltliche Bewertung - GI'!RechtsformAngebot=AL$13,AL61*AW61,"")))))</f>
        <v>#N/A</v>
      </c>
      <c r="AZ61" s="351"/>
      <c r="BA61" s="371" t="s">
        <v>3374</v>
      </c>
      <c r="BB61" s="372">
        <v>0.5</v>
      </c>
      <c r="BC61" s="358"/>
      <c r="BD61" s="372">
        <v>0.5</v>
      </c>
      <c r="BE61" s="358"/>
      <c r="BF61" s="372">
        <v>0.5</v>
      </c>
      <c r="BG61" s="358"/>
      <c r="BH61" s="372">
        <v>0.5</v>
      </c>
      <c r="BI61" s="358"/>
      <c r="BJ61" s="372">
        <v>0.5</v>
      </c>
      <c r="BK61" s="358"/>
      <c r="BL61" s="359"/>
      <c r="BM61" s="360">
        <v>1</v>
      </c>
      <c r="BN61" s="351" t="e">
        <f>IF('Inhaltliche Bewertung - GI'!RechtsformGI=BD$13,BD61*BM61,IF('Inhaltliche Bewertung - GI'!RechtsformGI=BF$13,BF61*BM61,IF('Inhaltliche Bewertung - GI'!RechtsformGI=BH$13,BH61*BM61,IF('Inhaltliche Bewertung - GI'!RechtsformGI=BJ$13,BJ61*BM61,IF('Inhaltliche Bewertung - GI'!RechtsformGI=BB$13,BB61*BM61,"")))))</f>
        <v>#N/A</v>
      </c>
      <c r="BO61" s="351" t="e">
        <f>IF('Inhaltliche Bewertung - GI'!RechtsformAngebot=BD$13,BD61*BM61,IF('Inhaltliche Bewertung - GI'!RechtsformAngebot=BF$13,BF61*BM61,IF('Inhaltliche Bewertung - GI'!RechtsformAngebot=BH$13,BH61*BM61,IF('Inhaltliche Bewertung - GI'!RechtsformAngebot=BJ$13,BJ61*BM61,IF('Inhaltliche Bewertung - GI'!RechtsformAngebot=BB$13,BB61*BM61,"")))))</f>
        <v>#N/A</v>
      </c>
      <c r="BP61" s="351"/>
      <c r="BQ61" s="371" t="s">
        <v>3374</v>
      </c>
      <c r="BR61" s="372">
        <v>0.5</v>
      </c>
      <c r="BS61" s="358"/>
      <c r="BT61" s="372">
        <v>0.5</v>
      </c>
      <c r="BU61" s="358"/>
      <c r="BV61" s="372">
        <v>0.5</v>
      </c>
      <c r="BW61" s="358"/>
      <c r="BX61" s="372">
        <v>0.5</v>
      </c>
      <c r="BY61" s="358"/>
      <c r="BZ61" s="372">
        <v>0.5</v>
      </c>
      <c r="CA61" s="358"/>
      <c r="CB61" s="359"/>
      <c r="CC61" s="360">
        <v>1</v>
      </c>
      <c r="CD61" s="351" t="e">
        <f>IF('Inhaltliche Bewertung - GI'!RechtsformGI=BT$13,BT61*CC61,IF('Inhaltliche Bewertung - GI'!RechtsformGI=BV$13,BV61*CC61,IF('Inhaltliche Bewertung - GI'!RechtsformGI=BX$13,BX61*CC61,IF('Inhaltliche Bewertung - GI'!RechtsformGI=BZ$13,BZ61*CC61,IF('Inhaltliche Bewertung - GI'!RechtsformGI=BR$13,BR61*CC61,"")))))</f>
        <v>#N/A</v>
      </c>
      <c r="CE61" s="351" t="e">
        <f>IF('Inhaltliche Bewertung - GI'!RechtsformAngebot=BT$13,BT61*CC61,IF('Inhaltliche Bewertung - GI'!RechtsformAngebot=BV$13,BV61*CC61,IF('Inhaltliche Bewertung - GI'!RechtsformAngebot=BX$13,BX61*CC61,IF('Inhaltliche Bewertung - GI'!RechtsformAngebot=BZ$13,BZ61*CC61,IF('Inhaltliche Bewertung - GI'!RechtsformAngebot=BR$13,BR61*CC61,"")))))</f>
        <v>#N/A</v>
      </c>
      <c r="CF61" s="351"/>
      <c r="CG61" s="371" t="s">
        <v>3374</v>
      </c>
      <c r="CH61" s="372">
        <v>0.5</v>
      </c>
      <c r="CI61" s="358"/>
      <c r="CJ61" s="372">
        <v>0.5</v>
      </c>
      <c r="CK61" s="358"/>
      <c r="CL61" s="372">
        <v>0.5</v>
      </c>
      <c r="CM61" s="358"/>
      <c r="CN61" s="372">
        <v>0.5</v>
      </c>
      <c r="CO61" s="358"/>
      <c r="CP61" s="372">
        <v>0.5</v>
      </c>
      <c r="CQ61" s="358"/>
      <c r="CR61" s="359"/>
      <c r="CS61" s="360">
        <v>1</v>
      </c>
      <c r="CT61" s="351" t="e">
        <f>IF('Inhaltliche Bewertung - GI'!RechtsformGI=CJ$13,CJ61*CS61,IF('Inhaltliche Bewertung - GI'!RechtsformGI=CL$13,CL61*CS61,IF('Inhaltliche Bewertung - GI'!RechtsformGI=CN$13,CN61*CS61,IF('Inhaltliche Bewertung - GI'!RechtsformGI=CP$13,CP61*CS61,IF('Inhaltliche Bewertung - GI'!RechtsformGI=CH$13,CH61*CS61,"")))))</f>
        <v>#N/A</v>
      </c>
      <c r="CU61" s="351" t="e">
        <f>IF('Inhaltliche Bewertung - GI'!RechtsformAngebot=CJ$13,CJ61*CS61,IF('Inhaltliche Bewertung - GI'!RechtsformAngebot=CL$13,CL61*CS61,IF('Inhaltliche Bewertung - GI'!RechtsformAngebot=CN$13,CN61*CS61,IF('Inhaltliche Bewertung - GI'!RechtsformAngebot=CP$13,CP61*CS61,IF('Inhaltliche Bewertung - GI'!RechtsformAngebot=CH$13,CH61*CS61,"")))))</f>
        <v>#N/A</v>
      </c>
      <c r="CV61" s="351"/>
      <c r="CW61" s="371" t="s">
        <v>3374</v>
      </c>
      <c r="CX61" s="372">
        <v>0.5</v>
      </c>
      <c r="CY61" s="358"/>
      <c r="CZ61" s="372">
        <v>0.5</v>
      </c>
      <c r="DA61" s="358"/>
      <c r="DB61" s="372">
        <v>0.5</v>
      </c>
      <c r="DC61" s="358"/>
      <c r="DD61" s="372">
        <v>0.5</v>
      </c>
      <c r="DE61" s="358"/>
      <c r="DF61" s="372">
        <v>0.5</v>
      </c>
      <c r="DG61" s="358"/>
      <c r="DH61" s="359"/>
      <c r="DI61" s="360">
        <v>1</v>
      </c>
      <c r="DJ61" s="351" t="e">
        <f>IF('Inhaltliche Bewertung - GI'!RechtsformGI=CZ$13,CZ61*DI61,IF('Inhaltliche Bewertung - GI'!RechtsformGI=DB$13,DB61*DI61,IF('Inhaltliche Bewertung - GI'!RechtsformGI=DD$13,DD61*DI61,IF('Inhaltliche Bewertung - GI'!RechtsformGI=DF$13,DF61*DI61,IF('Inhaltliche Bewertung - GI'!RechtsformGI=CX$13,CX61*DI61,"")))))</f>
        <v>#N/A</v>
      </c>
      <c r="DK61" s="351" t="e">
        <f>IF('Inhaltliche Bewertung - GI'!RechtsformAngebot=CZ$13,CZ61*DI61,IF('Inhaltliche Bewertung - GI'!RechtsformAngebot=DB$13,DB61*DI61,IF('Inhaltliche Bewertung - GI'!RechtsformAngebot=DD$13,DD61*DI61,IF('Inhaltliche Bewertung - GI'!RechtsformAngebot=DF$13,DF61*DI61,IF('Inhaltliche Bewertung - GI'!RechtsformAngebot=CX$13,CX61*DI61,"")))))</f>
        <v>#N/A</v>
      </c>
      <c r="DL61" s="351"/>
      <c r="DM61" s="361" t="s">
        <v>3375</v>
      </c>
      <c r="DN61" s="372">
        <v>0.5</v>
      </c>
      <c r="DO61" s="358"/>
      <c r="DP61" s="372">
        <v>0.5</v>
      </c>
      <c r="DQ61" s="358"/>
      <c r="DR61" s="372">
        <v>0.5</v>
      </c>
      <c r="DS61" s="358"/>
      <c r="DT61" s="372">
        <v>0.5</v>
      </c>
      <c r="DU61" s="358"/>
      <c r="DV61" s="372">
        <v>0.5</v>
      </c>
      <c r="DW61" s="358"/>
      <c r="DX61" s="359"/>
      <c r="DY61" s="360">
        <v>1</v>
      </c>
      <c r="DZ61" s="351" t="e">
        <f>IF('Inhaltliche Bewertung - GI'!RechtsformGI=DP$13,DP61*DY61,IF('Inhaltliche Bewertung - GI'!RechtsformGI=DR$13,DR61*DY61,IF('Inhaltliche Bewertung - GI'!RechtsformGI=DT$13,DT61*DY61,IF('Inhaltliche Bewertung - GI'!RechtsformGI=DV$13,DV61*DY61,IF('Inhaltliche Bewertung - GI'!RechtsformGI=DN$13,DN61*DY61,"")))))</f>
        <v>#N/A</v>
      </c>
      <c r="EA61" s="351" t="e">
        <f>IF('Inhaltliche Bewertung - GI'!RechtsformAngebot=DP$13,DP61*DY61,IF('Inhaltliche Bewertung - GI'!RechtsformAngebot=DR$13,DR61*DY61,IF('Inhaltliche Bewertung - GI'!RechtsformAngebot=DT$13,DT61*DY61,IF('Inhaltliche Bewertung - GI'!RechtsformAngebot=DV$13,DV61*DY61,IF('Inhaltliche Bewertung - GI'!RechtsformAngebot=DN$13,DN61*DY61,"")))))</f>
        <v>#N/A</v>
      </c>
      <c r="EB61" s="351"/>
      <c r="EC61" s="157">
        <f t="shared" si="1"/>
        <v>0.5</v>
      </c>
      <c r="ED61" s="157">
        <f t="shared" si="2"/>
        <v>0.5</v>
      </c>
      <c r="EE61" s="157">
        <f t="shared" si="3"/>
        <v>0.5</v>
      </c>
      <c r="EF61" s="157">
        <f t="shared" si="4"/>
        <v>0.5</v>
      </c>
    </row>
    <row r="62" spans="1:136" ht="14.25" customHeight="1">
      <c r="A62" s="444" t="b">
        <f t="shared" si="0"/>
        <v>0</v>
      </c>
      <c r="B62" s="292"/>
      <c r="C62" s="355" t="s">
        <v>3376</v>
      </c>
      <c r="D62" s="345"/>
      <c r="E62" s="356" t="s">
        <v>3377</v>
      </c>
      <c r="F62" s="357">
        <v>0.8</v>
      </c>
      <c r="G62" s="358"/>
      <c r="H62" s="357">
        <v>0.8</v>
      </c>
      <c r="I62" s="358"/>
      <c r="J62" s="357">
        <v>0.8</v>
      </c>
      <c r="K62" s="358"/>
      <c r="L62" s="357">
        <v>0.8</v>
      </c>
      <c r="M62" s="358"/>
      <c r="N62" s="357">
        <v>0.8</v>
      </c>
      <c r="O62" s="358"/>
      <c r="P62" s="359"/>
      <c r="Q62" s="360">
        <v>1</v>
      </c>
      <c r="R62" s="351" t="e">
        <f>IF('Inhaltliche Bewertung - GI'!RechtsformGI=H$13,H62*Q62,IF('Inhaltliche Bewertung - GI'!RechtsformGI=J$13,J62*Q62,IF('Inhaltliche Bewertung - GI'!RechtsformGI=L$13,L62*Q62,IF('Inhaltliche Bewertung - GI'!RechtsformGI=N$13,N62*Q62,IF('Inhaltliche Bewertung - GI'!RechtsformGI=F$13,F62*Q62,"")))))</f>
        <v>#N/A</v>
      </c>
      <c r="S62" s="351" t="e">
        <f>IF('Inhaltliche Bewertung - GI'!RechtsformAngebot=H$13,H62*Q62,IF('Inhaltliche Bewertung - GI'!RechtsformAngebot=J$13,J62*Q62,IF('Inhaltliche Bewertung - GI'!RechtsformAngebot=L$13,L62*Q62,IF('Inhaltliche Bewertung - GI'!RechtsformAngebot=N$13,N62*Q62,IF('Inhaltliche Bewertung - GI'!RechtsformAngebot=F$13,F62*Q62,"")))))</f>
        <v>#N/A</v>
      </c>
      <c r="T62" s="351"/>
      <c r="U62" s="361" t="s">
        <v>3378</v>
      </c>
      <c r="V62" s="362">
        <v>0.8</v>
      </c>
      <c r="W62" s="363"/>
      <c r="X62" s="364">
        <v>0.8</v>
      </c>
      <c r="Y62" s="363"/>
      <c r="Z62" s="364">
        <v>0.8</v>
      </c>
      <c r="AA62" s="363"/>
      <c r="AB62" s="364">
        <v>0.8</v>
      </c>
      <c r="AC62" s="363"/>
      <c r="AD62" s="364">
        <v>0.8</v>
      </c>
      <c r="AE62" s="363"/>
      <c r="AF62" s="363"/>
      <c r="AG62" s="360">
        <v>1</v>
      </c>
      <c r="AH62" s="351" t="e">
        <f>IF('Inhaltliche Bewertung - GI'!RechtsformGI=X$13,X62*AG62,IF('Inhaltliche Bewertung - GI'!RechtsformGI=Z$13,Z62*AG62,IF('Inhaltliche Bewertung - GI'!RechtsformGI=AB$13,AB62*AG62,IF('Inhaltliche Bewertung - GI'!RechtsformGI=AD$13,AD62*AG62,IF('Inhaltliche Bewertung - GI'!RechtsformGI=V$13,V62*AG62,"")))))</f>
        <v>#N/A</v>
      </c>
      <c r="AI62" s="351" t="e">
        <f>IF('Inhaltliche Bewertung - GI'!RechtsformAngebot=X$13,X62*AG62,IF('Inhaltliche Bewertung - GI'!RechtsformAngebot=Z$13,Z62*AG62,IF('Inhaltliche Bewertung - GI'!RechtsformAngebot=AB$13,AB62*AG62,IF('Inhaltliche Bewertung - GI'!RechtsformAngebot=AD$13,AD62*AG62,IF('Inhaltliche Bewertung - GI'!RechtsformAngebot=V$13,V62*AG62,"")))))</f>
        <v>#N/A</v>
      </c>
      <c r="AJ62" s="351"/>
      <c r="AK62" s="361" t="s">
        <v>3378</v>
      </c>
      <c r="AL62" s="362">
        <v>0.8</v>
      </c>
      <c r="AM62" s="365"/>
      <c r="AN62" s="362">
        <v>0.8</v>
      </c>
      <c r="AO62" s="365"/>
      <c r="AP62" s="362">
        <v>0.8</v>
      </c>
      <c r="AQ62" s="365"/>
      <c r="AR62" s="362">
        <v>0.8</v>
      </c>
      <c r="AS62" s="365"/>
      <c r="AT62" s="362">
        <v>0.8</v>
      </c>
      <c r="AU62" s="365"/>
      <c r="AV62" s="365"/>
      <c r="AW62" s="360">
        <v>1</v>
      </c>
      <c r="AX62" s="351" t="e">
        <f>IF('Inhaltliche Bewertung - GI'!RechtsformGI=AN$13,AN62*AW62,IF('Inhaltliche Bewertung - GI'!RechtsformGI=AP$13,AP62*AW62,IF('Inhaltliche Bewertung - GI'!RechtsformGI=AR$13,AR62*AW62,IF('Inhaltliche Bewertung - GI'!RechtsformGI=AT$13,AT62*AW62,IF('Inhaltliche Bewertung - GI'!RechtsformGI=AL$13,AL62*AW62,"")))))</f>
        <v>#N/A</v>
      </c>
      <c r="AY62" s="351" t="e">
        <f>IF('Inhaltliche Bewertung - GI'!RechtsformAngebot=AN$13,AN62*AW62,IF('Inhaltliche Bewertung - GI'!RechtsformAngebot=AP$13,AP62*AW62,IF('Inhaltliche Bewertung - GI'!RechtsformAngebot=AR$13,AR62*AW62,IF('Inhaltliche Bewertung - GI'!RechtsformAngebot=AT$13,AT62*AW62,IF('Inhaltliche Bewertung - GI'!RechtsformAngebot=AL$13,AL62*AW62,"")))))</f>
        <v>#N/A</v>
      </c>
      <c r="AZ62" s="351"/>
      <c r="BA62" s="361" t="s">
        <v>3378</v>
      </c>
      <c r="BB62" s="366">
        <v>0.8</v>
      </c>
      <c r="BC62" s="365"/>
      <c r="BD62" s="366">
        <v>0.8</v>
      </c>
      <c r="BE62" s="365"/>
      <c r="BF62" s="366">
        <v>0.8</v>
      </c>
      <c r="BG62" s="365"/>
      <c r="BH62" s="366">
        <v>0.8</v>
      </c>
      <c r="BI62" s="365"/>
      <c r="BJ62" s="366">
        <v>0.8</v>
      </c>
      <c r="BK62" s="365"/>
      <c r="BL62" s="365"/>
      <c r="BM62" s="360">
        <v>1</v>
      </c>
      <c r="BN62" s="351" t="e">
        <f>IF('Inhaltliche Bewertung - GI'!RechtsformGI=BD$13,BD62*BM62,IF('Inhaltliche Bewertung - GI'!RechtsformGI=BF$13,BF62*BM62,IF('Inhaltliche Bewertung - GI'!RechtsformGI=BH$13,BH62*BM62,IF('Inhaltliche Bewertung - GI'!RechtsformGI=BJ$13,BJ62*BM62,IF('Inhaltliche Bewertung - GI'!RechtsformGI=BB$13,BB62*BM62,"")))))</f>
        <v>#N/A</v>
      </c>
      <c r="BO62" s="351" t="e">
        <f>IF('Inhaltliche Bewertung - GI'!RechtsformAngebot=BD$13,BD62*BM62,IF('Inhaltliche Bewertung - GI'!RechtsformAngebot=BF$13,BF62*BM62,IF('Inhaltliche Bewertung - GI'!RechtsformAngebot=BH$13,BH62*BM62,IF('Inhaltliche Bewertung - GI'!RechtsformAngebot=BJ$13,BJ62*BM62,IF('Inhaltliche Bewertung - GI'!RechtsformAngebot=BB$13,BB62*BM62,"")))))</f>
        <v>#N/A</v>
      </c>
      <c r="BP62" s="351"/>
      <c r="BQ62" s="361" t="s">
        <v>3378</v>
      </c>
      <c r="BR62" s="367">
        <v>0.8</v>
      </c>
      <c r="BS62" s="368"/>
      <c r="BT62" s="367">
        <v>0.8</v>
      </c>
      <c r="BU62" s="368"/>
      <c r="BV62" s="367">
        <v>0.8</v>
      </c>
      <c r="BW62" s="368"/>
      <c r="BX62" s="367">
        <v>0.8</v>
      </c>
      <c r="BY62" s="368"/>
      <c r="BZ62" s="367">
        <v>0.8</v>
      </c>
      <c r="CA62" s="368"/>
      <c r="CB62" s="368"/>
      <c r="CC62" s="360">
        <v>1</v>
      </c>
      <c r="CD62" s="351" t="e">
        <f>IF('Inhaltliche Bewertung - GI'!RechtsformGI=BT$13,BT62*CC62,IF('Inhaltliche Bewertung - GI'!RechtsformGI=BV$13,BV62*CC62,IF('Inhaltliche Bewertung - GI'!RechtsformGI=BX$13,BX62*CC62,IF('Inhaltliche Bewertung - GI'!RechtsformGI=BZ$13,BZ62*CC62,IF('Inhaltliche Bewertung - GI'!RechtsformGI=BR$13,BR62*CC62,"")))))</f>
        <v>#N/A</v>
      </c>
      <c r="CE62" s="351" t="e">
        <f>IF('Inhaltliche Bewertung - GI'!RechtsformAngebot=BT$13,BT62*CC62,IF('Inhaltliche Bewertung - GI'!RechtsformAngebot=BV$13,BV62*CC62,IF('Inhaltliche Bewertung - GI'!RechtsformAngebot=BX$13,BX62*CC62,IF('Inhaltliche Bewertung - GI'!RechtsformAngebot=BZ$13,BZ62*CC62,IF('Inhaltliche Bewertung - GI'!RechtsformAngebot=BR$13,BR62*CC62,"")))))</f>
        <v>#N/A</v>
      </c>
      <c r="CF62" s="351"/>
      <c r="CG62" s="356" t="s">
        <v>3234</v>
      </c>
      <c r="CH62" s="376">
        <v>0</v>
      </c>
      <c r="CI62" s="377"/>
      <c r="CJ62" s="376">
        <v>0</v>
      </c>
      <c r="CK62" s="377"/>
      <c r="CL62" s="376">
        <v>0</v>
      </c>
      <c r="CM62" s="377"/>
      <c r="CN62" s="376">
        <v>0</v>
      </c>
      <c r="CO62" s="377"/>
      <c r="CP62" s="376">
        <v>0</v>
      </c>
      <c r="CQ62" s="377"/>
      <c r="CR62" s="377"/>
      <c r="CS62" s="360">
        <v>1</v>
      </c>
      <c r="CT62" s="351" t="e">
        <f>IF('Inhaltliche Bewertung - GI'!RechtsformGI=CJ$13,CJ62*CS62,IF('Inhaltliche Bewertung - GI'!RechtsformGI=CL$13,CL62*CS62,IF('Inhaltliche Bewertung - GI'!RechtsformGI=CN$13,CN62*CS62,IF('Inhaltliche Bewertung - GI'!RechtsformGI=CP$13,CP62*CS62,IF('Inhaltliche Bewertung - GI'!RechtsformGI=CH$13,CH62*CS62,"")))))</f>
        <v>#N/A</v>
      </c>
      <c r="CU62" s="351" t="e">
        <f>IF('Inhaltliche Bewertung - GI'!RechtsformAngebot=CJ$13,CJ62*CS62,IF('Inhaltliche Bewertung - GI'!RechtsformAngebot=CL$13,CL62*CS62,IF('Inhaltliche Bewertung - GI'!RechtsformAngebot=CN$13,CN62*CS62,IF('Inhaltliche Bewertung - GI'!RechtsformAngebot=CP$13,CP62*CS62,IF('Inhaltliche Bewertung - GI'!RechtsformAngebot=CH$13,CH62*CS62,"")))))</f>
        <v>#N/A</v>
      </c>
      <c r="CV62" s="351"/>
      <c r="CW62" s="361" t="s">
        <v>3378</v>
      </c>
      <c r="CX62" s="367">
        <v>1</v>
      </c>
      <c r="CY62" s="368"/>
      <c r="CZ62" s="367">
        <v>1</v>
      </c>
      <c r="DA62" s="369"/>
      <c r="DB62" s="367">
        <v>1</v>
      </c>
      <c r="DC62" s="368"/>
      <c r="DD62" s="367">
        <v>1</v>
      </c>
      <c r="DE62" s="368"/>
      <c r="DF62" s="367">
        <v>1</v>
      </c>
      <c r="DG62" s="368"/>
      <c r="DH62" s="368"/>
      <c r="DI62" s="360">
        <v>1</v>
      </c>
      <c r="DJ62" s="351" t="e">
        <f>IF('Inhaltliche Bewertung - GI'!RechtsformGI=CZ$13,CZ62*DI62,IF('Inhaltliche Bewertung - GI'!RechtsformGI=DB$13,DB62*DI62,IF('Inhaltliche Bewertung - GI'!RechtsformGI=DD$13,DD62*DI62,IF('Inhaltliche Bewertung - GI'!RechtsformGI=DF$13,DF62*DI62,IF('Inhaltliche Bewertung - GI'!RechtsformGI=CX$13,CX62*DI62,"")))))</f>
        <v>#N/A</v>
      </c>
      <c r="DK62" s="351" t="e">
        <f>IF('Inhaltliche Bewertung - GI'!RechtsformAngebot=CZ$13,CZ62*DI62,IF('Inhaltliche Bewertung - GI'!RechtsformAngebot=DB$13,DB62*DI62,IF('Inhaltliche Bewertung - GI'!RechtsformAngebot=DD$13,DD62*DI62,IF('Inhaltliche Bewertung - GI'!RechtsformAngebot=DF$13,DF62*DI62,IF('Inhaltliche Bewertung - GI'!RechtsformAngebot=CX$13,CX62*DI62,"")))))</f>
        <v>#N/A</v>
      </c>
      <c r="DL62" s="351"/>
      <c r="DM62" s="361" t="s">
        <v>3378</v>
      </c>
      <c r="DN62" s="367">
        <v>1</v>
      </c>
      <c r="DO62" s="368"/>
      <c r="DP62" s="367">
        <v>1</v>
      </c>
      <c r="DQ62" s="368"/>
      <c r="DR62" s="367">
        <v>1</v>
      </c>
      <c r="DS62" s="368"/>
      <c r="DT62" s="367">
        <v>1</v>
      </c>
      <c r="DU62" s="368"/>
      <c r="DV62" s="367">
        <v>1</v>
      </c>
      <c r="DW62" s="368"/>
      <c r="DX62" s="368"/>
      <c r="DY62" s="360">
        <v>1</v>
      </c>
      <c r="DZ62" s="351" t="e">
        <f>IF('Inhaltliche Bewertung - GI'!RechtsformGI=DP$13,DP62*DY62,IF('Inhaltliche Bewertung - GI'!RechtsformGI=DR$13,DR62*DY62,IF('Inhaltliche Bewertung - GI'!RechtsformGI=DT$13,DT62*DY62,IF('Inhaltliche Bewertung - GI'!RechtsformGI=DV$13,DV62*DY62,IF('Inhaltliche Bewertung - GI'!RechtsformGI=DN$13,DN62*DY62,"")))))</f>
        <v>#N/A</v>
      </c>
      <c r="EA62" s="351" t="e">
        <f>IF('Inhaltliche Bewertung - GI'!RechtsformAngebot=DP$13,DP62*DY62,IF('Inhaltliche Bewertung - GI'!RechtsformAngebot=DR$13,DR62*DY62,IF('Inhaltliche Bewertung - GI'!RechtsformAngebot=DT$13,DT62*DY62,IF('Inhaltliche Bewertung - GI'!RechtsformAngebot=DV$13,DV62*DY62,IF('Inhaltliche Bewertung - GI'!RechtsformAngebot=DN$13,DN62*DY62,"")))))</f>
        <v>#N/A</v>
      </c>
      <c r="EB62" s="351"/>
      <c r="EC62" s="157">
        <f t="shared" si="1"/>
        <v>0</v>
      </c>
      <c r="ED62" s="157">
        <f t="shared" si="2"/>
        <v>1</v>
      </c>
      <c r="EE62" s="157">
        <f t="shared" si="3"/>
        <v>0.75000000000000022</v>
      </c>
      <c r="EF62" s="157">
        <f t="shared" si="4"/>
        <v>0.8</v>
      </c>
    </row>
    <row r="63" spans="1:136" ht="14.25" customHeight="1">
      <c r="A63" s="444" t="b">
        <f t="shared" si="0"/>
        <v>1</v>
      </c>
      <c r="B63" s="292"/>
      <c r="C63" s="355" t="s">
        <v>3379</v>
      </c>
      <c r="D63" s="345"/>
      <c r="E63" s="388" t="s">
        <v>3234</v>
      </c>
      <c r="F63" s="389">
        <v>1</v>
      </c>
      <c r="G63" s="365"/>
      <c r="H63" s="389">
        <v>1</v>
      </c>
      <c r="I63" s="365"/>
      <c r="J63" s="389">
        <v>1</v>
      </c>
      <c r="K63" s="365"/>
      <c r="L63" s="389">
        <v>1</v>
      </c>
      <c r="M63" s="365"/>
      <c r="N63" s="389">
        <v>1</v>
      </c>
      <c r="O63" s="365"/>
      <c r="P63" s="370"/>
      <c r="Q63" s="360">
        <v>1</v>
      </c>
      <c r="R63" s="351" t="e">
        <f>IF('Inhaltliche Bewertung - GI'!RechtsformGI=H$13,H63*Q63,IF('Inhaltliche Bewertung - GI'!RechtsformGI=J$13,J63*Q63,IF('Inhaltliche Bewertung - GI'!RechtsformGI=L$13,L63*Q63,IF('Inhaltliche Bewertung - GI'!RechtsformGI=N$13,N63*Q63,IF('Inhaltliche Bewertung - GI'!RechtsformGI=F$13,F63*Q63,"")))))</f>
        <v>#N/A</v>
      </c>
      <c r="S63" s="351" t="e">
        <f>IF('Inhaltliche Bewertung - GI'!RechtsformAngebot=H$13,H63*Q63,IF('Inhaltliche Bewertung - GI'!RechtsformAngebot=J$13,J63*Q63,IF('Inhaltliche Bewertung - GI'!RechtsformAngebot=L$13,L63*Q63,IF('Inhaltliche Bewertung - GI'!RechtsformAngebot=N$13,N63*Q63,IF('Inhaltliche Bewertung - GI'!RechtsformAngebot=F$13,F63*Q63,"")))))</f>
        <v>#N/A</v>
      </c>
      <c r="T63" s="351"/>
      <c r="U63" s="388" t="s">
        <v>3234</v>
      </c>
      <c r="V63" s="389">
        <v>1</v>
      </c>
      <c r="W63" s="363"/>
      <c r="X63" s="390">
        <v>1</v>
      </c>
      <c r="Y63" s="363"/>
      <c r="Z63" s="390">
        <v>1</v>
      </c>
      <c r="AA63" s="363"/>
      <c r="AB63" s="390">
        <v>1</v>
      </c>
      <c r="AC63" s="363"/>
      <c r="AD63" s="390">
        <v>1</v>
      </c>
      <c r="AE63" s="363"/>
      <c r="AF63" s="363"/>
      <c r="AG63" s="360">
        <v>1</v>
      </c>
      <c r="AH63" s="351" t="e">
        <f>IF('Inhaltliche Bewertung - GI'!RechtsformGI=X$13,X63*AG63,IF('Inhaltliche Bewertung - GI'!RechtsformGI=Z$13,Z63*AG63,IF('Inhaltliche Bewertung - GI'!RechtsformGI=AB$13,AB63*AG63,IF('Inhaltliche Bewertung - GI'!RechtsformGI=AD$13,AD63*AG63,IF('Inhaltliche Bewertung - GI'!RechtsformGI=V$13,V63*AG63,"")))))</f>
        <v>#N/A</v>
      </c>
      <c r="AI63" s="351" t="e">
        <f>IF('Inhaltliche Bewertung - GI'!RechtsformAngebot=X$13,X63*AG63,IF('Inhaltliche Bewertung - GI'!RechtsformAngebot=Z$13,Z63*AG63,IF('Inhaltliche Bewertung - GI'!RechtsformAngebot=AB$13,AB63*AG63,IF('Inhaltliche Bewertung - GI'!RechtsformAngebot=AD$13,AD63*AG63,IF('Inhaltliche Bewertung - GI'!RechtsformAngebot=V$13,V63*AG63,"")))))</f>
        <v>#N/A</v>
      </c>
      <c r="AJ63" s="351"/>
      <c r="AK63" s="361" t="s">
        <v>3380</v>
      </c>
      <c r="AL63" s="362">
        <v>1</v>
      </c>
      <c r="AM63" s="365"/>
      <c r="AN63" s="362">
        <v>1</v>
      </c>
      <c r="AO63" s="365"/>
      <c r="AP63" s="362">
        <v>1</v>
      </c>
      <c r="AQ63" s="365"/>
      <c r="AR63" s="362">
        <v>1</v>
      </c>
      <c r="AS63" s="365"/>
      <c r="AT63" s="362">
        <v>1</v>
      </c>
      <c r="AU63" s="365"/>
      <c r="AV63" s="365"/>
      <c r="AW63" s="360">
        <v>1</v>
      </c>
      <c r="AX63" s="351" t="e">
        <f>IF('Inhaltliche Bewertung - GI'!RechtsformGI=AN$13,AN63*AW63,IF('Inhaltliche Bewertung - GI'!RechtsformGI=AP$13,AP63*AW63,IF('Inhaltliche Bewertung - GI'!RechtsformGI=AR$13,AR63*AW63,IF('Inhaltliche Bewertung - GI'!RechtsformGI=AT$13,AT63*AW63,IF('Inhaltliche Bewertung - GI'!RechtsformGI=AL$13,AL63*AW63,"")))))</f>
        <v>#N/A</v>
      </c>
      <c r="AY63" s="351" t="e">
        <f>IF('Inhaltliche Bewertung - GI'!RechtsformAngebot=AN$13,AN63*AW63,IF('Inhaltliche Bewertung - GI'!RechtsformAngebot=AP$13,AP63*AW63,IF('Inhaltliche Bewertung - GI'!RechtsformAngebot=AR$13,AR63*AW63,IF('Inhaltliche Bewertung - GI'!RechtsformAngebot=AT$13,AT63*AW63,IF('Inhaltliche Bewertung - GI'!RechtsformAngebot=AL$13,AL63*AW63,"")))))</f>
        <v>#N/A</v>
      </c>
      <c r="AZ63" s="351"/>
      <c r="BA63" s="388" t="s">
        <v>3234</v>
      </c>
      <c r="BB63" s="391">
        <v>1</v>
      </c>
      <c r="BC63" s="365"/>
      <c r="BD63" s="391">
        <v>1</v>
      </c>
      <c r="BE63" s="365"/>
      <c r="BF63" s="391">
        <v>1</v>
      </c>
      <c r="BG63" s="365"/>
      <c r="BH63" s="391">
        <v>1</v>
      </c>
      <c r="BI63" s="365"/>
      <c r="BJ63" s="391">
        <v>1</v>
      </c>
      <c r="BK63" s="365"/>
      <c r="BL63" s="365"/>
      <c r="BM63" s="360">
        <v>1</v>
      </c>
      <c r="BN63" s="351" t="e">
        <f>IF('Inhaltliche Bewertung - GI'!RechtsformGI=BD$13,BD63*BM63,IF('Inhaltliche Bewertung - GI'!RechtsformGI=BF$13,BF63*BM63,IF('Inhaltliche Bewertung - GI'!RechtsformGI=BH$13,BH63*BM63,IF('Inhaltliche Bewertung - GI'!RechtsformGI=BJ$13,BJ63*BM63,IF('Inhaltliche Bewertung - GI'!RechtsformGI=BB$13,BB63*BM63,"")))))</f>
        <v>#N/A</v>
      </c>
      <c r="BO63" s="351" t="e">
        <f>IF('Inhaltliche Bewertung - GI'!RechtsformAngebot=BD$13,BD63*BM63,IF('Inhaltliche Bewertung - GI'!RechtsformAngebot=BF$13,BF63*BM63,IF('Inhaltliche Bewertung - GI'!RechtsformAngebot=BH$13,BH63*BM63,IF('Inhaltliche Bewertung - GI'!RechtsformAngebot=BJ$13,BJ63*BM63,IF('Inhaltliche Bewertung - GI'!RechtsformAngebot=BB$13,BB63*BM63,"")))))</f>
        <v>#N/A</v>
      </c>
      <c r="BP63" s="351"/>
      <c r="BQ63" s="388" t="s">
        <v>3234</v>
      </c>
      <c r="BR63" s="392">
        <v>1</v>
      </c>
      <c r="BS63" s="393"/>
      <c r="BT63" s="392">
        <v>1</v>
      </c>
      <c r="BU63" s="393"/>
      <c r="BV63" s="392">
        <v>1</v>
      </c>
      <c r="BW63" s="393"/>
      <c r="BX63" s="392">
        <v>1</v>
      </c>
      <c r="BY63" s="393"/>
      <c r="BZ63" s="392">
        <v>1</v>
      </c>
      <c r="CA63" s="393"/>
      <c r="CB63" s="393"/>
      <c r="CC63" s="360">
        <v>1</v>
      </c>
      <c r="CD63" s="351" t="e">
        <f>IF('Inhaltliche Bewertung - GI'!RechtsformGI=BT$13,BT63*CC63,IF('Inhaltliche Bewertung - GI'!RechtsformGI=BV$13,BV63*CC63,IF('Inhaltliche Bewertung - GI'!RechtsformGI=BX$13,BX63*CC63,IF('Inhaltliche Bewertung - GI'!RechtsformGI=BZ$13,BZ63*CC63,IF('Inhaltliche Bewertung - GI'!RechtsformGI=BR$13,BR63*CC63,"")))))</f>
        <v>#N/A</v>
      </c>
      <c r="CE63" s="351" t="e">
        <f>IF('Inhaltliche Bewertung - GI'!RechtsformAngebot=BT$13,BT63*CC63,IF('Inhaltliche Bewertung - GI'!RechtsformAngebot=BV$13,BV63*CC63,IF('Inhaltliche Bewertung - GI'!RechtsformAngebot=BX$13,BX63*CC63,IF('Inhaltliche Bewertung - GI'!RechtsformAngebot=BZ$13,BZ63*CC63,IF('Inhaltliche Bewertung - GI'!RechtsformAngebot=BR$13,BR63*CC63,"")))))</f>
        <v>#N/A</v>
      </c>
      <c r="CF63" s="351"/>
      <c r="CG63" s="388" t="s">
        <v>3234</v>
      </c>
      <c r="CH63" s="392">
        <v>1</v>
      </c>
      <c r="CI63" s="368"/>
      <c r="CJ63" s="392">
        <v>1</v>
      </c>
      <c r="CK63" s="368"/>
      <c r="CL63" s="392">
        <v>1</v>
      </c>
      <c r="CM63" s="368"/>
      <c r="CN63" s="392">
        <v>1</v>
      </c>
      <c r="CO63" s="368"/>
      <c r="CP63" s="392">
        <v>1</v>
      </c>
      <c r="CQ63" s="368"/>
      <c r="CR63" s="368"/>
      <c r="CS63" s="360">
        <v>1</v>
      </c>
      <c r="CT63" s="351" t="e">
        <f>IF('Inhaltliche Bewertung - GI'!RechtsformGI=CJ$13,CJ63*CS63,IF('Inhaltliche Bewertung - GI'!RechtsformGI=CL$13,CL63*CS63,IF('Inhaltliche Bewertung - GI'!RechtsformGI=CN$13,CN63*CS63,IF('Inhaltliche Bewertung - GI'!RechtsformGI=CP$13,CP63*CS63,IF('Inhaltliche Bewertung - GI'!RechtsformGI=CH$13,CH63*CS63,"")))))</f>
        <v>#N/A</v>
      </c>
      <c r="CU63" s="351" t="e">
        <f>IF('Inhaltliche Bewertung - GI'!RechtsformAngebot=CJ$13,CJ63*CS63,IF('Inhaltliche Bewertung - GI'!RechtsformAngebot=CL$13,CL63*CS63,IF('Inhaltliche Bewertung - GI'!RechtsformAngebot=CN$13,CN63*CS63,IF('Inhaltliche Bewertung - GI'!RechtsformAngebot=CP$13,CP63*CS63,IF('Inhaltliche Bewertung - GI'!RechtsformAngebot=CH$13,CH63*CS63,"")))))</f>
        <v>#N/A</v>
      </c>
      <c r="CV63" s="351"/>
      <c r="CW63" s="388" t="s">
        <v>3234</v>
      </c>
      <c r="CX63" s="392">
        <v>1</v>
      </c>
      <c r="CY63" s="368"/>
      <c r="CZ63" s="392">
        <v>1</v>
      </c>
      <c r="DA63" s="394"/>
      <c r="DB63" s="392">
        <v>1</v>
      </c>
      <c r="DC63" s="368"/>
      <c r="DD63" s="392">
        <v>1</v>
      </c>
      <c r="DE63" s="368"/>
      <c r="DF63" s="392">
        <v>1</v>
      </c>
      <c r="DG63" s="368"/>
      <c r="DH63" s="368"/>
      <c r="DI63" s="360">
        <v>1</v>
      </c>
      <c r="DJ63" s="351" t="e">
        <f>IF('Inhaltliche Bewertung - GI'!RechtsformGI=CZ$13,CZ63*DI63,IF('Inhaltliche Bewertung - GI'!RechtsformGI=DB$13,DB63*DI63,IF('Inhaltliche Bewertung - GI'!RechtsformGI=DD$13,DD63*DI63,IF('Inhaltliche Bewertung - GI'!RechtsformGI=DF$13,DF63*DI63,IF('Inhaltliche Bewertung - GI'!RechtsformGI=CX$13,CX63*DI63,"")))))</f>
        <v>#N/A</v>
      </c>
      <c r="DK63" s="351" t="e">
        <f>IF('Inhaltliche Bewertung - GI'!RechtsformAngebot=CZ$13,CZ63*DI63,IF('Inhaltliche Bewertung - GI'!RechtsformAngebot=DB$13,DB63*DI63,IF('Inhaltliche Bewertung - GI'!RechtsformAngebot=DD$13,DD63*DI63,IF('Inhaltliche Bewertung - GI'!RechtsformAngebot=DF$13,DF63*DI63,IF('Inhaltliche Bewertung - GI'!RechtsformAngebot=CX$13,CX63*DI63,"")))))</f>
        <v>#N/A</v>
      </c>
      <c r="DL63" s="351"/>
      <c r="DM63" s="388" t="s">
        <v>3234</v>
      </c>
      <c r="DN63" s="392">
        <v>1</v>
      </c>
      <c r="DO63" s="368"/>
      <c r="DP63" s="392">
        <v>1</v>
      </c>
      <c r="DQ63" s="368"/>
      <c r="DR63" s="392">
        <v>1</v>
      </c>
      <c r="DS63" s="368"/>
      <c r="DT63" s="392">
        <v>1</v>
      </c>
      <c r="DU63" s="368"/>
      <c r="DV63" s="392">
        <v>1</v>
      </c>
      <c r="DW63" s="368"/>
      <c r="DX63" s="368"/>
      <c r="DY63" s="360">
        <v>1</v>
      </c>
      <c r="DZ63" s="351" t="e">
        <f>IF('Inhaltliche Bewertung - GI'!RechtsformGI=DP$13,DP63*DY63,IF('Inhaltliche Bewertung - GI'!RechtsformGI=DR$13,DR63*DY63,IF('Inhaltliche Bewertung - GI'!RechtsformGI=DT$13,DT63*DY63,IF('Inhaltliche Bewertung - GI'!RechtsformGI=DV$13,DV63*DY63,IF('Inhaltliche Bewertung - GI'!RechtsformGI=DN$13,DN63*DY63,"")))))</f>
        <v>#N/A</v>
      </c>
      <c r="EA63" s="351" t="e">
        <f>IF('Inhaltliche Bewertung - GI'!RechtsformAngebot=DP$13,DP63*DY63,IF('Inhaltliche Bewertung - GI'!RechtsformAngebot=DR$13,DR63*DY63,IF('Inhaltliche Bewertung - GI'!RechtsformAngebot=DT$13,DT63*DY63,IF('Inhaltliche Bewertung - GI'!RechtsformAngebot=DV$13,DV63*DY63,IF('Inhaltliche Bewertung - GI'!RechtsformAngebot=DN$13,DN63*DY63,"")))))</f>
        <v>#N/A</v>
      </c>
      <c r="EB63" s="351"/>
      <c r="EC63" s="157">
        <f t="shared" si="1"/>
        <v>1</v>
      </c>
      <c r="ED63" s="157">
        <f t="shared" si="2"/>
        <v>1</v>
      </c>
      <c r="EE63" s="157">
        <f t="shared" si="3"/>
        <v>1</v>
      </c>
      <c r="EF63" s="157">
        <f t="shared" si="4"/>
        <v>1</v>
      </c>
    </row>
    <row r="64" spans="1:136" ht="14.25" customHeight="1">
      <c r="A64" s="395"/>
      <c r="B64" s="337" t="s">
        <v>3381</v>
      </c>
      <c r="C64" s="395"/>
      <c r="D64" s="396"/>
      <c r="E64" s="397"/>
      <c r="F64" s="398"/>
      <c r="G64" s="399"/>
      <c r="H64" s="398"/>
      <c r="I64" s="399"/>
      <c r="J64" s="398"/>
      <c r="K64" s="399"/>
      <c r="L64" s="398"/>
      <c r="M64" s="399"/>
      <c r="N64" s="398"/>
      <c r="O64" s="399"/>
      <c r="P64" s="400"/>
      <c r="Q64" s="401"/>
      <c r="R64" s="351" t="e">
        <f>IF('Inhaltliche Bewertung - GI'!RechtsformGI=H$13,H64*Q64,IF('Inhaltliche Bewertung - GI'!RechtsformGI=J$13,J64*Q64,IF('Inhaltliche Bewertung - GI'!RechtsformGI=L$13,L64*Q64,IF('Inhaltliche Bewertung - GI'!RechtsformGI=N$13,N64*Q64,IF('Inhaltliche Bewertung - GI'!RechtsformGI=F$13,F64*Q64,"")))))</f>
        <v>#N/A</v>
      </c>
      <c r="S64" s="351" t="e">
        <f>IF('Inhaltliche Bewertung - GI'!RechtsformAngebot=H$13,H64*Q64,IF('Inhaltliche Bewertung - GI'!RechtsformAngebot=J$13,J64*Q64,IF('Inhaltliche Bewertung - GI'!RechtsformAngebot=L$13,L64*Q64,IF('Inhaltliche Bewertung - GI'!RechtsformAngebot=N$13,N64*Q64,IF('Inhaltliche Bewertung - GI'!RechtsformAngebot=F$13,F64*Q64,"")))))</f>
        <v>#N/A</v>
      </c>
      <c r="T64" s="351"/>
      <c r="U64" s="397"/>
      <c r="V64" s="398"/>
      <c r="W64" s="402"/>
      <c r="X64" s="403"/>
      <c r="Y64" s="402"/>
      <c r="Z64" s="403"/>
      <c r="AA64" s="402"/>
      <c r="AB64" s="403"/>
      <c r="AC64" s="402"/>
      <c r="AD64" s="403"/>
      <c r="AE64" s="402"/>
      <c r="AF64" s="402"/>
      <c r="AG64" s="401"/>
      <c r="AH64" s="351" t="e">
        <f>IF('Inhaltliche Bewertung - GI'!RechtsformGI=X$13,X64*AG64,IF('Inhaltliche Bewertung - GI'!RechtsformGI=Z$13,Z64*AG64,IF('Inhaltliche Bewertung - GI'!RechtsformGI=AB$13,AB64*AG64,IF('Inhaltliche Bewertung - GI'!RechtsformGI=AD$13,AD64*AG64,IF('Inhaltliche Bewertung - GI'!RechtsformGI=V$13,V64*AG64,"")))))</f>
        <v>#N/A</v>
      </c>
      <c r="AI64" s="351" t="e">
        <f>IF('Inhaltliche Bewertung - GI'!RechtsformAngebot=X$13,X64*AG64,IF('Inhaltliche Bewertung - GI'!RechtsformAngebot=Z$13,Z64*AG64,IF('Inhaltliche Bewertung - GI'!RechtsformAngebot=AB$13,AB64*AG64,IF('Inhaltliche Bewertung - GI'!RechtsformAngebot=AD$13,AD64*AG64,IF('Inhaltliche Bewertung - GI'!RechtsformAngebot=V$13,V64*AG64,"")))))</f>
        <v>#N/A</v>
      </c>
      <c r="AJ64" s="351"/>
      <c r="AK64" s="397"/>
      <c r="AL64" s="398"/>
      <c r="AM64" s="399"/>
      <c r="AN64" s="398"/>
      <c r="AO64" s="399"/>
      <c r="AP64" s="398"/>
      <c r="AQ64" s="399"/>
      <c r="AR64" s="398"/>
      <c r="AS64" s="399"/>
      <c r="AT64" s="398"/>
      <c r="AU64" s="399"/>
      <c r="AV64" s="399"/>
      <c r="AW64" s="401"/>
      <c r="AX64" s="351" t="e">
        <f>IF('Inhaltliche Bewertung - GI'!RechtsformGI=AN$13,AN64*AW64,IF('Inhaltliche Bewertung - GI'!RechtsformGI=AP$13,AP64*AW64,IF('Inhaltliche Bewertung - GI'!RechtsformGI=AR$13,AR64*AW64,IF('Inhaltliche Bewertung - GI'!RechtsformGI=AT$13,AT64*AW64,IF('Inhaltliche Bewertung - GI'!RechtsformGI=AL$13,AL64*AW64,"")))))</f>
        <v>#N/A</v>
      </c>
      <c r="AY64" s="351" t="e">
        <f>IF('Inhaltliche Bewertung - GI'!RechtsformAngebot=AN$13,AN64*AW64,IF('Inhaltliche Bewertung - GI'!RechtsformAngebot=AP$13,AP64*AW64,IF('Inhaltliche Bewertung - GI'!RechtsformAngebot=AR$13,AR64*AW64,IF('Inhaltliche Bewertung - GI'!RechtsformAngebot=AT$13,AT64*AW64,IF('Inhaltliche Bewertung - GI'!RechtsformAngebot=AL$13,AL64*AW64,"")))))</f>
        <v>#N/A</v>
      </c>
      <c r="AZ64" s="351"/>
      <c r="BA64" s="397"/>
      <c r="BB64" s="404"/>
      <c r="BC64" s="399"/>
      <c r="BD64" s="404"/>
      <c r="BE64" s="399"/>
      <c r="BF64" s="404"/>
      <c r="BG64" s="399"/>
      <c r="BH64" s="404"/>
      <c r="BI64" s="399"/>
      <c r="BJ64" s="404"/>
      <c r="BK64" s="399"/>
      <c r="BL64" s="399"/>
      <c r="BM64" s="401"/>
      <c r="BN64" s="351" t="e">
        <f>IF('Inhaltliche Bewertung - GI'!RechtsformGI=BD$13,BD64*BM64,IF('Inhaltliche Bewertung - GI'!RechtsformGI=BF$13,BF64*BM64,IF('Inhaltliche Bewertung - GI'!RechtsformGI=BH$13,BH64*BM64,IF('Inhaltliche Bewertung - GI'!RechtsformGI=BJ$13,BJ64*BM64,IF('Inhaltliche Bewertung - GI'!RechtsformGI=BB$13,BB64*BM64,"")))))</f>
        <v>#N/A</v>
      </c>
      <c r="BO64" s="351" t="e">
        <f>IF('Inhaltliche Bewertung - GI'!RechtsformAngebot=BD$13,BD64*BM64,IF('Inhaltliche Bewertung - GI'!RechtsformAngebot=BF$13,BF64*BM64,IF('Inhaltliche Bewertung - GI'!RechtsformAngebot=BH$13,BH64*BM64,IF('Inhaltliche Bewertung - GI'!RechtsformAngebot=BJ$13,BJ64*BM64,IF('Inhaltliche Bewertung - GI'!RechtsformAngebot=BB$13,BB64*BM64,"")))))</f>
        <v>#N/A</v>
      </c>
      <c r="BP64" s="351"/>
      <c r="BQ64" s="397"/>
      <c r="BR64" s="405"/>
      <c r="BS64" s="406"/>
      <c r="BT64" s="405"/>
      <c r="BU64" s="406"/>
      <c r="BV64" s="405"/>
      <c r="BW64" s="406"/>
      <c r="BX64" s="405"/>
      <c r="BY64" s="406"/>
      <c r="BZ64" s="405"/>
      <c r="CA64" s="406"/>
      <c r="CB64" s="406"/>
      <c r="CC64" s="401"/>
      <c r="CD64" s="351" t="e">
        <f>IF('Inhaltliche Bewertung - GI'!RechtsformGI=BT$13,BT64*CC64,IF('Inhaltliche Bewertung - GI'!RechtsformGI=BV$13,BV64*CC64,IF('Inhaltliche Bewertung - GI'!RechtsformGI=BX$13,BX64*CC64,IF('Inhaltliche Bewertung - GI'!RechtsformGI=BZ$13,BZ64*CC64,IF('Inhaltliche Bewertung - GI'!RechtsformGI=BR$13,BR64*CC64,"")))))</f>
        <v>#N/A</v>
      </c>
      <c r="CE64" s="351" t="e">
        <f>IF('Inhaltliche Bewertung - GI'!RechtsformAngebot=BT$13,BT64*CC64,IF('Inhaltliche Bewertung - GI'!RechtsformAngebot=BV$13,BV64*CC64,IF('Inhaltliche Bewertung - GI'!RechtsformAngebot=BX$13,BX64*CC64,IF('Inhaltliche Bewertung - GI'!RechtsformAngebot=BZ$13,BZ64*CC64,IF('Inhaltliche Bewertung - GI'!RechtsformAngebot=BR$13,BR64*CC64,"")))))</f>
        <v>#N/A</v>
      </c>
      <c r="CF64" s="351"/>
      <c r="CG64" s="397"/>
      <c r="CH64" s="405"/>
      <c r="CI64" s="407"/>
      <c r="CJ64" s="405"/>
      <c r="CK64" s="407"/>
      <c r="CL64" s="405"/>
      <c r="CM64" s="407"/>
      <c r="CN64" s="405"/>
      <c r="CO64" s="407"/>
      <c r="CP64" s="405"/>
      <c r="CQ64" s="407"/>
      <c r="CR64" s="407"/>
      <c r="CS64" s="401"/>
      <c r="CT64" s="351" t="e">
        <f>IF('Inhaltliche Bewertung - GI'!RechtsformGI=CJ$13,CJ64*CS64,IF('Inhaltliche Bewertung - GI'!RechtsformGI=CL$13,CL64*CS64,IF('Inhaltliche Bewertung - GI'!RechtsformGI=CN$13,CN64*CS64,IF('Inhaltliche Bewertung - GI'!RechtsformGI=CP$13,CP64*CS64,IF('Inhaltliche Bewertung - GI'!RechtsformGI=CH$13,CH64*CS64,"")))))</f>
        <v>#N/A</v>
      </c>
      <c r="CU64" s="351" t="e">
        <f>IF('Inhaltliche Bewertung - GI'!RechtsformAngebot=CJ$13,CJ64*CS64,IF('Inhaltliche Bewertung - GI'!RechtsformAngebot=CL$13,CL64*CS64,IF('Inhaltliche Bewertung - GI'!RechtsformAngebot=CN$13,CN64*CS64,IF('Inhaltliche Bewertung - GI'!RechtsformAngebot=CP$13,CP64*CS64,IF('Inhaltliche Bewertung - GI'!RechtsformAngebot=CH$13,CH64*CS64,"")))))</f>
        <v>#N/A</v>
      </c>
      <c r="CV64" s="351"/>
      <c r="CW64" s="397"/>
      <c r="CX64" s="405"/>
      <c r="CY64" s="407"/>
      <c r="CZ64" s="408"/>
      <c r="DA64" s="409"/>
      <c r="DB64" s="405"/>
      <c r="DC64" s="407"/>
      <c r="DD64" s="405"/>
      <c r="DE64" s="407"/>
      <c r="DF64" s="405"/>
      <c r="DG64" s="407"/>
      <c r="DH64" s="407"/>
      <c r="DI64" s="401"/>
      <c r="DJ64" s="351" t="e">
        <f>IF('Inhaltliche Bewertung - GI'!RechtsformGI=CZ$13,CZ64*DI64,IF('Inhaltliche Bewertung - GI'!RechtsformGI=DB$13,DB64*DI64,IF('Inhaltliche Bewertung - GI'!RechtsformGI=DD$13,DD64*DI64,IF('Inhaltliche Bewertung - GI'!RechtsformGI=DF$13,DF64*DI64,IF('Inhaltliche Bewertung - GI'!RechtsformGI=CX$13,CX64*DI64,"")))))</f>
        <v>#N/A</v>
      </c>
      <c r="DK64" s="351" t="e">
        <f>IF('Inhaltliche Bewertung - GI'!RechtsformAngebot=CZ$13,CZ64*DI64,IF('Inhaltliche Bewertung - GI'!RechtsformAngebot=DB$13,DB64*DI64,IF('Inhaltliche Bewertung - GI'!RechtsformAngebot=DD$13,DD64*DI64,IF('Inhaltliche Bewertung - GI'!RechtsformAngebot=DF$13,DF64*DI64,IF('Inhaltliche Bewertung - GI'!RechtsformAngebot=CX$13,CX64*DI64,"")))))</f>
        <v>#N/A</v>
      </c>
      <c r="DL64" s="351"/>
      <c r="DM64" s="397"/>
      <c r="DN64" s="405"/>
      <c r="DO64" s="407"/>
      <c r="DP64" s="405"/>
      <c r="DQ64" s="407"/>
      <c r="DR64" s="405"/>
      <c r="DS64" s="407"/>
      <c r="DT64" s="405"/>
      <c r="DU64" s="407"/>
      <c r="DV64" s="405"/>
      <c r="DW64" s="407"/>
      <c r="DX64" s="407"/>
      <c r="DY64" s="401"/>
      <c r="DZ64" s="351" t="e">
        <f>IF('Inhaltliche Bewertung - GI'!RechtsformGI=DP$13,DP64*DY64,IF('Inhaltliche Bewertung - GI'!RechtsformGI=DR$13,DR64*DY64,IF('Inhaltliche Bewertung - GI'!RechtsformGI=DT$13,DT64*DY64,IF('Inhaltliche Bewertung - GI'!RechtsformGI=DV$13,DV64*DY64,IF('Inhaltliche Bewertung - GI'!RechtsformGI=DN$13,DN64*DY64,"")))))</f>
        <v>#N/A</v>
      </c>
      <c r="EA64" s="351" t="e">
        <f>IF('Inhaltliche Bewertung - GI'!RechtsformAngebot=DP$13,DP64*DY64,IF('Inhaltliche Bewertung - GI'!RechtsformAngebot=DR$13,DR64*DY64,IF('Inhaltliche Bewertung - GI'!RechtsformAngebot=DT$13,DT64*DY64,IF('Inhaltliche Bewertung - GI'!RechtsformAngebot=DV$13,DV64*DY64,IF('Inhaltliche Bewertung - GI'!RechtsformAngebot=DN$13,DN64*DY64,"")))))</f>
        <v>#N/A</v>
      </c>
      <c r="EB64" s="351"/>
      <c r="EC64" s="157">
        <f t="shared" si="1"/>
        <v>0</v>
      </c>
      <c r="ED64" s="157">
        <f t="shared" si="2"/>
        <v>0</v>
      </c>
      <c r="EE64" s="157" t="e">
        <f t="shared" si="3"/>
        <v>#DIV/0!</v>
      </c>
      <c r="EF64" s="157" t="e">
        <f t="shared" si="4"/>
        <v>#NUM!</v>
      </c>
    </row>
    <row r="65" spans="1:136" ht="14.25" customHeight="1">
      <c r="A65" s="444" t="b">
        <f t="shared" ref="A65:A88" si="5">EXACT(MAX(F65,H65,J65,L65,N65,V65,X65,Z65,AB65,AD65,AL65,AN65,AP65,AR65,AT65,BB65,BD65,BF65,BH65,BJ65,BR65,BT65,BV65,BX65,BZ65,CH65,CJ65,CL65,CN65,CP65,CX65,CZ65,DB65,DD65,DF65),MIN(F65,H65,J65,L65,N65,V65,X65,Z65,AB65,AD65,AL65,AN65,AP65,AR65,AT65,BB65,BD65,BF65,BH65,BJ65,BR65,BT65,BV65,BX65,BZ65,CH65,CJ65,CL65,CN65,CP65,CX65,CZ65,DB65,DD65,DF65))</f>
        <v>0</v>
      </c>
      <c r="B65" s="292"/>
      <c r="C65" s="355" t="s">
        <v>3382</v>
      </c>
      <c r="D65" s="345"/>
      <c r="E65" s="356" t="s">
        <v>3234</v>
      </c>
      <c r="F65" s="357">
        <v>0</v>
      </c>
      <c r="G65" s="358"/>
      <c r="H65" s="357">
        <v>0</v>
      </c>
      <c r="I65" s="358"/>
      <c r="J65" s="357">
        <v>0</v>
      </c>
      <c r="K65" s="358"/>
      <c r="L65" s="357">
        <v>0</v>
      </c>
      <c r="M65" s="358"/>
      <c r="N65" s="357">
        <v>0</v>
      </c>
      <c r="O65" s="358"/>
      <c r="P65" s="359"/>
      <c r="Q65" s="373">
        <v>1</v>
      </c>
      <c r="R65" s="351" t="e">
        <f>IF('Inhaltliche Bewertung - GI'!RechtsformGI=H$13,H65*Q65,IF('Inhaltliche Bewertung - GI'!RechtsformGI=J$13,J65*Q65,IF('Inhaltliche Bewertung - GI'!RechtsformGI=L$13,L65*Q65,IF('Inhaltliche Bewertung - GI'!RechtsformGI=N$13,N65*Q65,IF('Inhaltliche Bewertung - GI'!RechtsformGI=F$13,F65*Q65,"")))))</f>
        <v>#N/A</v>
      </c>
      <c r="S65" s="351" t="e">
        <f>IF('Inhaltliche Bewertung - GI'!RechtsformAngebot=H$13,H65*Q65,IF('Inhaltliche Bewertung - GI'!RechtsformAngebot=J$13,J65*Q65,IF('Inhaltliche Bewertung - GI'!RechtsformAngebot=L$13,L65*Q65,IF('Inhaltliche Bewertung - GI'!RechtsformAngebot=N$13,N65*Q65,IF('Inhaltliche Bewertung - GI'!RechtsformAngebot=F$13,F65*Q65,"")))))</f>
        <v>#N/A</v>
      </c>
      <c r="T65" s="351"/>
      <c r="U65" s="356" t="s">
        <v>3234</v>
      </c>
      <c r="V65" s="357">
        <v>0</v>
      </c>
      <c r="W65" s="374"/>
      <c r="X65" s="375">
        <v>0</v>
      </c>
      <c r="Y65" s="374"/>
      <c r="Z65" s="375">
        <v>0</v>
      </c>
      <c r="AA65" s="374"/>
      <c r="AB65" s="375">
        <v>0</v>
      </c>
      <c r="AC65" s="374"/>
      <c r="AD65" s="375">
        <v>0</v>
      </c>
      <c r="AE65" s="374"/>
      <c r="AF65" s="374"/>
      <c r="AG65" s="373">
        <v>1</v>
      </c>
      <c r="AH65" s="351" t="e">
        <f>IF('Inhaltliche Bewertung - GI'!RechtsformGI=X$13,X65*AG65,IF('Inhaltliche Bewertung - GI'!RechtsformGI=Z$13,Z65*AG65,IF('Inhaltliche Bewertung - GI'!RechtsformGI=AB$13,AB65*AG65,IF('Inhaltliche Bewertung - GI'!RechtsformGI=AD$13,AD65*AG65,IF('Inhaltliche Bewertung - GI'!RechtsformGI=V$13,V65*AG65,"")))))</f>
        <v>#N/A</v>
      </c>
      <c r="AI65" s="351" t="e">
        <f>IF('Inhaltliche Bewertung - GI'!RechtsformAngebot=X$13,X65*AG65,IF('Inhaltliche Bewertung - GI'!RechtsformAngebot=Z$13,Z65*AG65,IF('Inhaltliche Bewertung - GI'!RechtsformAngebot=AB$13,AB65*AG65,IF('Inhaltliche Bewertung - GI'!RechtsformAngebot=AD$13,AD65*AG65,IF('Inhaltliche Bewertung - GI'!RechtsformAngebot=V$13,V65*AG65,"")))))</f>
        <v>#N/A</v>
      </c>
      <c r="AJ65" s="351"/>
      <c r="AK65" s="356" t="s">
        <v>3234</v>
      </c>
      <c r="AL65" s="357">
        <v>0</v>
      </c>
      <c r="AM65" s="358"/>
      <c r="AN65" s="357">
        <v>0</v>
      </c>
      <c r="AO65" s="358"/>
      <c r="AP65" s="357">
        <v>0</v>
      </c>
      <c r="AQ65" s="358"/>
      <c r="AR65" s="357">
        <v>0</v>
      </c>
      <c r="AS65" s="358"/>
      <c r="AT65" s="357">
        <v>0</v>
      </c>
      <c r="AU65" s="358"/>
      <c r="AV65" s="358"/>
      <c r="AW65" s="373">
        <v>1</v>
      </c>
      <c r="AX65" s="351" t="e">
        <f>IF('Inhaltliche Bewertung - GI'!RechtsformGI=AN$13,AN65*AW65,IF('Inhaltliche Bewertung - GI'!RechtsformGI=AP$13,AP65*AW65,IF('Inhaltliche Bewertung - GI'!RechtsformGI=AR$13,AR65*AW65,IF('Inhaltliche Bewertung - GI'!RechtsformGI=AT$13,AT65*AW65,IF('Inhaltliche Bewertung - GI'!RechtsformGI=AL$13,AL65*AW65,"")))))</f>
        <v>#N/A</v>
      </c>
      <c r="AY65" s="351" t="e">
        <f>IF('Inhaltliche Bewertung - GI'!RechtsformAngebot=AN$13,AN65*AW65,IF('Inhaltliche Bewertung - GI'!RechtsformAngebot=AP$13,AP65*AW65,IF('Inhaltliche Bewertung - GI'!RechtsformAngebot=AR$13,AR65*AW65,IF('Inhaltliche Bewertung - GI'!RechtsformAngebot=AT$13,AT65*AW65,IF('Inhaltliche Bewertung - GI'!RechtsformAngebot=AL$13,AL65*AW65,"")))))</f>
        <v>#N/A</v>
      </c>
      <c r="AZ65" s="351"/>
      <c r="BA65" s="361" t="s">
        <v>3383</v>
      </c>
      <c r="BB65" s="366">
        <v>0.5</v>
      </c>
      <c r="BC65" s="365"/>
      <c r="BD65" s="366">
        <v>0.5</v>
      </c>
      <c r="BE65" s="365"/>
      <c r="BF65" s="366">
        <v>0.5</v>
      </c>
      <c r="BG65" s="365"/>
      <c r="BH65" s="366">
        <v>0.5</v>
      </c>
      <c r="BI65" s="365"/>
      <c r="BJ65" s="366">
        <v>0.5</v>
      </c>
      <c r="BK65" s="365"/>
      <c r="BL65" s="365"/>
      <c r="BM65" s="373">
        <v>1</v>
      </c>
      <c r="BN65" s="351" t="e">
        <f>IF('Inhaltliche Bewertung - GI'!RechtsformGI=BD$13,BD65*BM65,IF('Inhaltliche Bewertung - GI'!RechtsformGI=BF$13,BF65*BM65,IF('Inhaltliche Bewertung - GI'!RechtsformGI=BH$13,BH65*BM65,IF('Inhaltliche Bewertung - GI'!RechtsformGI=BJ$13,BJ65*BM65,IF('Inhaltliche Bewertung - GI'!RechtsformGI=BB$13,BB65*BM65,"")))))</f>
        <v>#N/A</v>
      </c>
      <c r="BO65" s="351" t="e">
        <f>IF('Inhaltliche Bewertung - GI'!RechtsformAngebot=BD$13,BD65*BM65,IF('Inhaltliche Bewertung - GI'!RechtsformAngebot=BF$13,BF65*BM65,IF('Inhaltliche Bewertung - GI'!RechtsformAngebot=BH$13,BH65*BM65,IF('Inhaltliche Bewertung - GI'!RechtsformAngebot=BJ$13,BJ65*BM65,IF('Inhaltliche Bewertung - GI'!RechtsformAngebot=BB$13,BB65*BM65,"")))))</f>
        <v>#N/A</v>
      </c>
      <c r="BP65" s="351"/>
      <c r="BQ65" s="361" t="s">
        <v>3383</v>
      </c>
      <c r="BR65" s="367">
        <v>0.5</v>
      </c>
      <c r="BS65" s="368"/>
      <c r="BT65" s="367">
        <v>0.5</v>
      </c>
      <c r="BU65" s="368"/>
      <c r="BV65" s="367">
        <v>0.5</v>
      </c>
      <c r="BW65" s="368"/>
      <c r="BX65" s="367">
        <v>0.5</v>
      </c>
      <c r="BY65" s="368"/>
      <c r="BZ65" s="367">
        <v>0.5</v>
      </c>
      <c r="CA65" s="368"/>
      <c r="CB65" s="368"/>
      <c r="CC65" s="373">
        <v>1</v>
      </c>
      <c r="CD65" s="351" t="e">
        <f>IF('Inhaltliche Bewertung - GI'!RechtsformGI=BT$13,BT65*CC65,IF('Inhaltliche Bewertung - GI'!RechtsformGI=BV$13,BV65*CC65,IF('Inhaltliche Bewertung - GI'!RechtsformGI=BX$13,BX65*CC65,IF('Inhaltliche Bewertung - GI'!RechtsformGI=BZ$13,BZ65*CC65,IF('Inhaltliche Bewertung - GI'!RechtsformGI=BR$13,BR65*CC65,"")))))</f>
        <v>#N/A</v>
      </c>
      <c r="CE65" s="351" t="e">
        <f>IF('Inhaltliche Bewertung - GI'!RechtsformAngebot=BT$13,BT65*CC65,IF('Inhaltliche Bewertung - GI'!RechtsformAngebot=BV$13,BV65*CC65,IF('Inhaltliche Bewertung - GI'!RechtsformAngebot=BX$13,BX65*CC65,IF('Inhaltliche Bewertung - GI'!RechtsformAngebot=BZ$13,BZ65*CC65,IF('Inhaltliche Bewertung - GI'!RechtsformAngebot=BR$13,BR65*CC65,"")))))</f>
        <v>#N/A</v>
      </c>
      <c r="CF65" s="351"/>
      <c r="CG65" s="361" t="s">
        <v>3384</v>
      </c>
      <c r="CH65" s="367">
        <v>0.3</v>
      </c>
      <c r="CI65" s="368"/>
      <c r="CJ65" s="367">
        <v>0.3</v>
      </c>
      <c r="CK65" s="368"/>
      <c r="CL65" s="367">
        <v>0.3</v>
      </c>
      <c r="CM65" s="368"/>
      <c r="CN65" s="367">
        <v>0.3</v>
      </c>
      <c r="CO65" s="368"/>
      <c r="CP65" s="367">
        <v>0.3</v>
      </c>
      <c r="CQ65" s="368"/>
      <c r="CR65" s="368"/>
      <c r="CS65" s="373">
        <v>1</v>
      </c>
      <c r="CT65" s="351" t="e">
        <f>IF('Inhaltliche Bewertung - GI'!RechtsformGI=CJ$13,CJ65*CS65,IF('Inhaltliche Bewertung - GI'!RechtsformGI=CL$13,CL65*CS65,IF('Inhaltliche Bewertung - GI'!RechtsformGI=CN$13,CN65*CS65,IF('Inhaltliche Bewertung - GI'!RechtsformGI=CP$13,CP65*CS65,IF('Inhaltliche Bewertung - GI'!RechtsformGI=CH$13,CH65*CS65,"")))))</f>
        <v>#N/A</v>
      </c>
      <c r="CU65" s="351" t="e">
        <f>IF('Inhaltliche Bewertung - GI'!RechtsformAngebot=CJ$13,CJ65*CS65,IF('Inhaltliche Bewertung - GI'!RechtsformAngebot=CL$13,CL65*CS65,IF('Inhaltliche Bewertung - GI'!RechtsformAngebot=CN$13,CN65*CS65,IF('Inhaltliche Bewertung - GI'!RechtsformAngebot=CP$13,CP65*CS65,IF('Inhaltliche Bewertung - GI'!RechtsformAngebot=CH$13,CH65*CS65,"")))))</f>
        <v>#N/A</v>
      </c>
      <c r="CV65" s="351"/>
      <c r="CW65" s="356" t="s">
        <v>3234</v>
      </c>
      <c r="CX65" s="376">
        <v>0</v>
      </c>
      <c r="CY65" s="377"/>
      <c r="CZ65" s="376">
        <v>0</v>
      </c>
      <c r="DA65" s="379"/>
      <c r="DB65" s="376">
        <v>0</v>
      </c>
      <c r="DC65" s="377"/>
      <c r="DD65" s="376">
        <v>0</v>
      </c>
      <c r="DE65" s="377"/>
      <c r="DF65" s="376">
        <v>0</v>
      </c>
      <c r="DG65" s="377"/>
      <c r="DH65" s="377"/>
      <c r="DI65" s="373">
        <v>1</v>
      </c>
      <c r="DJ65" s="351" t="e">
        <f>IF('Inhaltliche Bewertung - GI'!RechtsformGI=CZ$13,CZ65*DI65,IF('Inhaltliche Bewertung - GI'!RechtsformGI=DB$13,DB65*DI65,IF('Inhaltliche Bewertung - GI'!RechtsformGI=DD$13,DD65*DI65,IF('Inhaltliche Bewertung - GI'!RechtsformGI=DF$13,DF65*DI65,IF('Inhaltliche Bewertung - GI'!RechtsformGI=CX$13,CX65*DI65,"")))))</f>
        <v>#N/A</v>
      </c>
      <c r="DK65" s="351" t="e">
        <f>IF('Inhaltliche Bewertung - GI'!RechtsformAngebot=CZ$13,CZ65*DI65,IF('Inhaltliche Bewertung - GI'!RechtsformAngebot=DB$13,DB65*DI65,IF('Inhaltliche Bewertung - GI'!RechtsformAngebot=DD$13,DD65*DI65,IF('Inhaltliche Bewertung - GI'!RechtsformAngebot=DF$13,DF65*DI65,IF('Inhaltliche Bewertung - GI'!RechtsformAngebot=CX$13,CX65*DI65,"")))))</f>
        <v>#N/A</v>
      </c>
      <c r="DL65" s="351"/>
      <c r="DM65" s="361" t="s">
        <v>3383</v>
      </c>
      <c r="DN65" s="367">
        <v>0.5</v>
      </c>
      <c r="DO65" s="368"/>
      <c r="DP65" s="367">
        <v>0.5</v>
      </c>
      <c r="DQ65" s="368"/>
      <c r="DR65" s="367">
        <v>0.5</v>
      </c>
      <c r="DS65" s="368"/>
      <c r="DT65" s="367">
        <v>0.5</v>
      </c>
      <c r="DU65" s="368"/>
      <c r="DV65" s="367">
        <v>0.5</v>
      </c>
      <c r="DW65" s="368"/>
      <c r="DX65" s="368"/>
      <c r="DY65" s="373">
        <v>1</v>
      </c>
      <c r="DZ65" s="351" t="e">
        <f>IF('Inhaltliche Bewertung - GI'!RechtsformGI=DP$13,DP65*DY65,IF('Inhaltliche Bewertung - GI'!RechtsformGI=DR$13,DR65*DY65,IF('Inhaltliche Bewertung - GI'!RechtsformGI=DT$13,DT65*DY65,IF('Inhaltliche Bewertung - GI'!RechtsformGI=DV$13,DV65*DY65,IF('Inhaltliche Bewertung - GI'!RechtsformGI=DN$13,DN65*DY65,"")))))</f>
        <v>#N/A</v>
      </c>
      <c r="EA65" s="351" t="e">
        <f>IF('Inhaltliche Bewertung - GI'!RechtsformAngebot=DP$13,DP65*DY65,IF('Inhaltliche Bewertung - GI'!RechtsformAngebot=DR$13,DR65*DY65,IF('Inhaltliche Bewertung - GI'!RechtsformAngebot=DT$13,DT65*DY65,IF('Inhaltliche Bewertung - GI'!RechtsformAngebot=DV$13,DV65*DY65,IF('Inhaltliche Bewertung - GI'!RechtsformAngebot=DN$13,DN65*DY65,"")))))</f>
        <v>#N/A</v>
      </c>
      <c r="EB65" s="351"/>
      <c r="EC65" s="157">
        <f t="shared" si="1"/>
        <v>0</v>
      </c>
      <c r="ED65" s="157">
        <f t="shared" si="2"/>
        <v>0.5</v>
      </c>
      <c r="EE65" s="157">
        <f t="shared" si="3"/>
        <v>0.22500000000000001</v>
      </c>
      <c r="EF65" s="157">
        <f t="shared" si="4"/>
        <v>0.15</v>
      </c>
    </row>
    <row r="66" spans="1:136" ht="14.25" customHeight="1">
      <c r="A66" s="444" t="b">
        <f t="shared" si="5"/>
        <v>1</v>
      </c>
      <c r="B66" s="292"/>
      <c r="C66" s="355" t="s">
        <v>3385</v>
      </c>
      <c r="D66" s="345"/>
      <c r="E66" s="361" t="s">
        <v>3386</v>
      </c>
      <c r="F66" s="362">
        <v>0.6</v>
      </c>
      <c r="G66" s="365"/>
      <c r="H66" s="362">
        <v>0.6</v>
      </c>
      <c r="I66" s="365"/>
      <c r="J66" s="362">
        <v>0.6</v>
      </c>
      <c r="K66" s="365"/>
      <c r="L66" s="362">
        <v>0.6</v>
      </c>
      <c r="M66" s="365"/>
      <c r="N66" s="362">
        <v>0.6</v>
      </c>
      <c r="O66" s="365"/>
      <c r="P66" s="370"/>
      <c r="Q66" s="360">
        <v>1</v>
      </c>
      <c r="R66" s="351" t="e">
        <f>IF('Inhaltliche Bewertung - GI'!RechtsformGI=H$13,H66*Q66,IF('Inhaltliche Bewertung - GI'!RechtsformGI=J$13,J66*Q66,IF('Inhaltliche Bewertung - GI'!RechtsformGI=L$13,L66*Q66,IF('Inhaltliche Bewertung - GI'!RechtsformGI=N$13,N66*Q66,IF('Inhaltliche Bewertung - GI'!RechtsformGI=F$13,F66*Q66,"")))))</f>
        <v>#N/A</v>
      </c>
      <c r="S66" s="351" t="e">
        <f>IF('Inhaltliche Bewertung - GI'!RechtsformAngebot=H$13,H66*Q66,IF('Inhaltliche Bewertung - GI'!RechtsformAngebot=J$13,J66*Q66,IF('Inhaltliche Bewertung - GI'!RechtsformAngebot=L$13,L66*Q66,IF('Inhaltliche Bewertung - GI'!RechtsformAngebot=N$13,N66*Q66,IF('Inhaltliche Bewertung - GI'!RechtsformAngebot=F$13,F66*Q66,"")))))</f>
        <v>#N/A</v>
      </c>
      <c r="T66" s="351"/>
      <c r="U66" s="361" t="s">
        <v>3386</v>
      </c>
      <c r="V66" s="362">
        <v>0.6</v>
      </c>
      <c r="W66" s="365"/>
      <c r="X66" s="362">
        <v>0.6</v>
      </c>
      <c r="Y66" s="365"/>
      <c r="Z66" s="362">
        <v>0.6</v>
      </c>
      <c r="AA66" s="365"/>
      <c r="AB66" s="362">
        <v>0.6</v>
      </c>
      <c r="AC66" s="365"/>
      <c r="AD66" s="362">
        <v>0.6</v>
      </c>
      <c r="AE66" s="365"/>
      <c r="AF66" s="370"/>
      <c r="AG66" s="360">
        <v>1</v>
      </c>
      <c r="AH66" s="351" t="e">
        <f>IF('Inhaltliche Bewertung - GI'!RechtsformGI=X$13,X66*AG66,IF('Inhaltliche Bewertung - GI'!RechtsformGI=Z$13,Z66*AG66,IF('Inhaltliche Bewertung - GI'!RechtsformGI=AB$13,AB66*AG66,IF('Inhaltliche Bewertung - GI'!RechtsformGI=AD$13,AD66*AG66,IF('Inhaltliche Bewertung - GI'!RechtsformGI=V$13,V66*AG66,"")))))</f>
        <v>#N/A</v>
      </c>
      <c r="AI66" s="351" t="e">
        <f>IF('Inhaltliche Bewertung - GI'!RechtsformAngebot=X$13,X66*AG66,IF('Inhaltliche Bewertung - GI'!RechtsformAngebot=Z$13,Z66*AG66,IF('Inhaltliche Bewertung - GI'!RechtsformAngebot=AB$13,AB66*AG66,IF('Inhaltliche Bewertung - GI'!RechtsformAngebot=AD$13,AD66*AG66,IF('Inhaltliche Bewertung - GI'!RechtsformAngebot=V$13,V66*AG66,"")))))</f>
        <v>#N/A</v>
      </c>
      <c r="AJ66" s="351"/>
      <c r="AK66" s="361" t="s">
        <v>3386</v>
      </c>
      <c r="AL66" s="362">
        <v>0.6</v>
      </c>
      <c r="AM66" s="365"/>
      <c r="AN66" s="362">
        <v>0.6</v>
      </c>
      <c r="AO66" s="365"/>
      <c r="AP66" s="362">
        <v>0.6</v>
      </c>
      <c r="AQ66" s="365"/>
      <c r="AR66" s="362">
        <v>0.6</v>
      </c>
      <c r="AS66" s="365"/>
      <c r="AT66" s="362">
        <v>0.6</v>
      </c>
      <c r="AU66" s="365"/>
      <c r="AV66" s="370"/>
      <c r="AW66" s="360">
        <v>1</v>
      </c>
      <c r="AX66" s="351" t="e">
        <f>IF('Inhaltliche Bewertung - GI'!RechtsformGI=AN$13,AN66*AW66,IF('Inhaltliche Bewertung - GI'!RechtsformGI=AP$13,AP66*AW66,IF('Inhaltliche Bewertung - GI'!RechtsformGI=AR$13,AR66*AW66,IF('Inhaltliche Bewertung - GI'!RechtsformGI=AT$13,AT66*AW66,IF('Inhaltliche Bewertung - GI'!RechtsformGI=AL$13,AL66*AW66,"")))))</f>
        <v>#N/A</v>
      </c>
      <c r="AY66" s="351" t="e">
        <f>IF('Inhaltliche Bewertung - GI'!RechtsformAngebot=AN$13,AN66*AW66,IF('Inhaltliche Bewertung - GI'!RechtsformAngebot=AP$13,AP66*AW66,IF('Inhaltliche Bewertung - GI'!RechtsformAngebot=AR$13,AR66*AW66,IF('Inhaltliche Bewertung - GI'!RechtsformAngebot=AT$13,AT66*AW66,IF('Inhaltliche Bewertung - GI'!RechtsformAngebot=AL$13,AL66*AW66,"")))))</f>
        <v>#N/A</v>
      </c>
      <c r="AZ66" s="351"/>
      <c r="BA66" s="361" t="s">
        <v>3386</v>
      </c>
      <c r="BB66" s="362">
        <v>0.6</v>
      </c>
      <c r="BC66" s="365"/>
      <c r="BD66" s="362">
        <v>0.6</v>
      </c>
      <c r="BE66" s="365"/>
      <c r="BF66" s="362">
        <v>0.6</v>
      </c>
      <c r="BG66" s="365"/>
      <c r="BH66" s="362">
        <v>0.6</v>
      </c>
      <c r="BI66" s="365"/>
      <c r="BJ66" s="362">
        <v>0.6</v>
      </c>
      <c r="BK66" s="365"/>
      <c r="BL66" s="370"/>
      <c r="BM66" s="360">
        <v>1</v>
      </c>
      <c r="BN66" s="351" t="e">
        <f>IF('Inhaltliche Bewertung - GI'!RechtsformGI=BD$13,BD66*BM66,IF('Inhaltliche Bewertung - GI'!RechtsformGI=BF$13,BF66*BM66,IF('Inhaltliche Bewertung - GI'!RechtsformGI=BH$13,BH66*BM66,IF('Inhaltliche Bewertung - GI'!RechtsformGI=BJ$13,BJ66*BM66,IF('Inhaltliche Bewertung - GI'!RechtsformGI=BB$13,BB66*BM66,"")))))</f>
        <v>#N/A</v>
      </c>
      <c r="BO66" s="351" t="e">
        <f>IF('Inhaltliche Bewertung - GI'!RechtsformAngebot=BD$13,BD66*BM66,IF('Inhaltliche Bewertung - GI'!RechtsformAngebot=BF$13,BF66*BM66,IF('Inhaltliche Bewertung - GI'!RechtsformAngebot=BH$13,BH66*BM66,IF('Inhaltliche Bewertung - GI'!RechtsformAngebot=BJ$13,BJ66*BM66,IF('Inhaltliche Bewertung - GI'!RechtsformAngebot=BB$13,BB66*BM66,"")))))</f>
        <v>#N/A</v>
      </c>
      <c r="BP66" s="351"/>
      <c r="BQ66" s="361" t="s">
        <v>3386</v>
      </c>
      <c r="BR66" s="362">
        <v>0.6</v>
      </c>
      <c r="BS66" s="365"/>
      <c r="BT66" s="362">
        <v>0.6</v>
      </c>
      <c r="BU66" s="365"/>
      <c r="BV66" s="362">
        <v>0.6</v>
      </c>
      <c r="BW66" s="365"/>
      <c r="BX66" s="362">
        <v>0.6</v>
      </c>
      <c r="BY66" s="365"/>
      <c r="BZ66" s="362">
        <v>0.6</v>
      </c>
      <c r="CA66" s="365"/>
      <c r="CB66" s="370"/>
      <c r="CC66" s="360">
        <v>1</v>
      </c>
      <c r="CD66" s="351" t="e">
        <f>IF('Inhaltliche Bewertung - GI'!RechtsformGI=BT$13,BT66*CC66,IF('Inhaltliche Bewertung - GI'!RechtsformGI=BV$13,BV66*CC66,IF('Inhaltliche Bewertung - GI'!RechtsformGI=BX$13,BX66*CC66,IF('Inhaltliche Bewertung - GI'!RechtsformGI=BZ$13,BZ66*CC66,IF('Inhaltliche Bewertung - GI'!RechtsformGI=BR$13,BR66*CC66,"")))))</f>
        <v>#N/A</v>
      </c>
      <c r="CE66" s="351" t="e">
        <f>IF('Inhaltliche Bewertung - GI'!RechtsformAngebot=BT$13,BT66*CC66,IF('Inhaltliche Bewertung - GI'!RechtsformAngebot=BV$13,BV66*CC66,IF('Inhaltliche Bewertung - GI'!RechtsformAngebot=BX$13,BX66*CC66,IF('Inhaltliche Bewertung - GI'!RechtsformAngebot=BZ$13,BZ66*CC66,IF('Inhaltliche Bewertung - GI'!RechtsformAngebot=BR$13,BR66*CC66,"")))))</f>
        <v>#N/A</v>
      </c>
      <c r="CF66" s="351"/>
      <c r="CG66" s="361" t="s">
        <v>3386</v>
      </c>
      <c r="CH66" s="362">
        <v>0.6</v>
      </c>
      <c r="CI66" s="365"/>
      <c r="CJ66" s="362">
        <v>0.6</v>
      </c>
      <c r="CK66" s="365"/>
      <c r="CL66" s="362">
        <v>0.6</v>
      </c>
      <c r="CM66" s="365"/>
      <c r="CN66" s="362">
        <v>0.6</v>
      </c>
      <c r="CO66" s="365"/>
      <c r="CP66" s="362">
        <v>0.6</v>
      </c>
      <c r="CQ66" s="365"/>
      <c r="CR66" s="370"/>
      <c r="CS66" s="360">
        <v>1</v>
      </c>
      <c r="CT66" s="351" t="e">
        <f>IF('Inhaltliche Bewertung - GI'!RechtsformGI=CJ$13,CJ66*CS66,IF('Inhaltliche Bewertung - GI'!RechtsformGI=CL$13,CL66*CS66,IF('Inhaltliche Bewertung - GI'!RechtsformGI=CN$13,CN66*CS66,IF('Inhaltliche Bewertung - GI'!RechtsformGI=CP$13,CP66*CS66,IF('Inhaltliche Bewertung - GI'!RechtsformGI=CH$13,CH66*CS66,"")))))</f>
        <v>#N/A</v>
      </c>
      <c r="CU66" s="351" t="e">
        <f>IF('Inhaltliche Bewertung - GI'!RechtsformAngebot=CJ$13,CJ66*CS66,IF('Inhaltliche Bewertung - GI'!RechtsformAngebot=CL$13,CL66*CS66,IF('Inhaltliche Bewertung - GI'!RechtsformAngebot=CN$13,CN66*CS66,IF('Inhaltliche Bewertung - GI'!RechtsformAngebot=CP$13,CP66*CS66,IF('Inhaltliche Bewertung - GI'!RechtsformAngebot=CH$13,CH66*CS66,"")))))</f>
        <v>#N/A</v>
      </c>
      <c r="CV66" s="351"/>
      <c r="CW66" s="361" t="s">
        <v>3386</v>
      </c>
      <c r="CX66" s="362">
        <v>0.6</v>
      </c>
      <c r="CY66" s="365"/>
      <c r="CZ66" s="362">
        <v>0.6</v>
      </c>
      <c r="DA66" s="365"/>
      <c r="DB66" s="362">
        <v>0.6</v>
      </c>
      <c r="DC66" s="365"/>
      <c r="DD66" s="362">
        <v>0.6</v>
      </c>
      <c r="DE66" s="365"/>
      <c r="DF66" s="362">
        <v>0.6</v>
      </c>
      <c r="DG66" s="365"/>
      <c r="DH66" s="370"/>
      <c r="DI66" s="360">
        <v>1</v>
      </c>
      <c r="DJ66" s="351" t="e">
        <f>IF('Inhaltliche Bewertung - GI'!RechtsformGI=CZ$13,CZ66*DI66,IF('Inhaltliche Bewertung - GI'!RechtsformGI=DB$13,DB66*DI66,IF('Inhaltliche Bewertung - GI'!RechtsformGI=DD$13,DD66*DI66,IF('Inhaltliche Bewertung - GI'!RechtsformGI=DF$13,DF66*DI66,IF('Inhaltliche Bewertung - GI'!RechtsformGI=CX$13,CX66*DI66,"")))))</f>
        <v>#N/A</v>
      </c>
      <c r="DK66" s="351" t="e">
        <f>IF('Inhaltliche Bewertung - GI'!RechtsformAngebot=CZ$13,CZ66*DI66,IF('Inhaltliche Bewertung - GI'!RechtsformAngebot=DB$13,DB66*DI66,IF('Inhaltliche Bewertung - GI'!RechtsformAngebot=DD$13,DD66*DI66,IF('Inhaltliche Bewertung - GI'!RechtsformAngebot=DF$13,DF66*DI66,IF('Inhaltliche Bewertung - GI'!RechtsformAngebot=CX$13,CX66*DI66,"")))))</f>
        <v>#N/A</v>
      </c>
      <c r="DL66" s="351"/>
      <c r="DM66" s="361" t="s">
        <v>3386</v>
      </c>
      <c r="DN66" s="362">
        <v>0.6</v>
      </c>
      <c r="DO66" s="365"/>
      <c r="DP66" s="362">
        <v>0.6</v>
      </c>
      <c r="DQ66" s="365"/>
      <c r="DR66" s="362">
        <v>0.6</v>
      </c>
      <c r="DS66" s="365"/>
      <c r="DT66" s="362">
        <v>0.6</v>
      </c>
      <c r="DU66" s="365"/>
      <c r="DV66" s="362">
        <v>0.6</v>
      </c>
      <c r="DW66" s="365"/>
      <c r="DX66" s="370"/>
      <c r="DY66" s="360">
        <v>1</v>
      </c>
      <c r="DZ66" s="351" t="e">
        <f>IF('Inhaltliche Bewertung - GI'!RechtsformGI=DP$13,DP66*DY66,IF('Inhaltliche Bewertung - GI'!RechtsformGI=DR$13,DR66*DY66,IF('Inhaltliche Bewertung - GI'!RechtsformGI=DT$13,DT66*DY66,IF('Inhaltliche Bewertung - GI'!RechtsformGI=DV$13,DV66*DY66,IF('Inhaltliche Bewertung - GI'!RechtsformGI=DN$13,DN66*DY66,"")))))</f>
        <v>#N/A</v>
      </c>
      <c r="EA66" s="351" t="e">
        <f>IF('Inhaltliche Bewertung - GI'!RechtsformAngebot=DP$13,DP66*DY66,IF('Inhaltliche Bewertung - GI'!RechtsformAngebot=DR$13,DR66*DY66,IF('Inhaltliche Bewertung - GI'!RechtsformAngebot=DT$13,DT66*DY66,IF('Inhaltliche Bewertung - GI'!RechtsformAngebot=DV$13,DV66*DY66,IF('Inhaltliche Bewertung - GI'!RechtsformAngebot=DN$13,DN66*DY66,"")))))</f>
        <v>#N/A</v>
      </c>
      <c r="EB66" s="351"/>
      <c r="EC66" s="157">
        <f t="shared" si="1"/>
        <v>0.6</v>
      </c>
      <c r="ED66" s="157">
        <f t="shared" si="2"/>
        <v>0.6</v>
      </c>
      <c r="EE66" s="157">
        <f t="shared" si="3"/>
        <v>0.60000000000000031</v>
      </c>
      <c r="EF66" s="157">
        <f t="shared" si="4"/>
        <v>0.6</v>
      </c>
    </row>
    <row r="67" spans="1:136" ht="14.25" customHeight="1">
      <c r="A67" s="444" t="b">
        <f t="shared" si="5"/>
        <v>0</v>
      </c>
      <c r="B67" s="292"/>
      <c r="C67" s="355" t="s">
        <v>3387</v>
      </c>
      <c r="D67" s="345"/>
      <c r="E67" s="361" t="s">
        <v>3232</v>
      </c>
      <c r="F67" s="362">
        <v>0</v>
      </c>
      <c r="G67" s="365"/>
      <c r="H67" s="362">
        <v>0</v>
      </c>
      <c r="I67" s="365"/>
      <c r="J67" s="362">
        <v>0</v>
      </c>
      <c r="K67" s="365"/>
      <c r="L67" s="362">
        <v>0</v>
      </c>
      <c r="M67" s="365"/>
      <c r="N67" s="362">
        <v>0</v>
      </c>
      <c r="O67" s="365"/>
      <c r="P67" s="370"/>
      <c r="Q67" s="373">
        <v>1</v>
      </c>
      <c r="R67" s="351" t="e">
        <f>IF('Inhaltliche Bewertung - GI'!RechtsformGI=H$13,H67*Q67,IF('Inhaltliche Bewertung - GI'!RechtsformGI=J$13,J67*Q67,IF('Inhaltliche Bewertung - GI'!RechtsformGI=L$13,L67*Q67,IF('Inhaltliche Bewertung - GI'!RechtsformGI=N$13,N67*Q67,IF('Inhaltliche Bewertung - GI'!RechtsformGI=F$13,F67*Q67,"")))))</f>
        <v>#N/A</v>
      </c>
      <c r="S67" s="351" t="e">
        <f>IF('Inhaltliche Bewertung - GI'!RechtsformAngebot=H$13,H67*Q67,IF('Inhaltliche Bewertung - GI'!RechtsformAngebot=J$13,J67*Q67,IF('Inhaltliche Bewertung - GI'!RechtsformAngebot=L$13,L67*Q67,IF('Inhaltliche Bewertung - GI'!RechtsformAngebot=N$13,N67*Q67,IF('Inhaltliche Bewertung - GI'!RechtsformAngebot=F$13,F67*Q67,"")))))</f>
        <v>#N/A</v>
      </c>
      <c r="T67" s="351"/>
      <c r="U67" s="356" t="s">
        <v>3234</v>
      </c>
      <c r="V67" s="357">
        <v>0</v>
      </c>
      <c r="W67" s="374"/>
      <c r="X67" s="375">
        <v>0</v>
      </c>
      <c r="Y67" s="374"/>
      <c r="Z67" s="375">
        <v>0</v>
      </c>
      <c r="AA67" s="374"/>
      <c r="AB67" s="375">
        <v>0</v>
      </c>
      <c r="AC67" s="374"/>
      <c r="AD67" s="375">
        <v>0</v>
      </c>
      <c r="AE67" s="374"/>
      <c r="AF67" s="374"/>
      <c r="AG67" s="373">
        <v>1</v>
      </c>
      <c r="AH67" s="351" t="e">
        <f>IF('Inhaltliche Bewertung - GI'!RechtsformGI=X$13,X67*AG67,IF('Inhaltliche Bewertung - GI'!RechtsformGI=Z$13,Z67*AG67,IF('Inhaltliche Bewertung - GI'!RechtsformGI=AB$13,AB67*AG67,IF('Inhaltliche Bewertung - GI'!RechtsformGI=AD$13,AD67*AG67,IF('Inhaltliche Bewertung - GI'!RechtsformGI=V$13,V67*AG67,"")))))</f>
        <v>#N/A</v>
      </c>
      <c r="AI67" s="351" t="e">
        <f>IF('Inhaltliche Bewertung - GI'!RechtsformAngebot=X$13,X67*AG67,IF('Inhaltliche Bewertung - GI'!RechtsformAngebot=Z$13,Z67*AG67,IF('Inhaltliche Bewertung - GI'!RechtsformAngebot=AB$13,AB67*AG67,IF('Inhaltliche Bewertung - GI'!RechtsformAngebot=AD$13,AD67*AG67,IF('Inhaltliche Bewertung - GI'!RechtsformAngebot=V$13,V67*AG67,"")))))</f>
        <v>#N/A</v>
      </c>
      <c r="AJ67" s="351"/>
      <c r="AK67" s="361" t="s">
        <v>3388</v>
      </c>
      <c r="AL67" s="362">
        <v>0.6</v>
      </c>
      <c r="AM67" s="365"/>
      <c r="AN67" s="362">
        <v>0.6</v>
      </c>
      <c r="AO67" s="365"/>
      <c r="AP67" s="362">
        <v>0.6</v>
      </c>
      <c r="AQ67" s="365"/>
      <c r="AR67" s="362">
        <v>0.6</v>
      </c>
      <c r="AS67" s="365"/>
      <c r="AT67" s="362">
        <v>0.6</v>
      </c>
      <c r="AU67" s="365"/>
      <c r="AV67" s="370"/>
      <c r="AW67" s="373">
        <v>1</v>
      </c>
      <c r="AX67" s="351" t="e">
        <f>IF('Inhaltliche Bewertung - GI'!RechtsformGI=AN$13,AN67*AW67,IF('Inhaltliche Bewertung - GI'!RechtsformGI=AP$13,AP67*AW67,IF('Inhaltliche Bewertung - GI'!RechtsformGI=AR$13,AR67*AW67,IF('Inhaltliche Bewertung - GI'!RechtsformGI=AT$13,AT67*AW67,IF('Inhaltliche Bewertung - GI'!RechtsformGI=AL$13,AL67*AW67,"")))))</f>
        <v>#N/A</v>
      </c>
      <c r="AY67" s="351" t="e">
        <f>IF('Inhaltliche Bewertung - GI'!RechtsformAngebot=AN$13,AN67*AW67,IF('Inhaltliche Bewertung - GI'!RechtsformAngebot=AP$13,AP67*AW67,IF('Inhaltliche Bewertung - GI'!RechtsformAngebot=AR$13,AR67*AW67,IF('Inhaltliche Bewertung - GI'!RechtsformAngebot=AT$13,AT67*AW67,IF('Inhaltliche Bewertung - GI'!RechtsformAngebot=AL$13,AL67*AW67,"")))))</f>
        <v>#N/A</v>
      </c>
      <c r="AZ67" s="351"/>
      <c r="BA67" s="361" t="s">
        <v>3389</v>
      </c>
      <c r="BB67" s="362">
        <v>0.6</v>
      </c>
      <c r="BC67" s="365"/>
      <c r="BD67" s="362">
        <v>0.6</v>
      </c>
      <c r="BE67" s="365"/>
      <c r="BF67" s="362">
        <v>0.6</v>
      </c>
      <c r="BG67" s="365"/>
      <c r="BH67" s="362">
        <v>0.6</v>
      </c>
      <c r="BI67" s="365"/>
      <c r="BJ67" s="362">
        <v>0.6</v>
      </c>
      <c r="BK67" s="365"/>
      <c r="BL67" s="370"/>
      <c r="BM67" s="373">
        <v>1</v>
      </c>
      <c r="BN67" s="351" t="e">
        <f>IF('Inhaltliche Bewertung - GI'!RechtsformGI=BD$13,BD67*BM67,IF('Inhaltliche Bewertung - GI'!RechtsformGI=BF$13,BF67*BM67,IF('Inhaltliche Bewertung - GI'!RechtsformGI=BH$13,BH67*BM67,IF('Inhaltliche Bewertung - GI'!RechtsformGI=BJ$13,BJ67*BM67,IF('Inhaltliche Bewertung - GI'!RechtsformGI=BB$13,BB67*BM67,"")))))</f>
        <v>#N/A</v>
      </c>
      <c r="BO67" s="351" t="e">
        <f>IF('Inhaltliche Bewertung - GI'!RechtsformAngebot=BD$13,BD67*BM67,IF('Inhaltliche Bewertung - GI'!RechtsformAngebot=BF$13,BF67*BM67,IF('Inhaltliche Bewertung - GI'!RechtsformAngebot=BH$13,BH67*BM67,IF('Inhaltliche Bewertung - GI'!RechtsformAngebot=BJ$13,BJ67*BM67,IF('Inhaltliche Bewertung - GI'!RechtsformAngebot=BB$13,BB67*BM67,"")))))</f>
        <v>#N/A</v>
      </c>
      <c r="BP67" s="351"/>
      <c r="BQ67" s="361" t="s">
        <v>3390</v>
      </c>
      <c r="BR67" s="362">
        <v>0.6</v>
      </c>
      <c r="BS67" s="365"/>
      <c r="BT67" s="362">
        <v>0.6</v>
      </c>
      <c r="BU67" s="365"/>
      <c r="BV67" s="362">
        <v>0.6</v>
      </c>
      <c r="BW67" s="365"/>
      <c r="BX67" s="362">
        <v>0.6</v>
      </c>
      <c r="BY67" s="365"/>
      <c r="BZ67" s="362">
        <v>0.6</v>
      </c>
      <c r="CA67" s="365"/>
      <c r="CB67" s="370"/>
      <c r="CC67" s="373">
        <v>1</v>
      </c>
      <c r="CD67" s="351" t="e">
        <f>IF('Inhaltliche Bewertung - GI'!RechtsformGI=BT$13,BT67*CC67,IF('Inhaltliche Bewertung - GI'!RechtsformGI=BV$13,BV67*CC67,IF('Inhaltliche Bewertung - GI'!RechtsformGI=BX$13,BX67*CC67,IF('Inhaltliche Bewertung - GI'!RechtsformGI=BZ$13,BZ67*CC67,IF('Inhaltliche Bewertung - GI'!RechtsformGI=BR$13,BR67*CC67,"")))))</f>
        <v>#N/A</v>
      </c>
      <c r="CE67" s="351" t="e">
        <f>IF('Inhaltliche Bewertung - GI'!RechtsformAngebot=BT$13,BT67*CC67,IF('Inhaltliche Bewertung - GI'!RechtsformAngebot=BV$13,BV67*CC67,IF('Inhaltliche Bewertung - GI'!RechtsformAngebot=BX$13,BX67*CC67,IF('Inhaltliche Bewertung - GI'!RechtsformAngebot=BZ$13,BZ67*CC67,IF('Inhaltliche Bewertung - GI'!RechtsformAngebot=BR$13,BR67*CC67,"")))))</f>
        <v>#N/A</v>
      </c>
      <c r="CF67" s="351"/>
      <c r="CG67" s="361" t="s">
        <v>3390</v>
      </c>
      <c r="CH67" s="362">
        <v>0.8</v>
      </c>
      <c r="CI67" s="365"/>
      <c r="CJ67" s="362">
        <v>0.8</v>
      </c>
      <c r="CK67" s="365"/>
      <c r="CL67" s="362">
        <v>0.8</v>
      </c>
      <c r="CM67" s="365"/>
      <c r="CN67" s="362">
        <v>0.8</v>
      </c>
      <c r="CO67" s="365"/>
      <c r="CP67" s="362">
        <v>0.8</v>
      </c>
      <c r="CQ67" s="365"/>
      <c r="CR67" s="370"/>
      <c r="CS67" s="373">
        <v>1</v>
      </c>
      <c r="CT67" s="351" t="e">
        <f>IF('Inhaltliche Bewertung - GI'!RechtsformGI=CJ$13,CJ67*CS67,IF('Inhaltliche Bewertung - GI'!RechtsformGI=CL$13,CL67*CS67,IF('Inhaltliche Bewertung - GI'!RechtsformGI=CN$13,CN67*CS67,IF('Inhaltliche Bewertung - GI'!RechtsformGI=CP$13,CP67*CS67,IF('Inhaltliche Bewertung - GI'!RechtsformGI=CH$13,CH67*CS67,"")))))</f>
        <v>#N/A</v>
      </c>
      <c r="CU67" s="351" t="e">
        <f>IF('Inhaltliche Bewertung - GI'!RechtsformAngebot=CJ$13,CJ67*CS67,IF('Inhaltliche Bewertung - GI'!RechtsformAngebot=CL$13,CL67*CS67,IF('Inhaltliche Bewertung - GI'!RechtsformAngebot=CN$13,CN67*CS67,IF('Inhaltliche Bewertung - GI'!RechtsformAngebot=CP$13,CP67*CS67,IF('Inhaltliche Bewertung - GI'!RechtsformAngebot=CH$13,CH67*CS67,"")))))</f>
        <v>#N/A</v>
      </c>
      <c r="CV67" s="351"/>
      <c r="CW67" s="361" t="s">
        <v>3391</v>
      </c>
      <c r="CX67" s="362">
        <v>0.6</v>
      </c>
      <c r="CY67" s="365"/>
      <c r="CZ67" s="362">
        <v>0.6</v>
      </c>
      <c r="DA67" s="365"/>
      <c r="DB67" s="362">
        <v>0.6</v>
      </c>
      <c r="DC67" s="365"/>
      <c r="DD67" s="362">
        <v>0.6</v>
      </c>
      <c r="DE67" s="365"/>
      <c r="DF67" s="362">
        <v>0.6</v>
      </c>
      <c r="DG67" s="365"/>
      <c r="DH67" s="370"/>
      <c r="DI67" s="373">
        <v>1</v>
      </c>
      <c r="DJ67" s="351" t="e">
        <f>IF('Inhaltliche Bewertung - GI'!RechtsformGI=CZ$13,CZ67*DI67,IF('Inhaltliche Bewertung - GI'!RechtsformGI=DB$13,DB67*DI67,IF('Inhaltliche Bewertung - GI'!RechtsformGI=DD$13,DD67*DI67,IF('Inhaltliche Bewertung - GI'!RechtsformGI=DF$13,DF67*DI67,IF('Inhaltliche Bewertung - GI'!RechtsformGI=CX$13,CX67*DI67,"")))))</f>
        <v>#N/A</v>
      </c>
      <c r="DK67" s="351" t="e">
        <f>IF('Inhaltliche Bewertung - GI'!RechtsformAngebot=CZ$13,CZ67*DI67,IF('Inhaltliche Bewertung - GI'!RechtsformAngebot=DB$13,DB67*DI67,IF('Inhaltliche Bewertung - GI'!RechtsformAngebot=DD$13,DD67*DI67,IF('Inhaltliche Bewertung - GI'!RechtsformAngebot=DF$13,DF67*DI67,IF('Inhaltliche Bewertung - GI'!RechtsformAngebot=CX$13,CX67*DI67,"")))))</f>
        <v>#N/A</v>
      </c>
      <c r="DL67" s="351"/>
      <c r="DM67" s="361" t="s">
        <v>3389</v>
      </c>
      <c r="DN67" s="362">
        <v>0.6</v>
      </c>
      <c r="DO67" s="365"/>
      <c r="DP67" s="362">
        <v>0.6</v>
      </c>
      <c r="DQ67" s="365"/>
      <c r="DR67" s="362">
        <v>0.6</v>
      </c>
      <c r="DS67" s="365"/>
      <c r="DT67" s="362">
        <v>0.6</v>
      </c>
      <c r="DU67" s="365"/>
      <c r="DV67" s="362">
        <v>0.6</v>
      </c>
      <c r="DW67" s="365"/>
      <c r="DX67" s="370"/>
      <c r="DY67" s="373">
        <v>1</v>
      </c>
      <c r="DZ67" s="351" t="e">
        <f>IF('Inhaltliche Bewertung - GI'!RechtsformGI=DP$13,DP67*DY67,IF('Inhaltliche Bewertung - GI'!RechtsformGI=DR$13,DR67*DY67,IF('Inhaltliche Bewertung - GI'!RechtsformGI=DT$13,DT67*DY67,IF('Inhaltliche Bewertung - GI'!RechtsformGI=DV$13,DV67*DY67,IF('Inhaltliche Bewertung - GI'!RechtsformGI=DN$13,DN67*DY67,"")))))</f>
        <v>#N/A</v>
      </c>
      <c r="EA67" s="351" t="e">
        <f>IF('Inhaltliche Bewertung - GI'!RechtsformAngebot=DP$13,DP67*DY67,IF('Inhaltliche Bewertung - GI'!RechtsformAngebot=DR$13,DR67*DY67,IF('Inhaltliche Bewertung - GI'!RechtsformAngebot=DT$13,DT67*DY67,IF('Inhaltliche Bewertung - GI'!RechtsformAngebot=DV$13,DV67*DY67,IF('Inhaltliche Bewertung - GI'!RechtsformAngebot=DN$13,DN67*DY67,"")))))</f>
        <v>#N/A</v>
      </c>
      <c r="EB67" s="351"/>
      <c r="EC67" s="157">
        <f t="shared" si="1"/>
        <v>0</v>
      </c>
      <c r="ED67" s="157">
        <f t="shared" si="2"/>
        <v>0.8</v>
      </c>
      <c r="EE67" s="157">
        <f t="shared" si="3"/>
        <v>0.4750000000000002</v>
      </c>
      <c r="EF67" s="157">
        <f t="shared" si="4"/>
        <v>0.6</v>
      </c>
    </row>
    <row r="68" spans="1:136" ht="14.25" customHeight="1">
      <c r="A68" s="444" t="b">
        <f t="shared" si="5"/>
        <v>0</v>
      </c>
      <c r="B68" s="292"/>
      <c r="C68" s="355" t="s">
        <v>3392</v>
      </c>
      <c r="D68" s="345"/>
      <c r="E68" s="371" t="s">
        <v>3393</v>
      </c>
      <c r="F68" s="372">
        <v>0.9</v>
      </c>
      <c r="G68" s="358"/>
      <c r="H68" s="372">
        <v>0.9</v>
      </c>
      <c r="I68" s="358"/>
      <c r="J68" s="372">
        <v>0.9</v>
      </c>
      <c r="K68" s="358"/>
      <c r="L68" s="372">
        <v>0.9</v>
      </c>
      <c r="M68" s="358"/>
      <c r="N68" s="372">
        <v>0.9</v>
      </c>
      <c r="O68" s="358"/>
      <c r="P68" s="359"/>
      <c r="Q68" s="360">
        <v>1</v>
      </c>
      <c r="R68" s="351" t="e">
        <f>IF('Inhaltliche Bewertung - GI'!RechtsformGI=H$13,H68*Q68,IF('Inhaltliche Bewertung - GI'!RechtsformGI=J$13,J68*Q68,IF('Inhaltliche Bewertung - GI'!RechtsformGI=L$13,L68*Q68,IF('Inhaltliche Bewertung - GI'!RechtsformGI=N$13,N68*Q68,IF('Inhaltliche Bewertung - GI'!RechtsformGI=F$13,F68*Q68,"")))))</f>
        <v>#N/A</v>
      </c>
      <c r="S68" s="351" t="e">
        <f>IF('Inhaltliche Bewertung - GI'!RechtsformAngebot=H$13,H68*Q68,IF('Inhaltliche Bewertung - GI'!RechtsformAngebot=J$13,J68*Q68,IF('Inhaltliche Bewertung - GI'!RechtsformAngebot=L$13,L68*Q68,IF('Inhaltliche Bewertung - GI'!RechtsformAngebot=N$13,N68*Q68,IF('Inhaltliche Bewertung - GI'!RechtsformAngebot=F$13,F68*Q68,"")))))</f>
        <v>#N/A</v>
      </c>
      <c r="T68" s="351"/>
      <c r="U68" s="361" t="s">
        <v>3394</v>
      </c>
      <c r="V68" s="362">
        <v>0.9</v>
      </c>
      <c r="W68" s="363"/>
      <c r="X68" s="364">
        <v>0.9</v>
      </c>
      <c r="Y68" s="363"/>
      <c r="Z68" s="364">
        <v>0.9</v>
      </c>
      <c r="AA68" s="363"/>
      <c r="AB68" s="364">
        <v>0.9</v>
      </c>
      <c r="AC68" s="363"/>
      <c r="AD68" s="364">
        <v>0.9</v>
      </c>
      <c r="AE68" s="363"/>
      <c r="AF68" s="363"/>
      <c r="AG68" s="360">
        <v>1</v>
      </c>
      <c r="AH68" s="351" t="e">
        <f>IF('Inhaltliche Bewertung - GI'!RechtsformGI=X$13,X68*AG68,IF('Inhaltliche Bewertung - GI'!RechtsformGI=Z$13,Z68*AG68,IF('Inhaltliche Bewertung - GI'!RechtsformGI=AB$13,AB68*AG68,IF('Inhaltliche Bewertung - GI'!RechtsformGI=AD$13,AD68*AG68,IF('Inhaltliche Bewertung - GI'!RechtsformGI=V$13,V68*AG68,"")))))</f>
        <v>#N/A</v>
      </c>
      <c r="AI68" s="351" t="e">
        <f>IF('Inhaltliche Bewertung - GI'!RechtsformAngebot=X$13,X68*AG68,IF('Inhaltliche Bewertung - GI'!RechtsformAngebot=Z$13,Z68*AG68,IF('Inhaltliche Bewertung - GI'!RechtsformAngebot=AB$13,AB68*AG68,IF('Inhaltliche Bewertung - GI'!RechtsformAngebot=AD$13,AD68*AG68,IF('Inhaltliche Bewertung - GI'!RechtsformAngebot=V$13,V68*AG68,"")))))</f>
        <v>#N/A</v>
      </c>
      <c r="AJ68" s="351"/>
      <c r="AK68" s="361" t="s">
        <v>3394</v>
      </c>
      <c r="AL68" s="362">
        <v>0.9</v>
      </c>
      <c r="AM68" s="365"/>
      <c r="AN68" s="362">
        <v>0.9</v>
      </c>
      <c r="AO68" s="365"/>
      <c r="AP68" s="362">
        <v>0.9</v>
      </c>
      <c r="AQ68" s="365"/>
      <c r="AR68" s="362">
        <v>0.9</v>
      </c>
      <c r="AS68" s="365"/>
      <c r="AT68" s="362">
        <v>0.9</v>
      </c>
      <c r="AU68" s="365"/>
      <c r="AV68" s="365"/>
      <c r="AW68" s="360">
        <v>1</v>
      </c>
      <c r="AX68" s="351" t="e">
        <f>IF('Inhaltliche Bewertung - GI'!RechtsformGI=AN$13,AN68*AW68,IF('Inhaltliche Bewertung - GI'!RechtsformGI=AP$13,AP68*AW68,IF('Inhaltliche Bewertung - GI'!RechtsformGI=AR$13,AR68*AW68,IF('Inhaltliche Bewertung - GI'!RechtsformGI=AT$13,AT68*AW68,IF('Inhaltliche Bewertung - GI'!RechtsformGI=AL$13,AL68*AW68,"")))))</f>
        <v>#N/A</v>
      </c>
      <c r="AY68" s="351" t="e">
        <f>IF('Inhaltliche Bewertung - GI'!RechtsformAngebot=AN$13,AN68*AW68,IF('Inhaltliche Bewertung - GI'!RechtsformAngebot=AP$13,AP68*AW68,IF('Inhaltliche Bewertung - GI'!RechtsformAngebot=AR$13,AR68*AW68,IF('Inhaltliche Bewertung - GI'!RechtsformAngebot=AT$13,AT68*AW68,IF('Inhaltliche Bewertung - GI'!RechtsformAngebot=AL$13,AL68*AW68,"")))))</f>
        <v>#N/A</v>
      </c>
      <c r="AZ68" s="351"/>
      <c r="BA68" s="371" t="s">
        <v>3395</v>
      </c>
      <c r="BB68" s="384">
        <v>0.1</v>
      </c>
      <c r="BC68" s="358"/>
      <c r="BD68" s="384">
        <v>0.1</v>
      </c>
      <c r="BE68" s="358"/>
      <c r="BF68" s="384">
        <v>0.1</v>
      </c>
      <c r="BG68" s="358"/>
      <c r="BH68" s="384">
        <v>0.1</v>
      </c>
      <c r="BI68" s="358"/>
      <c r="BJ68" s="384">
        <v>0.1</v>
      </c>
      <c r="BK68" s="358"/>
      <c r="BL68" s="358"/>
      <c r="BM68" s="360">
        <v>1</v>
      </c>
      <c r="BN68" s="351" t="e">
        <f>IF('Inhaltliche Bewertung - GI'!RechtsformGI=BD$13,BD68*BM68,IF('Inhaltliche Bewertung - GI'!RechtsformGI=BF$13,BF68*BM68,IF('Inhaltliche Bewertung - GI'!RechtsformGI=BH$13,BH68*BM68,IF('Inhaltliche Bewertung - GI'!RechtsformGI=BJ$13,BJ68*BM68,IF('Inhaltliche Bewertung - GI'!RechtsformGI=BB$13,BB68*BM68,"")))))</f>
        <v>#N/A</v>
      </c>
      <c r="BO68" s="351" t="e">
        <f>IF('Inhaltliche Bewertung - GI'!RechtsformAngebot=BD$13,BD68*BM68,IF('Inhaltliche Bewertung - GI'!RechtsformAngebot=BF$13,BF68*BM68,IF('Inhaltliche Bewertung - GI'!RechtsformAngebot=BH$13,BH68*BM68,IF('Inhaltliche Bewertung - GI'!RechtsformAngebot=BJ$13,BJ68*BM68,IF('Inhaltliche Bewertung - GI'!RechtsformAngebot=BB$13,BB68*BM68,"")))))</f>
        <v>#N/A</v>
      </c>
      <c r="BP68" s="351"/>
      <c r="BQ68" s="371" t="s">
        <v>3395</v>
      </c>
      <c r="BR68" s="385">
        <v>0.1</v>
      </c>
      <c r="BS68" s="377"/>
      <c r="BT68" s="385">
        <v>0.1</v>
      </c>
      <c r="BU68" s="377"/>
      <c r="BV68" s="385">
        <v>0.1</v>
      </c>
      <c r="BW68" s="377"/>
      <c r="BX68" s="385">
        <v>0.1</v>
      </c>
      <c r="BY68" s="377"/>
      <c r="BZ68" s="385">
        <v>0.1</v>
      </c>
      <c r="CA68" s="377"/>
      <c r="CB68" s="377"/>
      <c r="CC68" s="360">
        <v>1</v>
      </c>
      <c r="CD68" s="351" t="e">
        <f>IF('Inhaltliche Bewertung - GI'!RechtsformGI=BT$13,BT68*CC68,IF('Inhaltliche Bewertung - GI'!RechtsformGI=BV$13,BV68*CC68,IF('Inhaltliche Bewertung - GI'!RechtsformGI=BX$13,BX68*CC68,IF('Inhaltliche Bewertung - GI'!RechtsformGI=BZ$13,BZ68*CC68,IF('Inhaltliche Bewertung - GI'!RechtsformGI=BR$13,BR68*CC68,"")))))</f>
        <v>#N/A</v>
      </c>
      <c r="CE68" s="351" t="e">
        <f>IF('Inhaltliche Bewertung - GI'!RechtsformAngebot=BT$13,BT68*CC68,IF('Inhaltliche Bewertung - GI'!RechtsformAngebot=BV$13,BV68*CC68,IF('Inhaltliche Bewertung - GI'!RechtsformAngebot=BX$13,BX68*CC68,IF('Inhaltliche Bewertung - GI'!RechtsformAngebot=BZ$13,BZ68*CC68,IF('Inhaltliche Bewertung - GI'!RechtsformAngebot=BR$13,BR68*CC68,"")))))</f>
        <v>#N/A</v>
      </c>
      <c r="CF68" s="351"/>
      <c r="CG68" s="371" t="s">
        <v>3396</v>
      </c>
      <c r="CH68" s="385">
        <v>0.9</v>
      </c>
      <c r="CI68" s="377"/>
      <c r="CJ68" s="385">
        <v>0.9</v>
      </c>
      <c r="CK68" s="377"/>
      <c r="CL68" s="385">
        <v>0.9</v>
      </c>
      <c r="CM68" s="377"/>
      <c r="CN68" s="385">
        <v>0.9</v>
      </c>
      <c r="CO68" s="377"/>
      <c r="CP68" s="385">
        <v>0.9</v>
      </c>
      <c r="CQ68" s="377"/>
      <c r="CR68" s="377"/>
      <c r="CS68" s="360">
        <v>1</v>
      </c>
      <c r="CT68" s="351" t="e">
        <f>IF('Inhaltliche Bewertung - GI'!RechtsformGI=CJ$13,CJ68*CS68,IF('Inhaltliche Bewertung - GI'!RechtsformGI=CL$13,CL68*CS68,IF('Inhaltliche Bewertung - GI'!RechtsformGI=CN$13,CN68*CS68,IF('Inhaltliche Bewertung - GI'!RechtsformGI=CP$13,CP68*CS68,IF('Inhaltliche Bewertung - GI'!RechtsformGI=CH$13,CH68*CS68,"")))))</f>
        <v>#N/A</v>
      </c>
      <c r="CU68" s="351" t="e">
        <f>IF('Inhaltliche Bewertung - GI'!RechtsformAngebot=CJ$13,CJ68*CS68,IF('Inhaltliche Bewertung - GI'!RechtsformAngebot=CL$13,CL68*CS68,IF('Inhaltliche Bewertung - GI'!RechtsformAngebot=CN$13,CN68*CS68,IF('Inhaltliche Bewertung - GI'!RechtsformAngebot=CP$13,CP68*CS68,IF('Inhaltliche Bewertung - GI'!RechtsformAngebot=CH$13,CH68*CS68,"")))))</f>
        <v>#N/A</v>
      </c>
      <c r="CV68" s="351"/>
      <c r="CW68" s="361" t="s">
        <v>3397</v>
      </c>
      <c r="CX68" s="367">
        <v>0.8</v>
      </c>
      <c r="CY68" s="368"/>
      <c r="CZ68" s="367">
        <v>0.8</v>
      </c>
      <c r="DA68" s="369"/>
      <c r="DB68" s="367">
        <v>0.8</v>
      </c>
      <c r="DC68" s="368"/>
      <c r="DD68" s="367">
        <v>0.8</v>
      </c>
      <c r="DE68" s="368"/>
      <c r="DF68" s="367">
        <v>0.8</v>
      </c>
      <c r="DG68" s="368"/>
      <c r="DH68" s="368"/>
      <c r="DI68" s="360">
        <v>1</v>
      </c>
      <c r="DJ68" s="351" t="e">
        <f>IF('Inhaltliche Bewertung - GI'!RechtsformGI=CZ$13,CZ68*DI68,IF('Inhaltliche Bewertung - GI'!RechtsformGI=DB$13,DB68*DI68,IF('Inhaltliche Bewertung - GI'!RechtsformGI=DD$13,DD68*DI68,IF('Inhaltliche Bewertung - GI'!RechtsformGI=DF$13,DF68*DI68,IF('Inhaltliche Bewertung - GI'!RechtsformGI=CX$13,CX68*DI68,"")))))</f>
        <v>#N/A</v>
      </c>
      <c r="DK68" s="351" t="e">
        <f>IF('Inhaltliche Bewertung - GI'!RechtsformAngebot=CZ$13,CZ68*DI68,IF('Inhaltliche Bewertung - GI'!RechtsformAngebot=DB$13,DB68*DI68,IF('Inhaltliche Bewertung - GI'!RechtsformAngebot=DD$13,DD68*DI68,IF('Inhaltliche Bewertung - GI'!RechtsformAngebot=DF$13,DF68*DI68,IF('Inhaltliche Bewertung - GI'!RechtsformAngebot=CX$13,CX68*DI68,"")))))</f>
        <v>#N/A</v>
      </c>
      <c r="DL68" s="351"/>
      <c r="DM68" s="361" t="s">
        <v>3398</v>
      </c>
      <c r="DN68" s="367">
        <v>0.6</v>
      </c>
      <c r="DO68" s="368"/>
      <c r="DP68" s="367">
        <v>0.6</v>
      </c>
      <c r="DQ68" s="368"/>
      <c r="DR68" s="367">
        <v>0.6</v>
      </c>
      <c r="DS68" s="368"/>
      <c r="DT68" s="367">
        <v>0.6</v>
      </c>
      <c r="DU68" s="368"/>
      <c r="DV68" s="367">
        <v>0.6</v>
      </c>
      <c r="DW68" s="368"/>
      <c r="DX68" s="368"/>
      <c r="DY68" s="360">
        <v>1</v>
      </c>
      <c r="DZ68" s="351" t="e">
        <f>IF('Inhaltliche Bewertung - GI'!RechtsformGI=DP$13,DP68*DY68,IF('Inhaltliche Bewertung - GI'!RechtsformGI=DR$13,DR68*DY68,IF('Inhaltliche Bewertung - GI'!RechtsformGI=DT$13,DT68*DY68,IF('Inhaltliche Bewertung - GI'!RechtsformGI=DV$13,DV68*DY68,IF('Inhaltliche Bewertung - GI'!RechtsformGI=DN$13,DN68*DY68,"")))))</f>
        <v>#N/A</v>
      </c>
      <c r="EA68" s="351" t="e">
        <f>IF('Inhaltliche Bewertung - GI'!RechtsformAngebot=DP$13,DP68*DY68,IF('Inhaltliche Bewertung - GI'!RechtsformAngebot=DR$13,DR68*DY68,IF('Inhaltliche Bewertung - GI'!RechtsformAngebot=DT$13,DT68*DY68,IF('Inhaltliche Bewertung - GI'!RechtsformAngebot=DV$13,DV68*DY68,IF('Inhaltliche Bewertung - GI'!RechtsformAngebot=DN$13,DN68*DY68,"")))))</f>
        <v>#N/A</v>
      </c>
      <c r="EB68" s="351"/>
      <c r="EC68" s="157">
        <f t="shared" si="1"/>
        <v>0.1</v>
      </c>
      <c r="ED68" s="157">
        <f t="shared" si="2"/>
        <v>0.9</v>
      </c>
      <c r="EE68" s="157">
        <f t="shared" si="3"/>
        <v>0.65000000000000013</v>
      </c>
      <c r="EF68" s="157">
        <f t="shared" si="4"/>
        <v>0.85000000000000009</v>
      </c>
    </row>
    <row r="69" spans="1:136" ht="14.25" customHeight="1">
      <c r="A69" s="444" t="b">
        <f t="shared" si="5"/>
        <v>1</v>
      </c>
      <c r="B69" s="292"/>
      <c r="C69" s="355" t="s">
        <v>3399</v>
      </c>
      <c r="D69" s="345"/>
      <c r="E69" s="361" t="s">
        <v>3400</v>
      </c>
      <c r="F69" s="362">
        <v>0.8</v>
      </c>
      <c r="G69" s="365"/>
      <c r="H69" s="362">
        <v>0.8</v>
      </c>
      <c r="I69" s="365"/>
      <c r="J69" s="362">
        <v>0.8</v>
      </c>
      <c r="K69" s="365"/>
      <c r="L69" s="362">
        <v>0.8</v>
      </c>
      <c r="M69" s="365"/>
      <c r="N69" s="362">
        <v>0.8</v>
      </c>
      <c r="O69" s="365"/>
      <c r="P69" s="370"/>
      <c r="Q69" s="360">
        <v>1</v>
      </c>
      <c r="R69" s="351" t="e">
        <f>IF('Inhaltliche Bewertung - GI'!RechtsformGI=H$13,H69*Q69,IF('Inhaltliche Bewertung - GI'!RechtsformGI=J$13,J69*Q69,IF('Inhaltliche Bewertung - GI'!RechtsformGI=L$13,L69*Q69,IF('Inhaltliche Bewertung - GI'!RechtsformGI=N$13,N69*Q69,IF('Inhaltliche Bewertung - GI'!RechtsformGI=F$13,F69*Q69,"")))))</f>
        <v>#N/A</v>
      </c>
      <c r="S69" s="351" t="e">
        <f>IF('Inhaltliche Bewertung - GI'!RechtsformAngebot=H$13,H69*Q69,IF('Inhaltliche Bewertung - GI'!RechtsformAngebot=J$13,J69*Q69,IF('Inhaltliche Bewertung - GI'!RechtsformAngebot=L$13,L69*Q69,IF('Inhaltliche Bewertung - GI'!RechtsformAngebot=N$13,N69*Q69,IF('Inhaltliche Bewertung - GI'!RechtsformAngebot=F$13,F69*Q69,"")))))</f>
        <v>#N/A</v>
      </c>
      <c r="T69" s="351"/>
      <c r="U69" s="361" t="s">
        <v>3400</v>
      </c>
      <c r="V69" s="362">
        <v>0.8</v>
      </c>
      <c r="W69" s="365"/>
      <c r="X69" s="362">
        <v>0.8</v>
      </c>
      <c r="Y69" s="365"/>
      <c r="Z69" s="362">
        <v>0.8</v>
      </c>
      <c r="AA69" s="365"/>
      <c r="AB69" s="362">
        <v>0.8</v>
      </c>
      <c r="AC69" s="365"/>
      <c r="AD69" s="362">
        <v>0.8</v>
      </c>
      <c r="AE69" s="365"/>
      <c r="AF69" s="370"/>
      <c r="AG69" s="360">
        <v>1</v>
      </c>
      <c r="AH69" s="351" t="e">
        <f>IF('Inhaltliche Bewertung - GI'!RechtsformGI=X$13,X69*AG69,IF('Inhaltliche Bewertung - GI'!RechtsformGI=Z$13,Z69*AG69,IF('Inhaltliche Bewertung - GI'!RechtsformGI=AB$13,AB69*AG69,IF('Inhaltliche Bewertung - GI'!RechtsformGI=AD$13,AD69*AG69,IF('Inhaltliche Bewertung - GI'!RechtsformGI=V$13,V69*AG69,"")))))</f>
        <v>#N/A</v>
      </c>
      <c r="AI69" s="351" t="e">
        <f>IF('Inhaltliche Bewertung - GI'!RechtsformAngebot=X$13,X69*AG69,IF('Inhaltliche Bewertung - GI'!RechtsformAngebot=Z$13,Z69*AG69,IF('Inhaltliche Bewertung - GI'!RechtsformAngebot=AB$13,AB69*AG69,IF('Inhaltliche Bewertung - GI'!RechtsformAngebot=AD$13,AD69*AG69,IF('Inhaltliche Bewertung - GI'!RechtsformAngebot=V$13,V69*AG69,"")))))</f>
        <v>#N/A</v>
      </c>
      <c r="AJ69" s="351"/>
      <c r="AK69" s="361" t="s">
        <v>3400</v>
      </c>
      <c r="AL69" s="362">
        <v>0.8</v>
      </c>
      <c r="AM69" s="365"/>
      <c r="AN69" s="362">
        <v>0.8</v>
      </c>
      <c r="AO69" s="365"/>
      <c r="AP69" s="362">
        <v>0.8</v>
      </c>
      <c r="AQ69" s="365"/>
      <c r="AR69" s="362">
        <v>0.8</v>
      </c>
      <c r="AS69" s="365"/>
      <c r="AT69" s="362">
        <v>0.8</v>
      </c>
      <c r="AU69" s="365"/>
      <c r="AV69" s="370"/>
      <c r="AW69" s="360">
        <v>1</v>
      </c>
      <c r="AX69" s="351" t="e">
        <f>IF('Inhaltliche Bewertung - GI'!RechtsformGI=AN$13,AN69*AW69,IF('Inhaltliche Bewertung - GI'!RechtsformGI=AP$13,AP69*AW69,IF('Inhaltliche Bewertung - GI'!RechtsformGI=AR$13,AR69*AW69,IF('Inhaltliche Bewertung - GI'!RechtsformGI=AT$13,AT69*AW69,IF('Inhaltliche Bewertung - GI'!RechtsformGI=AL$13,AL69*AW69,"")))))</f>
        <v>#N/A</v>
      </c>
      <c r="AY69" s="351" t="e">
        <f>IF('Inhaltliche Bewertung - GI'!RechtsformAngebot=AN$13,AN69*AW69,IF('Inhaltliche Bewertung - GI'!RechtsformAngebot=AP$13,AP69*AW69,IF('Inhaltliche Bewertung - GI'!RechtsformAngebot=AR$13,AR69*AW69,IF('Inhaltliche Bewertung - GI'!RechtsformAngebot=AT$13,AT69*AW69,IF('Inhaltliche Bewertung - GI'!RechtsformAngebot=AL$13,AL69*AW69,"")))))</f>
        <v>#N/A</v>
      </c>
      <c r="AZ69" s="351"/>
      <c r="BA69" s="361" t="s">
        <v>3400</v>
      </c>
      <c r="BB69" s="362">
        <v>0.8</v>
      </c>
      <c r="BC69" s="365"/>
      <c r="BD69" s="362">
        <v>0.8</v>
      </c>
      <c r="BE69" s="365"/>
      <c r="BF69" s="362">
        <v>0.8</v>
      </c>
      <c r="BG69" s="365"/>
      <c r="BH69" s="362">
        <v>0.8</v>
      </c>
      <c r="BI69" s="365"/>
      <c r="BJ69" s="362">
        <v>0.8</v>
      </c>
      <c r="BK69" s="365"/>
      <c r="BL69" s="370"/>
      <c r="BM69" s="360">
        <v>1</v>
      </c>
      <c r="BN69" s="351" t="e">
        <f>IF('Inhaltliche Bewertung - GI'!RechtsformGI=BD$13,BD69*BM69,IF('Inhaltliche Bewertung - GI'!RechtsformGI=BF$13,BF69*BM69,IF('Inhaltliche Bewertung - GI'!RechtsformGI=BH$13,BH69*BM69,IF('Inhaltliche Bewertung - GI'!RechtsformGI=BJ$13,BJ69*BM69,IF('Inhaltliche Bewertung - GI'!RechtsformGI=BB$13,BB69*BM69,"")))))</f>
        <v>#N/A</v>
      </c>
      <c r="BO69" s="351" t="e">
        <f>IF('Inhaltliche Bewertung - GI'!RechtsformAngebot=BD$13,BD69*BM69,IF('Inhaltliche Bewertung - GI'!RechtsformAngebot=BF$13,BF69*BM69,IF('Inhaltliche Bewertung - GI'!RechtsformAngebot=BH$13,BH69*BM69,IF('Inhaltliche Bewertung - GI'!RechtsformAngebot=BJ$13,BJ69*BM69,IF('Inhaltliche Bewertung - GI'!RechtsformAngebot=BB$13,BB69*BM69,"")))))</f>
        <v>#N/A</v>
      </c>
      <c r="BP69" s="351"/>
      <c r="BQ69" s="361" t="s">
        <v>3400</v>
      </c>
      <c r="BR69" s="362">
        <v>0.8</v>
      </c>
      <c r="BS69" s="365"/>
      <c r="BT69" s="362">
        <v>0.8</v>
      </c>
      <c r="BU69" s="365"/>
      <c r="BV69" s="362">
        <v>0.8</v>
      </c>
      <c r="BW69" s="365"/>
      <c r="BX69" s="362">
        <v>0.8</v>
      </c>
      <c r="BY69" s="365"/>
      <c r="BZ69" s="362">
        <v>0.8</v>
      </c>
      <c r="CA69" s="365"/>
      <c r="CB69" s="370"/>
      <c r="CC69" s="360">
        <v>1</v>
      </c>
      <c r="CD69" s="351" t="e">
        <f>IF('Inhaltliche Bewertung - GI'!RechtsformGI=BT$13,BT69*CC69,IF('Inhaltliche Bewertung - GI'!RechtsformGI=BV$13,BV69*CC69,IF('Inhaltliche Bewertung - GI'!RechtsformGI=BX$13,BX69*CC69,IF('Inhaltliche Bewertung - GI'!RechtsformGI=BZ$13,BZ69*CC69,IF('Inhaltliche Bewertung - GI'!RechtsformGI=BR$13,BR69*CC69,"")))))</f>
        <v>#N/A</v>
      </c>
      <c r="CE69" s="351" t="e">
        <f>IF('Inhaltliche Bewertung - GI'!RechtsformAngebot=BT$13,BT69*CC69,IF('Inhaltliche Bewertung - GI'!RechtsformAngebot=BV$13,BV69*CC69,IF('Inhaltliche Bewertung - GI'!RechtsformAngebot=BX$13,BX69*CC69,IF('Inhaltliche Bewertung - GI'!RechtsformAngebot=BZ$13,BZ69*CC69,IF('Inhaltliche Bewertung - GI'!RechtsformAngebot=BR$13,BR69*CC69,"")))))</f>
        <v>#N/A</v>
      </c>
      <c r="CF69" s="351"/>
      <c r="CG69" s="361" t="s">
        <v>3400</v>
      </c>
      <c r="CH69" s="362">
        <v>0.8</v>
      </c>
      <c r="CI69" s="365"/>
      <c r="CJ69" s="362">
        <v>0.8</v>
      </c>
      <c r="CK69" s="365"/>
      <c r="CL69" s="362">
        <v>0.8</v>
      </c>
      <c r="CM69" s="365"/>
      <c r="CN69" s="362">
        <v>0.8</v>
      </c>
      <c r="CO69" s="365"/>
      <c r="CP69" s="362">
        <v>0.8</v>
      </c>
      <c r="CQ69" s="365"/>
      <c r="CR69" s="370"/>
      <c r="CS69" s="360">
        <v>1</v>
      </c>
      <c r="CT69" s="351" t="e">
        <f>IF('Inhaltliche Bewertung - GI'!RechtsformGI=CJ$13,CJ69*CS69,IF('Inhaltliche Bewertung - GI'!RechtsformGI=CL$13,CL69*CS69,IF('Inhaltliche Bewertung - GI'!RechtsformGI=CN$13,CN69*CS69,IF('Inhaltliche Bewertung - GI'!RechtsformGI=CP$13,CP69*CS69,IF('Inhaltliche Bewertung - GI'!RechtsformGI=CH$13,CH69*CS69,"")))))</f>
        <v>#N/A</v>
      </c>
      <c r="CU69" s="351" t="e">
        <f>IF('Inhaltliche Bewertung - GI'!RechtsformAngebot=CJ$13,CJ69*CS69,IF('Inhaltliche Bewertung - GI'!RechtsformAngebot=CL$13,CL69*CS69,IF('Inhaltliche Bewertung - GI'!RechtsformAngebot=CN$13,CN69*CS69,IF('Inhaltliche Bewertung - GI'!RechtsformAngebot=CP$13,CP69*CS69,IF('Inhaltliche Bewertung - GI'!RechtsformAngebot=CH$13,CH69*CS69,"")))))</f>
        <v>#N/A</v>
      </c>
      <c r="CV69" s="351"/>
      <c r="CW69" s="361" t="s">
        <v>3400</v>
      </c>
      <c r="CX69" s="362">
        <v>0.8</v>
      </c>
      <c r="CY69" s="365"/>
      <c r="CZ69" s="362">
        <v>0.8</v>
      </c>
      <c r="DA69" s="365"/>
      <c r="DB69" s="362">
        <v>0.8</v>
      </c>
      <c r="DC69" s="365"/>
      <c r="DD69" s="362">
        <v>0.8</v>
      </c>
      <c r="DE69" s="365"/>
      <c r="DF69" s="362">
        <v>0.8</v>
      </c>
      <c r="DG69" s="365"/>
      <c r="DH69" s="370"/>
      <c r="DI69" s="360">
        <v>1</v>
      </c>
      <c r="DJ69" s="351" t="e">
        <f>IF('Inhaltliche Bewertung - GI'!RechtsformGI=CZ$13,CZ69*DI69,IF('Inhaltliche Bewertung - GI'!RechtsformGI=DB$13,DB69*DI69,IF('Inhaltliche Bewertung - GI'!RechtsformGI=DD$13,DD69*DI69,IF('Inhaltliche Bewertung - GI'!RechtsformGI=DF$13,DF69*DI69,IF('Inhaltliche Bewertung - GI'!RechtsformGI=CX$13,CX69*DI69,"")))))</f>
        <v>#N/A</v>
      </c>
      <c r="DK69" s="351" t="e">
        <f>IF('Inhaltliche Bewertung - GI'!RechtsformAngebot=CZ$13,CZ69*DI69,IF('Inhaltliche Bewertung - GI'!RechtsformAngebot=DB$13,DB69*DI69,IF('Inhaltliche Bewertung - GI'!RechtsformAngebot=DD$13,DD69*DI69,IF('Inhaltliche Bewertung - GI'!RechtsformAngebot=DF$13,DF69*DI69,IF('Inhaltliche Bewertung - GI'!RechtsformAngebot=CX$13,CX69*DI69,"")))))</f>
        <v>#N/A</v>
      </c>
      <c r="DL69" s="351"/>
      <c r="DM69" s="361" t="s">
        <v>3401</v>
      </c>
      <c r="DN69" s="362">
        <v>0.8</v>
      </c>
      <c r="DO69" s="365"/>
      <c r="DP69" s="362">
        <v>0.8</v>
      </c>
      <c r="DQ69" s="365"/>
      <c r="DR69" s="362">
        <v>0.8</v>
      </c>
      <c r="DS69" s="365"/>
      <c r="DT69" s="362">
        <v>0.8</v>
      </c>
      <c r="DU69" s="365"/>
      <c r="DV69" s="362">
        <v>0.8</v>
      </c>
      <c r="DW69" s="365"/>
      <c r="DX69" s="370"/>
      <c r="DY69" s="360">
        <v>1</v>
      </c>
      <c r="DZ69" s="351" t="e">
        <f>IF('Inhaltliche Bewertung - GI'!RechtsformGI=DP$13,DP69*DY69,IF('Inhaltliche Bewertung - GI'!RechtsformGI=DR$13,DR69*DY69,IF('Inhaltliche Bewertung - GI'!RechtsformGI=DT$13,DT69*DY69,IF('Inhaltliche Bewertung - GI'!RechtsformGI=DV$13,DV69*DY69,IF('Inhaltliche Bewertung - GI'!RechtsformGI=DN$13,DN69*DY69,"")))))</f>
        <v>#N/A</v>
      </c>
      <c r="EA69" s="351" t="e">
        <f>IF('Inhaltliche Bewertung - GI'!RechtsformAngebot=DP$13,DP69*DY69,IF('Inhaltliche Bewertung - GI'!RechtsformAngebot=DR$13,DR69*DY69,IF('Inhaltliche Bewertung - GI'!RechtsformAngebot=DT$13,DT69*DY69,IF('Inhaltliche Bewertung - GI'!RechtsformAngebot=DV$13,DV69*DY69,IF('Inhaltliche Bewertung - GI'!RechtsformAngebot=DN$13,DN69*DY69,"")))))</f>
        <v>#N/A</v>
      </c>
      <c r="EB69" s="351"/>
      <c r="EC69" s="157">
        <f t="shared" si="1"/>
        <v>0.8</v>
      </c>
      <c r="ED69" s="157">
        <f t="shared" si="2"/>
        <v>0.8</v>
      </c>
      <c r="EE69" s="157">
        <f t="shared" si="3"/>
        <v>0.80000000000000038</v>
      </c>
      <c r="EF69" s="157">
        <f t="shared" si="4"/>
        <v>0.8</v>
      </c>
    </row>
    <row r="70" spans="1:136" ht="14.25" customHeight="1">
      <c r="A70" s="444" t="b">
        <f t="shared" si="5"/>
        <v>0</v>
      </c>
      <c r="B70" s="292"/>
      <c r="C70" s="355" t="s">
        <v>3402</v>
      </c>
      <c r="D70" s="345"/>
      <c r="E70" s="371" t="s">
        <v>3403</v>
      </c>
      <c r="F70" s="372">
        <v>1</v>
      </c>
      <c r="G70" s="358"/>
      <c r="H70" s="372">
        <v>1</v>
      </c>
      <c r="I70" s="358"/>
      <c r="J70" s="372">
        <v>1</v>
      </c>
      <c r="K70" s="358"/>
      <c r="L70" s="372">
        <v>1</v>
      </c>
      <c r="M70" s="358"/>
      <c r="N70" s="372">
        <v>1</v>
      </c>
      <c r="O70" s="358"/>
      <c r="P70" s="359"/>
      <c r="Q70" s="360">
        <v>1</v>
      </c>
      <c r="R70" s="351" t="e">
        <f>IF('Inhaltliche Bewertung - GI'!RechtsformGI=H$13,H70*Q70,IF('Inhaltliche Bewertung - GI'!RechtsformGI=J$13,J70*Q70,IF('Inhaltliche Bewertung - GI'!RechtsformGI=L$13,L70*Q70,IF('Inhaltliche Bewertung - GI'!RechtsformGI=N$13,N70*Q70,IF('Inhaltliche Bewertung - GI'!RechtsformGI=F$13,F70*Q70,"")))))</f>
        <v>#N/A</v>
      </c>
      <c r="S70" s="351" t="e">
        <f>IF('Inhaltliche Bewertung - GI'!RechtsformAngebot=H$13,H70*Q70,IF('Inhaltliche Bewertung - GI'!RechtsformAngebot=J$13,J70*Q70,IF('Inhaltliche Bewertung - GI'!RechtsformAngebot=L$13,L70*Q70,IF('Inhaltliche Bewertung - GI'!RechtsformAngebot=N$13,N70*Q70,IF('Inhaltliche Bewertung - GI'!RechtsformAngebot=F$13,F70*Q70,"")))))</f>
        <v>#N/A</v>
      </c>
      <c r="T70" s="351"/>
      <c r="U70" s="371" t="s">
        <v>3404</v>
      </c>
      <c r="V70" s="372">
        <v>1</v>
      </c>
      <c r="W70" s="358"/>
      <c r="X70" s="372">
        <v>1</v>
      </c>
      <c r="Y70" s="358"/>
      <c r="Z70" s="372">
        <v>1</v>
      </c>
      <c r="AA70" s="358"/>
      <c r="AB70" s="372">
        <v>1</v>
      </c>
      <c r="AC70" s="358"/>
      <c r="AD70" s="372">
        <v>1</v>
      </c>
      <c r="AE70" s="358"/>
      <c r="AF70" s="359"/>
      <c r="AG70" s="360">
        <v>1</v>
      </c>
      <c r="AH70" s="351" t="e">
        <f>IF('Inhaltliche Bewertung - GI'!RechtsformGI=X$13,X70*AG70,IF('Inhaltliche Bewertung - GI'!RechtsformGI=Z$13,Z70*AG70,IF('Inhaltliche Bewertung - GI'!RechtsformGI=AB$13,AB70*AG70,IF('Inhaltliche Bewertung - GI'!RechtsformGI=AD$13,AD70*AG70,IF('Inhaltliche Bewertung - GI'!RechtsformGI=V$13,V70*AG70,"")))))</f>
        <v>#N/A</v>
      </c>
      <c r="AI70" s="351" t="e">
        <f>IF('Inhaltliche Bewertung - GI'!RechtsformAngebot=X$13,X70*AG70,IF('Inhaltliche Bewertung - GI'!RechtsformAngebot=Z$13,Z70*AG70,IF('Inhaltliche Bewertung - GI'!RechtsformAngebot=AB$13,AB70*AG70,IF('Inhaltliche Bewertung - GI'!RechtsformAngebot=AD$13,AD70*AG70,IF('Inhaltliche Bewertung - GI'!RechtsformAngebot=V$13,V70*AG70,"")))))</f>
        <v>#N/A</v>
      </c>
      <c r="AJ70" s="351"/>
      <c r="AK70" s="361" t="s">
        <v>3405</v>
      </c>
      <c r="AL70" s="372">
        <v>1</v>
      </c>
      <c r="AM70" s="358"/>
      <c r="AN70" s="372">
        <v>1</v>
      </c>
      <c r="AO70" s="358"/>
      <c r="AP70" s="372">
        <v>1</v>
      </c>
      <c r="AQ70" s="358"/>
      <c r="AR70" s="372">
        <v>1</v>
      </c>
      <c r="AS70" s="358"/>
      <c r="AT70" s="372">
        <v>1</v>
      </c>
      <c r="AU70" s="358"/>
      <c r="AV70" s="359"/>
      <c r="AW70" s="360">
        <v>1</v>
      </c>
      <c r="AX70" s="351" t="e">
        <f>IF('Inhaltliche Bewertung - GI'!RechtsformGI=AN$13,AN70*AW70,IF('Inhaltliche Bewertung - GI'!RechtsformGI=AP$13,AP70*AW70,IF('Inhaltliche Bewertung - GI'!RechtsformGI=AR$13,AR70*AW70,IF('Inhaltliche Bewertung - GI'!RechtsformGI=AT$13,AT70*AW70,IF('Inhaltliche Bewertung - GI'!RechtsformGI=AL$13,AL70*AW70,"")))))</f>
        <v>#N/A</v>
      </c>
      <c r="AY70" s="351" t="e">
        <f>IF('Inhaltliche Bewertung - GI'!RechtsformAngebot=AN$13,AN70*AW70,IF('Inhaltliche Bewertung - GI'!RechtsformAngebot=AP$13,AP70*AW70,IF('Inhaltliche Bewertung - GI'!RechtsformAngebot=AR$13,AR70*AW70,IF('Inhaltliche Bewertung - GI'!RechtsformAngebot=AT$13,AT70*AW70,IF('Inhaltliche Bewertung - GI'!RechtsformAngebot=AL$13,AL70*AW70,"")))))</f>
        <v>#N/A</v>
      </c>
      <c r="AZ70" s="351"/>
      <c r="BA70" s="361" t="s">
        <v>3406</v>
      </c>
      <c r="BB70" s="372">
        <v>1</v>
      </c>
      <c r="BC70" s="358"/>
      <c r="BD70" s="372">
        <v>1</v>
      </c>
      <c r="BE70" s="358"/>
      <c r="BF70" s="372">
        <v>1</v>
      </c>
      <c r="BG70" s="358"/>
      <c r="BH70" s="372">
        <v>1</v>
      </c>
      <c r="BI70" s="358"/>
      <c r="BJ70" s="372">
        <v>1</v>
      </c>
      <c r="BK70" s="358"/>
      <c r="BL70" s="359"/>
      <c r="BM70" s="360">
        <v>1</v>
      </c>
      <c r="BN70" s="351" t="e">
        <f>IF('Inhaltliche Bewertung - GI'!RechtsformGI=BD$13,BD70*BM70,IF('Inhaltliche Bewertung - GI'!RechtsformGI=BF$13,BF70*BM70,IF('Inhaltliche Bewertung - GI'!RechtsformGI=BH$13,BH70*BM70,IF('Inhaltliche Bewertung - GI'!RechtsformGI=BJ$13,BJ70*BM70,IF('Inhaltliche Bewertung - GI'!RechtsformGI=BB$13,BB70*BM70,"")))))</f>
        <v>#N/A</v>
      </c>
      <c r="BO70" s="351" t="e">
        <f>IF('Inhaltliche Bewertung - GI'!RechtsformAngebot=BD$13,BD70*BM70,IF('Inhaltliche Bewertung - GI'!RechtsformAngebot=BF$13,BF70*BM70,IF('Inhaltliche Bewertung - GI'!RechtsformAngebot=BH$13,BH70*BM70,IF('Inhaltliche Bewertung - GI'!RechtsformAngebot=BJ$13,BJ70*BM70,IF('Inhaltliche Bewertung - GI'!RechtsformAngebot=BB$13,BB70*BM70,"")))))</f>
        <v>#N/A</v>
      </c>
      <c r="BP70" s="351"/>
      <c r="BQ70" s="361" t="s">
        <v>3406</v>
      </c>
      <c r="BR70" s="372">
        <v>1</v>
      </c>
      <c r="BS70" s="358"/>
      <c r="BT70" s="372">
        <v>1</v>
      </c>
      <c r="BU70" s="358"/>
      <c r="BV70" s="372">
        <v>1</v>
      </c>
      <c r="BW70" s="358"/>
      <c r="BX70" s="372">
        <v>1</v>
      </c>
      <c r="BY70" s="358"/>
      <c r="BZ70" s="372">
        <v>1</v>
      </c>
      <c r="CA70" s="358"/>
      <c r="CB70" s="359"/>
      <c r="CC70" s="360">
        <v>1</v>
      </c>
      <c r="CD70" s="351" t="e">
        <f>IF('Inhaltliche Bewertung - GI'!RechtsformGI=BT$13,BT70*CC70,IF('Inhaltliche Bewertung - GI'!RechtsformGI=BV$13,BV70*CC70,IF('Inhaltliche Bewertung - GI'!RechtsformGI=BX$13,BX70*CC70,IF('Inhaltliche Bewertung - GI'!RechtsformGI=BZ$13,BZ70*CC70,IF('Inhaltliche Bewertung - GI'!RechtsformGI=BR$13,BR70*CC70,"")))))</f>
        <v>#N/A</v>
      </c>
      <c r="CE70" s="351" t="e">
        <f>IF('Inhaltliche Bewertung - GI'!RechtsformAngebot=BT$13,BT70*CC70,IF('Inhaltliche Bewertung - GI'!RechtsformAngebot=BV$13,BV70*CC70,IF('Inhaltliche Bewertung - GI'!RechtsformAngebot=BX$13,BX70*CC70,IF('Inhaltliche Bewertung - GI'!RechtsformAngebot=BZ$13,BZ70*CC70,IF('Inhaltliche Bewertung - GI'!RechtsformAngebot=BR$13,BR70*CC70,"")))))</f>
        <v>#N/A</v>
      </c>
      <c r="CF70" s="351"/>
      <c r="CG70" s="371" t="s">
        <v>3407</v>
      </c>
      <c r="CH70" s="372">
        <v>0.9</v>
      </c>
      <c r="CI70" s="358"/>
      <c r="CJ70" s="372">
        <v>0.9</v>
      </c>
      <c r="CK70" s="358"/>
      <c r="CL70" s="372">
        <v>0.9</v>
      </c>
      <c r="CM70" s="358"/>
      <c r="CN70" s="372">
        <v>0.9</v>
      </c>
      <c r="CO70" s="358"/>
      <c r="CP70" s="372">
        <v>0.9</v>
      </c>
      <c r="CQ70" s="358"/>
      <c r="CR70" s="359"/>
      <c r="CS70" s="360">
        <v>1</v>
      </c>
      <c r="CT70" s="351" t="e">
        <f>IF('Inhaltliche Bewertung - GI'!RechtsformGI=CJ$13,CJ70*CS70,IF('Inhaltliche Bewertung - GI'!RechtsformGI=CL$13,CL70*CS70,IF('Inhaltliche Bewertung - GI'!RechtsformGI=CN$13,CN70*CS70,IF('Inhaltliche Bewertung - GI'!RechtsformGI=CP$13,CP70*CS70,IF('Inhaltliche Bewertung - GI'!RechtsformGI=CH$13,CH70*CS70,"")))))</f>
        <v>#N/A</v>
      </c>
      <c r="CU70" s="351" t="e">
        <f>IF('Inhaltliche Bewertung - GI'!RechtsformAngebot=CJ$13,CJ70*CS70,IF('Inhaltliche Bewertung - GI'!RechtsformAngebot=CL$13,CL70*CS70,IF('Inhaltliche Bewertung - GI'!RechtsformAngebot=CN$13,CN70*CS70,IF('Inhaltliche Bewertung - GI'!RechtsformAngebot=CP$13,CP70*CS70,IF('Inhaltliche Bewertung - GI'!RechtsformAngebot=CH$13,CH70*CS70,"")))))</f>
        <v>#N/A</v>
      </c>
      <c r="CV70" s="351"/>
      <c r="CW70" s="371" t="s">
        <v>3408</v>
      </c>
      <c r="CX70" s="372">
        <v>1</v>
      </c>
      <c r="CY70" s="358"/>
      <c r="CZ70" s="372">
        <v>1</v>
      </c>
      <c r="DA70" s="358"/>
      <c r="DB70" s="372">
        <v>1</v>
      </c>
      <c r="DC70" s="358"/>
      <c r="DD70" s="372">
        <v>1</v>
      </c>
      <c r="DE70" s="358"/>
      <c r="DF70" s="372">
        <v>1</v>
      </c>
      <c r="DG70" s="358"/>
      <c r="DH70" s="359"/>
      <c r="DI70" s="360">
        <v>1</v>
      </c>
      <c r="DJ70" s="351" t="e">
        <f>IF('Inhaltliche Bewertung - GI'!RechtsformGI=CZ$13,CZ70*DI70,IF('Inhaltliche Bewertung - GI'!RechtsformGI=DB$13,DB70*DI70,IF('Inhaltliche Bewertung - GI'!RechtsformGI=DD$13,DD70*DI70,IF('Inhaltliche Bewertung - GI'!RechtsformGI=DF$13,DF70*DI70,IF('Inhaltliche Bewertung - GI'!RechtsformGI=CX$13,CX70*DI70,"")))))</f>
        <v>#N/A</v>
      </c>
      <c r="DK70" s="351" t="e">
        <f>IF('Inhaltliche Bewertung - GI'!RechtsformAngebot=CZ$13,CZ70*DI70,IF('Inhaltliche Bewertung - GI'!RechtsformAngebot=DB$13,DB70*DI70,IF('Inhaltliche Bewertung - GI'!RechtsformAngebot=DD$13,DD70*DI70,IF('Inhaltliche Bewertung - GI'!RechtsformAngebot=DF$13,DF70*DI70,IF('Inhaltliche Bewertung - GI'!RechtsformAngebot=CX$13,CX70*DI70,"")))))</f>
        <v>#N/A</v>
      </c>
      <c r="DL70" s="351"/>
      <c r="DM70" s="361" t="s">
        <v>3409</v>
      </c>
      <c r="DN70" s="372">
        <v>1</v>
      </c>
      <c r="DO70" s="358"/>
      <c r="DP70" s="372">
        <v>1</v>
      </c>
      <c r="DQ70" s="358"/>
      <c r="DR70" s="372">
        <v>1</v>
      </c>
      <c r="DS70" s="358"/>
      <c r="DT70" s="372">
        <v>1</v>
      </c>
      <c r="DU70" s="358"/>
      <c r="DV70" s="372">
        <v>1</v>
      </c>
      <c r="DW70" s="358"/>
      <c r="DX70" s="359"/>
      <c r="DY70" s="360">
        <v>1</v>
      </c>
      <c r="DZ70" s="351" t="e">
        <f>IF('Inhaltliche Bewertung - GI'!RechtsformGI=DP$13,DP70*DY70,IF('Inhaltliche Bewertung - GI'!RechtsformGI=DR$13,DR70*DY70,IF('Inhaltliche Bewertung - GI'!RechtsformGI=DT$13,DT70*DY70,IF('Inhaltliche Bewertung - GI'!RechtsformGI=DV$13,DV70*DY70,IF('Inhaltliche Bewertung - GI'!RechtsformGI=DN$13,DN70*DY70,"")))))</f>
        <v>#N/A</v>
      </c>
      <c r="EA70" s="351" t="e">
        <f>IF('Inhaltliche Bewertung - GI'!RechtsformAngebot=DP$13,DP70*DY70,IF('Inhaltliche Bewertung - GI'!RechtsformAngebot=DR$13,DR70*DY70,IF('Inhaltliche Bewertung - GI'!RechtsformAngebot=DT$13,DT70*DY70,IF('Inhaltliche Bewertung - GI'!RechtsformAngebot=DV$13,DV70*DY70,IF('Inhaltliche Bewertung - GI'!RechtsformAngebot=DN$13,DN70*DY70,"")))))</f>
        <v>#N/A</v>
      </c>
      <c r="EB70" s="351"/>
      <c r="EC70" s="157">
        <f t="shared" si="1"/>
        <v>0.9</v>
      </c>
      <c r="ED70" s="157">
        <f t="shared" si="2"/>
        <v>1</v>
      </c>
      <c r="EE70" s="157">
        <f t="shared" si="3"/>
        <v>0.98749999999999982</v>
      </c>
      <c r="EF70" s="157">
        <f t="shared" si="4"/>
        <v>1</v>
      </c>
    </row>
    <row r="71" spans="1:136" ht="14.25" customHeight="1">
      <c r="A71" s="444" t="b">
        <f t="shared" si="5"/>
        <v>1</v>
      </c>
      <c r="B71" s="292"/>
      <c r="C71" s="355" t="s">
        <v>3410</v>
      </c>
      <c r="D71" s="345"/>
      <c r="E71" s="361" t="s">
        <v>3411</v>
      </c>
      <c r="F71" s="362">
        <v>0.9</v>
      </c>
      <c r="G71" s="365"/>
      <c r="H71" s="362">
        <v>0.9</v>
      </c>
      <c r="I71" s="365"/>
      <c r="J71" s="362">
        <v>0.9</v>
      </c>
      <c r="K71" s="365"/>
      <c r="L71" s="362">
        <v>0.9</v>
      </c>
      <c r="M71" s="365"/>
      <c r="N71" s="362">
        <v>0.9</v>
      </c>
      <c r="O71" s="365"/>
      <c r="P71" s="370"/>
      <c r="Q71" s="360">
        <v>1</v>
      </c>
      <c r="R71" s="351" t="e">
        <f>IF('Inhaltliche Bewertung - GI'!RechtsformGI=H$13,H71*Q71,IF('Inhaltliche Bewertung - GI'!RechtsformGI=J$13,J71*Q71,IF('Inhaltliche Bewertung - GI'!RechtsformGI=L$13,L71*Q71,IF('Inhaltliche Bewertung - GI'!RechtsformGI=N$13,N71*Q71,IF('Inhaltliche Bewertung - GI'!RechtsformGI=F$13,F71*Q71,"")))))</f>
        <v>#N/A</v>
      </c>
      <c r="S71" s="351" t="e">
        <f>IF('Inhaltliche Bewertung - GI'!RechtsformAngebot=H$13,H71*Q71,IF('Inhaltliche Bewertung - GI'!RechtsformAngebot=J$13,J71*Q71,IF('Inhaltliche Bewertung - GI'!RechtsformAngebot=L$13,L71*Q71,IF('Inhaltliche Bewertung - GI'!RechtsformAngebot=N$13,N71*Q71,IF('Inhaltliche Bewertung - GI'!RechtsformAngebot=F$13,F71*Q71,"")))))</f>
        <v>#N/A</v>
      </c>
      <c r="T71" s="351"/>
      <c r="U71" s="361" t="s">
        <v>3411</v>
      </c>
      <c r="V71" s="362">
        <v>0.9</v>
      </c>
      <c r="W71" s="365"/>
      <c r="X71" s="362">
        <v>0.9</v>
      </c>
      <c r="Y71" s="365"/>
      <c r="Z71" s="362">
        <v>0.9</v>
      </c>
      <c r="AA71" s="365"/>
      <c r="AB71" s="362">
        <v>0.9</v>
      </c>
      <c r="AC71" s="365"/>
      <c r="AD71" s="362">
        <v>0.9</v>
      </c>
      <c r="AE71" s="365"/>
      <c r="AF71" s="370"/>
      <c r="AG71" s="360">
        <v>1</v>
      </c>
      <c r="AH71" s="351" t="e">
        <f>IF('Inhaltliche Bewertung - GI'!RechtsformGI=X$13,X71*AG71,IF('Inhaltliche Bewertung - GI'!RechtsformGI=Z$13,Z71*AG71,IF('Inhaltliche Bewertung - GI'!RechtsformGI=AB$13,AB71*AG71,IF('Inhaltliche Bewertung - GI'!RechtsformGI=AD$13,AD71*AG71,IF('Inhaltliche Bewertung - GI'!RechtsformGI=V$13,V71*AG71,"")))))</f>
        <v>#N/A</v>
      </c>
      <c r="AI71" s="351" t="e">
        <f>IF('Inhaltliche Bewertung - GI'!RechtsformAngebot=X$13,X71*AG71,IF('Inhaltliche Bewertung - GI'!RechtsformAngebot=Z$13,Z71*AG71,IF('Inhaltliche Bewertung - GI'!RechtsformAngebot=AB$13,AB71*AG71,IF('Inhaltliche Bewertung - GI'!RechtsformAngebot=AD$13,AD71*AG71,IF('Inhaltliche Bewertung - GI'!RechtsformAngebot=V$13,V71*AG71,"")))))</f>
        <v>#N/A</v>
      </c>
      <c r="AJ71" s="351"/>
      <c r="AK71" s="361" t="s">
        <v>3411</v>
      </c>
      <c r="AL71" s="362">
        <v>0.9</v>
      </c>
      <c r="AM71" s="365"/>
      <c r="AN71" s="362">
        <v>0.9</v>
      </c>
      <c r="AO71" s="365"/>
      <c r="AP71" s="362">
        <v>0.9</v>
      </c>
      <c r="AQ71" s="365"/>
      <c r="AR71" s="362">
        <v>0.9</v>
      </c>
      <c r="AS71" s="365"/>
      <c r="AT71" s="362">
        <v>0.9</v>
      </c>
      <c r="AU71" s="365"/>
      <c r="AV71" s="370"/>
      <c r="AW71" s="360">
        <v>1</v>
      </c>
      <c r="AX71" s="351" t="e">
        <f>IF('Inhaltliche Bewertung - GI'!RechtsformGI=AN$13,AN71*AW71,IF('Inhaltliche Bewertung - GI'!RechtsformGI=AP$13,AP71*AW71,IF('Inhaltliche Bewertung - GI'!RechtsformGI=AR$13,AR71*AW71,IF('Inhaltliche Bewertung - GI'!RechtsformGI=AT$13,AT71*AW71,IF('Inhaltliche Bewertung - GI'!RechtsformGI=AL$13,AL71*AW71,"")))))</f>
        <v>#N/A</v>
      </c>
      <c r="AY71" s="351" t="e">
        <f>IF('Inhaltliche Bewertung - GI'!RechtsformAngebot=AN$13,AN71*AW71,IF('Inhaltliche Bewertung - GI'!RechtsformAngebot=AP$13,AP71*AW71,IF('Inhaltliche Bewertung - GI'!RechtsformAngebot=AR$13,AR71*AW71,IF('Inhaltliche Bewertung - GI'!RechtsformAngebot=AT$13,AT71*AW71,IF('Inhaltliche Bewertung - GI'!RechtsformAngebot=AL$13,AL71*AW71,"")))))</f>
        <v>#N/A</v>
      </c>
      <c r="AZ71" s="351"/>
      <c r="BA71" s="361" t="s">
        <v>3411</v>
      </c>
      <c r="BB71" s="362">
        <v>0.9</v>
      </c>
      <c r="BC71" s="365"/>
      <c r="BD71" s="362">
        <v>0.9</v>
      </c>
      <c r="BE71" s="365"/>
      <c r="BF71" s="362">
        <v>0.9</v>
      </c>
      <c r="BG71" s="365"/>
      <c r="BH71" s="362">
        <v>0.9</v>
      </c>
      <c r="BI71" s="365"/>
      <c r="BJ71" s="362">
        <v>0.9</v>
      </c>
      <c r="BK71" s="365"/>
      <c r="BL71" s="370"/>
      <c r="BM71" s="360">
        <v>1</v>
      </c>
      <c r="BN71" s="351" t="e">
        <f>IF('Inhaltliche Bewertung - GI'!RechtsformGI=BD$13,BD71*BM71,IF('Inhaltliche Bewertung - GI'!RechtsformGI=BF$13,BF71*BM71,IF('Inhaltliche Bewertung - GI'!RechtsformGI=BH$13,BH71*BM71,IF('Inhaltliche Bewertung - GI'!RechtsformGI=BJ$13,BJ71*BM71,IF('Inhaltliche Bewertung - GI'!RechtsformGI=BB$13,BB71*BM71,"")))))</f>
        <v>#N/A</v>
      </c>
      <c r="BO71" s="351" t="e">
        <f>IF('Inhaltliche Bewertung - GI'!RechtsformAngebot=BD$13,BD71*BM71,IF('Inhaltliche Bewertung - GI'!RechtsformAngebot=BF$13,BF71*BM71,IF('Inhaltliche Bewertung - GI'!RechtsformAngebot=BH$13,BH71*BM71,IF('Inhaltliche Bewertung - GI'!RechtsformAngebot=BJ$13,BJ71*BM71,IF('Inhaltliche Bewertung - GI'!RechtsformAngebot=BB$13,BB71*BM71,"")))))</f>
        <v>#N/A</v>
      </c>
      <c r="BP71" s="351"/>
      <c r="BQ71" s="361" t="s">
        <v>3411</v>
      </c>
      <c r="BR71" s="362">
        <v>0.9</v>
      </c>
      <c r="BS71" s="365"/>
      <c r="BT71" s="362">
        <v>0.9</v>
      </c>
      <c r="BU71" s="365"/>
      <c r="BV71" s="362">
        <v>0.9</v>
      </c>
      <c r="BW71" s="365"/>
      <c r="BX71" s="362">
        <v>0.9</v>
      </c>
      <c r="BY71" s="365"/>
      <c r="BZ71" s="362">
        <v>0.9</v>
      </c>
      <c r="CA71" s="365"/>
      <c r="CB71" s="370"/>
      <c r="CC71" s="360">
        <v>1</v>
      </c>
      <c r="CD71" s="351" t="e">
        <f>IF('Inhaltliche Bewertung - GI'!RechtsformGI=BT$13,BT71*CC71,IF('Inhaltliche Bewertung - GI'!RechtsformGI=BV$13,BV71*CC71,IF('Inhaltliche Bewertung - GI'!RechtsformGI=BX$13,BX71*CC71,IF('Inhaltliche Bewertung - GI'!RechtsformGI=BZ$13,BZ71*CC71,IF('Inhaltliche Bewertung - GI'!RechtsformGI=BR$13,BR71*CC71,"")))))</f>
        <v>#N/A</v>
      </c>
      <c r="CE71" s="351" t="e">
        <f>IF('Inhaltliche Bewertung - GI'!RechtsformAngebot=BT$13,BT71*CC71,IF('Inhaltliche Bewertung - GI'!RechtsformAngebot=BV$13,BV71*CC71,IF('Inhaltliche Bewertung - GI'!RechtsformAngebot=BX$13,BX71*CC71,IF('Inhaltliche Bewertung - GI'!RechtsformAngebot=BZ$13,BZ71*CC71,IF('Inhaltliche Bewertung - GI'!RechtsformAngebot=BR$13,BR71*CC71,"")))))</f>
        <v>#N/A</v>
      </c>
      <c r="CF71" s="351"/>
      <c r="CG71" s="361" t="s">
        <v>3411</v>
      </c>
      <c r="CH71" s="362">
        <v>0.9</v>
      </c>
      <c r="CI71" s="365"/>
      <c r="CJ71" s="362">
        <v>0.9</v>
      </c>
      <c r="CK71" s="365"/>
      <c r="CL71" s="362">
        <v>0.9</v>
      </c>
      <c r="CM71" s="365"/>
      <c r="CN71" s="362">
        <v>0.9</v>
      </c>
      <c r="CO71" s="365"/>
      <c r="CP71" s="362">
        <v>0.9</v>
      </c>
      <c r="CQ71" s="365"/>
      <c r="CR71" s="370"/>
      <c r="CS71" s="360">
        <v>1</v>
      </c>
      <c r="CT71" s="351" t="e">
        <f>IF('Inhaltliche Bewertung - GI'!RechtsformGI=CJ$13,CJ71*CS71,IF('Inhaltliche Bewertung - GI'!RechtsformGI=CL$13,CL71*CS71,IF('Inhaltliche Bewertung - GI'!RechtsformGI=CN$13,CN71*CS71,IF('Inhaltliche Bewertung - GI'!RechtsformGI=CP$13,CP71*CS71,IF('Inhaltliche Bewertung - GI'!RechtsformGI=CH$13,CH71*CS71,"")))))</f>
        <v>#N/A</v>
      </c>
      <c r="CU71" s="351" t="e">
        <f>IF('Inhaltliche Bewertung - GI'!RechtsformAngebot=CJ$13,CJ71*CS71,IF('Inhaltliche Bewertung - GI'!RechtsformAngebot=CL$13,CL71*CS71,IF('Inhaltliche Bewertung - GI'!RechtsformAngebot=CN$13,CN71*CS71,IF('Inhaltliche Bewertung - GI'!RechtsformAngebot=CP$13,CP71*CS71,IF('Inhaltliche Bewertung - GI'!RechtsformAngebot=CH$13,CH71*CS71,"")))))</f>
        <v>#N/A</v>
      </c>
      <c r="CV71" s="351"/>
      <c r="CW71" s="361" t="s">
        <v>3411</v>
      </c>
      <c r="CX71" s="362">
        <v>0.9</v>
      </c>
      <c r="CY71" s="365"/>
      <c r="CZ71" s="362">
        <v>0.9</v>
      </c>
      <c r="DA71" s="365"/>
      <c r="DB71" s="362">
        <v>0.9</v>
      </c>
      <c r="DC71" s="365"/>
      <c r="DD71" s="362">
        <v>0.9</v>
      </c>
      <c r="DE71" s="365"/>
      <c r="DF71" s="362">
        <v>0.9</v>
      </c>
      <c r="DG71" s="365"/>
      <c r="DH71" s="370"/>
      <c r="DI71" s="360">
        <v>1</v>
      </c>
      <c r="DJ71" s="351" t="e">
        <f>IF('Inhaltliche Bewertung - GI'!RechtsformGI=CZ$13,CZ71*DI71,IF('Inhaltliche Bewertung - GI'!RechtsformGI=DB$13,DB71*DI71,IF('Inhaltliche Bewertung - GI'!RechtsformGI=DD$13,DD71*DI71,IF('Inhaltliche Bewertung - GI'!RechtsformGI=DF$13,DF71*DI71,IF('Inhaltliche Bewertung - GI'!RechtsformGI=CX$13,CX71*DI71,"")))))</f>
        <v>#N/A</v>
      </c>
      <c r="DK71" s="351" t="e">
        <f>IF('Inhaltliche Bewertung - GI'!RechtsformAngebot=CZ$13,CZ71*DI71,IF('Inhaltliche Bewertung - GI'!RechtsformAngebot=DB$13,DB71*DI71,IF('Inhaltliche Bewertung - GI'!RechtsformAngebot=DD$13,DD71*DI71,IF('Inhaltliche Bewertung - GI'!RechtsformAngebot=DF$13,DF71*DI71,IF('Inhaltliche Bewertung - GI'!RechtsformAngebot=CX$13,CX71*DI71,"")))))</f>
        <v>#N/A</v>
      </c>
      <c r="DL71" s="351"/>
      <c r="DM71" s="361" t="s">
        <v>3411</v>
      </c>
      <c r="DN71" s="362">
        <v>0.9</v>
      </c>
      <c r="DO71" s="365"/>
      <c r="DP71" s="362">
        <v>0.9</v>
      </c>
      <c r="DQ71" s="365"/>
      <c r="DR71" s="362">
        <v>0.9</v>
      </c>
      <c r="DS71" s="365"/>
      <c r="DT71" s="362">
        <v>0.9</v>
      </c>
      <c r="DU71" s="365"/>
      <c r="DV71" s="362">
        <v>0.9</v>
      </c>
      <c r="DW71" s="365"/>
      <c r="DX71" s="370"/>
      <c r="DY71" s="360">
        <v>1</v>
      </c>
      <c r="DZ71" s="351" t="e">
        <f>IF('Inhaltliche Bewertung - GI'!RechtsformGI=DP$13,DP71*DY71,IF('Inhaltliche Bewertung - GI'!RechtsformGI=DR$13,DR71*DY71,IF('Inhaltliche Bewertung - GI'!RechtsformGI=DT$13,DT71*DY71,IF('Inhaltliche Bewertung - GI'!RechtsformGI=DV$13,DV71*DY71,IF('Inhaltliche Bewertung - GI'!RechtsformGI=DN$13,DN71*DY71,"")))))</f>
        <v>#N/A</v>
      </c>
      <c r="EA71" s="351" t="e">
        <f>IF('Inhaltliche Bewertung - GI'!RechtsformAngebot=DP$13,DP71*DY71,IF('Inhaltliche Bewertung - GI'!RechtsformAngebot=DR$13,DR71*DY71,IF('Inhaltliche Bewertung - GI'!RechtsformAngebot=DT$13,DT71*DY71,IF('Inhaltliche Bewertung - GI'!RechtsformAngebot=DV$13,DV71*DY71,IF('Inhaltliche Bewertung - GI'!RechtsformAngebot=DN$13,DN71*DY71,"")))))</f>
        <v>#N/A</v>
      </c>
      <c r="EB71" s="351"/>
      <c r="EC71" s="157">
        <f t="shared" si="1"/>
        <v>0.9</v>
      </c>
      <c r="ED71" s="157">
        <f t="shared" si="2"/>
        <v>0.9</v>
      </c>
      <c r="EE71" s="157">
        <f t="shared" si="3"/>
        <v>0.89999999999999925</v>
      </c>
      <c r="EF71" s="157">
        <f t="shared" si="4"/>
        <v>0.9</v>
      </c>
    </row>
    <row r="72" spans="1:136" ht="14.25" customHeight="1">
      <c r="A72" s="444" t="b">
        <f t="shared" si="5"/>
        <v>1</v>
      </c>
      <c r="B72" s="292"/>
      <c r="C72" s="355" t="s">
        <v>3412</v>
      </c>
      <c r="D72" s="345"/>
      <c r="E72" s="410" t="s">
        <v>3413</v>
      </c>
      <c r="F72" s="411">
        <v>0.5</v>
      </c>
      <c r="G72" s="412"/>
      <c r="H72" s="411">
        <v>0.5</v>
      </c>
      <c r="I72" s="412"/>
      <c r="J72" s="411">
        <v>0.5</v>
      </c>
      <c r="K72" s="412"/>
      <c r="L72" s="411">
        <v>0.5</v>
      </c>
      <c r="M72" s="412"/>
      <c r="N72" s="411">
        <v>0.5</v>
      </c>
      <c r="O72" s="412"/>
      <c r="P72" s="413"/>
      <c r="Q72" s="360">
        <v>1</v>
      </c>
      <c r="R72" s="351" t="e">
        <f>IF('Inhaltliche Bewertung - GI'!RechtsformGI=H$13,H72*Q72,IF('Inhaltliche Bewertung - GI'!RechtsformGI=J$13,J72*Q72,IF('Inhaltliche Bewertung - GI'!RechtsformGI=L$13,L72*Q72,IF('Inhaltliche Bewertung - GI'!RechtsformGI=N$13,N72*Q72,IF('Inhaltliche Bewertung - GI'!RechtsformGI=F$13,F72*Q72,"")))))</f>
        <v>#N/A</v>
      </c>
      <c r="S72" s="351" t="e">
        <f>IF('Inhaltliche Bewertung - GI'!RechtsformAngebot=H$13,H72*Q72,IF('Inhaltliche Bewertung - GI'!RechtsformAngebot=J$13,J72*Q72,IF('Inhaltliche Bewertung - GI'!RechtsformAngebot=L$13,L72*Q72,IF('Inhaltliche Bewertung - GI'!RechtsformAngebot=N$13,N72*Q72,IF('Inhaltliche Bewertung - GI'!RechtsformAngebot=F$13,F72*Q72,"")))))</f>
        <v>#N/A</v>
      </c>
      <c r="T72" s="351"/>
      <c r="U72" s="410" t="s">
        <v>3413</v>
      </c>
      <c r="V72" s="411">
        <v>0.5</v>
      </c>
      <c r="W72" s="412"/>
      <c r="X72" s="411">
        <v>0.5</v>
      </c>
      <c r="Y72" s="412"/>
      <c r="Z72" s="411">
        <v>0.5</v>
      </c>
      <c r="AA72" s="412"/>
      <c r="AB72" s="411">
        <v>0.5</v>
      </c>
      <c r="AC72" s="412"/>
      <c r="AD72" s="411">
        <v>0.5</v>
      </c>
      <c r="AE72" s="412"/>
      <c r="AF72" s="413"/>
      <c r="AG72" s="360">
        <v>1</v>
      </c>
      <c r="AH72" s="351" t="e">
        <f>IF('Inhaltliche Bewertung - GI'!RechtsformGI=X$13,X72*AG72,IF('Inhaltliche Bewertung - GI'!RechtsformGI=Z$13,Z72*AG72,IF('Inhaltliche Bewertung - GI'!RechtsformGI=AB$13,AB72*AG72,IF('Inhaltliche Bewertung - GI'!RechtsformGI=AD$13,AD72*AG72,IF('Inhaltliche Bewertung - GI'!RechtsformGI=V$13,V72*AG72,"")))))</f>
        <v>#N/A</v>
      </c>
      <c r="AI72" s="351" t="e">
        <f>IF('Inhaltliche Bewertung - GI'!RechtsformAngebot=X$13,X72*AG72,IF('Inhaltliche Bewertung - GI'!RechtsformAngebot=Z$13,Z72*AG72,IF('Inhaltliche Bewertung - GI'!RechtsformAngebot=AB$13,AB72*AG72,IF('Inhaltliche Bewertung - GI'!RechtsformAngebot=AD$13,AD72*AG72,IF('Inhaltliche Bewertung - GI'!RechtsformAngebot=V$13,V72*AG72,"")))))</f>
        <v>#N/A</v>
      </c>
      <c r="AJ72" s="351"/>
      <c r="AK72" s="410" t="s">
        <v>3413</v>
      </c>
      <c r="AL72" s="411">
        <v>0.5</v>
      </c>
      <c r="AM72" s="412"/>
      <c r="AN72" s="411">
        <v>0.5</v>
      </c>
      <c r="AO72" s="412"/>
      <c r="AP72" s="411">
        <v>0.5</v>
      </c>
      <c r="AQ72" s="412"/>
      <c r="AR72" s="411">
        <v>0.5</v>
      </c>
      <c r="AS72" s="412"/>
      <c r="AT72" s="411">
        <v>0.5</v>
      </c>
      <c r="AU72" s="412"/>
      <c r="AV72" s="413"/>
      <c r="AW72" s="360">
        <v>1</v>
      </c>
      <c r="AX72" s="351" t="e">
        <f>IF('Inhaltliche Bewertung - GI'!RechtsformGI=AN$13,AN72*AW72,IF('Inhaltliche Bewertung - GI'!RechtsformGI=AP$13,AP72*AW72,IF('Inhaltliche Bewertung - GI'!RechtsformGI=AR$13,AR72*AW72,IF('Inhaltliche Bewertung - GI'!RechtsformGI=AT$13,AT72*AW72,IF('Inhaltliche Bewertung - GI'!RechtsformGI=AL$13,AL72*AW72,"")))))</f>
        <v>#N/A</v>
      </c>
      <c r="AY72" s="351" t="e">
        <f>IF('Inhaltliche Bewertung - GI'!RechtsformAngebot=AN$13,AN72*AW72,IF('Inhaltliche Bewertung - GI'!RechtsformAngebot=AP$13,AP72*AW72,IF('Inhaltliche Bewertung - GI'!RechtsformAngebot=AR$13,AR72*AW72,IF('Inhaltliche Bewertung - GI'!RechtsformAngebot=AT$13,AT72*AW72,IF('Inhaltliche Bewertung - GI'!RechtsformAngebot=AL$13,AL72*AW72,"")))))</f>
        <v>#N/A</v>
      </c>
      <c r="AZ72" s="351"/>
      <c r="BA72" s="410" t="s">
        <v>3413</v>
      </c>
      <c r="BB72" s="411">
        <v>0.5</v>
      </c>
      <c r="BC72" s="412"/>
      <c r="BD72" s="411">
        <v>0.5</v>
      </c>
      <c r="BE72" s="412"/>
      <c r="BF72" s="411">
        <v>0.5</v>
      </c>
      <c r="BG72" s="412"/>
      <c r="BH72" s="411">
        <v>0.5</v>
      </c>
      <c r="BI72" s="412"/>
      <c r="BJ72" s="411">
        <v>0.5</v>
      </c>
      <c r="BK72" s="412"/>
      <c r="BL72" s="413"/>
      <c r="BM72" s="360">
        <v>1</v>
      </c>
      <c r="BN72" s="351" t="e">
        <f>IF('Inhaltliche Bewertung - GI'!RechtsformGI=BD$13,BD72*BM72,IF('Inhaltliche Bewertung - GI'!RechtsformGI=BF$13,BF72*BM72,IF('Inhaltliche Bewertung - GI'!RechtsformGI=BH$13,BH72*BM72,IF('Inhaltliche Bewertung - GI'!RechtsformGI=BJ$13,BJ72*BM72,IF('Inhaltliche Bewertung - GI'!RechtsformGI=BB$13,BB72*BM72,"")))))</f>
        <v>#N/A</v>
      </c>
      <c r="BO72" s="351" t="e">
        <f>IF('Inhaltliche Bewertung - GI'!RechtsformAngebot=BD$13,BD72*BM72,IF('Inhaltliche Bewertung - GI'!RechtsformAngebot=BF$13,BF72*BM72,IF('Inhaltliche Bewertung - GI'!RechtsformAngebot=BH$13,BH72*BM72,IF('Inhaltliche Bewertung - GI'!RechtsformAngebot=BJ$13,BJ72*BM72,IF('Inhaltliche Bewertung - GI'!RechtsformAngebot=BB$13,BB72*BM72,"")))))</f>
        <v>#N/A</v>
      </c>
      <c r="BP72" s="351"/>
      <c r="BQ72" s="410" t="s">
        <v>3413</v>
      </c>
      <c r="BR72" s="411">
        <v>0.5</v>
      </c>
      <c r="BS72" s="412"/>
      <c r="BT72" s="411">
        <v>0.5</v>
      </c>
      <c r="BU72" s="412"/>
      <c r="BV72" s="411">
        <v>0.5</v>
      </c>
      <c r="BW72" s="412"/>
      <c r="BX72" s="411">
        <v>0.5</v>
      </c>
      <c r="BY72" s="412"/>
      <c r="BZ72" s="411">
        <v>0.5</v>
      </c>
      <c r="CA72" s="412"/>
      <c r="CB72" s="413"/>
      <c r="CC72" s="360">
        <v>1</v>
      </c>
      <c r="CD72" s="351" t="e">
        <f>IF('Inhaltliche Bewertung - GI'!RechtsformGI=BT$13,BT72*CC72,IF('Inhaltliche Bewertung - GI'!RechtsformGI=BV$13,BV72*CC72,IF('Inhaltliche Bewertung - GI'!RechtsformGI=BX$13,BX72*CC72,IF('Inhaltliche Bewertung - GI'!RechtsformGI=BZ$13,BZ72*CC72,IF('Inhaltliche Bewertung - GI'!RechtsformGI=BR$13,BR72*CC72,"")))))</f>
        <v>#N/A</v>
      </c>
      <c r="CE72" s="351" t="e">
        <f>IF('Inhaltliche Bewertung - GI'!RechtsformAngebot=BT$13,BT72*CC72,IF('Inhaltliche Bewertung - GI'!RechtsformAngebot=BV$13,BV72*CC72,IF('Inhaltliche Bewertung - GI'!RechtsformAngebot=BX$13,BX72*CC72,IF('Inhaltliche Bewertung - GI'!RechtsformAngebot=BZ$13,BZ72*CC72,IF('Inhaltliche Bewertung - GI'!RechtsformAngebot=BR$13,BR72*CC72,"")))))</f>
        <v>#N/A</v>
      </c>
      <c r="CF72" s="351"/>
      <c r="CG72" s="410" t="s">
        <v>3413</v>
      </c>
      <c r="CH72" s="411">
        <v>0.5</v>
      </c>
      <c r="CI72" s="412"/>
      <c r="CJ72" s="411">
        <v>0.5</v>
      </c>
      <c r="CK72" s="412"/>
      <c r="CL72" s="411">
        <v>0.5</v>
      </c>
      <c r="CM72" s="412"/>
      <c r="CN72" s="411">
        <v>0.5</v>
      </c>
      <c r="CO72" s="412"/>
      <c r="CP72" s="411">
        <v>0.5</v>
      </c>
      <c r="CQ72" s="412"/>
      <c r="CR72" s="413"/>
      <c r="CS72" s="360">
        <v>1</v>
      </c>
      <c r="CT72" s="351" t="e">
        <f>IF('Inhaltliche Bewertung - GI'!RechtsformGI=CJ$13,CJ72*CS72,IF('Inhaltliche Bewertung - GI'!RechtsformGI=CL$13,CL72*CS72,IF('Inhaltliche Bewertung - GI'!RechtsformGI=CN$13,CN72*CS72,IF('Inhaltliche Bewertung - GI'!RechtsformGI=CP$13,CP72*CS72,IF('Inhaltliche Bewertung - GI'!RechtsformGI=CH$13,CH72*CS72,"")))))</f>
        <v>#N/A</v>
      </c>
      <c r="CU72" s="351" t="e">
        <f>IF('Inhaltliche Bewertung - GI'!RechtsformAngebot=CJ$13,CJ72*CS72,IF('Inhaltliche Bewertung - GI'!RechtsformAngebot=CL$13,CL72*CS72,IF('Inhaltliche Bewertung - GI'!RechtsformAngebot=CN$13,CN72*CS72,IF('Inhaltliche Bewertung - GI'!RechtsformAngebot=CP$13,CP72*CS72,IF('Inhaltliche Bewertung - GI'!RechtsformAngebot=CH$13,CH72*CS72,"")))))</f>
        <v>#N/A</v>
      </c>
      <c r="CV72" s="351"/>
      <c r="CW72" s="410" t="s">
        <v>3414</v>
      </c>
      <c r="CX72" s="411">
        <v>0.5</v>
      </c>
      <c r="CY72" s="412"/>
      <c r="CZ72" s="411">
        <v>0.5</v>
      </c>
      <c r="DA72" s="412"/>
      <c r="DB72" s="411">
        <v>0.5</v>
      </c>
      <c r="DC72" s="412"/>
      <c r="DD72" s="411">
        <v>0.5</v>
      </c>
      <c r="DE72" s="412"/>
      <c r="DF72" s="411">
        <v>0.5</v>
      </c>
      <c r="DG72" s="412"/>
      <c r="DH72" s="413"/>
      <c r="DI72" s="360">
        <v>1</v>
      </c>
      <c r="DJ72" s="351" t="e">
        <f>IF('Inhaltliche Bewertung - GI'!RechtsformGI=CZ$13,CZ72*DI72,IF('Inhaltliche Bewertung - GI'!RechtsformGI=DB$13,DB72*DI72,IF('Inhaltliche Bewertung - GI'!RechtsformGI=DD$13,DD72*DI72,IF('Inhaltliche Bewertung - GI'!RechtsformGI=DF$13,DF72*DI72,IF('Inhaltliche Bewertung - GI'!RechtsformGI=CX$13,CX72*DI72,"")))))</f>
        <v>#N/A</v>
      </c>
      <c r="DK72" s="351" t="e">
        <f>IF('Inhaltliche Bewertung - GI'!RechtsformAngebot=CZ$13,CZ72*DI72,IF('Inhaltliche Bewertung - GI'!RechtsformAngebot=DB$13,DB72*DI72,IF('Inhaltliche Bewertung - GI'!RechtsformAngebot=DD$13,DD72*DI72,IF('Inhaltliche Bewertung - GI'!RechtsformAngebot=DF$13,DF72*DI72,IF('Inhaltliche Bewertung - GI'!RechtsformAngebot=CX$13,CX72*DI72,"")))))</f>
        <v>#N/A</v>
      </c>
      <c r="DL72" s="351"/>
      <c r="DM72" s="410" t="s">
        <v>3413</v>
      </c>
      <c r="DN72" s="411">
        <v>0.5</v>
      </c>
      <c r="DO72" s="412"/>
      <c r="DP72" s="411">
        <v>0.5</v>
      </c>
      <c r="DQ72" s="412"/>
      <c r="DR72" s="411">
        <v>0.5</v>
      </c>
      <c r="DS72" s="412"/>
      <c r="DT72" s="411">
        <v>0.5</v>
      </c>
      <c r="DU72" s="412"/>
      <c r="DV72" s="411">
        <v>0.5</v>
      </c>
      <c r="DW72" s="412"/>
      <c r="DX72" s="413"/>
      <c r="DY72" s="360">
        <v>1</v>
      </c>
      <c r="DZ72" s="351" t="e">
        <f>IF('Inhaltliche Bewertung - GI'!RechtsformGI=DP$13,DP72*DY72,IF('Inhaltliche Bewertung - GI'!RechtsformGI=DR$13,DR72*DY72,IF('Inhaltliche Bewertung - GI'!RechtsformGI=DT$13,DT72*DY72,IF('Inhaltliche Bewertung - GI'!RechtsformGI=DV$13,DV72*DY72,IF('Inhaltliche Bewertung - GI'!RechtsformGI=DN$13,DN72*DY72,"")))))</f>
        <v>#N/A</v>
      </c>
      <c r="EA72" s="351" t="e">
        <f>IF('Inhaltliche Bewertung - GI'!RechtsformAngebot=DP$13,DP72*DY72,IF('Inhaltliche Bewertung - GI'!RechtsformAngebot=DR$13,DR72*DY72,IF('Inhaltliche Bewertung - GI'!RechtsformAngebot=DT$13,DT72*DY72,IF('Inhaltliche Bewertung - GI'!RechtsformAngebot=DV$13,DV72*DY72,IF('Inhaltliche Bewertung - GI'!RechtsformAngebot=DN$13,DN72*DY72,"")))))</f>
        <v>#N/A</v>
      </c>
      <c r="EB72" s="351"/>
      <c r="EC72" s="157">
        <f t="shared" si="1"/>
        <v>0.5</v>
      </c>
      <c r="ED72" s="157">
        <f t="shared" si="2"/>
        <v>0.5</v>
      </c>
      <c r="EE72" s="157">
        <f t="shared" si="3"/>
        <v>0.5</v>
      </c>
      <c r="EF72" s="157">
        <f t="shared" si="4"/>
        <v>0.5</v>
      </c>
    </row>
    <row r="73" spans="1:136" ht="14.25" customHeight="1">
      <c r="A73" s="444" t="b">
        <f t="shared" si="5"/>
        <v>0</v>
      </c>
      <c r="B73" s="292"/>
      <c r="C73" s="355" t="s">
        <v>3415</v>
      </c>
      <c r="D73" s="345"/>
      <c r="E73" s="371" t="s">
        <v>3416</v>
      </c>
      <c r="F73" s="372">
        <v>0.8</v>
      </c>
      <c r="G73" s="358"/>
      <c r="H73" s="372">
        <v>0.8</v>
      </c>
      <c r="I73" s="358"/>
      <c r="J73" s="372">
        <v>0.8</v>
      </c>
      <c r="K73" s="358"/>
      <c r="L73" s="372">
        <v>0.8</v>
      </c>
      <c r="M73" s="358"/>
      <c r="N73" s="372">
        <v>0.8</v>
      </c>
      <c r="O73" s="358"/>
      <c r="P73" s="359"/>
      <c r="Q73" s="360">
        <v>1</v>
      </c>
      <c r="R73" s="351" t="e">
        <f>IF('Inhaltliche Bewertung - GI'!RechtsformGI=H$13,H73*Q73,IF('Inhaltliche Bewertung - GI'!RechtsformGI=J$13,J73*Q73,IF('Inhaltliche Bewertung - GI'!RechtsformGI=L$13,L73*Q73,IF('Inhaltliche Bewertung - GI'!RechtsformGI=N$13,N73*Q73,IF('Inhaltliche Bewertung - GI'!RechtsformGI=F$13,F73*Q73,"")))))</f>
        <v>#N/A</v>
      </c>
      <c r="S73" s="351" t="e">
        <f>IF('Inhaltliche Bewertung - GI'!RechtsformAngebot=H$13,H73*Q73,IF('Inhaltliche Bewertung - GI'!RechtsformAngebot=J$13,J73*Q73,IF('Inhaltliche Bewertung - GI'!RechtsformAngebot=L$13,L73*Q73,IF('Inhaltliche Bewertung - GI'!RechtsformAngebot=N$13,N73*Q73,IF('Inhaltliche Bewertung - GI'!RechtsformAngebot=F$13,F73*Q73,"")))))</f>
        <v>#N/A</v>
      </c>
      <c r="T73" s="351"/>
      <c r="U73" s="371" t="s">
        <v>3417</v>
      </c>
      <c r="V73" s="372">
        <v>0.8</v>
      </c>
      <c r="W73" s="358"/>
      <c r="X73" s="372">
        <v>0.8</v>
      </c>
      <c r="Y73" s="358"/>
      <c r="Z73" s="372">
        <v>0.8</v>
      </c>
      <c r="AA73" s="358"/>
      <c r="AB73" s="372">
        <v>0.8</v>
      </c>
      <c r="AC73" s="358"/>
      <c r="AD73" s="372">
        <v>0.8</v>
      </c>
      <c r="AE73" s="358"/>
      <c r="AF73" s="359"/>
      <c r="AG73" s="360">
        <v>1</v>
      </c>
      <c r="AH73" s="351" t="e">
        <f>IF('Inhaltliche Bewertung - GI'!RechtsformGI=X$13,X73*AG73,IF('Inhaltliche Bewertung - GI'!RechtsformGI=Z$13,Z73*AG73,IF('Inhaltliche Bewertung - GI'!RechtsformGI=AB$13,AB73*AG73,IF('Inhaltliche Bewertung - GI'!RechtsformGI=AD$13,AD73*AG73,IF('Inhaltliche Bewertung - GI'!RechtsformGI=V$13,V73*AG73,"")))))</f>
        <v>#N/A</v>
      </c>
      <c r="AI73" s="351" t="e">
        <f>IF('Inhaltliche Bewertung - GI'!RechtsformAngebot=X$13,X73*AG73,IF('Inhaltliche Bewertung - GI'!RechtsformAngebot=Z$13,Z73*AG73,IF('Inhaltliche Bewertung - GI'!RechtsformAngebot=AB$13,AB73*AG73,IF('Inhaltliche Bewertung - GI'!RechtsformAngebot=AD$13,AD73*AG73,IF('Inhaltliche Bewertung - GI'!RechtsformAngebot=V$13,V73*AG73,"")))))</f>
        <v>#N/A</v>
      </c>
      <c r="AJ73" s="351"/>
      <c r="AK73" s="371" t="s">
        <v>3418</v>
      </c>
      <c r="AL73" s="372">
        <v>0.8</v>
      </c>
      <c r="AM73" s="358"/>
      <c r="AN73" s="372">
        <v>0.8</v>
      </c>
      <c r="AO73" s="358"/>
      <c r="AP73" s="372">
        <v>0.8</v>
      </c>
      <c r="AQ73" s="358"/>
      <c r="AR73" s="372">
        <v>0.8</v>
      </c>
      <c r="AS73" s="358"/>
      <c r="AT73" s="372">
        <v>0.8</v>
      </c>
      <c r="AU73" s="358"/>
      <c r="AV73" s="359"/>
      <c r="AW73" s="360">
        <v>1</v>
      </c>
      <c r="AX73" s="351" t="e">
        <f>IF('Inhaltliche Bewertung - GI'!RechtsformGI=AN$13,AN73*AW73,IF('Inhaltliche Bewertung - GI'!RechtsformGI=AP$13,AP73*AW73,IF('Inhaltliche Bewertung - GI'!RechtsformGI=AR$13,AR73*AW73,IF('Inhaltliche Bewertung - GI'!RechtsformGI=AT$13,AT73*AW73,IF('Inhaltliche Bewertung - GI'!RechtsformGI=AL$13,AL73*AW73,"")))))</f>
        <v>#N/A</v>
      </c>
      <c r="AY73" s="351" t="e">
        <f>IF('Inhaltliche Bewertung - GI'!RechtsformAngebot=AN$13,AN73*AW73,IF('Inhaltliche Bewertung - GI'!RechtsformAngebot=AP$13,AP73*AW73,IF('Inhaltliche Bewertung - GI'!RechtsformAngebot=AR$13,AR73*AW73,IF('Inhaltliche Bewertung - GI'!RechtsformAngebot=AT$13,AT73*AW73,IF('Inhaltliche Bewertung - GI'!RechtsformAngebot=AL$13,AL73*AW73,"")))))</f>
        <v>#N/A</v>
      </c>
      <c r="AZ73" s="351"/>
      <c r="BA73" s="371" t="s">
        <v>3417</v>
      </c>
      <c r="BB73" s="372">
        <v>0.8</v>
      </c>
      <c r="BC73" s="358"/>
      <c r="BD73" s="372">
        <v>0.8</v>
      </c>
      <c r="BE73" s="358"/>
      <c r="BF73" s="372">
        <v>0.8</v>
      </c>
      <c r="BG73" s="358"/>
      <c r="BH73" s="372">
        <v>0.8</v>
      </c>
      <c r="BI73" s="358"/>
      <c r="BJ73" s="372">
        <v>0.8</v>
      </c>
      <c r="BK73" s="358"/>
      <c r="BL73" s="359"/>
      <c r="BM73" s="360">
        <v>1</v>
      </c>
      <c r="BN73" s="351" t="e">
        <f>IF('Inhaltliche Bewertung - GI'!RechtsformGI=BD$13,BD73*BM73,IF('Inhaltliche Bewertung - GI'!RechtsformGI=BF$13,BF73*BM73,IF('Inhaltliche Bewertung - GI'!RechtsformGI=BH$13,BH73*BM73,IF('Inhaltliche Bewertung - GI'!RechtsformGI=BJ$13,BJ73*BM73,IF('Inhaltliche Bewertung - GI'!RechtsformGI=BB$13,BB73*BM73,"")))))</f>
        <v>#N/A</v>
      </c>
      <c r="BO73" s="351" t="e">
        <f>IF('Inhaltliche Bewertung - GI'!RechtsformAngebot=BD$13,BD73*BM73,IF('Inhaltliche Bewertung - GI'!RechtsformAngebot=BF$13,BF73*BM73,IF('Inhaltliche Bewertung - GI'!RechtsformAngebot=BH$13,BH73*BM73,IF('Inhaltliche Bewertung - GI'!RechtsformAngebot=BJ$13,BJ73*BM73,IF('Inhaltliche Bewertung - GI'!RechtsformAngebot=BB$13,BB73*BM73,"")))))</f>
        <v>#N/A</v>
      </c>
      <c r="BP73" s="351"/>
      <c r="BQ73" s="371" t="s">
        <v>3419</v>
      </c>
      <c r="BR73" s="372">
        <v>0.8</v>
      </c>
      <c r="BS73" s="358"/>
      <c r="BT73" s="372">
        <v>0.8</v>
      </c>
      <c r="BU73" s="358"/>
      <c r="BV73" s="372">
        <v>0.8</v>
      </c>
      <c r="BW73" s="358"/>
      <c r="BX73" s="372">
        <v>0.8</v>
      </c>
      <c r="BY73" s="358"/>
      <c r="BZ73" s="372">
        <v>0.8</v>
      </c>
      <c r="CA73" s="358"/>
      <c r="CB73" s="359"/>
      <c r="CC73" s="360">
        <v>1</v>
      </c>
      <c r="CD73" s="351" t="e">
        <f>IF('Inhaltliche Bewertung - GI'!RechtsformGI=BT$13,BT73*CC73,IF('Inhaltliche Bewertung - GI'!RechtsformGI=BV$13,BV73*CC73,IF('Inhaltliche Bewertung - GI'!RechtsformGI=BX$13,BX73*CC73,IF('Inhaltliche Bewertung - GI'!RechtsformGI=BZ$13,BZ73*CC73,IF('Inhaltliche Bewertung - GI'!RechtsformGI=BR$13,BR73*CC73,"")))))</f>
        <v>#N/A</v>
      </c>
      <c r="CE73" s="351" t="e">
        <f>IF('Inhaltliche Bewertung - GI'!RechtsformAngebot=BT$13,BT73*CC73,IF('Inhaltliche Bewertung - GI'!RechtsformAngebot=BV$13,BV73*CC73,IF('Inhaltliche Bewertung - GI'!RechtsformAngebot=BX$13,BX73*CC73,IF('Inhaltliche Bewertung - GI'!RechtsformAngebot=BZ$13,BZ73*CC73,IF('Inhaltliche Bewertung - GI'!RechtsformAngebot=BR$13,BR73*CC73,"")))))</f>
        <v>#N/A</v>
      </c>
      <c r="CF73" s="351"/>
      <c r="CG73" s="371" t="s">
        <v>3416</v>
      </c>
      <c r="CH73" s="372">
        <v>1</v>
      </c>
      <c r="CI73" s="358"/>
      <c r="CJ73" s="372">
        <v>1</v>
      </c>
      <c r="CK73" s="358"/>
      <c r="CL73" s="372">
        <v>1</v>
      </c>
      <c r="CM73" s="358"/>
      <c r="CN73" s="372">
        <v>1</v>
      </c>
      <c r="CO73" s="358"/>
      <c r="CP73" s="372">
        <v>1</v>
      </c>
      <c r="CQ73" s="358"/>
      <c r="CR73" s="359"/>
      <c r="CS73" s="360">
        <v>1</v>
      </c>
      <c r="CT73" s="351" t="e">
        <f>IF('Inhaltliche Bewertung - GI'!RechtsformGI=CJ$13,CJ73*CS73,IF('Inhaltliche Bewertung - GI'!RechtsformGI=CL$13,CL73*CS73,IF('Inhaltliche Bewertung - GI'!RechtsformGI=CN$13,CN73*CS73,IF('Inhaltliche Bewertung - GI'!RechtsformGI=CP$13,CP73*CS73,IF('Inhaltliche Bewertung - GI'!RechtsformGI=CH$13,CH73*CS73,"")))))</f>
        <v>#N/A</v>
      </c>
      <c r="CU73" s="351" t="e">
        <f>IF('Inhaltliche Bewertung - GI'!RechtsformAngebot=CJ$13,CJ73*CS73,IF('Inhaltliche Bewertung - GI'!RechtsformAngebot=CL$13,CL73*CS73,IF('Inhaltliche Bewertung - GI'!RechtsformAngebot=CN$13,CN73*CS73,IF('Inhaltliche Bewertung - GI'!RechtsformAngebot=CP$13,CP73*CS73,IF('Inhaltliche Bewertung - GI'!RechtsformAngebot=CH$13,CH73*CS73,"")))))</f>
        <v>#N/A</v>
      </c>
      <c r="CV73" s="351"/>
      <c r="CW73" s="371" t="s">
        <v>3420</v>
      </c>
      <c r="CX73" s="372">
        <v>0.8</v>
      </c>
      <c r="CY73" s="358"/>
      <c r="CZ73" s="372">
        <v>0.8</v>
      </c>
      <c r="DA73" s="358"/>
      <c r="DB73" s="372">
        <v>0.8</v>
      </c>
      <c r="DC73" s="358"/>
      <c r="DD73" s="372">
        <v>0.8</v>
      </c>
      <c r="DE73" s="358"/>
      <c r="DF73" s="372">
        <v>0.8</v>
      </c>
      <c r="DG73" s="358"/>
      <c r="DH73" s="359"/>
      <c r="DI73" s="360">
        <v>1</v>
      </c>
      <c r="DJ73" s="351" t="e">
        <f>IF('Inhaltliche Bewertung - GI'!RechtsformGI=CZ$13,CZ73*DI73,IF('Inhaltliche Bewertung - GI'!RechtsformGI=DB$13,DB73*DI73,IF('Inhaltliche Bewertung - GI'!RechtsformGI=DD$13,DD73*DI73,IF('Inhaltliche Bewertung - GI'!RechtsformGI=DF$13,DF73*DI73,IF('Inhaltliche Bewertung - GI'!RechtsformGI=CX$13,CX73*DI73,"")))))</f>
        <v>#N/A</v>
      </c>
      <c r="DK73" s="351" t="e">
        <f>IF('Inhaltliche Bewertung - GI'!RechtsformAngebot=CZ$13,CZ73*DI73,IF('Inhaltliche Bewertung - GI'!RechtsformAngebot=DB$13,DB73*DI73,IF('Inhaltliche Bewertung - GI'!RechtsformAngebot=DD$13,DD73*DI73,IF('Inhaltliche Bewertung - GI'!RechtsformAngebot=DF$13,DF73*DI73,IF('Inhaltliche Bewertung - GI'!RechtsformAngebot=CX$13,CX73*DI73,"")))))</f>
        <v>#N/A</v>
      </c>
      <c r="DL73" s="351"/>
      <c r="DM73" s="371" t="s">
        <v>3416</v>
      </c>
      <c r="DN73" s="372">
        <v>0.8</v>
      </c>
      <c r="DO73" s="358"/>
      <c r="DP73" s="372">
        <v>0.8</v>
      </c>
      <c r="DQ73" s="358"/>
      <c r="DR73" s="372">
        <v>0.8</v>
      </c>
      <c r="DS73" s="358"/>
      <c r="DT73" s="372">
        <v>0.8</v>
      </c>
      <c r="DU73" s="358"/>
      <c r="DV73" s="372">
        <v>0.8</v>
      </c>
      <c r="DW73" s="358"/>
      <c r="DX73" s="359"/>
      <c r="DY73" s="360">
        <v>1</v>
      </c>
      <c r="DZ73" s="351" t="e">
        <f>IF('Inhaltliche Bewertung - GI'!RechtsformGI=DP$13,DP73*DY73,IF('Inhaltliche Bewertung - GI'!RechtsformGI=DR$13,DR73*DY73,IF('Inhaltliche Bewertung - GI'!RechtsformGI=DT$13,DT73*DY73,IF('Inhaltliche Bewertung - GI'!RechtsformGI=DV$13,DV73*DY73,IF('Inhaltliche Bewertung - GI'!RechtsformGI=DN$13,DN73*DY73,"")))))</f>
        <v>#N/A</v>
      </c>
      <c r="EA73" s="351" t="e">
        <f>IF('Inhaltliche Bewertung - GI'!RechtsformAngebot=DP$13,DP73*DY73,IF('Inhaltliche Bewertung - GI'!RechtsformAngebot=DR$13,DR73*DY73,IF('Inhaltliche Bewertung - GI'!RechtsformAngebot=DT$13,DT73*DY73,IF('Inhaltliche Bewertung - GI'!RechtsformAngebot=DV$13,DV73*DY73,IF('Inhaltliche Bewertung - GI'!RechtsformAngebot=DN$13,DN73*DY73,"")))))</f>
        <v>#N/A</v>
      </c>
      <c r="EB73" s="351"/>
      <c r="EC73" s="157">
        <f t="shared" si="1"/>
        <v>0.8</v>
      </c>
      <c r="ED73" s="157">
        <f t="shared" si="2"/>
        <v>1</v>
      </c>
      <c r="EE73" s="157">
        <f t="shared" si="3"/>
        <v>0.82500000000000018</v>
      </c>
      <c r="EF73" s="157">
        <f t="shared" si="4"/>
        <v>0.8</v>
      </c>
    </row>
    <row r="74" spans="1:136" ht="14.25" customHeight="1">
      <c r="A74" s="444" t="b">
        <f t="shared" si="5"/>
        <v>0</v>
      </c>
      <c r="B74" s="292"/>
      <c r="C74" s="355" t="s">
        <v>3421</v>
      </c>
      <c r="D74" s="345" t="s">
        <v>3422</v>
      </c>
      <c r="E74" s="361" t="s">
        <v>3423</v>
      </c>
      <c r="F74" s="362">
        <v>0.9</v>
      </c>
      <c r="G74" s="368"/>
      <c r="H74" s="362">
        <v>0.6</v>
      </c>
      <c r="I74" s="365"/>
      <c r="J74" s="362">
        <v>0.6</v>
      </c>
      <c r="K74" s="365"/>
      <c r="L74" s="362">
        <v>0.8</v>
      </c>
      <c r="M74" s="365"/>
      <c r="N74" s="362">
        <v>0.5</v>
      </c>
      <c r="O74" s="365"/>
      <c r="P74" s="370"/>
      <c r="Q74" s="360">
        <v>1</v>
      </c>
      <c r="R74" s="351" t="e">
        <f>IF('Inhaltliche Bewertung - GI'!RechtsformGI=H$13,H74*Q74,IF('Inhaltliche Bewertung - GI'!RechtsformGI=J$13,J74*Q74,IF('Inhaltliche Bewertung - GI'!RechtsformGI=L$13,L74*Q74,IF('Inhaltliche Bewertung - GI'!RechtsformGI=N$13,N74*Q74,IF('Inhaltliche Bewertung - GI'!RechtsformGI=F$13,F74*Q74,"")))))</f>
        <v>#N/A</v>
      </c>
      <c r="S74" s="351" t="e">
        <f>IF('Inhaltliche Bewertung - GI'!RechtsformAngebot=H$13,H74*Q74,IF('Inhaltliche Bewertung - GI'!RechtsformAngebot=J$13,J74*Q74,IF('Inhaltliche Bewertung - GI'!RechtsformAngebot=L$13,L74*Q74,IF('Inhaltliche Bewertung - GI'!RechtsformAngebot=N$13,N74*Q74,IF('Inhaltliche Bewertung - GI'!RechtsformAngebot=F$13,F74*Q74,"")))))</f>
        <v>#N/A</v>
      </c>
      <c r="T74" s="351"/>
      <c r="U74" s="361" t="s">
        <v>3423</v>
      </c>
      <c r="V74" s="362">
        <v>0.9</v>
      </c>
      <c r="W74" s="368" t="s">
        <v>3424</v>
      </c>
      <c r="X74" s="362">
        <v>0.6</v>
      </c>
      <c r="Y74" s="365"/>
      <c r="Z74" s="362">
        <v>0.6</v>
      </c>
      <c r="AA74" s="365"/>
      <c r="AB74" s="362">
        <v>0.8</v>
      </c>
      <c r="AC74" s="365"/>
      <c r="AD74" s="362">
        <v>0.5</v>
      </c>
      <c r="AE74" s="365"/>
      <c r="AF74" s="370"/>
      <c r="AG74" s="360">
        <v>1</v>
      </c>
      <c r="AH74" s="351" t="e">
        <f>IF('Inhaltliche Bewertung - GI'!RechtsformGI=X$13,X74*AG74,IF('Inhaltliche Bewertung - GI'!RechtsformGI=Z$13,Z74*AG74,IF('Inhaltliche Bewertung - GI'!RechtsformGI=AB$13,AB74*AG74,IF('Inhaltliche Bewertung - GI'!RechtsformGI=AD$13,AD74*AG74,IF('Inhaltliche Bewertung - GI'!RechtsformGI=V$13,V74*AG74,"")))))</f>
        <v>#N/A</v>
      </c>
      <c r="AI74" s="351" t="e">
        <f>IF('Inhaltliche Bewertung - GI'!RechtsformAngebot=X$13,X74*AG74,IF('Inhaltliche Bewertung - GI'!RechtsformAngebot=Z$13,Z74*AG74,IF('Inhaltliche Bewertung - GI'!RechtsformAngebot=AB$13,AB74*AG74,IF('Inhaltliche Bewertung - GI'!RechtsformAngebot=AD$13,AD74*AG74,IF('Inhaltliche Bewertung - GI'!RechtsformAngebot=V$13,V74*AG74,"")))))</f>
        <v>#N/A</v>
      </c>
      <c r="AJ74" s="351"/>
      <c r="AK74" s="361" t="s">
        <v>3423</v>
      </c>
      <c r="AL74" s="362">
        <v>0.9</v>
      </c>
      <c r="AM74" s="368" t="s">
        <v>3424</v>
      </c>
      <c r="AN74" s="362">
        <v>0.6</v>
      </c>
      <c r="AO74" s="365"/>
      <c r="AP74" s="362">
        <v>0.6</v>
      </c>
      <c r="AQ74" s="365"/>
      <c r="AR74" s="362">
        <v>0.8</v>
      </c>
      <c r="AS74" s="365"/>
      <c r="AT74" s="362">
        <v>0.5</v>
      </c>
      <c r="AU74" s="365"/>
      <c r="AV74" s="370"/>
      <c r="AW74" s="360">
        <v>1</v>
      </c>
      <c r="AX74" s="351" t="e">
        <f>IF('Inhaltliche Bewertung - GI'!RechtsformGI=AN$13,AN74*AW74,IF('Inhaltliche Bewertung - GI'!RechtsformGI=AP$13,AP74*AW74,IF('Inhaltliche Bewertung - GI'!RechtsformGI=AR$13,AR74*AW74,IF('Inhaltliche Bewertung - GI'!RechtsformGI=AT$13,AT74*AW74,IF('Inhaltliche Bewertung - GI'!RechtsformGI=AL$13,AL74*AW74,"")))))</f>
        <v>#N/A</v>
      </c>
      <c r="AY74" s="351" t="e">
        <f>IF('Inhaltliche Bewertung - GI'!RechtsformAngebot=AN$13,AN74*AW74,IF('Inhaltliche Bewertung - GI'!RechtsformAngebot=AP$13,AP74*AW74,IF('Inhaltliche Bewertung - GI'!RechtsformAngebot=AR$13,AR74*AW74,IF('Inhaltliche Bewertung - GI'!RechtsformAngebot=AT$13,AT74*AW74,IF('Inhaltliche Bewertung - GI'!RechtsformAngebot=AL$13,AL74*AW74,"")))))</f>
        <v>#N/A</v>
      </c>
      <c r="AZ74" s="351"/>
      <c r="BA74" s="361" t="s">
        <v>3423</v>
      </c>
      <c r="BB74" s="362">
        <v>0.9</v>
      </c>
      <c r="BC74" s="368" t="s">
        <v>3424</v>
      </c>
      <c r="BD74" s="362">
        <v>0.6</v>
      </c>
      <c r="BE74" s="365"/>
      <c r="BF74" s="362">
        <v>0.6</v>
      </c>
      <c r="BG74" s="365"/>
      <c r="BH74" s="362">
        <v>0.8</v>
      </c>
      <c r="BI74" s="365"/>
      <c r="BJ74" s="362">
        <v>0.5</v>
      </c>
      <c r="BK74" s="365"/>
      <c r="BL74" s="370"/>
      <c r="BM74" s="360">
        <v>1</v>
      </c>
      <c r="BN74" s="351" t="e">
        <f>IF('Inhaltliche Bewertung - GI'!RechtsformGI=BD$13,BD74*BM74,IF('Inhaltliche Bewertung - GI'!RechtsformGI=BF$13,BF74*BM74,IF('Inhaltliche Bewertung - GI'!RechtsformGI=BH$13,BH74*BM74,IF('Inhaltliche Bewertung - GI'!RechtsformGI=BJ$13,BJ74*BM74,IF('Inhaltliche Bewertung - GI'!RechtsformGI=BB$13,BB74*BM74,"")))))</f>
        <v>#N/A</v>
      </c>
      <c r="BO74" s="351" t="e">
        <f>IF('Inhaltliche Bewertung - GI'!RechtsformAngebot=BD$13,BD74*BM74,IF('Inhaltliche Bewertung - GI'!RechtsformAngebot=BF$13,BF74*BM74,IF('Inhaltliche Bewertung - GI'!RechtsformAngebot=BH$13,BH74*BM74,IF('Inhaltliche Bewertung - GI'!RechtsformAngebot=BJ$13,BJ74*BM74,IF('Inhaltliche Bewertung - GI'!RechtsformAngebot=BB$13,BB74*BM74,"")))))</f>
        <v>#N/A</v>
      </c>
      <c r="BP74" s="351"/>
      <c r="BQ74" s="361" t="s">
        <v>3423</v>
      </c>
      <c r="BR74" s="362">
        <v>0.9</v>
      </c>
      <c r="BS74" s="368" t="s">
        <v>3424</v>
      </c>
      <c r="BT74" s="362">
        <v>0.6</v>
      </c>
      <c r="BU74" s="365"/>
      <c r="BV74" s="362">
        <v>0.6</v>
      </c>
      <c r="BW74" s="365"/>
      <c r="BX74" s="362">
        <v>0.8</v>
      </c>
      <c r="BY74" s="365"/>
      <c r="BZ74" s="362">
        <v>0.5</v>
      </c>
      <c r="CA74" s="365"/>
      <c r="CB74" s="370"/>
      <c r="CC74" s="360">
        <v>1</v>
      </c>
      <c r="CD74" s="351" t="e">
        <f>IF('Inhaltliche Bewertung - GI'!RechtsformGI=BT$13,BT74*CC74,IF('Inhaltliche Bewertung - GI'!RechtsformGI=BV$13,BV74*CC74,IF('Inhaltliche Bewertung - GI'!RechtsformGI=BX$13,BX74*CC74,IF('Inhaltliche Bewertung - GI'!RechtsformGI=BZ$13,BZ74*CC74,IF('Inhaltliche Bewertung - GI'!RechtsformGI=BR$13,BR74*CC74,"")))))</f>
        <v>#N/A</v>
      </c>
      <c r="CE74" s="351" t="e">
        <f>IF('Inhaltliche Bewertung - GI'!RechtsformAngebot=BT$13,BT74*CC74,IF('Inhaltliche Bewertung - GI'!RechtsformAngebot=BV$13,BV74*CC74,IF('Inhaltliche Bewertung - GI'!RechtsformAngebot=BX$13,BX74*CC74,IF('Inhaltliche Bewertung - GI'!RechtsformAngebot=BZ$13,BZ74*CC74,IF('Inhaltliche Bewertung - GI'!RechtsformAngebot=BR$13,BR74*CC74,"")))))</f>
        <v>#N/A</v>
      </c>
      <c r="CF74" s="351"/>
      <c r="CG74" s="361" t="s">
        <v>3423</v>
      </c>
      <c r="CH74" s="362">
        <v>0.9</v>
      </c>
      <c r="CI74" s="368" t="s">
        <v>3424</v>
      </c>
      <c r="CJ74" s="362">
        <v>0.6</v>
      </c>
      <c r="CK74" s="365"/>
      <c r="CL74" s="362">
        <v>0.6</v>
      </c>
      <c r="CM74" s="365"/>
      <c r="CN74" s="362">
        <v>0.9</v>
      </c>
      <c r="CO74" s="365"/>
      <c r="CP74" s="362">
        <v>0.5</v>
      </c>
      <c r="CQ74" s="365"/>
      <c r="CR74" s="370"/>
      <c r="CS74" s="360">
        <v>1</v>
      </c>
      <c r="CT74" s="351" t="e">
        <f>IF('Inhaltliche Bewertung - GI'!RechtsformGI=CJ$13,CJ74*CS74,IF('Inhaltliche Bewertung - GI'!RechtsformGI=CL$13,CL74*CS74,IF('Inhaltliche Bewertung - GI'!RechtsformGI=CN$13,CN74*CS74,IF('Inhaltliche Bewertung - GI'!RechtsformGI=CP$13,CP74*CS74,IF('Inhaltliche Bewertung - GI'!RechtsformGI=CH$13,CH74*CS74,"")))))</f>
        <v>#N/A</v>
      </c>
      <c r="CU74" s="351" t="e">
        <f>IF('Inhaltliche Bewertung - GI'!RechtsformAngebot=CJ$13,CJ74*CS74,IF('Inhaltliche Bewertung - GI'!RechtsformAngebot=CL$13,CL74*CS74,IF('Inhaltliche Bewertung - GI'!RechtsformAngebot=CN$13,CN74*CS74,IF('Inhaltliche Bewertung - GI'!RechtsformAngebot=CP$13,CP74*CS74,IF('Inhaltliche Bewertung - GI'!RechtsformAngebot=CH$13,CH74*CS74,"")))))</f>
        <v>#N/A</v>
      </c>
      <c r="CV74" s="351"/>
      <c r="CW74" s="361" t="s">
        <v>3423</v>
      </c>
      <c r="CX74" s="362">
        <v>0.9</v>
      </c>
      <c r="CY74" s="368" t="s">
        <v>3424</v>
      </c>
      <c r="CZ74" s="362">
        <v>0.6</v>
      </c>
      <c r="DA74" s="365"/>
      <c r="DB74" s="362">
        <v>0.6</v>
      </c>
      <c r="DC74" s="365"/>
      <c r="DD74" s="362">
        <v>0.8</v>
      </c>
      <c r="DE74" s="365"/>
      <c r="DF74" s="362">
        <v>0.5</v>
      </c>
      <c r="DG74" s="365"/>
      <c r="DH74" s="370"/>
      <c r="DI74" s="360">
        <v>1</v>
      </c>
      <c r="DJ74" s="351" t="e">
        <f>IF('Inhaltliche Bewertung - GI'!RechtsformGI=CZ$13,CZ74*DI74,IF('Inhaltliche Bewertung - GI'!RechtsformGI=DB$13,DB74*DI74,IF('Inhaltliche Bewertung - GI'!RechtsformGI=DD$13,DD74*DI74,IF('Inhaltliche Bewertung - GI'!RechtsformGI=DF$13,DF74*DI74,IF('Inhaltliche Bewertung - GI'!RechtsformGI=CX$13,CX74*DI74,"")))))</f>
        <v>#N/A</v>
      </c>
      <c r="DK74" s="351" t="e">
        <f>IF('Inhaltliche Bewertung - GI'!RechtsformAngebot=CZ$13,CZ74*DI74,IF('Inhaltliche Bewertung - GI'!RechtsformAngebot=DB$13,DB74*DI74,IF('Inhaltliche Bewertung - GI'!RechtsformAngebot=DD$13,DD74*DI74,IF('Inhaltliche Bewertung - GI'!RechtsformAngebot=DF$13,DF74*DI74,IF('Inhaltliche Bewertung - GI'!RechtsformAngebot=CX$13,CX74*DI74,"")))))</f>
        <v>#N/A</v>
      </c>
      <c r="DL74" s="351"/>
      <c r="DM74" s="361" t="s">
        <v>3423</v>
      </c>
      <c r="DN74" s="362">
        <v>0.9</v>
      </c>
      <c r="DO74" s="368" t="s">
        <v>3424</v>
      </c>
      <c r="DP74" s="362">
        <v>0.6</v>
      </c>
      <c r="DQ74" s="365"/>
      <c r="DR74" s="362">
        <v>0.6</v>
      </c>
      <c r="DS74" s="365"/>
      <c r="DT74" s="362">
        <v>0.8</v>
      </c>
      <c r="DU74" s="365"/>
      <c r="DV74" s="362">
        <v>0.5</v>
      </c>
      <c r="DW74" s="365"/>
      <c r="DX74" s="370"/>
      <c r="DY74" s="360">
        <v>1</v>
      </c>
      <c r="DZ74" s="351" t="e">
        <f>IF('Inhaltliche Bewertung - GI'!RechtsformGI=DP$13,DP74*DY74,IF('Inhaltliche Bewertung - GI'!RechtsformGI=DR$13,DR74*DY74,IF('Inhaltliche Bewertung - GI'!RechtsformGI=DT$13,DT74*DY74,IF('Inhaltliche Bewertung - GI'!RechtsformGI=DV$13,DV74*DY74,IF('Inhaltliche Bewertung - GI'!RechtsformGI=DN$13,DN74*DY74,"")))))</f>
        <v>#N/A</v>
      </c>
      <c r="EA74" s="351" t="e">
        <f>IF('Inhaltliche Bewertung - GI'!RechtsformAngebot=DP$13,DP74*DY74,IF('Inhaltliche Bewertung - GI'!RechtsformAngebot=DR$13,DR74*DY74,IF('Inhaltliche Bewertung - GI'!RechtsformAngebot=DT$13,DT74*DY74,IF('Inhaltliche Bewertung - GI'!RechtsformAngebot=DV$13,DV74*DY74,IF('Inhaltliche Bewertung - GI'!RechtsformAngebot=DN$13,DN74*DY74,"")))))</f>
        <v>#N/A</v>
      </c>
      <c r="EB74" s="351"/>
      <c r="EC74" s="157">
        <f t="shared" si="1"/>
        <v>0.5</v>
      </c>
      <c r="ED74" s="157">
        <f t="shared" si="2"/>
        <v>0.9</v>
      </c>
      <c r="EE74" s="157">
        <f t="shared" si="3"/>
        <v>0.68250000000000011</v>
      </c>
      <c r="EF74" s="157">
        <f t="shared" si="4"/>
        <v>0.6</v>
      </c>
    </row>
    <row r="75" spans="1:136" ht="14.25" customHeight="1">
      <c r="A75" s="444" t="b">
        <f t="shared" si="5"/>
        <v>1</v>
      </c>
      <c r="B75" s="292"/>
      <c r="C75" s="355" t="s">
        <v>3425</v>
      </c>
      <c r="D75" s="345"/>
      <c r="E75" s="361" t="s">
        <v>3426</v>
      </c>
      <c r="F75" s="362">
        <v>0.5</v>
      </c>
      <c r="G75" s="365"/>
      <c r="H75" s="362">
        <v>0.5</v>
      </c>
      <c r="I75" s="365"/>
      <c r="J75" s="362">
        <v>0.5</v>
      </c>
      <c r="K75" s="365"/>
      <c r="L75" s="362">
        <v>0.5</v>
      </c>
      <c r="M75" s="365"/>
      <c r="N75" s="362">
        <v>0.5</v>
      </c>
      <c r="O75" s="365"/>
      <c r="P75" s="370"/>
      <c r="Q75" s="360">
        <v>1</v>
      </c>
      <c r="R75" s="351" t="e">
        <f>IF('Inhaltliche Bewertung - GI'!RechtsformGI=H$13,H75*Q75,IF('Inhaltliche Bewertung - GI'!RechtsformGI=J$13,J75*Q75,IF('Inhaltliche Bewertung - GI'!RechtsformGI=L$13,L75*Q75,IF('Inhaltliche Bewertung - GI'!RechtsformGI=N$13,N75*Q75,IF('Inhaltliche Bewertung - GI'!RechtsformGI=F$13,F75*Q75,"")))))</f>
        <v>#N/A</v>
      </c>
      <c r="S75" s="351" t="e">
        <f>IF('Inhaltliche Bewertung - GI'!RechtsformAngebot=H$13,H75*Q75,IF('Inhaltliche Bewertung - GI'!RechtsformAngebot=J$13,J75*Q75,IF('Inhaltliche Bewertung - GI'!RechtsformAngebot=L$13,L75*Q75,IF('Inhaltliche Bewertung - GI'!RechtsformAngebot=N$13,N75*Q75,IF('Inhaltliche Bewertung - GI'!RechtsformAngebot=F$13,F75*Q75,"")))))</f>
        <v>#N/A</v>
      </c>
      <c r="T75" s="351"/>
      <c r="U75" s="361" t="s">
        <v>3426</v>
      </c>
      <c r="V75" s="362">
        <v>0.5</v>
      </c>
      <c r="W75" s="365"/>
      <c r="X75" s="362">
        <v>0.5</v>
      </c>
      <c r="Y75" s="365"/>
      <c r="Z75" s="362">
        <v>0.5</v>
      </c>
      <c r="AA75" s="365"/>
      <c r="AB75" s="362">
        <v>0.5</v>
      </c>
      <c r="AC75" s="365"/>
      <c r="AD75" s="362">
        <v>0.5</v>
      </c>
      <c r="AE75" s="365"/>
      <c r="AF75" s="370"/>
      <c r="AG75" s="360">
        <v>1</v>
      </c>
      <c r="AH75" s="351" t="e">
        <f>IF('Inhaltliche Bewertung - GI'!RechtsformGI=X$13,X75*AG75,IF('Inhaltliche Bewertung - GI'!RechtsformGI=Z$13,Z75*AG75,IF('Inhaltliche Bewertung - GI'!RechtsformGI=AB$13,AB75*AG75,IF('Inhaltliche Bewertung - GI'!RechtsformGI=AD$13,AD75*AG75,IF('Inhaltliche Bewertung - GI'!RechtsformGI=V$13,V75*AG75,"")))))</f>
        <v>#N/A</v>
      </c>
      <c r="AI75" s="351" t="e">
        <f>IF('Inhaltliche Bewertung - GI'!RechtsformAngebot=X$13,X75*AG75,IF('Inhaltliche Bewertung - GI'!RechtsformAngebot=Z$13,Z75*AG75,IF('Inhaltliche Bewertung - GI'!RechtsformAngebot=AB$13,AB75*AG75,IF('Inhaltliche Bewertung - GI'!RechtsformAngebot=AD$13,AD75*AG75,IF('Inhaltliche Bewertung - GI'!RechtsformAngebot=V$13,V75*AG75,"")))))</f>
        <v>#N/A</v>
      </c>
      <c r="AJ75" s="351"/>
      <c r="AK75" s="361" t="s">
        <v>3426</v>
      </c>
      <c r="AL75" s="362">
        <v>0.5</v>
      </c>
      <c r="AM75" s="365"/>
      <c r="AN75" s="362">
        <v>0.5</v>
      </c>
      <c r="AO75" s="365"/>
      <c r="AP75" s="362">
        <v>0.5</v>
      </c>
      <c r="AQ75" s="365"/>
      <c r="AR75" s="362">
        <v>0.5</v>
      </c>
      <c r="AS75" s="365"/>
      <c r="AT75" s="362">
        <v>0.5</v>
      </c>
      <c r="AU75" s="365"/>
      <c r="AV75" s="370"/>
      <c r="AW75" s="360">
        <v>1</v>
      </c>
      <c r="AX75" s="351" t="e">
        <f>IF('Inhaltliche Bewertung - GI'!RechtsformGI=AN$13,AN75*AW75,IF('Inhaltliche Bewertung - GI'!RechtsformGI=AP$13,AP75*AW75,IF('Inhaltliche Bewertung - GI'!RechtsformGI=AR$13,AR75*AW75,IF('Inhaltliche Bewertung - GI'!RechtsformGI=AT$13,AT75*AW75,IF('Inhaltliche Bewertung - GI'!RechtsformGI=AL$13,AL75*AW75,"")))))</f>
        <v>#N/A</v>
      </c>
      <c r="AY75" s="351" t="e">
        <f>IF('Inhaltliche Bewertung - GI'!RechtsformAngebot=AN$13,AN75*AW75,IF('Inhaltliche Bewertung - GI'!RechtsformAngebot=AP$13,AP75*AW75,IF('Inhaltliche Bewertung - GI'!RechtsformAngebot=AR$13,AR75*AW75,IF('Inhaltliche Bewertung - GI'!RechtsformAngebot=AT$13,AT75*AW75,IF('Inhaltliche Bewertung - GI'!RechtsformAngebot=AL$13,AL75*AW75,"")))))</f>
        <v>#N/A</v>
      </c>
      <c r="AZ75" s="351"/>
      <c r="BA75" s="361" t="s">
        <v>3426</v>
      </c>
      <c r="BB75" s="362">
        <v>0.5</v>
      </c>
      <c r="BC75" s="365"/>
      <c r="BD75" s="362">
        <v>0.5</v>
      </c>
      <c r="BE75" s="365"/>
      <c r="BF75" s="362">
        <v>0.5</v>
      </c>
      <c r="BG75" s="365"/>
      <c r="BH75" s="362">
        <v>0.5</v>
      </c>
      <c r="BI75" s="365"/>
      <c r="BJ75" s="362">
        <v>0.5</v>
      </c>
      <c r="BK75" s="365"/>
      <c r="BL75" s="370"/>
      <c r="BM75" s="360">
        <v>1</v>
      </c>
      <c r="BN75" s="351" t="e">
        <f>IF('Inhaltliche Bewertung - GI'!RechtsformGI=BD$13,BD75*BM75,IF('Inhaltliche Bewertung - GI'!RechtsformGI=BF$13,BF75*BM75,IF('Inhaltliche Bewertung - GI'!RechtsformGI=BH$13,BH75*BM75,IF('Inhaltliche Bewertung - GI'!RechtsformGI=BJ$13,BJ75*BM75,IF('Inhaltliche Bewertung - GI'!RechtsformGI=BB$13,BB75*BM75,"")))))</f>
        <v>#N/A</v>
      </c>
      <c r="BO75" s="351" t="e">
        <f>IF('Inhaltliche Bewertung - GI'!RechtsformAngebot=BD$13,BD75*BM75,IF('Inhaltliche Bewertung - GI'!RechtsformAngebot=BF$13,BF75*BM75,IF('Inhaltliche Bewertung - GI'!RechtsformAngebot=BH$13,BH75*BM75,IF('Inhaltliche Bewertung - GI'!RechtsformAngebot=BJ$13,BJ75*BM75,IF('Inhaltliche Bewertung - GI'!RechtsformAngebot=BB$13,BB75*BM75,"")))))</f>
        <v>#N/A</v>
      </c>
      <c r="BP75" s="351"/>
      <c r="BQ75" s="361" t="s">
        <v>3426</v>
      </c>
      <c r="BR75" s="362">
        <v>0.5</v>
      </c>
      <c r="BS75" s="365"/>
      <c r="BT75" s="362">
        <v>0.5</v>
      </c>
      <c r="BU75" s="365"/>
      <c r="BV75" s="362">
        <v>0.5</v>
      </c>
      <c r="BW75" s="365"/>
      <c r="BX75" s="362">
        <v>0.5</v>
      </c>
      <c r="BY75" s="365"/>
      <c r="BZ75" s="362">
        <v>0.5</v>
      </c>
      <c r="CA75" s="365"/>
      <c r="CB75" s="370"/>
      <c r="CC75" s="360">
        <v>1</v>
      </c>
      <c r="CD75" s="351" t="e">
        <f>IF('Inhaltliche Bewertung - GI'!RechtsformGI=BT$13,BT75*CC75,IF('Inhaltliche Bewertung - GI'!RechtsformGI=BV$13,BV75*CC75,IF('Inhaltliche Bewertung - GI'!RechtsformGI=BX$13,BX75*CC75,IF('Inhaltliche Bewertung - GI'!RechtsformGI=BZ$13,BZ75*CC75,IF('Inhaltliche Bewertung - GI'!RechtsformGI=BR$13,BR75*CC75,"")))))</f>
        <v>#N/A</v>
      </c>
      <c r="CE75" s="351" t="e">
        <f>IF('Inhaltliche Bewertung - GI'!RechtsformAngebot=BT$13,BT75*CC75,IF('Inhaltliche Bewertung - GI'!RechtsformAngebot=BV$13,BV75*CC75,IF('Inhaltliche Bewertung - GI'!RechtsformAngebot=BX$13,BX75*CC75,IF('Inhaltliche Bewertung - GI'!RechtsformAngebot=BZ$13,BZ75*CC75,IF('Inhaltliche Bewertung - GI'!RechtsformAngebot=BR$13,BR75*CC75,"")))))</f>
        <v>#N/A</v>
      </c>
      <c r="CF75" s="351"/>
      <c r="CG75" s="361" t="s">
        <v>3426</v>
      </c>
      <c r="CH75" s="362">
        <v>0.5</v>
      </c>
      <c r="CI75" s="365"/>
      <c r="CJ75" s="362">
        <v>0.5</v>
      </c>
      <c r="CK75" s="365"/>
      <c r="CL75" s="362">
        <v>0.5</v>
      </c>
      <c r="CM75" s="365"/>
      <c r="CN75" s="362">
        <v>0.5</v>
      </c>
      <c r="CO75" s="365"/>
      <c r="CP75" s="362">
        <v>0.5</v>
      </c>
      <c r="CQ75" s="365"/>
      <c r="CR75" s="370"/>
      <c r="CS75" s="360">
        <v>1</v>
      </c>
      <c r="CT75" s="351" t="e">
        <f>IF('Inhaltliche Bewertung - GI'!RechtsformGI=CJ$13,CJ75*CS75,IF('Inhaltliche Bewertung - GI'!RechtsformGI=CL$13,CL75*CS75,IF('Inhaltliche Bewertung - GI'!RechtsformGI=CN$13,CN75*CS75,IF('Inhaltliche Bewertung - GI'!RechtsformGI=CP$13,CP75*CS75,IF('Inhaltliche Bewertung - GI'!RechtsformGI=CH$13,CH75*CS75,"")))))</f>
        <v>#N/A</v>
      </c>
      <c r="CU75" s="351" t="e">
        <f>IF('Inhaltliche Bewertung - GI'!RechtsformAngebot=CJ$13,CJ75*CS75,IF('Inhaltliche Bewertung - GI'!RechtsformAngebot=CL$13,CL75*CS75,IF('Inhaltliche Bewertung - GI'!RechtsformAngebot=CN$13,CN75*CS75,IF('Inhaltliche Bewertung - GI'!RechtsformAngebot=CP$13,CP75*CS75,IF('Inhaltliche Bewertung - GI'!RechtsformAngebot=CH$13,CH75*CS75,"")))))</f>
        <v>#N/A</v>
      </c>
      <c r="CV75" s="351"/>
      <c r="CW75" s="361" t="s">
        <v>3426</v>
      </c>
      <c r="CX75" s="362">
        <v>0.5</v>
      </c>
      <c r="CY75" s="365"/>
      <c r="CZ75" s="362">
        <v>0.5</v>
      </c>
      <c r="DA75" s="365"/>
      <c r="DB75" s="362">
        <v>0.5</v>
      </c>
      <c r="DC75" s="365"/>
      <c r="DD75" s="362">
        <v>0.5</v>
      </c>
      <c r="DE75" s="365"/>
      <c r="DF75" s="362">
        <v>0.5</v>
      </c>
      <c r="DG75" s="365"/>
      <c r="DH75" s="370"/>
      <c r="DI75" s="360">
        <v>1</v>
      </c>
      <c r="DJ75" s="351" t="e">
        <f>IF('Inhaltliche Bewertung - GI'!RechtsformGI=CZ$13,CZ75*DI75,IF('Inhaltliche Bewertung - GI'!RechtsformGI=DB$13,DB75*DI75,IF('Inhaltliche Bewertung - GI'!RechtsformGI=DD$13,DD75*DI75,IF('Inhaltliche Bewertung - GI'!RechtsformGI=DF$13,DF75*DI75,IF('Inhaltliche Bewertung - GI'!RechtsformGI=CX$13,CX75*DI75,"")))))</f>
        <v>#N/A</v>
      </c>
      <c r="DK75" s="351" t="e">
        <f>IF('Inhaltliche Bewertung - GI'!RechtsformAngebot=CZ$13,CZ75*DI75,IF('Inhaltliche Bewertung - GI'!RechtsformAngebot=DB$13,DB75*DI75,IF('Inhaltliche Bewertung - GI'!RechtsformAngebot=DD$13,DD75*DI75,IF('Inhaltliche Bewertung - GI'!RechtsformAngebot=DF$13,DF75*DI75,IF('Inhaltliche Bewertung - GI'!RechtsformAngebot=CX$13,CX75*DI75,"")))))</f>
        <v>#N/A</v>
      </c>
      <c r="DL75" s="351"/>
      <c r="DM75" s="361" t="s">
        <v>3426</v>
      </c>
      <c r="DN75" s="362">
        <v>0.5</v>
      </c>
      <c r="DO75" s="365"/>
      <c r="DP75" s="362">
        <v>0.5</v>
      </c>
      <c r="DQ75" s="365"/>
      <c r="DR75" s="362">
        <v>0.5</v>
      </c>
      <c r="DS75" s="365"/>
      <c r="DT75" s="362">
        <v>0.5</v>
      </c>
      <c r="DU75" s="365"/>
      <c r="DV75" s="362">
        <v>0.5</v>
      </c>
      <c r="DW75" s="365"/>
      <c r="DX75" s="370"/>
      <c r="DY75" s="360">
        <v>1</v>
      </c>
      <c r="DZ75" s="351" t="e">
        <f>IF('Inhaltliche Bewertung - GI'!RechtsformGI=DP$13,DP75*DY75,IF('Inhaltliche Bewertung - GI'!RechtsformGI=DR$13,DR75*DY75,IF('Inhaltliche Bewertung - GI'!RechtsformGI=DT$13,DT75*DY75,IF('Inhaltliche Bewertung - GI'!RechtsformGI=DV$13,DV75*DY75,IF('Inhaltliche Bewertung - GI'!RechtsformGI=DN$13,DN75*DY75,"")))))</f>
        <v>#N/A</v>
      </c>
      <c r="EA75" s="351" t="e">
        <f>IF('Inhaltliche Bewertung - GI'!RechtsformAngebot=DP$13,DP75*DY75,IF('Inhaltliche Bewertung - GI'!RechtsformAngebot=DR$13,DR75*DY75,IF('Inhaltliche Bewertung - GI'!RechtsformAngebot=DT$13,DT75*DY75,IF('Inhaltliche Bewertung - GI'!RechtsformAngebot=DV$13,DV75*DY75,IF('Inhaltliche Bewertung - GI'!RechtsformAngebot=DN$13,DN75*DY75,"")))))</f>
        <v>#N/A</v>
      </c>
      <c r="EB75" s="351"/>
      <c r="EC75" s="157">
        <f t="shared" si="1"/>
        <v>0.5</v>
      </c>
      <c r="ED75" s="157">
        <f t="shared" si="2"/>
        <v>0.5</v>
      </c>
      <c r="EE75" s="157">
        <f t="shared" si="3"/>
        <v>0.5</v>
      </c>
      <c r="EF75" s="157">
        <f t="shared" si="4"/>
        <v>0.5</v>
      </c>
    </row>
    <row r="76" spans="1:136" ht="14.25" customHeight="1">
      <c r="A76" s="444" t="b">
        <f t="shared" si="5"/>
        <v>0</v>
      </c>
      <c r="B76" s="292"/>
      <c r="C76" s="355" t="s">
        <v>3427</v>
      </c>
      <c r="D76" s="345"/>
      <c r="E76" s="361" t="s">
        <v>3428</v>
      </c>
      <c r="F76" s="362">
        <v>0.5</v>
      </c>
      <c r="G76" s="365"/>
      <c r="H76" s="362">
        <v>0.5</v>
      </c>
      <c r="I76" s="365"/>
      <c r="J76" s="362">
        <v>0.5</v>
      </c>
      <c r="K76" s="365"/>
      <c r="L76" s="362">
        <v>0.5</v>
      </c>
      <c r="M76" s="365"/>
      <c r="N76" s="362">
        <v>0.5</v>
      </c>
      <c r="O76" s="365"/>
      <c r="P76" s="370"/>
      <c r="Q76" s="360">
        <v>1</v>
      </c>
      <c r="R76" s="351" t="e">
        <f>IF('Inhaltliche Bewertung - GI'!RechtsformGI=H$13,H76*Q76,IF('Inhaltliche Bewertung - GI'!RechtsformGI=J$13,J76*Q76,IF('Inhaltliche Bewertung - GI'!RechtsformGI=L$13,L76*Q76,IF('Inhaltliche Bewertung - GI'!RechtsformGI=N$13,N76*Q76,IF('Inhaltliche Bewertung - GI'!RechtsformGI=F$13,F76*Q76,"")))))</f>
        <v>#N/A</v>
      </c>
      <c r="S76" s="351" t="e">
        <f>IF('Inhaltliche Bewertung - GI'!RechtsformAngebot=H$13,H76*Q76,IF('Inhaltliche Bewertung - GI'!RechtsformAngebot=J$13,J76*Q76,IF('Inhaltliche Bewertung - GI'!RechtsformAngebot=L$13,L76*Q76,IF('Inhaltliche Bewertung - GI'!RechtsformAngebot=N$13,N76*Q76,IF('Inhaltliche Bewertung - GI'!RechtsformAngebot=F$13,F76*Q76,"")))))</f>
        <v>#N/A</v>
      </c>
      <c r="T76" s="351"/>
      <c r="U76" s="361" t="s">
        <v>3428</v>
      </c>
      <c r="V76" s="362">
        <v>0.5</v>
      </c>
      <c r="W76" s="365"/>
      <c r="X76" s="362">
        <v>0.5</v>
      </c>
      <c r="Y76" s="365"/>
      <c r="Z76" s="362">
        <v>0.5</v>
      </c>
      <c r="AA76" s="365"/>
      <c r="AB76" s="362">
        <v>0.5</v>
      </c>
      <c r="AC76" s="365"/>
      <c r="AD76" s="362">
        <v>0.8</v>
      </c>
      <c r="AE76" s="365"/>
      <c r="AF76" s="370"/>
      <c r="AG76" s="360">
        <v>1</v>
      </c>
      <c r="AH76" s="351" t="e">
        <f>IF('Inhaltliche Bewertung - GI'!RechtsformGI=X$13,X76*AG76,IF('Inhaltliche Bewertung - GI'!RechtsformGI=Z$13,Z76*AG76,IF('Inhaltliche Bewertung - GI'!RechtsformGI=AB$13,AB76*AG76,IF('Inhaltliche Bewertung - GI'!RechtsformGI=AD$13,AD76*AG76,IF('Inhaltliche Bewertung - GI'!RechtsformGI=V$13,V76*AG76,"")))))</f>
        <v>#N/A</v>
      </c>
      <c r="AI76" s="351" t="e">
        <f>IF('Inhaltliche Bewertung - GI'!RechtsformAngebot=X$13,X76*AG76,IF('Inhaltliche Bewertung - GI'!RechtsformAngebot=Z$13,Z76*AG76,IF('Inhaltliche Bewertung - GI'!RechtsformAngebot=AB$13,AB76*AG76,IF('Inhaltliche Bewertung - GI'!RechtsformAngebot=AD$13,AD76*AG76,IF('Inhaltliche Bewertung - GI'!RechtsformAngebot=V$13,V76*AG76,"")))))</f>
        <v>#N/A</v>
      </c>
      <c r="AJ76" s="351"/>
      <c r="AK76" s="361" t="s">
        <v>3428</v>
      </c>
      <c r="AL76" s="362">
        <v>0.5</v>
      </c>
      <c r="AM76" s="365"/>
      <c r="AN76" s="362">
        <v>0.5</v>
      </c>
      <c r="AO76" s="365"/>
      <c r="AP76" s="362">
        <v>0.5</v>
      </c>
      <c r="AQ76" s="365"/>
      <c r="AR76" s="362">
        <v>0.5</v>
      </c>
      <c r="AS76" s="365"/>
      <c r="AT76" s="362">
        <v>0.8</v>
      </c>
      <c r="AU76" s="365"/>
      <c r="AV76" s="370"/>
      <c r="AW76" s="360">
        <v>1</v>
      </c>
      <c r="AX76" s="351" t="e">
        <f>IF('Inhaltliche Bewertung - GI'!RechtsformGI=AN$13,AN76*AW76,IF('Inhaltliche Bewertung - GI'!RechtsformGI=AP$13,AP76*AW76,IF('Inhaltliche Bewertung - GI'!RechtsformGI=AR$13,AR76*AW76,IF('Inhaltliche Bewertung - GI'!RechtsformGI=AT$13,AT76*AW76,IF('Inhaltliche Bewertung - GI'!RechtsformGI=AL$13,AL76*AW76,"")))))</f>
        <v>#N/A</v>
      </c>
      <c r="AY76" s="351" t="e">
        <f>IF('Inhaltliche Bewertung - GI'!RechtsformAngebot=AN$13,AN76*AW76,IF('Inhaltliche Bewertung - GI'!RechtsformAngebot=AP$13,AP76*AW76,IF('Inhaltliche Bewertung - GI'!RechtsformAngebot=AR$13,AR76*AW76,IF('Inhaltliche Bewertung - GI'!RechtsformAngebot=AT$13,AT76*AW76,IF('Inhaltliche Bewertung - GI'!RechtsformAngebot=AL$13,AL76*AW76,"")))))</f>
        <v>#N/A</v>
      </c>
      <c r="AZ76" s="351"/>
      <c r="BA76" s="361" t="s">
        <v>3428</v>
      </c>
      <c r="BB76" s="362">
        <v>0.5</v>
      </c>
      <c r="BC76" s="365"/>
      <c r="BD76" s="362">
        <v>0.5</v>
      </c>
      <c r="BE76" s="365"/>
      <c r="BF76" s="362">
        <v>0.5</v>
      </c>
      <c r="BG76" s="365"/>
      <c r="BH76" s="362">
        <v>0.5</v>
      </c>
      <c r="BI76" s="365"/>
      <c r="BJ76" s="362">
        <v>0.8</v>
      </c>
      <c r="BK76" s="365"/>
      <c r="BL76" s="370"/>
      <c r="BM76" s="360">
        <v>1</v>
      </c>
      <c r="BN76" s="351" t="e">
        <f>IF('Inhaltliche Bewertung - GI'!RechtsformGI=BD$13,BD76*BM76,IF('Inhaltliche Bewertung - GI'!RechtsformGI=BF$13,BF76*BM76,IF('Inhaltliche Bewertung - GI'!RechtsformGI=BH$13,BH76*BM76,IF('Inhaltliche Bewertung - GI'!RechtsformGI=BJ$13,BJ76*BM76,IF('Inhaltliche Bewertung - GI'!RechtsformGI=BB$13,BB76*BM76,"")))))</f>
        <v>#N/A</v>
      </c>
      <c r="BO76" s="351" t="e">
        <f>IF('Inhaltliche Bewertung - GI'!RechtsformAngebot=BD$13,BD76*BM76,IF('Inhaltliche Bewertung - GI'!RechtsformAngebot=BF$13,BF76*BM76,IF('Inhaltliche Bewertung - GI'!RechtsformAngebot=BH$13,BH76*BM76,IF('Inhaltliche Bewertung - GI'!RechtsformAngebot=BJ$13,BJ76*BM76,IF('Inhaltliche Bewertung - GI'!RechtsformAngebot=BB$13,BB76*BM76,"")))))</f>
        <v>#N/A</v>
      </c>
      <c r="BP76" s="351"/>
      <c r="BQ76" s="361" t="s">
        <v>3428</v>
      </c>
      <c r="BR76" s="362">
        <v>0.5</v>
      </c>
      <c r="BS76" s="365"/>
      <c r="BT76" s="362">
        <v>0.5</v>
      </c>
      <c r="BU76" s="365"/>
      <c r="BV76" s="362">
        <v>0.5</v>
      </c>
      <c r="BW76" s="365"/>
      <c r="BX76" s="362">
        <v>0.5</v>
      </c>
      <c r="BY76" s="365"/>
      <c r="BZ76" s="362">
        <v>0.8</v>
      </c>
      <c r="CA76" s="365"/>
      <c r="CB76" s="370"/>
      <c r="CC76" s="360">
        <v>1</v>
      </c>
      <c r="CD76" s="351" t="e">
        <f>IF('Inhaltliche Bewertung - GI'!RechtsformGI=BT$13,BT76*CC76,IF('Inhaltliche Bewertung - GI'!RechtsformGI=BV$13,BV76*CC76,IF('Inhaltliche Bewertung - GI'!RechtsformGI=BX$13,BX76*CC76,IF('Inhaltliche Bewertung - GI'!RechtsformGI=BZ$13,BZ76*CC76,IF('Inhaltliche Bewertung - GI'!RechtsformGI=BR$13,BR76*CC76,"")))))</f>
        <v>#N/A</v>
      </c>
      <c r="CE76" s="351" t="e">
        <f>IF('Inhaltliche Bewertung - GI'!RechtsformAngebot=BT$13,BT76*CC76,IF('Inhaltliche Bewertung - GI'!RechtsformAngebot=BV$13,BV76*CC76,IF('Inhaltliche Bewertung - GI'!RechtsformAngebot=BX$13,BX76*CC76,IF('Inhaltliche Bewertung - GI'!RechtsformAngebot=BZ$13,BZ76*CC76,IF('Inhaltliche Bewertung - GI'!RechtsformAngebot=BR$13,BR76*CC76,"")))))</f>
        <v>#N/A</v>
      </c>
      <c r="CF76" s="351"/>
      <c r="CG76" s="361" t="s">
        <v>3428</v>
      </c>
      <c r="CH76" s="362">
        <v>0.5</v>
      </c>
      <c r="CI76" s="365"/>
      <c r="CJ76" s="362">
        <v>0.5</v>
      </c>
      <c r="CK76" s="365"/>
      <c r="CL76" s="362">
        <v>0.5</v>
      </c>
      <c r="CM76" s="365"/>
      <c r="CN76" s="362">
        <v>0.5</v>
      </c>
      <c r="CO76" s="365"/>
      <c r="CP76" s="362">
        <v>0.8</v>
      </c>
      <c r="CQ76" s="365"/>
      <c r="CR76" s="370"/>
      <c r="CS76" s="360">
        <v>1</v>
      </c>
      <c r="CT76" s="351" t="e">
        <f>IF('Inhaltliche Bewertung - GI'!RechtsformGI=CJ$13,CJ76*CS76,IF('Inhaltliche Bewertung - GI'!RechtsformGI=CL$13,CL76*CS76,IF('Inhaltliche Bewertung - GI'!RechtsformGI=CN$13,CN76*CS76,IF('Inhaltliche Bewertung - GI'!RechtsformGI=CP$13,CP76*CS76,IF('Inhaltliche Bewertung - GI'!RechtsformGI=CH$13,CH76*CS76,"")))))</f>
        <v>#N/A</v>
      </c>
      <c r="CU76" s="351" t="e">
        <f>IF('Inhaltliche Bewertung - GI'!RechtsformAngebot=CJ$13,CJ76*CS76,IF('Inhaltliche Bewertung - GI'!RechtsformAngebot=CL$13,CL76*CS76,IF('Inhaltliche Bewertung - GI'!RechtsformAngebot=CN$13,CN76*CS76,IF('Inhaltliche Bewertung - GI'!RechtsformAngebot=CP$13,CP76*CS76,IF('Inhaltliche Bewertung - GI'!RechtsformAngebot=CH$13,CH76*CS76,"")))))</f>
        <v>#N/A</v>
      </c>
      <c r="CV76" s="351"/>
      <c r="CW76" s="361" t="s">
        <v>3428</v>
      </c>
      <c r="CX76" s="362">
        <v>0.5</v>
      </c>
      <c r="CY76" s="365"/>
      <c r="CZ76" s="362">
        <v>0.5</v>
      </c>
      <c r="DA76" s="365"/>
      <c r="DB76" s="362">
        <v>0.5</v>
      </c>
      <c r="DC76" s="365"/>
      <c r="DD76" s="362">
        <v>0.5</v>
      </c>
      <c r="DE76" s="365"/>
      <c r="DF76" s="362">
        <v>0.8</v>
      </c>
      <c r="DG76" s="365"/>
      <c r="DH76" s="370"/>
      <c r="DI76" s="360">
        <v>1</v>
      </c>
      <c r="DJ76" s="351" t="e">
        <f>IF('Inhaltliche Bewertung - GI'!RechtsformGI=CZ$13,CZ76*DI76,IF('Inhaltliche Bewertung - GI'!RechtsformGI=DB$13,DB76*DI76,IF('Inhaltliche Bewertung - GI'!RechtsformGI=DD$13,DD76*DI76,IF('Inhaltliche Bewertung - GI'!RechtsformGI=DF$13,DF76*DI76,IF('Inhaltliche Bewertung - GI'!RechtsformGI=CX$13,CX76*DI76,"")))))</f>
        <v>#N/A</v>
      </c>
      <c r="DK76" s="351" t="e">
        <f>IF('Inhaltliche Bewertung - GI'!RechtsformAngebot=CZ$13,CZ76*DI76,IF('Inhaltliche Bewertung - GI'!RechtsformAngebot=DB$13,DB76*DI76,IF('Inhaltliche Bewertung - GI'!RechtsformAngebot=DD$13,DD76*DI76,IF('Inhaltliche Bewertung - GI'!RechtsformAngebot=DF$13,DF76*DI76,IF('Inhaltliche Bewertung - GI'!RechtsformAngebot=CX$13,CX76*DI76,"")))))</f>
        <v>#N/A</v>
      </c>
      <c r="DL76" s="351"/>
      <c r="DM76" s="361" t="s">
        <v>3428</v>
      </c>
      <c r="DN76" s="362">
        <v>0.5</v>
      </c>
      <c r="DO76" s="365"/>
      <c r="DP76" s="362">
        <v>0.5</v>
      </c>
      <c r="DQ76" s="365"/>
      <c r="DR76" s="362">
        <v>0.5</v>
      </c>
      <c r="DS76" s="365"/>
      <c r="DT76" s="362">
        <v>0.5</v>
      </c>
      <c r="DU76" s="365"/>
      <c r="DV76" s="362">
        <v>0.8</v>
      </c>
      <c r="DW76" s="365"/>
      <c r="DX76" s="370"/>
      <c r="DY76" s="360">
        <v>1</v>
      </c>
      <c r="DZ76" s="351" t="e">
        <f>IF('Inhaltliche Bewertung - GI'!RechtsformGI=DP$13,DP76*DY76,IF('Inhaltliche Bewertung - GI'!RechtsformGI=DR$13,DR76*DY76,IF('Inhaltliche Bewertung - GI'!RechtsformGI=DT$13,DT76*DY76,IF('Inhaltliche Bewertung - GI'!RechtsformGI=DV$13,DV76*DY76,IF('Inhaltliche Bewertung - GI'!RechtsformGI=DN$13,DN76*DY76,"")))))</f>
        <v>#N/A</v>
      </c>
      <c r="EA76" s="351" t="e">
        <f>IF('Inhaltliche Bewertung - GI'!RechtsformAngebot=DP$13,DP76*DY76,IF('Inhaltliche Bewertung - GI'!RechtsformAngebot=DR$13,DR76*DY76,IF('Inhaltliche Bewertung - GI'!RechtsformAngebot=DT$13,DT76*DY76,IF('Inhaltliche Bewertung - GI'!RechtsformAngebot=DV$13,DV76*DY76,IF('Inhaltliche Bewertung - GI'!RechtsformAngebot=DN$13,DN76*DY76,"")))))</f>
        <v>#N/A</v>
      </c>
      <c r="EB76" s="351"/>
      <c r="EC76" s="157">
        <f t="shared" si="1"/>
        <v>0.5</v>
      </c>
      <c r="ED76" s="157">
        <f t="shared" si="2"/>
        <v>0.8</v>
      </c>
      <c r="EE76" s="157">
        <f t="shared" si="3"/>
        <v>0.55249999999999999</v>
      </c>
      <c r="EF76" s="157">
        <f t="shared" si="4"/>
        <v>0.5</v>
      </c>
    </row>
    <row r="77" spans="1:136" ht="14.25" customHeight="1">
      <c r="A77" s="444" t="b">
        <f t="shared" si="5"/>
        <v>1</v>
      </c>
      <c r="B77" s="292"/>
      <c r="C77" s="355" t="s">
        <v>3429</v>
      </c>
      <c r="D77" s="345"/>
      <c r="E77" s="361" t="s">
        <v>3430</v>
      </c>
      <c r="F77" s="362">
        <v>0.9</v>
      </c>
      <c r="G77" s="365"/>
      <c r="H77" s="362">
        <v>0.9</v>
      </c>
      <c r="I77" s="365"/>
      <c r="J77" s="362">
        <v>0.9</v>
      </c>
      <c r="K77" s="365"/>
      <c r="L77" s="362">
        <v>0.9</v>
      </c>
      <c r="M77" s="365"/>
      <c r="N77" s="362">
        <v>0.9</v>
      </c>
      <c r="O77" s="365"/>
      <c r="P77" s="370"/>
      <c r="Q77" s="360">
        <v>1</v>
      </c>
      <c r="R77" s="351" t="e">
        <f>IF('Inhaltliche Bewertung - GI'!RechtsformGI=H$13,H77*Q77,IF('Inhaltliche Bewertung - GI'!RechtsformGI=J$13,J77*Q77,IF('Inhaltliche Bewertung - GI'!RechtsformGI=L$13,L77*Q77,IF('Inhaltliche Bewertung - GI'!RechtsformGI=N$13,N77*Q77,IF('Inhaltliche Bewertung - GI'!RechtsformGI=F$13,F77*Q77,"")))))</f>
        <v>#N/A</v>
      </c>
      <c r="S77" s="351" t="e">
        <f>IF('Inhaltliche Bewertung - GI'!RechtsformAngebot=H$13,H77*Q77,IF('Inhaltliche Bewertung - GI'!RechtsformAngebot=J$13,J77*Q77,IF('Inhaltliche Bewertung - GI'!RechtsformAngebot=L$13,L77*Q77,IF('Inhaltliche Bewertung - GI'!RechtsformAngebot=N$13,N77*Q77,IF('Inhaltliche Bewertung - GI'!RechtsformAngebot=F$13,F77*Q77,"")))))</f>
        <v>#N/A</v>
      </c>
      <c r="T77" s="351"/>
      <c r="U77" s="371" t="s">
        <v>3431</v>
      </c>
      <c r="V77" s="362">
        <v>0.9</v>
      </c>
      <c r="W77" s="365"/>
      <c r="X77" s="362">
        <v>0.9</v>
      </c>
      <c r="Y77" s="365"/>
      <c r="Z77" s="362">
        <v>0.9</v>
      </c>
      <c r="AA77" s="365"/>
      <c r="AB77" s="362">
        <v>0.9</v>
      </c>
      <c r="AC77" s="365"/>
      <c r="AD77" s="362">
        <v>0.9</v>
      </c>
      <c r="AE77" s="365"/>
      <c r="AF77" s="370"/>
      <c r="AG77" s="360">
        <v>1</v>
      </c>
      <c r="AH77" s="351" t="e">
        <f>IF('Inhaltliche Bewertung - GI'!RechtsformGI=X$13,X77*AG77,IF('Inhaltliche Bewertung - GI'!RechtsformGI=Z$13,Z77*AG77,IF('Inhaltliche Bewertung - GI'!RechtsformGI=AB$13,AB77*AG77,IF('Inhaltliche Bewertung - GI'!RechtsformGI=AD$13,AD77*AG77,IF('Inhaltliche Bewertung - GI'!RechtsformGI=V$13,V77*AG77,"")))))</f>
        <v>#N/A</v>
      </c>
      <c r="AI77" s="351" t="e">
        <f>IF('Inhaltliche Bewertung - GI'!RechtsformAngebot=X$13,X77*AG77,IF('Inhaltliche Bewertung - GI'!RechtsformAngebot=Z$13,Z77*AG77,IF('Inhaltliche Bewertung - GI'!RechtsformAngebot=AB$13,AB77*AG77,IF('Inhaltliche Bewertung - GI'!RechtsformAngebot=AD$13,AD77*AG77,IF('Inhaltliche Bewertung - GI'!RechtsformAngebot=V$13,V77*AG77,"")))))</f>
        <v>#N/A</v>
      </c>
      <c r="AJ77" s="351"/>
      <c r="AK77" s="371" t="s">
        <v>3432</v>
      </c>
      <c r="AL77" s="362">
        <v>0.9</v>
      </c>
      <c r="AM77" s="365"/>
      <c r="AN77" s="362">
        <v>0.9</v>
      </c>
      <c r="AO77" s="365"/>
      <c r="AP77" s="362">
        <v>0.9</v>
      </c>
      <c r="AQ77" s="365"/>
      <c r="AR77" s="362">
        <v>0.9</v>
      </c>
      <c r="AS77" s="365"/>
      <c r="AT77" s="362">
        <v>0.9</v>
      </c>
      <c r="AU77" s="365"/>
      <c r="AV77" s="370"/>
      <c r="AW77" s="360">
        <v>1</v>
      </c>
      <c r="AX77" s="351" t="e">
        <f>IF('Inhaltliche Bewertung - GI'!RechtsformGI=AN$13,AN77*AW77,IF('Inhaltliche Bewertung - GI'!RechtsformGI=AP$13,AP77*AW77,IF('Inhaltliche Bewertung - GI'!RechtsformGI=AR$13,AR77*AW77,IF('Inhaltliche Bewertung - GI'!RechtsformGI=AT$13,AT77*AW77,IF('Inhaltliche Bewertung - GI'!RechtsformGI=AL$13,AL77*AW77,"")))))</f>
        <v>#N/A</v>
      </c>
      <c r="AY77" s="351" t="e">
        <f>IF('Inhaltliche Bewertung - GI'!RechtsformAngebot=AN$13,AN77*AW77,IF('Inhaltliche Bewertung - GI'!RechtsformAngebot=AP$13,AP77*AW77,IF('Inhaltliche Bewertung - GI'!RechtsformAngebot=AR$13,AR77*AW77,IF('Inhaltliche Bewertung - GI'!RechtsformAngebot=AT$13,AT77*AW77,IF('Inhaltliche Bewertung - GI'!RechtsformAngebot=AL$13,AL77*AW77,"")))))</f>
        <v>#N/A</v>
      </c>
      <c r="AZ77" s="351"/>
      <c r="BA77" s="371" t="s">
        <v>3433</v>
      </c>
      <c r="BB77" s="362">
        <v>0.9</v>
      </c>
      <c r="BC77" s="365"/>
      <c r="BD77" s="362">
        <v>0.9</v>
      </c>
      <c r="BE77" s="365"/>
      <c r="BF77" s="362">
        <v>0.9</v>
      </c>
      <c r="BG77" s="365"/>
      <c r="BH77" s="362">
        <v>0.9</v>
      </c>
      <c r="BI77" s="365"/>
      <c r="BJ77" s="362">
        <v>0.9</v>
      </c>
      <c r="BK77" s="365"/>
      <c r="BL77" s="370"/>
      <c r="BM77" s="360">
        <v>1</v>
      </c>
      <c r="BN77" s="351" t="e">
        <f>IF('Inhaltliche Bewertung - GI'!RechtsformGI=BD$13,BD77*BM77,IF('Inhaltliche Bewertung - GI'!RechtsformGI=BF$13,BF77*BM77,IF('Inhaltliche Bewertung - GI'!RechtsformGI=BH$13,BH77*BM77,IF('Inhaltliche Bewertung - GI'!RechtsformGI=BJ$13,BJ77*BM77,IF('Inhaltliche Bewertung - GI'!RechtsformGI=BB$13,BB77*BM77,"")))))</f>
        <v>#N/A</v>
      </c>
      <c r="BO77" s="351" t="e">
        <f>IF('Inhaltliche Bewertung - GI'!RechtsformAngebot=BD$13,BD77*BM77,IF('Inhaltliche Bewertung - GI'!RechtsformAngebot=BF$13,BF77*BM77,IF('Inhaltliche Bewertung - GI'!RechtsformAngebot=BH$13,BH77*BM77,IF('Inhaltliche Bewertung - GI'!RechtsformAngebot=BJ$13,BJ77*BM77,IF('Inhaltliche Bewertung - GI'!RechtsformAngebot=BB$13,BB77*BM77,"")))))</f>
        <v>#N/A</v>
      </c>
      <c r="BP77" s="351"/>
      <c r="BQ77" s="371" t="s">
        <v>3434</v>
      </c>
      <c r="BR77" s="362">
        <v>0.9</v>
      </c>
      <c r="BS77" s="365"/>
      <c r="BT77" s="362">
        <v>0.9</v>
      </c>
      <c r="BU77" s="365"/>
      <c r="BV77" s="362">
        <v>0.9</v>
      </c>
      <c r="BW77" s="365"/>
      <c r="BX77" s="362">
        <v>0.9</v>
      </c>
      <c r="BY77" s="365"/>
      <c r="BZ77" s="362">
        <v>0.9</v>
      </c>
      <c r="CA77" s="365"/>
      <c r="CB77" s="370"/>
      <c r="CC77" s="360">
        <v>1</v>
      </c>
      <c r="CD77" s="351" t="e">
        <f>IF('Inhaltliche Bewertung - GI'!RechtsformGI=BT$13,BT77*CC77,IF('Inhaltliche Bewertung - GI'!RechtsformGI=BV$13,BV77*CC77,IF('Inhaltliche Bewertung - GI'!RechtsformGI=BX$13,BX77*CC77,IF('Inhaltliche Bewertung - GI'!RechtsformGI=BZ$13,BZ77*CC77,IF('Inhaltliche Bewertung - GI'!RechtsformGI=BR$13,BR77*CC77,"")))))</f>
        <v>#N/A</v>
      </c>
      <c r="CE77" s="351" t="e">
        <f>IF('Inhaltliche Bewertung - GI'!RechtsformAngebot=BT$13,BT77*CC77,IF('Inhaltliche Bewertung - GI'!RechtsformAngebot=BV$13,BV77*CC77,IF('Inhaltliche Bewertung - GI'!RechtsformAngebot=BX$13,BX77*CC77,IF('Inhaltliche Bewertung - GI'!RechtsformAngebot=BZ$13,BZ77*CC77,IF('Inhaltliche Bewertung - GI'!RechtsformAngebot=BR$13,BR77*CC77,"")))))</f>
        <v>#N/A</v>
      </c>
      <c r="CF77" s="351"/>
      <c r="CG77" s="371" t="s">
        <v>3435</v>
      </c>
      <c r="CH77" s="362">
        <v>0.9</v>
      </c>
      <c r="CI77" s="365"/>
      <c r="CJ77" s="362">
        <v>0.9</v>
      </c>
      <c r="CK77" s="365"/>
      <c r="CL77" s="362">
        <v>0.9</v>
      </c>
      <c r="CM77" s="365"/>
      <c r="CN77" s="362">
        <v>0.9</v>
      </c>
      <c r="CO77" s="365"/>
      <c r="CP77" s="362">
        <v>0.9</v>
      </c>
      <c r="CQ77" s="365"/>
      <c r="CR77" s="370"/>
      <c r="CS77" s="360">
        <v>1</v>
      </c>
      <c r="CT77" s="351" t="e">
        <f>IF('Inhaltliche Bewertung - GI'!RechtsformGI=CJ$13,CJ77*CS77,IF('Inhaltliche Bewertung - GI'!RechtsformGI=CL$13,CL77*CS77,IF('Inhaltliche Bewertung - GI'!RechtsformGI=CN$13,CN77*CS77,IF('Inhaltliche Bewertung - GI'!RechtsformGI=CP$13,CP77*CS77,IF('Inhaltliche Bewertung - GI'!RechtsformGI=CH$13,CH77*CS77,"")))))</f>
        <v>#N/A</v>
      </c>
      <c r="CU77" s="351" t="e">
        <f>IF('Inhaltliche Bewertung - GI'!RechtsformAngebot=CJ$13,CJ77*CS77,IF('Inhaltliche Bewertung - GI'!RechtsformAngebot=CL$13,CL77*CS77,IF('Inhaltliche Bewertung - GI'!RechtsformAngebot=CN$13,CN77*CS77,IF('Inhaltliche Bewertung - GI'!RechtsformAngebot=CP$13,CP77*CS77,IF('Inhaltliche Bewertung - GI'!RechtsformAngebot=CH$13,CH77*CS77,"")))))</f>
        <v>#N/A</v>
      </c>
      <c r="CV77" s="351"/>
      <c r="CW77" s="371" t="s">
        <v>3436</v>
      </c>
      <c r="CX77" s="362">
        <v>0.9</v>
      </c>
      <c r="CY77" s="365"/>
      <c r="CZ77" s="362">
        <v>0.9</v>
      </c>
      <c r="DA77" s="365"/>
      <c r="DB77" s="362">
        <v>0.9</v>
      </c>
      <c r="DC77" s="365"/>
      <c r="DD77" s="362">
        <v>0.9</v>
      </c>
      <c r="DE77" s="365"/>
      <c r="DF77" s="362">
        <v>0.9</v>
      </c>
      <c r="DG77" s="365"/>
      <c r="DH77" s="370"/>
      <c r="DI77" s="360">
        <v>1</v>
      </c>
      <c r="DJ77" s="351" t="e">
        <f>IF('Inhaltliche Bewertung - GI'!RechtsformGI=CZ$13,CZ77*DI77,IF('Inhaltliche Bewertung - GI'!RechtsformGI=DB$13,DB77*DI77,IF('Inhaltliche Bewertung - GI'!RechtsformGI=DD$13,DD77*DI77,IF('Inhaltliche Bewertung - GI'!RechtsformGI=DF$13,DF77*DI77,IF('Inhaltliche Bewertung - GI'!RechtsformGI=CX$13,CX77*DI77,"")))))</f>
        <v>#N/A</v>
      </c>
      <c r="DK77" s="351" t="e">
        <f>IF('Inhaltliche Bewertung - GI'!RechtsformAngebot=CZ$13,CZ77*DI77,IF('Inhaltliche Bewertung - GI'!RechtsformAngebot=DB$13,DB77*DI77,IF('Inhaltliche Bewertung - GI'!RechtsformAngebot=DD$13,DD77*DI77,IF('Inhaltliche Bewertung - GI'!RechtsformAngebot=DF$13,DF77*DI77,IF('Inhaltliche Bewertung - GI'!RechtsformAngebot=CX$13,CX77*DI77,"")))))</f>
        <v>#N/A</v>
      </c>
      <c r="DL77" s="351"/>
      <c r="DM77" s="371" t="s">
        <v>3437</v>
      </c>
      <c r="DN77" s="362">
        <v>0.9</v>
      </c>
      <c r="DO77" s="365"/>
      <c r="DP77" s="362">
        <v>0.9</v>
      </c>
      <c r="DQ77" s="365"/>
      <c r="DR77" s="362">
        <v>0.9</v>
      </c>
      <c r="DS77" s="365"/>
      <c r="DT77" s="362">
        <v>0.9</v>
      </c>
      <c r="DU77" s="365"/>
      <c r="DV77" s="362">
        <v>0.9</v>
      </c>
      <c r="DW77" s="365"/>
      <c r="DX77" s="370"/>
      <c r="DY77" s="360">
        <v>1</v>
      </c>
      <c r="DZ77" s="351" t="e">
        <f>IF('Inhaltliche Bewertung - GI'!RechtsformGI=DP$13,DP77*DY77,IF('Inhaltliche Bewertung - GI'!RechtsformGI=DR$13,DR77*DY77,IF('Inhaltliche Bewertung - GI'!RechtsformGI=DT$13,DT77*DY77,IF('Inhaltliche Bewertung - GI'!RechtsformGI=DV$13,DV77*DY77,IF('Inhaltliche Bewertung - GI'!RechtsformGI=DN$13,DN77*DY77,"")))))</f>
        <v>#N/A</v>
      </c>
      <c r="EA77" s="351" t="e">
        <f>IF('Inhaltliche Bewertung - GI'!RechtsformAngebot=DP$13,DP77*DY77,IF('Inhaltliche Bewertung - GI'!RechtsformAngebot=DR$13,DR77*DY77,IF('Inhaltliche Bewertung - GI'!RechtsformAngebot=DT$13,DT77*DY77,IF('Inhaltliche Bewertung - GI'!RechtsformAngebot=DV$13,DV77*DY77,IF('Inhaltliche Bewertung - GI'!RechtsformAngebot=DN$13,DN77*DY77,"")))))</f>
        <v>#N/A</v>
      </c>
      <c r="EB77" s="351"/>
      <c r="EC77" s="157">
        <f t="shared" si="1"/>
        <v>0.9</v>
      </c>
      <c r="ED77" s="157">
        <f t="shared" si="2"/>
        <v>0.9</v>
      </c>
      <c r="EE77" s="157">
        <f t="shared" si="3"/>
        <v>0.89999999999999925</v>
      </c>
      <c r="EF77" s="157">
        <f t="shared" si="4"/>
        <v>0.9</v>
      </c>
    </row>
    <row r="78" spans="1:136" ht="14.25" customHeight="1">
      <c r="A78" s="444" t="b">
        <f t="shared" si="5"/>
        <v>0</v>
      </c>
      <c r="B78" s="292"/>
      <c r="C78" s="355" t="s">
        <v>3438</v>
      </c>
      <c r="D78" s="345"/>
      <c r="E78" s="361" t="s">
        <v>3232</v>
      </c>
      <c r="F78" s="362">
        <v>0</v>
      </c>
      <c r="G78" s="365"/>
      <c r="H78" s="362">
        <v>0</v>
      </c>
      <c r="I78" s="365"/>
      <c r="J78" s="362">
        <v>0</v>
      </c>
      <c r="K78" s="365"/>
      <c r="L78" s="362">
        <v>0</v>
      </c>
      <c r="M78" s="365"/>
      <c r="N78" s="362">
        <v>0</v>
      </c>
      <c r="O78" s="365"/>
      <c r="P78" s="370"/>
      <c r="Q78" s="373">
        <v>1</v>
      </c>
      <c r="R78" s="351" t="e">
        <f>IF('Inhaltliche Bewertung - GI'!RechtsformGI=H$13,H78*Q78,IF('Inhaltliche Bewertung - GI'!RechtsformGI=J$13,J78*Q78,IF('Inhaltliche Bewertung - GI'!RechtsformGI=L$13,L78*Q78,IF('Inhaltliche Bewertung - GI'!RechtsformGI=N$13,N78*Q78,IF('Inhaltliche Bewertung - GI'!RechtsformGI=F$13,F78*Q78,"")))))</f>
        <v>#N/A</v>
      </c>
      <c r="S78" s="351" t="e">
        <f>IF('Inhaltliche Bewertung - GI'!RechtsformAngebot=H$13,H78*Q78,IF('Inhaltliche Bewertung - GI'!RechtsformAngebot=J$13,J78*Q78,IF('Inhaltliche Bewertung - GI'!RechtsformAngebot=L$13,L78*Q78,IF('Inhaltliche Bewertung - GI'!RechtsformAngebot=N$13,N78*Q78,IF('Inhaltliche Bewertung - GI'!RechtsformAngebot=F$13,F78*Q78,"")))))</f>
        <v>#N/A</v>
      </c>
      <c r="T78" s="351"/>
      <c r="U78" s="356" t="s">
        <v>3234</v>
      </c>
      <c r="V78" s="357">
        <v>0</v>
      </c>
      <c r="W78" s="374"/>
      <c r="X78" s="375">
        <v>0</v>
      </c>
      <c r="Y78" s="374"/>
      <c r="Z78" s="375">
        <v>0</v>
      </c>
      <c r="AA78" s="374"/>
      <c r="AB78" s="375">
        <v>0</v>
      </c>
      <c r="AC78" s="374"/>
      <c r="AD78" s="375">
        <v>0</v>
      </c>
      <c r="AE78" s="374"/>
      <c r="AF78" s="374"/>
      <c r="AG78" s="373">
        <v>1</v>
      </c>
      <c r="AH78" s="351" t="e">
        <f>IF('Inhaltliche Bewertung - GI'!RechtsformGI=X$13,X78*AG78,IF('Inhaltliche Bewertung - GI'!RechtsformGI=Z$13,Z78*AG78,IF('Inhaltliche Bewertung - GI'!RechtsformGI=AB$13,AB78*AG78,IF('Inhaltliche Bewertung - GI'!RechtsformGI=AD$13,AD78*AG78,IF('Inhaltliche Bewertung - GI'!RechtsformGI=V$13,V78*AG78,"")))))</f>
        <v>#N/A</v>
      </c>
      <c r="AI78" s="351" t="e">
        <f>IF('Inhaltliche Bewertung - GI'!RechtsformAngebot=X$13,X78*AG78,IF('Inhaltliche Bewertung - GI'!RechtsformAngebot=Z$13,Z78*AG78,IF('Inhaltliche Bewertung - GI'!RechtsformAngebot=AB$13,AB78*AG78,IF('Inhaltliche Bewertung - GI'!RechtsformAngebot=AD$13,AD78*AG78,IF('Inhaltliche Bewertung - GI'!RechtsformAngebot=V$13,V78*AG78,"")))))</f>
        <v>#N/A</v>
      </c>
      <c r="AJ78" s="351"/>
      <c r="AK78" s="356" t="s">
        <v>3234</v>
      </c>
      <c r="AL78" s="357">
        <v>0</v>
      </c>
      <c r="AM78" s="358"/>
      <c r="AN78" s="357">
        <v>0</v>
      </c>
      <c r="AO78" s="358"/>
      <c r="AP78" s="357">
        <v>0</v>
      </c>
      <c r="AQ78" s="358"/>
      <c r="AR78" s="357">
        <v>0</v>
      </c>
      <c r="AS78" s="358"/>
      <c r="AT78" s="357">
        <v>0</v>
      </c>
      <c r="AU78" s="358"/>
      <c r="AV78" s="358"/>
      <c r="AW78" s="373">
        <v>1</v>
      </c>
      <c r="AX78" s="351" t="e">
        <f>IF('Inhaltliche Bewertung - GI'!RechtsformGI=AN$13,AN78*AW78,IF('Inhaltliche Bewertung - GI'!RechtsformGI=AP$13,AP78*AW78,IF('Inhaltliche Bewertung - GI'!RechtsformGI=AR$13,AR78*AW78,IF('Inhaltliche Bewertung - GI'!RechtsformGI=AT$13,AT78*AW78,IF('Inhaltliche Bewertung - GI'!RechtsformGI=AL$13,AL78*AW78,"")))))</f>
        <v>#N/A</v>
      </c>
      <c r="AY78" s="351" t="e">
        <f>IF('Inhaltliche Bewertung - GI'!RechtsformAngebot=AN$13,AN78*AW78,IF('Inhaltliche Bewertung - GI'!RechtsformAngebot=AP$13,AP78*AW78,IF('Inhaltliche Bewertung - GI'!RechtsformAngebot=AR$13,AR78*AW78,IF('Inhaltliche Bewertung - GI'!RechtsformAngebot=AT$13,AT78*AW78,IF('Inhaltliche Bewertung - GI'!RechtsformAngebot=AL$13,AL78*AW78,"")))))</f>
        <v>#N/A</v>
      </c>
      <c r="AZ78" s="351"/>
      <c r="BA78" s="356" t="s">
        <v>3234</v>
      </c>
      <c r="BB78" s="381">
        <v>0</v>
      </c>
      <c r="BC78" s="358"/>
      <c r="BD78" s="381">
        <v>0</v>
      </c>
      <c r="BE78" s="358"/>
      <c r="BF78" s="381">
        <v>0</v>
      </c>
      <c r="BG78" s="358"/>
      <c r="BH78" s="381">
        <v>0</v>
      </c>
      <c r="BI78" s="358"/>
      <c r="BJ78" s="381">
        <v>0</v>
      </c>
      <c r="BK78" s="358"/>
      <c r="BL78" s="358"/>
      <c r="BM78" s="373">
        <v>1</v>
      </c>
      <c r="BN78" s="351" t="e">
        <f>IF('Inhaltliche Bewertung - GI'!RechtsformGI=BD$13,BD78*BM78,IF('Inhaltliche Bewertung - GI'!RechtsformGI=BF$13,BF78*BM78,IF('Inhaltliche Bewertung - GI'!RechtsformGI=BH$13,BH78*BM78,IF('Inhaltliche Bewertung - GI'!RechtsformGI=BJ$13,BJ78*BM78,IF('Inhaltliche Bewertung - GI'!RechtsformGI=BB$13,BB78*BM78,"")))))</f>
        <v>#N/A</v>
      </c>
      <c r="BO78" s="351" t="e">
        <f>IF('Inhaltliche Bewertung - GI'!RechtsformAngebot=BD$13,BD78*BM78,IF('Inhaltliche Bewertung - GI'!RechtsformAngebot=BF$13,BF78*BM78,IF('Inhaltliche Bewertung - GI'!RechtsformAngebot=BH$13,BH78*BM78,IF('Inhaltliche Bewertung - GI'!RechtsformAngebot=BJ$13,BJ78*BM78,IF('Inhaltliche Bewertung - GI'!RechtsformAngebot=BB$13,BB78*BM78,"")))))</f>
        <v>#N/A</v>
      </c>
      <c r="BP78" s="351"/>
      <c r="BQ78" s="356" t="s">
        <v>3234</v>
      </c>
      <c r="BR78" s="376">
        <v>0</v>
      </c>
      <c r="BS78" s="382"/>
      <c r="BT78" s="376">
        <v>0</v>
      </c>
      <c r="BU78" s="382"/>
      <c r="BV78" s="376">
        <v>0</v>
      </c>
      <c r="BW78" s="382"/>
      <c r="BX78" s="376">
        <v>0</v>
      </c>
      <c r="BY78" s="382"/>
      <c r="BZ78" s="376">
        <v>0</v>
      </c>
      <c r="CA78" s="382"/>
      <c r="CB78" s="382"/>
      <c r="CC78" s="373">
        <v>1</v>
      </c>
      <c r="CD78" s="351" t="e">
        <f>IF('Inhaltliche Bewertung - GI'!RechtsformGI=BT$13,BT78*CC78,IF('Inhaltliche Bewertung - GI'!RechtsformGI=BV$13,BV78*CC78,IF('Inhaltliche Bewertung - GI'!RechtsformGI=BX$13,BX78*CC78,IF('Inhaltliche Bewertung - GI'!RechtsformGI=BZ$13,BZ78*CC78,IF('Inhaltliche Bewertung - GI'!RechtsformGI=BR$13,BR78*CC78,"")))))</f>
        <v>#N/A</v>
      </c>
      <c r="CE78" s="351" t="e">
        <f>IF('Inhaltliche Bewertung - GI'!RechtsformAngebot=BT$13,BT78*CC78,IF('Inhaltliche Bewertung - GI'!RechtsformAngebot=BV$13,BV78*CC78,IF('Inhaltliche Bewertung - GI'!RechtsformAngebot=BX$13,BX78*CC78,IF('Inhaltliche Bewertung - GI'!RechtsformAngebot=BZ$13,BZ78*CC78,IF('Inhaltliche Bewertung - GI'!RechtsformAngebot=BR$13,BR78*CC78,"")))))</f>
        <v>#N/A</v>
      </c>
      <c r="CF78" s="351"/>
      <c r="CG78" s="361" t="s">
        <v>3439</v>
      </c>
      <c r="CH78" s="362">
        <v>0.9</v>
      </c>
      <c r="CI78" s="365"/>
      <c r="CJ78" s="362">
        <v>0.9</v>
      </c>
      <c r="CK78" s="365"/>
      <c r="CL78" s="362">
        <v>0.9</v>
      </c>
      <c r="CM78" s="365"/>
      <c r="CN78" s="362">
        <v>0.9</v>
      </c>
      <c r="CO78" s="365"/>
      <c r="CP78" s="362">
        <v>0.9</v>
      </c>
      <c r="CQ78" s="365"/>
      <c r="CR78" s="370"/>
      <c r="CS78" s="373">
        <v>1</v>
      </c>
      <c r="CT78" s="351" t="e">
        <f>IF('Inhaltliche Bewertung - GI'!RechtsformGI=CJ$13,CJ78*CS78,IF('Inhaltliche Bewertung - GI'!RechtsformGI=CL$13,CL78*CS78,IF('Inhaltliche Bewertung - GI'!RechtsformGI=CN$13,CN78*CS78,IF('Inhaltliche Bewertung - GI'!RechtsformGI=CP$13,CP78*CS78,IF('Inhaltliche Bewertung - GI'!RechtsformGI=CH$13,CH78*CS78,"")))))</f>
        <v>#N/A</v>
      </c>
      <c r="CU78" s="351" t="e">
        <f>IF('Inhaltliche Bewertung - GI'!RechtsformAngebot=CJ$13,CJ78*CS78,IF('Inhaltliche Bewertung - GI'!RechtsformAngebot=CL$13,CL78*CS78,IF('Inhaltliche Bewertung - GI'!RechtsformAngebot=CN$13,CN78*CS78,IF('Inhaltliche Bewertung - GI'!RechtsformAngebot=CP$13,CP78*CS78,IF('Inhaltliche Bewertung - GI'!RechtsformAngebot=CH$13,CH78*CS78,"")))))</f>
        <v>#N/A</v>
      </c>
      <c r="CV78" s="351"/>
      <c r="CW78" s="361" t="s">
        <v>3440</v>
      </c>
      <c r="CX78" s="362">
        <v>0.9</v>
      </c>
      <c r="CY78" s="365"/>
      <c r="CZ78" s="362">
        <v>0.9</v>
      </c>
      <c r="DA78" s="365"/>
      <c r="DB78" s="362">
        <v>0.9</v>
      </c>
      <c r="DC78" s="365"/>
      <c r="DD78" s="362">
        <v>0.9</v>
      </c>
      <c r="DE78" s="365"/>
      <c r="DF78" s="362">
        <v>0.9</v>
      </c>
      <c r="DG78" s="365"/>
      <c r="DH78" s="370"/>
      <c r="DI78" s="373">
        <v>1</v>
      </c>
      <c r="DJ78" s="351" t="e">
        <f>IF('Inhaltliche Bewertung - GI'!RechtsformGI=CZ$13,CZ78*DI78,IF('Inhaltliche Bewertung - GI'!RechtsformGI=DB$13,DB78*DI78,IF('Inhaltliche Bewertung - GI'!RechtsformGI=DD$13,DD78*DI78,IF('Inhaltliche Bewertung - GI'!RechtsformGI=DF$13,DF78*DI78,IF('Inhaltliche Bewertung - GI'!RechtsformGI=CX$13,CX78*DI78,"")))))</f>
        <v>#N/A</v>
      </c>
      <c r="DK78" s="351" t="e">
        <f>IF('Inhaltliche Bewertung - GI'!RechtsformAngebot=CZ$13,CZ78*DI78,IF('Inhaltliche Bewertung - GI'!RechtsformAngebot=DB$13,DB78*DI78,IF('Inhaltliche Bewertung - GI'!RechtsformAngebot=DD$13,DD78*DI78,IF('Inhaltliche Bewertung - GI'!RechtsformAngebot=DF$13,DF78*DI78,IF('Inhaltliche Bewertung - GI'!RechtsformAngebot=CX$13,CX78*DI78,"")))))</f>
        <v>#N/A</v>
      </c>
      <c r="DL78" s="351"/>
      <c r="DM78" s="356" t="s">
        <v>3234</v>
      </c>
      <c r="DN78" s="376">
        <v>0</v>
      </c>
      <c r="DO78" s="377"/>
      <c r="DP78" s="376">
        <v>0</v>
      </c>
      <c r="DQ78" s="377"/>
      <c r="DR78" s="376">
        <v>0</v>
      </c>
      <c r="DS78" s="377"/>
      <c r="DT78" s="376">
        <v>0</v>
      </c>
      <c r="DU78" s="377"/>
      <c r="DV78" s="376">
        <v>0</v>
      </c>
      <c r="DW78" s="377"/>
      <c r="DX78" s="377"/>
      <c r="DY78" s="373">
        <v>1</v>
      </c>
      <c r="DZ78" s="351" t="e">
        <f>IF('Inhaltliche Bewertung - GI'!RechtsformGI=DP$13,DP78*DY78,IF('Inhaltliche Bewertung - GI'!RechtsformGI=DR$13,DR78*DY78,IF('Inhaltliche Bewertung - GI'!RechtsformGI=DT$13,DT78*DY78,IF('Inhaltliche Bewertung - GI'!RechtsformGI=DV$13,DV78*DY78,IF('Inhaltliche Bewertung - GI'!RechtsformGI=DN$13,DN78*DY78,"")))))</f>
        <v>#N/A</v>
      </c>
      <c r="EA78" s="351" t="e">
        <f>IF('Inhaltliche Bewertung - GI'!RechtsformAngebot=DP$13,DP78*DY78,IF('Inhaltliche Bewertung - GI'!RechtsformAngebot=DR$13,DR78*DY78,IF('Inhaltliche Bewertung - GI'!RechtsformAngebot=DT$13,DT78*DY78,IF('Inhaltliche Bewertung - GI'!RechtsformAngebot=DV$13,DV78*DY78,IF('Inhaltliche Bewertung - GI'!RechtsformAngebot=DN$13,DN78*DY78,"")))))</f>
        <v>#N/A</v>
      </c>
      <c r="EB78" s="351"/>
      <c r="EC78" s="157">
        <f t="shared" si="1"/>
        <v>0</v>
      </c>
      <c r="ED78" s="157">
        <f t="shared" si="2"/>
        <v>0.9</v>
      </c>
      <c r="EE78" s="157">
        <f t="shared" si="3"/>
        <v>0.22500000000000003</v>
      </c>
      <c r="EF78" s="157">
        <f t="shared" si="4"/>
        <v>0</v>
      </c>
    </row>
    <row r="79" spans="1:136" ht="14.25" customHeight="1">
      <c r="A79" s="444" t="b">
        <f t="shared" si="5"/>
        <v>1</v>
      </c>
      <c r="B79" s="292"/>
      <c r="C79" s="355" t="s">
        <v>3441</v>
      </c>
      <c r="D79" s="345"/>
      <c r="E79" s="361" t="s">
        <v>3442</v>
      </c>
      <c r="F79" s="362">
        <v>0.9</v>
      </c>
      <c r="G79" s="365"/>
      <c r="H79" s="362">
        <v>0.9</v>
      </c>
      <c r="I79" s="365"/>
      <c r="J79" s="362">
        <v>0.9</v>
      </c>
      <c r="K79" s="365"/>
      <c r="L79" s="362">
        <v>0.9</v>
      </c>
      <c r="M79" s="365"/>
      <c r="N79" s="362">
        <v>0.9</v>
      </c>
      <c r="O79" s="365"/>
      <c r="P79" s="370"/>
      <c r="Q79" s="360">
        <v>1</v>
      </c>
      <c r="R79" s="351" t="e">
        <f>IF('Inhaltliche Bewertung - GI'!RechtsformGI=H$13,H79*Q79,IF('Inhaltliche Bewertung - GI'!RechtsformGI=J$13,J79*Q79,IF('Inhaltliche Bewertung - GI'!RechtsformGI=L$13,L79*Q79,IF('Inhaltliche Bewertung - GI'!RechtsformGI=N$13,N79*Q79,IF('Inhaltliche Bewertung - GI'!RechtsformGI=F$13,F79*Q79,"")))))</f>
        <v>#N/A</v>
      </c>
      <c r="S79" s="351" t="e">
        <f>IF('Inhaltliche Bewertung - GI'!RechtsformAngebot=H$13,H79*Q79,IF('Inhaltliche Bewertung - GI'!RechtsformAngebot=J$13,J79*Q79,IF('Inhaltliche Bewertung - GI'!RechtsformAngebot=L$13,L79*Q79,IF('Inhaltliche Bewertung - GI'!RechtsformAngebot=N$13,N79*Q79,IF('Inhaltliche Bewertung - GI'!RechtsformAngebot=F$13,F79*Q79,"")))))</f>
        <v>#N/A</v>
      </c>
      <c r="T79" s="351"/>
      <c r="U79" s="361" t="s">
        <v>3442</v>
      </c>
      <c r="V79" s="362">
        <v>0.9</v>
      </c>
      <c r="W79" s="365"/>
      <c r="X79" s="362">
        <v>0.9</v>
      </c>
      <c r="Y79" s="365"/>
      <c r="Z79" s="362">
        <v>0.9</v>
      </c>
      <c r="AA79" s="365"/>
      <c r="AB79" s="362">
        <v>0.9</v>
      </c>
      <c r="AC79" s="365"/>
      <c r="AD79" s="362">
        <v>0.9</v>
      </c>
      <c r="AE79" s="365"/>
      <c r="AF79" s="370"/>
      <c r="AG79" s="360">
        <v>1</v>
      </c>
      <c r="AH79" s="351" t="e">
        <f>IF('Inhaltliche Bewertung - GI'!RechtsformGI=X$13,X79*AG79,IF('Inhaltliche Bewertung - GI'!RechtsformGI=Z$13,Z79*AG79,IF('Inhaltliche Bewertung - GI'!RechtsformGI=AB$13,AB79*AG79,IF('Inhaltliche Bewertung - GI'!RechtsformGI=AD$13,AD79*AG79,IF('Inhaltliche Bewertung - GI'!RechtsformGI=V$13,V79*AG79,"")))))</f>
        <v>#N/A</v>
      </c>
      <c r="AI79" s="351" t="e">
        <f>IF('Inhaltliche Bewertung - GI'!RechtsformAngebot=X$13,X79*AG79,IF('Inhaltliche Bewertung - GI'!RechtsformAngebot=Z$13,Z79*AG79,IF('Inhaltliche Bewertung - GI'!RechtsformAngebot=AB$13,AB79*AG79,IF('Inhaltliche Bewertung - GI'!RechtsformAngebot=AD$13,AD79*AG79,IF('Inhaltliche Bewertung - GI'!RechtsformAngebot=V$13,V79*AG79,"")))))</f>
        <v>#N/A</v>
      </c>
      <c r="AJ79" s="351"/>
      <c r="AK79" s="361" t="s">
        <v>3442</v>
      </c>
      <c r="AL79" s="362">
        <v>0.9</v>
      </c>
      <c r="AM79" s="365"/>
      <c r="AN79" s="362">
        <v>0.9</v>
      </c>
      <c r="AO79" s="365"/>
      <c r="AP79" s="362">
        <v>0.9</v>
      </c>
      <c r="AQ79" s="365"/>
      <c r="AR79" s="362">
        <v>0.9</v>
      </c>
      <c r="AS79" s="365"/>
      <c r="AT79" s="362">
        <v>0.9</v>
      </c>
      <c r="AU79" s="365"/>
      <c r="AV79" s="370"/>
      <c r="AW79" s="360">
        <v>1</v>
      </c>
      <c r="AX79" s="351" t="e">
        <f>IF('Inhaltliche Bewertung - GI'!RechtsformGI=AN$13,AN79*AW79,IF('Inhaltliche Bewertung - GI'!RechtsformGI=AP$13,AP79*AW79,IF('Inhaltliche Bewertung - GI'!RechtsformGI=AR$13,AR79*AW79,IF('Inhaltliche Bewertung - GI'!RechtsformGI=AT$13,AT79*AW79,IF('Inhaltliche Bewertung - GI'!RechtsformGI=AL$13,AL79*AW79,"")))))</f>
        <v>#N/A</v>
      </c>
      <c r="AY79" s="351" t="e">
        <f>IF('Inhaltliche Bewertung - GI'!RechtsformAngebot=AN$13,AN79*AW79,IF('Inhaltliche Bewertung - GI'!RechtsformAngebot=AP$13,AP79*AW79,IF('Inhaltliche Bewertung - GI'!RechtsformAngebot=AR$13,AR79*AW79,IF('Inhaltliche Bewertung - GI'!RechtsformAngebot=AT$13,AT79*AW79,IF('Inhaltliche Bewertung - GI'!RechtsformAngebot=AL$13,AL79*AW79,"")))))</f>
        <v>#N/A</v>
      </c>
      <c r="AZ79" s="351"/>
      <c r="BA79" s="361" t="s">
        <v>3442</v>
      </c>
      <c r="BB79" s="362">
        <v>0.9</v>
      </c>
      <c r="BC79" s="365"/>
      <c r="BD79" s="362">
        <v>0.9</v>
      </c>
      <c r="BE79" s="365"/>
      <c r="BF79" s="362">
        <v>0.9</v>
      </c>
      <c r="BG79" s="365"/>
      <c r="BH79" s="362">
        <v>0.9</v>
      </c>
      <c r="BI79" s="365"/>
      <c r="BJ79" s="362">
        <v>0.9</v>
      </c>
      <c r="BK79" s="365"/>
      <c r="BL79" s="370"/>
      <c r="BM79" s="360">
        <v>1</v>
      </c>
      <c r="BN79" s="351" t="e">
        <f>IF('Inhaltliche Bewertung - GI'!RechtsformGI=BD$13,BD79*BM79,IF('Inhaltliche Bewertung - GI'!RechtsformGI=BF$13,BF79*BM79,IF('Inhaltliche Bewertung - GI'!RechtsformGI=BH$13,BH79*BM79,IF('Inhaltliche Bewertung - GI'!RechtsformGI=BJ$13,BJ79*BM79,IF('Inhaltliche Bewertung - GI'!RechtsformGI=BB$13,BB79*BM79,"")))))</f>
        <v>#N/A</v>
      </c>
      <c r="BO79" s="351" t="e">
        <f>IF('Inhaltliche Bewertung - GI'!RechtsformAngebot=BD$13,BD79*BM79,IF('Inhaltliche Bewertung - GI'!RechtsformAngebot=BF$13,BF79*BM79,IF('Inhaltliche Bewertung - GI'!RechtsformAngebot=BH$13,BH79*BM79,IF('Inhaltliche Bewertung - GI'!RechtsformAngebot=BJ$13,BJ79*BM79,IF('Inhaltliche Bewertung - GI'!RechtsformAngebot=BB$13,BB79*BM79,"")))))</f>
        <v>#N/A</v>
      </c>
      <c r="BP79" s="351"/>
      <c r="BQ79" s="361" t="s">
        <v>3442</v>
      </c>
      <c r="BR79" s="362">
        <v>0.9</v>
      </c>
      <c r="BS79" s="365"/>
      <c r="BT79" s="362">
        <v>0.9</v>
      </c>
      <c r="BU79" s="365"/>
      <c r="BV79" s="362">
        <v>0.9</v>
      </c>
      <c r="BW79" s="365"/>
      <c r="BX79" s="362">
        <v>0.9</v>
      </c>
      <c r="BY79" s="365"/>
      <c r="BZ79" s="362">
        <v>0.9</v>
      </c>
      <c r="CA79" s="365"/>
      <c r="CB79" s="370"/>
      <c r="CC79" s="360">
        <v>1</v>
      </c>
      <c r="CD79" s="351" t="e">
        <f>IF('Inhaltliche Bewertung - GI'!RechtsformGI=BT$13,BT79*CC79,IF('Inhaltliche Bewertung - GI'!RechtsformGI=BV$13,BV79*CC79,IF('Inhaltliche Bewertung - GI'!RechtsformGI=BX$13,BX79*CC79,IF('Inhaltliche Bewertung - GI'!RechtsformGI=BZ$13,BZ79*CC79,IF('Inhaltliche Bewertung - GI'!RechtsformGI=BR$13,BR79*CC79,"")))))</f>
        <v>#N/A</v>
      </c>
      <c r="CE79" s="351" t="e">
        <f>IF('Inhaltliche Bewertung - GI'!RechtsformAngebot=BT$13,BT79*CC79,IF('Inhaltliche Bewertung - GI'!RechtsformAngebot=BV$13,BV79*CC79,IF('Inhaltliche Bewertung - GI'!RechtsformAngebot=BX$13,BX79*CC79,IF('Inhaltliche Bewertung - GI'!RechtsformAngebot=BZ$13,BZ79*CC79,IF('Inhaltliche Bewertung - GI'!RechtsformAngebot=BR$13,BR79*CC79,"")))))</f>
        <v>#N/A</v>
      </c>
      <c r="CF79" s="351"/>
      <c r="CG79" s="361" t="s">
        <v>3443</v>
      </c>
      <c r="CH79" s="362">
        <v>0.9</v>
      </c>
      <c r="CI79" s="365"/>
      <c r="CJ79" s="362">
        <v>0.9</v>
      </c>
      <c r="CK79" s="365"/>
      <c r="CL79" s="362">
        <v>0.9</v>
      </c>
      <c r="CM79" s="365"/>
      <c r="CN79" s="362">
        <v>0.9</v>
      </c>
      <c r="CO79" s="365"/>
      <c r="CP79" s="362">
        <v>0.9</v>
      </c>
      <c r="CQ79" s="365"/>
      <c r="CR79" s="370"/>
      <c r="CS79" s="360">
        <v>1</v>
      </c>
      <c r="CT79" s="351" t="e">
        <f>IF('Inhaltliche Bewertung - GI'!RechtsformGI=CJ$13,CJ79*CS79,IF('Inhaltliche Bewertung - GI'!RechtsformGI=CL$13,CL79*CS79,IF('Inhaltliche Bewertung - GI'!RechtsformGI=CN$13,CN79*CS79,IF('Inhaltliche Bewertung - GI'!RechtsformGI=CP$13,CP79*CS79,IF('Inhaltliche Bewertung - GI'!RechtsformGI=CH$13,CH79*CS79,"")))))</f>
        <v>#N/A</v>
      </c>
      <c r="CU79" s="351" t="e">
        <f>IF('Inhaltliche Bewertung - GI'!RechtsformAngebot=CJ$13,CJ79*CS79,IF('Inhaltliche Bewertung - GI'!RechtsformAngebot=CL$13,CL79*CS79,IF('Inhaltliche Bewertung - GI'!RechtsformAngebot=CN$13,CN79*CS79,IF('Inhaltliche Bewertung - GI'!RechtsformAngebot=CP$13,CP79*CS79,IF('Inhaltliche Bewertung - GI'!RechtsformAngebot=CH$13,CH79*CS79,"")))))</f>
        <v>#N/A</v>
      </c>
      <c r="CV79" s="351"/>
      <c r="CW79" s="361" t="s">
        <v>3444</v>
      </c>
      <c r="CX79" s="362">
        <v>0.9</v>
      </c>
      <c r="CY79" s="365"/>
      <c r="CZ79" s="362">
        <v>0.9</v>
      </c>
      <c r="DA79" s="365"/>
      <c r="DB79" s="362">
        <v>0.9</v>
      </c>
      <c r="DC79" s="365"/>
      <c r="DD79" s="362">
        <v>0.9</v>
      </c>
      <c r="DE79" s="365"/>
      <c r="DF79" s="362">
        <v>0.9</v>
      </c>
      <c r="DG79" s="365"/>
      <c r="DH79" s="370"/>
      <c r="DI79" s="360">
        <v>1</v>
      </c>
      <c r="DJ79" s="351" t="e">
        <f>IF('Inhaltliche Bewertung - GI'!RechtsformGI=CZ$13,CZ79*DI79,IF('Inhaltliche Bewertung - GI'!RechtsformGI=DB$13,DB79*DI79,IF('Inhaltliche Bewertung - GI'!RechtsformGI=DD$13,DD79*DI79,IF('Inhaltliche Bewertung - GI'!RechtsformGI=DF$13,DF79*DI79,IF('Inhaltliche Bewertung - GI'!RechtsformGI=CX$13,CX79*DI79,"")))))</f>
        <v>#N/A</v>
      </c>
      <c r="DK79" s="351" t="e">
        <f>IF('Inhaltliche Bewertung - GI'!RechtsformAngebot=CZ$13,CZ79*DI79,IF('Inhaltliche Bewertung - GI'!RechtsformAngebot=DB$13,DB79*DI79,IF('Inhaltliche Bewertung - GI'!RechtsformAngebot=DD$13,DD79*DI79,IF('Inhaltliche Bewertung - GI'!RechtsformAngebot=DF$13,DF79*DI79,IF('Inhaltliche Bewertung - GI'!RechtsformAngebot=CX$13,CX79*DI79,"")))))</f>
        <v>#N/A</v>
      </c>
      <c r="DL79" s="351"/>
      <c r="DM79" s="361" t="s">
        <v>3442</v>
      </c>
      <c r="DN79" s="362">
        <v>0.9</v>
      </c>
      <c r="DO79" s="365"/>
      <c r="DP79" s="362">
        <v>0.9</v>
      </c>
      <c r="DQ79" s="365"/>
      <c r="DR79" s="362">
        <v>0.9</v>
      </c>
      <c r="DS79" s="365"/>
      <c r="DT79" s="362">
        <v>0.9</v>
      </c>
      <c r="DU79" s="365"/>
      <c r="DV79" s="362">
        <v>0.9</v>
      </c>
      <c r="DW79" s="365"/>
      <c r="DX79" s="370"/>
      <c r="DY79" s="360">
        <v>1</v>
      </c>
      <c r="DZ79" s="351" t="e">
        <f>IF('Inhaltliche Bewertung - GI'!RechtsformGI=DP$13,DP79*DY79,IF('Inhaltliche Bewertung - GI'!RechtsformGI=DR$13,DR79*DY79,IF('Inhaltliche Bewertung - GI'!RechtsformGI=DT$13,DT79*DY79,IF('Inhaltliche Bewertung - GI'!RechtsformGI=DV$13,DV79*DY79,IF('Inhaltliche Bewertung - GI'!RechtsformGI=DN$13,DN79*DY79,"")))))</f>
        <v>#N/A</v>
      </c>
      <c r="EA79" s="351" t="e">
        <f>IF('Inhaltliche Bewertung - GI'!RechtsformAngebot=DP$13,DP79*DY79,IF('Inhaltliche Bewertung - GI'!RechtsformAngebot=DR$13,DR79*DY79,IF('Inhaltliche Bewertung - GI'!RechtsformAngebot=DT$13,DT79*DY79,IF('Inhaltliche Bewertung - GI'!RechtsformAngebot=DV$13,DV79*DY79,IF('Inhaltliche Bewertung - GI'!RechtsformAngebot=DN$13,DN79*DY79,"")))))</f>
        <v>#N/A</v>
      </c>
      <c r="EB79" s="351"/>
      <c r="EC79" s="157">
        <f t="shared" si="1"/>
        <v>0.9</v>
      </c>
      <c r="ED79" s="157">
        <f t="shared" si="2"/>
        <v>0.9</v>
      </c>
      <c r="EE79" s="157">
        <f t="shared" si="3"/>
        <v>0.89999999999999925</v>
      </c>
      <c r="EF79" s="157">
        <f t="shared" si="4"/>
        <v>0.9</v>
      </c>
    </row>
    <row r="80" spans="1:136" ht="14.25" customHeight="1">
      <c r="A80" s="444" t="b">
        <f t="shared" si="5"/>
        <v>1</v>
      </c>
      <c r="B80" s="292"/>
      <c r="C80" s="355" t="s">
        <v>3445</v>
      </c>
      <c r="D80" s="345"/>
      <c r="E80" s="371" t="s">
        <v>3446</v>
      </c>
      <c r="F80" s="372">
        <v>0.9</v>
      </c>
      <c r="G80" s="358"/>
      <c r="H80" s="372">
        <v>0.9</v>
      </c>
      <c r="I80" s="358"/>
      <c r="J80" s="372">
        <v>0.9</v>
      </c>
      <c r="K80" s="358"/>
      <c r="L80" s="372">
        <v>0.9</v>
      </c>
      <c r="M80" s="358"/>
      <c r="N80" s="372">
        <v>0.9</v>
      </c>
      <c r="O80" s="358"/>
      <c r="P80" s="359"/>
      <c r="Q80" s="360">
        <v>1</v>
      </c>
      <c r="R80" s="351" t="e">
        <f>IF('Inhaltliche Bewertung - GI'!RechtsformGI=H$13,H80*Q80,IF('Inhaltliche Bewertung - GI'!RechtsformGI=J$13,J80*Q80,IF('Inhaltliche Bewertung - GI'!RechtsformGI=L$13,L80*Q80,IF('Inhaltliche Bewertung - GI'!RechtsformGI=N$13,N80*Q80,IF('Inhaltliche Bewertung - GI'!RechtsformGI=F$13,F80*Q80,"")))))</f>
        <v>#N/A</v>
      </c>
      <c r="S80" s="351" t="e">
        <f>IF('Inhaltliche Bewertung - GI'!RechtsformAngebot=H$13,H80*Q80,IF('Inhaltliche Bewertung - GI'!RechtsformAngebot=J$13,J80*Q80,IF('Inhaltliche Bewertung - GI'!RechtsformAngebot=L$13,L80*Q80,IF('Inhaltliche Bewertung - GI'!RechtsformAngebot=N$13,N80*Q80,IF('Inhaltliche Bewertung - GI'!RechtsformAngebot=F$13,F80*Q80,"")))))</f>
        <v>#N/A</v>
      </c>
      <c r="T80" s="351"/>
      <c r="U80" s="361" t="s">
        <v>3447</v>
      </c>
      <c r="V80" s="372">
        <v>0.9</v>
      </c>
      <c r="W80" s="358"/>
      <c r="X80" s="372">
        <v>0.9</v>
      </c>
      <c r="Y80" s="358"/>
      <c r="Z80" s="372">
        <v>0.9</v>
      </c>
      <c r="AA80" s="358"/>
      <c r="AB80" s="372">
        <v>0.9</v>
      </c>
      <c r="AC80" s="358"/>
      <c r="AD80" s="372">
        <v>0.9</v>
      </c>
      <c r="AE80" s="358"/>
      <c r="AF80" s="359"/>
      <c r="AG80" s="360">
        <v>1</v>
      </c>
      <c r="AH80" s="351" t="e">
        <f>IF('Inhaltliche Bewertung - GI'!RechtsformGI=X$13,X80*AG80,IF('Inhaltliche Bewertung - GI'!RechtsformGI=Z$13,Z80*AG80,IF('Inhaltliche Bewertung - GI'!RechtsformGI=AB$13,AB80*AG80,IF('Inhaltliche Bewertung - GI'!RechtsformGI=AD$13,AD80*AG80,IF('Inhaltliche Bewertung - GI'!RechtsformGI=V$13,V80*AG80,"")))))</f>
        <v>#N/A</v>
      </c>
      <c r="AI80" s="351" t="e">
        <f>IF('Inhaltliche Bewertung - GI'!RechtsformAngebot=X$13,X80*AG80,IF('Inhaltliche Bewertung - GI'!RechtsformAngebot=Z$13,Z80*AG80,IF('Inhaltliche Bewertung - GI'!RechtsformAngebot=AB$13,AB80*AG80,IF('Inhaltliche Bewertung - GI'!RechtsformAngebot=AD$13,AD80*AG80,IF('Inhaltliche Bewertung - GI'!RechtsformAngebot=V$13,V80*AG80,"")))))</f>
        <v>#N/A</v>
      </c>
      <c r="AJ80" s="351"/>
      <c r="AK80" s="361" t="s">
        <v>3447</v>
      </c>
      <c r="AL80" s="372">
        <v>0.9</v>
      </c>
      <c r="AM80" s="358"/>
      <c r="AN80" s="372">
        <v>0.9</v>
      </c>
      <c r="AO80" s="358"/>
      <c r="AP80" s="372">
        <v>0.9</v>
      </c>
      <c r="AQ80" s="358"/>
      <c r="AR80" s="372">
        <v>0.9</v>
      </c>
      <c r="AS80" s="358"/>
      <c r="AT80" s="372">
        <v>0.9</v>
      </c>
      <c r="AU80" s="358"/>
      <c r="AV80" s="359"/>
      <c r="AW80" s="360">
        <v>1</v>
      </c>
      <c r="AX80" s="351" t="e">
        <f>IF('Inhaltliche Bewertung - GI'!RechtsformGI=AN$13,AN80*AW80,IF('Inhaltliche Bewertung - GI'!RechtsformGI=AP$13,AP80*AW80,IF('Inhaltliche Bewertung - GI'!RechtsformGI=AR$13,AR80*AW80,IF('Inhaltliche Bewertung - GI'!RechtsformGI=AT$13,AT80*AW80,IF('Inhaltliche Bewertung - GI'!RechtsformGI=AL$13,AL80*AW80,"")))))</f>
        <v>#N/A</v>
      </c>
      <c r="AY80" s="351" t="e">
        <f>IF('Inhaltliche Bewertung - GI'!RechtsformAngebot=AN$13,AN80*AW80,IF('Inhaltliche Bewertung - GI'!RechtsformAngebot=AP$13,AP80*AW80,IF('Inhaltliche Bewertung - GI'!RechtsformAngebot=AR$13,AR80*AW80,IF('Inhaltliche Bewertung - GI'!RechtsformAngebot=AT$13,AT80*AW80,IF('Inhaltliche Bewertung - GI'!RechtsformAngebot=AL$13,AL80*AW80,"")))))</f>
        <v>#N/A</v>
      </c>
      <c r="AZ80" s="351"/>
      <c r="BA80" s="361" t="s">
        <v>3447</v>
      </c>
      <c r="BB80" s="372">
        <v>0.9</v>
      </c>
      <c r="BC80" s="358"/>
      <c r="BD80" s="372">
        <v>0.9</v>
      </c>
      <c r="BE80" s="358"/>
      <c r="BF80" s="372">
        <v>0.9</v>
      </c>
      <c r="BG80" s="358"/>
      <c r="BH80" s="372">
        <v>0.9</v>
      </c>
      <c r="BI80" s="358"/>
      <c r="BJ80" s="372">
        <v>0.9</v>
      </c>
      <c r="BK80" s="358"/>
      <c r="BL80" s="359"/>
      <c r="BM80" s="360">
        <v>1</v>
      </c>
      <c r="BN80" s="351" t="e">
        <f>IF('Inhaltliche Bewertung - GI'!RechtsformGI=BD$13,BD80*BM80,IF('Inhaltliche Bewertung - GI'!RechtsformGI=BF$13,BF80*BM80,IF('Inhaltliche Bewertung - GI'!RechtsformGI=BH$13,BH80*BM80,IF('Inhaltliche Bewertung - GI'!RechtsformGI=BJ$13,BJ80*BM80,IF('Inhaltliche Bewertung - GI'!RechtsformGI=BB$13,BB80*BM80,"")))))</f>
        <v>#N/A</v>
      </c>
      <c r="BO80" s="351" t="e">
        <f>IF('Inhaltliche Bewertung - GI'!RechtsformAngebot=BD$13,BD80*BM80,IF('Inhaltliche Bewertung - GI'!RechtsformAngebot=BF$13,BF80*BM80,IF('Inhaltliche Bewertung - GI'!RechtsformAngebot=BH$13,BH80*BM80,IF('Inhaltliche Bewertung - GI'!RechtsformAngebot=BJ$13,BJ80*BM80,IF('Inhaltliche Bewertung - GI'!RechtsformAngebot=BB$13,BB80*BM80,"")))))</f>
        <v>#N/A</v>
      </c>
      <c r="BP80" s="351"/>
      <c r="BQ80" s="361" t="s">
        <v>3447</v>
      </c>
      <c r="BR80" s="372">
        <v>0.9</v>
      </c>
      <c r="BS80" s="358"/>
      <c r="BT80" s="372">
        <v>0.9</v>
      </c>
      <c r="BU80" s="358"/>
      <c r="BV80" s="372">
        <v>0.9</v>
      </c>
      <c r="BW80" s="358"/>
      <c r="BX80" s="372">
        <v>0.9</v>
      </c>
      <c r="BY80" s="358"/>
      <c r="BZ80" s="372">
        <v>0.9</v>
      </c>
      <c r="CA80" s="358"/>
      <c r="CB80" s="359"/>
      <c r="CC80" s="360">
        <v>1</v>
      </c>
      <c r="CD80" s="351" t="e">
        <f>IF('Inhaltliche Bewertung - GI'!RechtsformGI=BT$13,BT80*CC80,IF('Inhaltliche Bewertung - GI'!RechtsformGI=BV$13,BV80*CC80,IF('Inhaltliche Bewertung - GI'!RechtsformGI=BX$13,BX80*CC80,IF('Inhaltliche Bewertung - GI'!RechtsformGI=BZ$13,BZ80*CC80,IF('Inhaltliche Bewertung - GI'!RechtsformGI=BR$13,BR80*CC80,"")))))</f>
        <v>#N/A</v>
      </c>
      <c r="CE80" s="351" t="e">
        <f>IF('Inhaltliche Bewertung - GI'!RechtsformAngebot=BT$13,BT80*CC80,IF('Inhaltliche Bewertung - GI'!RechtsformAngebot=BV$13,BV80*CC80,IF('Inhaltliche Bewertung - GI'!RechtsformAngebot=BX$13,BX80*CC80,IF('Inhaltliche Bewertung - GI'!RechtsformAngebot=BZ$13,BZ80*CC80,IF('Inhaltliche Bewertung - GI'!RechtsformAngebot=BR$13,BR80*CC80,"")))))</f>
        <v>#N/A</v>
      </c>
      <c r="CF80" s="351"/>
      <c r="CG80" s="361" t="s">
        <v>3448</v>
      </c>
      <c r="CH80" s="372">
        <v>0.9</v>
      </c>
      <c r="CI80" s="358"/>
      <c r="CJ80" s="372">
        <v>0.9</v>
      </c>
      <c r="CK80" s="358"/>
      <c r="CL80" s="372">
        <v>0.9</v>
      </c>
      <c r="CM80" s="358"/>
      <c r="CN80" s="372">
        <v>0.9</v>
      </c>
      <c r="CO80" s="358"/>
      <c r="CP80" s="372">
        <v>0.9</v>
      </c>
      <c r="CQ80" s="358"/>
      <c r="CR80" s="359"/>
      <c r="CS80" s="360">
        <v>1</v>
      </c>
      <c r="CT80" s="351" t="e">
        <f>IF('Inhaltliche Bewertung - GI'!RechtsformGI=CJ$13,CJ80*CS80,IF('Inhaltliche Bewertung - GI'!RechtsformGI=CL$13,CL80*CS80,IF('Inhaltliche Bewertung - GI'!RechtsformGI=CN$13,CN80*CS80,IF('Inhaltliche Bewertung - GI'!RechtsformGI=CP$13,CP80*CS80,IF('Inhaltliche Bewertung - GI'!RechtsformGI=CH$13,CH80*CS80,"")))))</f>
        <v>#N/A</v>
      </c>
      <c r="CU80" s="351" t="e">
        <f>IF('Inhaltliche Bewertung - GI'!RechtsformAngebot=CJ$13,CJ80*CS80,IF('Inhaltliche Bewertung - GI'!RechtsformAngebot=CL$13,CL80*CS80,IF('Inhaltliche Bewertung - GI'!RechtsformAngebot=CN$13,CN80*CS80,IF('Inhaltliche Bewertung - GI'!RechtsformAngebot=CP$13,CP80*CS80,IF('Inhaltliche Bewertung - GI'!RechtsformAngebot=CH$13,CH80*CS80,"")))))</f>
        <v>#N/A</v>
      </c>
      <c r="CV80" s="351"/>
      <c r="CW80" s="361" t="s">
        <v>3449</v>
      </c>
      <c r="CX80" s="372">
        <v>0.9</v>
      </c>
      <c r="CY80" s="358"/>
      <c r="CZ80" s="372">
        <v>0.9</v>
      </c>
      <c r="DA80" s="358"/>
      <c r="DB80" s="372">
        <v>0.9</v>
      </c>
      <c r="DC80" s="358"/>
      <c r="DD80" s="372">
        <v>0.9</v>
      </c>
      <c r="DE80" s="358"/>
      <c r="DF80" s="372">
        <v>0.9</v>
      </c>
      <c r="DG80" s="358"/>
      <c r="DH80" s="359"/>
      <c r="DI80" s="360">
        <v>1</v>
      </c>
      <c r="DJ80" s="351" t="e">
        <f>IF('Inhaltliche Bewertung - GI'!RechtsformGI=CZ$13,CZ80*DI80,IF('Inhaltliche Bewertung - GI'!RechtsformGI=DB$13,DB80*DI80,IF('Inhaltliche Bewertung - GI'!RechtsformGI=DD$13,DD80*DI80,IF('Inhaltliche Bewertung - GI'!RechtsformGI=DF$13,DF80*DI80,IF('Inhaltliche Bewertung - GI'!RechtsformGI=CX$13,CX80*DI80,"")))))</f>
        <v>#N/A</v>
      </c>
      <c r="DK80" s="351" t="e">
        <f>IF('Inhaltliche Bewertung - GI'!RechtsformAngebot=CZ$13,CZ80*DI80,IF('Inhaltliche Bewertung - GI'!RechtsformAngebot=DB$13,DB80*DI80,IF('Inhaltliche Bewertung - GI'!RechtsformAngebot=DD$13,DD80*DI80,IF('Inhaltliche Bewertung - GI'!RechtsformAngebot=DF$13,DF80*DI80,IF('Inhaltliche Bewertung - GI'!RechtsformAngebot=CX$13,CX80*DI80,"")))))</f>
        <v>#N/A</v>
      </c>
      <c r="DL80" s="351"/>
      <c r="DM80" s="361" t="s">
        <v>3446</v>
      </c>
      <c r="DN80" s="372">
        <v>0.9</v>
      </c>
      <c r="DO80" s="358"/>
      <c r="DP80" s="372">
        <v>0.9</v>
      </c>
      <c r="DQ80" s="358"/>
      <c r="DR80" s="372">
        <v>0.9</v>
      </c>
      <c r="DS80" s="358"/>
      <c r="DT80" s="372">
        <v>0.9</v>
      </c>
      <c r="DU80" s="358"/>
      <c r="DV80" s="372">
        <v>0.9</v>
      </c>
      <c r="DW80" s="358"/>
      <c r="DX80" s="359"/>
      <c r="DY80" s="360">
        <v>1</v>
      </c>
      <c r="DZ80" s="351" t="e">
        <f>IF('Inhaltliche Bewertung - GI'!RechtsformGI=DP$13,DP80*DY80,IF('Inhaltliche Bewertung - GI'!RechtsformGI=DR$13,DR80*DY80,IF('Inhaltliche Bewertung - GI'!RechtsformGI=DT$13,DT80*DY80,IF('Inhaltliche Bewertung - GI'!RechtsformGI=DV$13,DV80*DY80,IF('Inhaltliche Bewertung - GI'!RechtsformGI=DN$13,DN80*DY80,"")))))</f>
        <v>#N/A</v>
      </c>
      <c r="EA80" s="351" t="e">
        <f>IF('Inhaltliche Bewertung - GI'!RechtsformAngebot=DP$13,DP80*DY80,IF('Inhaltliche Bewertung - GI'!RechtsformAngebot=DR$13,DR80*DY80,IF('Inhaltliche Bewertung - GI'!RechtsformAngebot=DT$13,DT80*DY80,IF('Inhaltliche Bewertung - GI'!RechtsformAngebot=DV$13,DV80*DY80,IF('Inhaltliche Bewertung - GI'!RechtsformAngebot=DN$13,DN80*DY80,"")))))</f>
        <v>#N/A</v>
      </c>
      <c r="EB80" s="351"/>
      <c r="EC80" s="157">
        <f t="shared" si="1"/>
        <v>0.9</v>
      </c>
      <c r="ED80" s="157">
        <f t="shared" si="2"/>
        <v>0.9</v>
      </c>
      <c r="EE80" s="157">
        <f t="shared" si="3"/>
        <v>0.89999999999999925</v>
      </c>
      <c r="EF80" s="157">
        <f t="shared" si="4"/>
        <v>0.9</v>
      </c>
    </row>
    <row r="81" spans="1:136" ht="14.25" customHeight="1">
      <c r="A81" s="444" t="b">
        <f t="shared" si="5"/>
        <v>0</v>
      </c>
      <c r="B81" s="292"/>
      <c r="C81" s="355" t="s">
        <v>3450</v>
      </c>
      <c r="D81" s="345" t="s">
        <v>3451</v>
      </c>
      <c r="E81" s="361" t="s">
        <v>3452</v>
      </c>
      <c r="F81" s="362">
        <v>0</v>
      </c>
      <c r="G81" s="365"/>
      <c r="H81" s="362">
        <v>0</v>
      </c>
      <c r="I81" s="365"/>
      <c r="J81" s="362">
        <v>0</v>
      </c>
      <c r="K81" s="365"/>
      <c r="L81" s="362">
        <v>1</v>
      </c>
      <c r="M81" s="368" t="s">
        <v>3453</v>
      </c>
      <c r="N81" s="362">
        <v>0</v>
      </c>
      <c r="O81" s="365"/>
      <c r="P81" s="368" t="s">
        <v>3454</v>
      </c>
      <c r="Q81" s="360">
        <v>1</v>
      </c>
      <c r="R81" s="351" t="e">
        <f>IF('Inhaltliche Bewertung - GI'!RechtsformGI=H$13,H81*Q81,IF('Inhaltliche Bewertung - GI'!RechtsformGI=J$13,J81*Q81,IF('Inhaltliche Bewertung - GI'!RechtsformGI=L$13,L81*Q81,IF('Inhaltliche Bewertung - GI'!RechtsformGI=N$13,N81*Q81,IF('Inhaltliche Bewertung - GI'!RechtsformGI=F$13,F81*Q81,"")))))</f>
        <v>#N/A</v>
      </c>
      <c r="S81" s="351" t="e">
        <f>IF('Inhaltliche Bewertung - GI'!RechtsformAngebot=H$13,H81*Q81,IF('Inhaltliche Bewertung - GI'!RechtsformAngebot=J$13,J81*Q81,IF('Inhaltliche Bewertung - GI'!RechtsformAngebot=L$13,L81*Q81,IF('Inhaltliche Bewertung - GI'!RechtsformAngebot=N$13,N81*Q81,IF('Inhaltliche Bewertung - GI'!RechtsformAngebot=F$13,F81*Q81,"")))))</f>
        <v>#N/A</v>
      </c>
      <c r="T81" s="351"/>
      <c r="U81" s="361" t="s">
        <v>3452</v>
      </c>
      <c r="V81" s="362">
        <v>0</v>
      </c>
      <c r="W81" s="365"/>
      <c r="X81" s="362">
        <v>0</v>
      </c>
      <c r="Y81" s="365"/>
      <c r="Z81" s="362">
        <v>0</v>
      </c>
      <c r="AA81" s="365"/>
      <c r="AB81" s="362">
        <v>1</v>
      </c>
      <c r="AC81" s="368" t="s">
        <v>3454</v>
      </c>
      <c r="AD81" s="362">
        <v>0</v>
      </c>
      <c r="AE81" s="365"/>
      <c r="AF81" s="368" t="s">
        <v>3454</v>
      </c>
      <c r="AG81" s="360">
        <v>1</v>
      </c>
      <c r="AH81" s="351" t="e">
        <f>IF('Inhaltliche Bewertung - GI'!RechtsformGI=X$13,X81*AG81,IF('Inhaltliche Bewertung - GI'!RechtsformGI=Z$13,Z81*AG81,IF('Inhaltliche Bewertung - GI'!RechtsformGI=AB$13,AB81*AG81,IF('Inhaltliche Bewertung - GI'!RechtsformGI=AD$13,AD81*AG81,IF('Inhaltliche Bewertung - GI'!RechtsformGI=V$13,V81*AG81,"")))))</f>
        <v>#N/A</v>
      </c>
      <c r="AI81" s="351" t="e">
        <f>IF('Inhaltliche Bewertung - GI'!RechtsformAngebot=X$13,X81*AG81,IF('Inhaltliche Bewertung - GI'!RechtsformAngebot=Z$13,Z81*AG81,IF('Inhaltliche Bewertung - GI'!RechtsformAngebot=AB$13,AB81*AG81,IF('Inhaltliche Bewertung - GI'!RechtsformAngebot=AD$13,AD81*AG81,IF('Inhaltliche Bewertung - GI'!RechtsformAngebot=V$13,V81*AG81,"")))))</f>
        <v>#N/A</v>
      </c>
      <c r="AJ81" s="351"/>
      <c r="AK81" s="361" t="s">
        <v>3452</v>
      </c>
      <c r="AL81" s="362">
        <v>0</v>
      </c>
      <c r="AM81" s="365"/>
      <c r="AN81" s="414">
        <v>0</v>
      </c>
      <c r="AO81" s="365"/>
      <c r="AP81" s="414">
        <v>0</v>
      </c>
      <c r="AQ81" s="365"/>
      <c r="AR81" s="362">
        <v>1</v>
      </c>
      <c r="AS81" s="368" t="s">
        <v>3454</v>
      </c>
      <c r="AT81" s="362">
        <v>0</v>
      </c>
      <c r="AU81" s="365"/>
      <c r="AV81" s="368" t="s">
        <v>3454</v>
      </c>
      <c r="AW81" s="360">
        <v>1</v>
      </c>
      <c r="AX81" s="351" t="e">
        <f>IF('Inhaltliche Bewertung - GI'!RechtsformGI=AN$13,AN81*AW81,IF('Inhaltliche Bewertung - GI'!RechtsformGI=AP$13,AP81*AW81,IF('Inhaltliche Bewertung - GI'!RechtsformGI=AR$13,AR81*AW81,IF('Inhaltliche Bewertung - GI'!RechtsformGI=AT$13,AT81*AW81,IF('Inhaltliche Bewertung - GI'!RechtsformGI=AL$13,AL81*AW81,"")))))</f>
        <v>#N/A</v>
      </c>
      <c r="AY81" s="351" t="e">
        <f>IF('Inhaltliche Bewertung - GI'!RechtsformAngebot=AN$13,AN81*AW81,IF('Inhaltliche Bewertung - GI'!RechtsformAngebot=AP$13,AP81*AW81,IF('Inhaltliche Bewertung - GI'!RechtsformAngebot=AR$13,AR81*AW81,IF('Inhaltliche Bewertung - GI'!RechtsformAngebot=AT$13,AT81*AW81,IF('Inhaltliche Bewertung - GI'!RechtsformAngebot=AL$13,AL81*AW81,"")))))</f>
        <v>#N/A</v>
      </c>
      <c r="AZ81" s="351"/>
      <c r="BA81" s="361" t="s">
        <v>3452</v>
      </c>
      <c r="BB81" s="362">
        <v>0</v>
      </c>
      <c r="BC81" s="365"/>
      <c r="BD81" s="414">
        <v>0</v>
      </c>
      <c r="BE81" s="365"/>
      <c r="BF81" s="414">
        <v>0</v>
      </c>
      <c r="BG81" s="365"/>
      <c r="BH81" s="362">
        <v>1</v>
      </c>
      <c r="BI81" s="368" t="s">
        <v>3454</v>
      </c>
      <c r="BJ81" s="362">
        <v>0</v>
      </c>
      <c r="BK81" s="365"/>
      <c r="BL81" s="368" t="s">
        <v>3454</v>
      </c>
      <c r="BM81" s="360">
        <v>1</v>
      </c>
      <c r="BN81" s="351" t="e">
        <f>IF('Inhaltliche Bewertung - GI'!RechtsformGI=BD$13,BD81*BM81,IF('Inhaltliche Bewertung - GI'!RechtsformGI=BF$13,BF81*BM81,IF('Inhaltliche Bewertung - GI'!RechtsformGI=BH$13,BH81*BM81,IF('Inhaltliche Bewertung - GI'!RechtsformGI=BJ$13,BJ81*BM81,IF('Inhaltliche Bewertung - GI'!RechtsformGI=BB$13,BB81*BM81,"")))))</f>
        <v>#N/A</v>
      </c>
      <c r="BO81" s="351" t="e">
        <f>IF('Inhaltliche Bewertung - GI'!RechtsformAngebot=BD$13,BD81*BM81,IF('Inhaltliche Bewertung - GI'!RechtsformAngebot=BF$13,BF81*BM81,IF('Inhaltliche Bewertung - GI'!RechtsformAngebot=BH$13,BH81*BM81,IF('Inhaltliche Bewertung - GI'!RechtsformAngebot=BJ$13,BJ81*BM81,IF('Inhaltliche Bewertung - GI'!RechtsformAngebot=BB$13,BB81*BM81,"")))))</f>
        <v>#N/A</v>
      </c>
      <c r="BP81" s="351"/>
      <c r="BQ81" s="361" t="s">
        <v>3452</v>
      </c>
      <c r="BR81" s="362">
        <v>0</v>
      </c>
      <c r="BS81" s="365"/>
      <c r="BT81" s="414">
        <v>0</v>
      </c>
      <c r="BU81" s="365"/>
      <c r="BV81" s="414">
        <v>0</v>
      </c>
      <c r="BW81" s="365"/>
      <c r="BX81" s="362">
        <v>1</v>
      </c>
      <c r="BY81" s="368" t="s">
        <v>3454</v>
      </c>
      <c r="BZ81" s="362">
        <v>0</v>
      </c>
      <c r="CA81" s="365"/>
      <c r="CB81" s="368" t="s">
        <v>3454</v>
      </c>
      <c r="CC81" s="360">
        <v>1</v>
      </c>
      <c r="CD81" s="351" t="e">
        <f>IF('Inhaltliche Bewertung - GI'!RechtsformGI=BT$13,BT81*CC81,IF('Inhaltliche Bewertung - GI'!RechtsformGI=BV$13,BV81*CC81,IF('Inhaltliche Bewertung - GI'!RechtsformGI=BX$13,BX81*CC81,IF('Inhaltliche Bewertung - GI'!RechtsformGI=BZ$13,BZ81*CC81,IF('Inhaltliche Bewertung - GI'!RechtsformGI=BR$13,BR81*CC81,"")))))</f>
        <v>#N/A</v>
      </c>
      <c r="CE81" s="351" t="e">
        <f>IF('Inhaltliche Bewertung - GI'!RechtsformAngebot=BT$13,BT81*CC81,IF('Inhaltliche Bewertung - GI'!RechtsformAngebot=BV$13,BV81*CC81,IF('Inhaltliche Bewertung - GI'!RechtsformAngebot=BX$13,BX81*CC81,IF('Inhaltliche Bewertung - GI'!RechtsformAngebot=BZ$13,BZ81*CC81,IF('Inhaltliche Bewertung - GI'!RechtsformAngebot=BR$13,BR81*CC81,"")))))</f>
        <v>#N/A</v>
      </c>
      <c r="CF81" s="351"/>
      <c r="CG81" s="361" t="s">
        <v>3455</v>
      </c>
      <c r="CH81" s="362">
        <v>0</v>
      </c>
      <c r="CI81" s="365"/>
      <c r="CJ81" s="414">
        <v>0</v>
      </c>
      <c r="CK81" s="365"/>
      <c r="CL81" s="414">
        <v>1</v>
      </c>
      <c r="CM81" s="365"/>
      <c r="CN81" s="362">
        <v>1</v>
      </c>
      <c r="CO81" s="368" t="s">
        <v>3454</v>
      </c>
      <c r="CP81" s="414">
        <v>0</v>
      </c>
      <c r="CQ81" s="365"/>
      <c r="CR81" s="368" t="s">
        <v>3454</v>
      </c>
      <c r="CS81" s="360">
        <v>1</v>
      </c>
      <c r="CT81" s="351" t="e">
        <f>IF('Inhaltliche Bewertung - GI'!RechtsformGI=CJ$13,CJ81*CS81,IF('Inhaltliche Bewertung - GI'!RechtsformGI=CL$13,CL81*CS81,IF('Inhaltliche Bewertung - GI'!RechtsformGI=CN$13,CN81*CS81,IF('Inhaltliche Bewertung - GI'!RechtsformGI=CP$13,CP81*CS81,IF('Inhaltliche Bewertung - GI'!RechtsformGI=CH$13,CH81*CS81,"")))))</f>
        <v>#N/A</v>
      </c>
      <c r="CU81" s="351" t="e">
        <f>IF('Inhaltliche Bewertung - GI'!RechtsformAngebot=CJ$13,CJ81*CS81,IF('Inhaltliche Bewertung - GI'!RechtsformAngebot=CL$13,CL81*CS81,IF('Inhaltliche Bewertung - GI'!RechtsformAngebot=CN$13,CN81*CS81,IF('Inhaltliche Bewertung - GI'!RechtsformAngebot=CP$13,CP81*CS81,IF('Inhaltliche Bewertung - GI'!RechtsformAngebot=CH$13,CH81*CS81,"")))))</f>
        <v>#N/A</v>
      </c>
      <c r="CV81" s="351"/>
      <c r="CW81" s="361" t="s">
        <v>3455</v>
      </c>
      <c r="CX81" s="362">
        <v>0</v>
      </c>
      <c r="CY81" s="365"/>
      <c r="CZ81" s="414">
        <v>0</v>
      </c>
      <c r="DA81" s="365"/>
      <c r="DB81" s="414">
        <v>0</v>
      </c>
      <c r="DC81" s="365"/>
      <c r="DD81" s="362">
        <v>1</v>
      </c>
      <c r="DE81" s="368" t="s">
        <v>3454</v>
      </c>
      <c r="DF81" s="362">
        <v>0</v>
      </c>
      <c r="DG81" s="365"/>
      <c r="DH81" s="368" t="s">
        <v>3454</v>
      </c>
      <c r="DI81" s="360">
        <v>1</v>
      </c>
      <c r="DJ81" s="351" t="e">
        <f>IF('Inhaltliche Bewertung - GI'!RechtsformGI=CZ$13,CZ81*DI81,IF('Inhaltliche Bewertung - GI'!RechtsformGI=DB$13,DB81*DI81,IF('Inhaltliche Bewertung - GI'!RechtsformGI=DD$13,DD81*DI81,IF('Inhaltliche Bewertung - GI'!RechtsformGI=DF$13,DF81*DI81,IF('Inhaltliche Bewertung - GI'!RechtsformGI=CX$13,CX81*DI81,"")))))</f>
        <v>#N/A</v>
      </c>
      <c r="DK81" s="351" t="e">
        <f>IF('Inhaltliche Bewertung - GI'!RechtsformAngebot=CZ$13,CZ81*DI81,IF('Inhaltliche Bewertung - GI'!RechtsformAngebot=DB$13,DB81*DI81,IF('Inhaltliche Bewertung - GI'!RechtsformAngebot=DD$13,DD81*DI81,IF('Inhaltliche Bewertung - GI'!RechtsformAngebot=DF$13,DF81*DI81,IF('Inhaltliche Bewertung - GI'!RechtsformAngebot=CX$13,CX81*DI81,"")))))</f>
        <v>#N/A</v>
      </c>
      <c r="DL81" s="351"/>
      <c r="DM81" s="361" t="s">
        <v>3452</v>
      </c>
      <c r="DN81" s="362">
        <v>0</v>
      </c>
      <c r="DO81" s="365"/>
      <c r="DP81" s="414">
        <v>0</v>
      </c>
      <c r="DQ81" s="365"/>
      <c r="DR81" s="414">
        <v>0</v>
      </c>
      <c r="DS81" s="365"/>
      <c r="DT81" s="362">
        <v>1</v>
      </c>
      <c r="DU81" s="368" t="s">
        <v>3454</v>
      </c>
      <c r="DV81" s="362">
        <v>0</v>
      </c>
      <c r="DW81" s="365"/>
      <c r="DX81" s="368" t="s">
        <v>3454</v>
      </c>
      <c r="DY81" s="360">
        <v>1</v>
      </c>
      <c r="DZ81" s="351" t="e">
        <f>IF('Inhaltliche Bewertung - GI'!RechtsformGI=DP$13,DP81*DY81,IF('Inhaltliche Bewertung - GI'!RechtsformGI=DR$13,DR81*DY81,IF('Inhaltliche Bewertung - GI'!RechtsformGI=DT$13,DT81*DY81,IF('Inhaltliche Bewertung - GI'!RechtsformGI=DV$13,DV81*DY81,IF('Inhaltliche Bewertung - GI'!RechtsformGI=DN$13,DN81*DY81,"")))))</f>
        <v>#N/A</v>
      </c>
      <c r="EA81" s="351" t="e">
        <f>IF('Inhaltliche Bewertung - GI'!RechtsformAngebot=DP$13,DP81*DY81,IF('Inhaltliche Bewertung - GI'!RechtsformAngebot=DR$13,DR81*DY81,IF('Inhaltliche Bewertung - GI'!RechtsformAngebot=DT$13,DT81*DY81,IF('Inhaltliche Bewertung - GI'!RechtsformAngebot=DV$13,DV81*DY81,IF('Inhaltliche Bewertung - GI'!RechtsformAngebot=DN$13,DN81*DY81,"")))))</f>
        <v>#N/A</v>
      </c>
      <c r="EB81" s="351"/>
      <c r="EC81" s="157">
        <f t="shared" si="1"/>
        <v>0</v>
      </c>
      <c r="ED81" s="157">
        <f t="shared" si="2"/>
        <v>1</v>
      </c>
      <c r="EE81" s="157">
        <f t="shared" si="3"/>
        <v>0.22500000000000001</v>
      </c>
      <c r="EF81" s="157">
        <f t="shared" si="4"/>
        <v>0</v>
      </c>
    </row>
    <row r="82" spans="1:136" ht="14.25" customHeight="1">
      <c r="A82" s="444" t="b">
        <f t="shared" si="5"/>
        <v>0</v>
      </c>
      <c r="B82" s="292"/>
      <c r="C82" s="355" t="s">
        <v>3456</v>
      </c>
      <c r="D82" s="345"/>
      <c r="E82" s="371" t="s">
        <v>3457</v>
      </c>
      <c r="F82" s="372">
        <v>0.9</v>
      </c>
      <c r="G82" s="358"/>
      <c r="H82" s="372">
        <v>0.9</v>
      </c>
      <c r="I82" s="358"/>
      <c r="J82" s="372">
        <v>0.9</v>
      </c>
      <c r="K82" s="358"/>
      <c r="L82" s="372">
        <v>0.9</v>
      </c>
      <c r="M82" s="358"/>
      <c r="N82" s="372">
        <v>0.9</v>
      </c>
      <c r="O82" s="358"/>
      <c r="P82" s="359"/>
      <c r="Q82" s="360">
        <v>1</v>
      </c>
      <c r="R82" s="351" t="e">
        <f>IF('Inhaltliche Bewertung - GI'!RechtsformGI=H$13,H82*Q82,IF('Inhaltliche Bewertung - GI'!RechtsformGI=J$13,J82*Q82,IF('Inhaltliche Bewertung - GI'!RechtsformGI=L$13,L82*Q82,IF('Inhaltliche Bewertung - GI'!RechtsformGI=N$13,N82*Q82,IF('Inhaltliche Bewertung - GI'!RechtsformGI=F$13,F82*Q82,"")))))</f>
        <v>#N/A</v>
      </c>
      <c r="S82" s="351" t="e">
        <f>IF('Inhaltliche Bewertung - GI'!RechtsformAngebot=H$13,H82*Q82,IF('Inhaltliche Bewertung - GI'!RechtsformAngebot=J$13,J82*Q82,IF('Inhaltliche Bewertung - GI'!RechtsformAngebot=L$13,L82*Q82,IF('Inhaltliche Bewertung - GI'!RechtsformAngebot=N$13,N82*Q82,IF('Inhaltliche Bewertung - GI'!RechtsformAngebot=F$13,F82*Q82,"")))))</f>
        <v>#N/A</v>
      </c>
      <c r="T82" s="351"/>
      <c r="U82" s="361" t="s">
        <v>3458</v>
      </c>
      <c r="V82" s="372">
        <v>0.9</v>
      </c>
      <c r="W82" s="358"/>
      <c r="X82" s="372">
        <v>0.9</v>
      </c>
      <c r="Y82" s="358"/>
      <c r="Z82" s="372">
        <v>0.9</v>
      </c>
      <c r="AA82" s="358"/>
      <c r="AB82" s="372">
        <v>0.9</v>
      </c>
      <c r="AC82" s="358"/>
      <c r="AD82" s="372">
        <v>0.9</v>
      </c>
      <c r="AE82" s="358"/>
      <c r="AF82" s="359"/>
      <c r="AG82" s="360">
        <v>1</v>
      </c>
      <c r="AH82" s="351" t="e">
        <f>IF('Inhaltliche Bewertung - GI'!RechtsformGI=X$13,X82*AG82,IF('Inhaltliche Bewertung - GI'!RechtsformGI=Z$13,Z82*AG82,IF('Inhaltliche Bewertung - GI'!RechtsformGI=AB$13,AB82*AG82,IF('Inhaltliche Bewertung - GI'!RechtsformGI=AD$13,AD82*AG82,IF('Inhaltliche Bewertung - GI'!RechtsformGI=V$13,V82*AG82,"")))))</f>
        <v>#N/A</v>
      </c>
      <c r="AI82" s="351" t="e">
        <f>IF('Inhaltliche Bewertung - GI'!RechtsformAngebot=X$13,X82*AG82,IF('Inhaltliche Bewertung - GI'!RechtsformAngebot=Z$13,Z82*AG82,IF('Inhaltliche Bewertung - GI'!RechtsformAngebot=AB$13,AB82*AG82,IF('Inhaltliche Bewertung - GI'!RechtsformAngebot=AD$13,AD82*AG82,IF('Inhaltliche Bewertung - GI'!RechtsformAngebot=V$13,V82*AG82,"")))))</f>
        <v>#N/A</v>
      </c>
      <c r="AJ82" s="351"/>
      <c r="AK82" s="361" t="s">
        <v>3458</v>
      </c>
      <c r="AL82" s="372">
        <v>0.9</v>
      </c>
      <c r="AM82" s="358"/>
      <c r="AN82" s="372">
        <v>0.9</v>
      </c>
      <c r="AO82" s="358"/>
      <c r="AP82" s="372">
        <v>0.9</v>
      </c>
      <c r="AQ82" s="358"/>
      <c r="AR82" s="372">
        <v>0.9</v>
      </c>
      <c r="AS82" s="358"/>
      <c r="AT82" s="372">
        <v>0.9</v>
      </c>
      <c r="AU82" s="358"/>
      <c r="AV82" s="359"/>
      <c r="AW82" s="360">
        <v>1</v>
      </c>
      <c r="AX82" s="351" t="e">
        <f>IF('Inhaltliche Bewertung - GI'!RechtsformGI=AN$13,AN82*AW82,IF('Inhaltliche Bewertung - GI'!RechtsformGI=AP$13,AP82*AW82,IF('Inhaltliche Bewertung - GI'!RechtsformGI=AR$13,AR82*AW82,IF('Inhaltliche Bewertung - GI'!RechtsformGI=AT$13,AT82*AW82,IF('Inhaltliche Bewertung - GI'!RechtsformGI=AL$13,AL82*AW82,"")))))</f>
        <v>#N/A</v>
      </c>
      <c r="AY82" s="351" t="e">
        <f>IF('Inhaltliche Bewertung - GI'!RechtsformAngebot=AN$13,AN82*AW82,IF('Inhaltliche Bewertung - GI'!RechtsformAngebot=AP$13,AP82*AW82,IF('Inhaltliche Bewertung - GI'!RechtsformAngebot=AR$13,AR82*AW82,IF('Inhaltliche Bewertung - GI'!RechtsformAngebot=AT$13,AT82*AW82,IF('Inhaltliche Bewertung - GI'!RechtsformAngebot=AL$13,AL82*AW82,"")))))</f>
        <v>#N/A</v>
      </c>
      <c r="AZ82" s="351"/>
      <c r="BA82" s="356" t="s">
        <v>3234</v>
      </c>
      <c r="BB82" s="381">
        <v>0</v>
      </c>
      <c r="BC82" s="358"/>
      <c r="BD82" s="381">
        <v>0</v>
      </c>
      <c r="BE82" s="358"/>
      <c r="BF82" s="381">
        <v>0</v>
      </c>
      <c r="BG82" s="358"/>
      <c r="BH82" s="381">
        <v>0</v>
      </c>
      <c r="BI82" s="358"/>
      <c r="BJ82" s="381">
        <v>0</v>
      </c>
      <c r="BK82" s="358"/>
      <c r="BL82" s="358"/>
      <c r="BM82" s="360">
        <v>1</v>
      </c>
      <c r="BN82" s="351" t="e">
        <f>IF('Inhaltliche Bewertung - GI'!RechtsformGI=BD$13,BD82*BM82,IF('Inhaltliche Bewertung - GI'!RechtsformGI=BF$13,BF82*BM82,IF('Inhaltliche Bewertung - GI'!RechtsformGI=BH$13,BH82*BM82,IF('Inhaltliche Bewertung - GI'!RechtsformGI=BJ$13,BJ82*BM82,IF('Inhaltliche Bewertung - GI'!RechtsformGI=BB$13,BB82*BM82,"")))))</f>
        <v>#N/A</v>
      </c>
      <c r="BO82" s="351" t="e">
        <f>IF('Inhaltliche Bewertung - GI'!RechtsformAngebot=BD$13,BD82*BM82,IF('Inhaltliche Bewertung - GI'!RechtsformAngebot=BF$13,BF82*BM82,IF('Inhaltliche Bewertung - GI'!RechtsformAngebot=BH$13,BH82*BM82,IF('Inhaltliche Bewertung - GI'!RechtsformAngebot=BJ$13,BJ82*BM82,IF('Inhaltliche Bewertung - GI'!RechtsformAngebot=BB$13,BB82*BM82,"")))))</f>
        <v>#N/A</v>
      </c>
      <c r="BP82" s="351"/>
      <c r="BQ82" s="361" t="s">
        <v>3458</v>
      </c>
      <c r="BR82" s="372">
        <v>0.9</v>
      </c>
      <c r="BS82" s="358"/>
      <c r="BT82" s="372">
        <v>0.9</v>
      </c>
      <c r="BU82" s="358"/>
      <c r="BV82" s="372">
        <v>0.9</v>
      </c>
      <c r="BW82" s="358"/>
      <c r="BX82" s="372">
        <v>0.9</v>
      </c>
      <c r="BY82" s="358"/>
      <c r="BZ82" s="372">
        <v>0.9</v>
      </c>
      <c r="CA82" s="358"/>
      <c r="CB82" s="359"/>
      <c r="CC82" s="360">
        <v>1</v>
      </c>
      <c r="CD82" s="351" t="e">
        <f>IF('Inhaltliche Bewertung - GI'!RechtsformGI=BT$13,BT82*CC82,IF('Inhaltliche Bewertung - GI'!RechtsformGI=BV$13,BV82*CC82,IF('Inhaltliche Bewertung - GI'!RechtsformGI=BX$13,BX82*CC82,IF('Inhaltliche Bewertung - GI'!RechtsformGI=BZ$13,BZ82*CC82,IF('Inhaltliche Bewertung - GI'!RechtsformGI=BR$13,BR82*CC82,"")))))</f>
        <v>#N/A</v>
      </c>
      <c r="CE82" s="351" t="e">
        <f>IF('Inhaltliche Bewertung - GI'!RechtsformAngebot=BT$13,BT82*CC82,IF('Inhaltliche Bewertung - GI'!RechtsformAngebot=BV$13,BV82*CC82,IF('Inhaltliche Bewertung - GI'!RechtsformAngebot=BX$13,BX82*CC82,IF('Inhaltliche Bewertung - GI'!RechtsformAngebot=BZ$13,BZ82*CC82,IF('Inhaltliche Bewertung - GI'!RechtsformAngebot=BR$13,BR82*CC82,"")))))</f>
        <v>#N/A</v>
      </c>
      <c r="CF82" s="351"/>
      <c r="CG82" s="361" t="s">
        <v>3458</v>
      </c>
      <c r="CH82" s="372">
        <v>0.9</v>
      </c>
      <c r="CI82" s="358"/>
      <c r="CJ82" s="372">
        <v>0.9</v>
      </c>
      <c r="CK82" s="358"/>
      <c r="CL82" s="372">
        <v>0.9</v>
      </c>
      <c r="CM82" s="358"/>
      <c r="CN82" s="372">
        <v>0.9</v>
      </c>
      <c r="CO82" s="358"/>
      <c r="CP82" s="372">
        <v>0.9</v>
      </c>
      <c r="CQ82" s="358"/>
      <c r="CR82" s="359"/>
      <c r="CS82" s="360">
        <v>1</v>
      </c>
      <c r="CT82" s="351" t="e">
        <f>IF('Inhaltliche Bewertung - GI'!RechtsformGI=CJ$13,CJ82*CS82,IF('Inhaltliche Bewertung - GI'!RechtsformGI=CL$13,CL82*CS82,IF('Inhaltliche Bewertung - GI'!RechtsformGI=CN$13,CN82*CS82,IF('Inhaltliche Bewertung - GI'!RechtsformGI=CP$13,CP82*CS82,IF('Inhaltliche Bewertung - GI'!RechtsformGI=CH$13,CH82*CS82,"")))))</f>
        <v>#N/A</v>
      </c>
      <c r="CU82" s="351" t="e">
        <f>IF('Inhaltliche Bewertung - GI'!RechtsformAngebot=CJ$13,CJ82*CS82,IF('Inhaltliche Bewertung - GI'!RechtsformAngebot=CL$13,CL82*CS82,IF('Inhaltliche Bewertung - GI'!RechtsformAngebot=CN$13,CN82*CS82,IF('Inhaltliche Bewertung - GI'!RechtsformAngebot=CP$13,CP82*CS82,IF('Inhaltliche Bewertung - GI'!RechtsformAngebot=CH$13,CH82*CS82,"")))))</f>
        <v>#N/A</v>
      </c>
      <c r="CV82" s="351"/>
      <c r="CW82" s="361" t="s">
        <v>3458</v>
      </c>
      <c r="CX82" s="372">
        <v>0.9</v>
      </c>
      <c r="CY82" s="358"/>
      <c r="CZ82" s="372">
        <v>0.9</v>
      </c>
      <c r="DA82" s="358"/>
      <c r="DB82" s="372">
        <v>0.9</v>
      </c>
      <c r="DC82" s="358"/>
      <c r="DD82" s="372">
        <v>0.9</v>
      </c>
      <c r="DE82" s="358"/>
      <c r="DF82" s="372">
        <v>0.9</v>
      </c>
      <c r="DG82" s="358"/>
      <c r="DH82" s="359"/>
      <c r="DI82" s="360">
        <v>1</v>
      </c>
      <c r="DJ82" s="351" t="e">
        <f>IF('Inhaltliche Bewertung - GI'!RechtsformGI=CZ$13,CZ82*DI82,IF('Inhaltliche Bewertung - GI'!RechtsformGI=DB$13,DB82*DI82,IF('Inhaltliche Bewertung - GI'!RechtsformGI=DD$13,DD82*DI82,IF('Inhaltliche Bewertung - GI'!RechtsformGI=DF$13,DF82*DI82,IF('Inhaltliche Bewertung - GI'!RechtsformGI=CX$13,CX82*DI82,"")))))</f>
        <v>#N/A</v>
      </c>
      <c r="DK82" s="351" t="e">
        <f>IF('Inhaltliche Bewertung - GI'!RechtsformAngebot=CZ$13,CZ82*DI82,IF('Inhaltliche Bewertung - GI'!RechtsformAngebot=DB$13,DB82*DI82,IF('Inhaltliche Bewertung - GI'!RechtsformAngebot=DD$13,DD82*DI82,IF('Inhaltliche Bewertung - GI'!RechtsformAngebot=DF$13,DF82*DI82,IF('Inhaltliche Bewertung - GI'!RechtsformAngebot=CX$13,CX82*DI82,"")))))</f>
        <v>#N/A</v>
      </c>
      <c r="DL82" s="351"/>
      <c r="DM82" s="356" t="s">
        <v>3234</v>
      </c>
      <c r="DN82" s="376">
        <v>0</v>
      </c>
      <c r="DO82" s="377"/>
      <c r="DP82" s="376">
        <v>0</v>
      </c>
      <c r="DQ82" s="377"/>
      <c r="DR82" s="376">
        <v>0</v>
      </c>
      <c r="DS82" s="377"/>
      <c r="DT82" s="376">
        <v>0</v>
      </c>
      <c r="DU82" s="377"/>
      <c r="DV82" s="376">
        <v>0</v>
      </c>
      <c r="DW82" s="377"/>
      <c r="DX82" s="377"/>
      <c r="DY82" s="360">
        <v>1</v>
      </c>
      <c r="DZ82" s="351" t="e">
        <f>IF('Inhaltliche Bewertung - GI'!RechtsformGI=DP$13,DP82*DY82,IF('Inhaltliche Bewertung - GI'!RechtsformGI=DR$13,DR82*DY82,IF('Inhaltliche Bewertung - GI'!RechtsformGI=DT$13,DT82*DY82,IF('Inhaltliche Bewertung - GI'!RechtsformGI=DV$13,DV82*DY82,IF('Inhaltliche Bewertung - GI'!RechtsformGI=DN$13,DN82*DY82,"")))))</f>
        <v>#N/A</v>
      </c>
      <c r="EA82" s="351" t="e">
        <f>IF('Inhaltliche Bewertung - GI'!RechtsformAngebot=DP$13,DP82*DY82,IF('Inhaltliche Bewertung - GI'!RechtsformAngebot=DR$13,DR82*DY82,IF('Inhaltliche Bewertung - GI'!RechtsformAngebot=DT$13,DT82*DY82,IF('Inhaltliche Bewertung - GI'!RechtsformAngebot=DV$13,DV82*DY82,IF('Inhaltliche Bewertung - GI'!RechtsformAngebot=DN$13,DN82*DY82,"")))))</f>
        <v>#N/A</v>
      </c>
      <c r="EB82" s="351"/>
      <c r="EC82" s="157">
        <f t="shared" si="1"/>
        <v>0</v>
      </c>
      <c r="ED82" s="157">
        <f t="shared" si="2"/>
        <v>0.9</v>
      </c>
      <c r="EE82" s="157">
        <f t="shared" si="3"/>
        <v>0.6749999999999996</v>
      </c>
      <c r="EF82" s="157">
        <f t="shared" si="4"/>
        <v>0.9</v>
      </c>
    </row>
    <row r="83" spans="1:136" ht="14.25" customHeight="1">
      <c r="A83" s="444" t="b">
        <f t="shared" si="5"/>
        <v>0</v>
      </c>
      <c r="B83" s="292"/>
      <c r="C83" s="355" t="s">
        <v>3459</v>
      </c>
      <c r="D83" s="345"/>
      <c r="E83" s="356" t="s">
        <v>3234</v>
      </c>
      <c r="F83" s="357">
        <v>0</v>
      </c>
      <c r="G83" s="358"/>
      <c r="H83" s="357">
        <v>0</v>
      </c>
      <c r="I83" s="358"/>
      <c r="J83" s="357">
        <v>0</v>
      </c>
      <c r="K83" s="358"/>
      <c r="L83" s="357">
        <v>0</v>
      </c>
      <c r="M83" s="358"/>
      <c r="N83" s="357">
        <v>0</v>
      </c>
      <c r="O83" s="358"/>
      <c r="P83" s="359"/>
      <c r="Q83" s="373">
        <v>1</v>
      </c>
      <c r="R83" s="351" t="e">
        <f>IF('Inhaltliche Bewertung - GI'!RechtsformGI=H$13,H83*Q83,IF('Inhaltliche Bewertung - GI'!RechtsformGI=J$13,J83*Q83,IF('Inhaltliche Bewertung - GI'!RechtsformGI=L$13,L83*Q83,IF('Inhaltliche Bewertung - GI'!RechtsformGI=N$13,N83*Q83,IF('Inhaltliche Bewertung - GI'!RechtsformGI=F$13,F83*Q83,"")))))</f>
        <v>#N/A</v>
      </c>
      <c r="S83" s="351" t="e">
        <f>IF('Inhaltliche Bewertung - GI'!RechtsformAngebot=H$13,H83*Q83,IF('Inhaltliche Bewertung - GI'!RechtsformAngebot=J$13,J83*Q83,IF('Inhaltliche Bewertung - GI'!RechtsformAngebot=L$13,L83*Q83,IF('Inhaltliche Bewertung - GI'!RechtsformAngebot=N$13,N83*Q83,IF('Inhaltliche Bewertung - GI'!RechtsformAngebot=F$13,F83*Q83,"")))))</f>
        <v>#N/A</v>
      </c>
      <c r="T83" s="351"/>
      <c r="U83" s="356" t="s">
        <v>3234</v>
      </c>
      <c r="V83" s="357">
        <v>0</v>
      </c>
      <c r="W83" s="374"/>
      <c r="X83" s="375">
        <v>0</v>
      </c>
      <c r="Y83" s="374"/>
      <c r="Z83" s="375">
        <v>0</v>
      </c>
      <c r="AA83" s="374"/>
      <c r="AB83" s="375">
        <v>0</v>
      </c>
      <c r="AC83" s="374"/>
      <c r="AD83" s="375">
        <v>0</v>
      </c>
      <c r="AE83" s="374"/>
      <c r="AF83" s="374"/>
      <c r="AG83" s="373">
        <v>1</v>
      </c>
      <c r="AH83" s="351" t="e">
        <f>IF('Inhaltliche Bewertung - GI'!RechtsformGI=X$13,X83*AG83,IF('Inhaltliche Bewertung - GI'!RechtsformGI=Z$13,Z83*AG83,IF('Inhaltliche Bewertung - GI'!RechtsformGI=AB$13,AB83*AG83,IF('Inhaltliche Bewertung - GI'!RechtsformGI=AD$13,AD83*AG83,IF('Inhaltliche Bewertung - GI'!RechtsformGI=V$13,V83*AG83,"")))))</f>
        <v>#N/A</v>
      </c>
      <c r="AI83" s="351" t="e">
        <f>IF('Inhaltliche Bewertung - GI'!RechtsformAngebot=X$13,X83*AG83,IF('Inhaltliche Bewertung - GI'!RechtsformAngebot=Z$13,Z83*AG83,IF('Inhaltliche Bewertung - GI'!RechtsformAngebot=AB$13,AB83*AG83,IF('Inhaltliche Bewertung - GI'!RechtsformAngebot=AD$13,AD83*AG83,IF('Inhaltliche Bewertung - GI'!RechtsformAngebot=V$13,V83*AG83,"")))))</f>
        <v>#N/A</v>
      </c>
      <c r="AJ83" s="351"/>
      <c r="AK83" s="361" t="s">
        <v>3460</v>
      </c>
      <c r="AL83" s="362">
        <v>1</v>
      </c>
      <c r="AM83" s="365"/>
      <c r="AN83" s="362">
        <v>1</v>
      </c>
      <c r="AO83" s="365"/>
      <c r="AP83" s="362">
        <v>1</v>
      </c>
      <c r="AQ83" s="365"/>
      <c r="AR83" s="362">
        <v>1</v>
      </c>
      <c r="AS83" s="365"/>
      <c r="AT83" s="362">
        <v>1</v>
      </c>
      <c r="AU83" s="365"/>
      <c r="AV83" s="365"/>
      <c r="AW83" s="373">
        <v>1</v>
      </c>
      <c r="AX83" s="351" t="e">
        <f>IF('Inhaltliche Bewertung - GI'!RechtsformGI=AN$13,AN83*AW83,IF('Inhaltliche Bewertung - GI'!RechtsformGI=AP$13,AP83*AW83,IF('Inhaltliche Bewertung - GI'!RechtsformGI=AR$13,AR83*AW83,IF('Inhaltliche Bewertung - GI'!RechtsformGI=AT$13,AT83*AW83,IF('Inhaltliche Bewertung - GI'!RechtsformGI=AL$13,AL83*AW83,"")))))</f>
        <v>#N/A</v>
      </c>
      <c r="AY83" s="351" t="e">
        <f>IF('Inhaltliche Bewertung - GI'!RechtsformAngebot=AN$13,AN83*AW83,IF('Inhaltliche Bewertung - GI'!RechtsformAngebot=AP$13,AP83*AW83,IF('Inhaltliche Bewertung - GI'!RechtsformAngebot=AR$13,AR83*AW83,IF('Inhaltliche Bewertung - GI'!RechtsformAngebot=AT$13,AT83*AW83,IF('Inhaltliche Bewertung - GI'!RechtsformAngebot=AL$13,AL83*AW83,"")))))</f>
        <v>#N/A</v>
      </c>
      <c r="AZ83" s="351"/>
      <c r="BA83" s="356" t="s">
        <v>3234</v>
      </c>
      <c r="BB83" s="381">
        <v>0</v>
      </c>
      <c r="BC83" s="358"/>
      <c r="BD83" s="381">
        <v>0</v>
      </c>
      <c r="BE83" s="358"/>
      <c r="BF83" s="381">
        <v>0</v>
      </c>
      <c r="BG83" s="358"/>
      <c r="BH83" s="381">
        <v>0</v>
      </c>
      <c r="BI83" s="358"/>
      <c r="BJ83" s="381">
        <v>0</v>
      </c>
      <c r="BK83" s="358"/>
      <c r="BL83" s="358"/>
      <c r="BM83" s="373">
        <v>1</v>
      </c>
      <c r="BN83" s="351" t="e">
        <f>IF('Inhaltliche Bewertung - GI'!RechtsformGI=BD$13,BD83*BM83,IF('Inhaltliche Bewertung - GI'!RechtsformGI=BF$13,BF83*BM83,IF('Inhaltliche Bewertung - GI'!RechtsformGI=BH$13,BH83*BM83,IF('Inhaltliche Bewertung - GI'!RechtsformGI=BJ$13,BJ83*BM83,IF('Inhaltliche Bewertung - GI'!RechtsformGI=BB$13,BB83*BM83,"")))))</f>
        <v>#N/A</v>
      </c>
      <c r="BO83" s="351" t="e">
        <f>IF('Inhaltliche Bewertung - GI'!RechtsformAngebot=BD$13,BD83*BM83,IF('Inhaltliche Bewertung - GI'!RechtsformAngebot=BF$13,BF83*BM83,IF('Inhaltliche Bewertung - GI'!RechtsformAngebot=BH$13,BH83*BM83,IF('Inhaltliche Bewertung - GI'!RechtsformAngebot=BJ$13,BJ83*BM83,IF('Inhaltliche Bewertung - GI'!RechtsformAngebot=BB$13,BB83*BM83,"")))))</f>
        <v>#N/A</v>
      </c>
      <c r="BP83" s="351"/>
      <c r="BQ83" s="356" t="s">
        <v>3234</v>
      </c>
      <c r="BR83" s="376">
        <v>0</v>
      </c>
      <c r="BS83" s="382"/>
      <c r="BT83" s="376">
        <v>0</v>
      </c>
      <c r="BU83" s="382"/>
      <c r="BV83" s="376">
        <v>0</v>
      </c>
      <c r="BW83" s="382"/>
      <c r="BX83" s="376">
        <v>0</v>
      </c>
      <c r="BY83" s="382"/>
      <c r="BZ83" s="376">
        <v>0</v>
      </c>
      <c r="CA83" s="382"/>
      <c r="CB83" s="382"/>
      <c r="CC83" s="373">
        <v>1</v>
      </c>
      <c r="CD83" s="351" t="e">
        <f>IF('Inhaltliche Bewertung - GI'!RechtsformGI=BT$13,BT83*CC83,IF('Inhaltliche Bewertung - GI'!RechtsformGI=BV$13,BV83*CC83,IF('Inhaltliche Bewertung - GI'!RechtsformGI=BX$13,BX83*CC83,IF('Inhaltliche Bewertung - GI'!RechtsformGI=BZ$13,BZ83*CC83,IF('Inhaltliche Bewertung - GI'!RechtsformGI=BR$13,BR83*CC83,"")))))</f>
        <v>#N/A</v>
      </c>
      <c r="CE83" s="351" t="e">
        <f>IF('Inhaltliche Bewertung - GI'!RechtsformAngebot=BT$13,BT83*CC83,IF('Inhaltliche Bewertung - GI'!RechtsformAngebot=BV$13,BV83*CC83,IF('Inhaltliche Bewertung - GI'!RechtsformAngebot=BX$13,BX83*CC83,IF('Inhaltliche Bewertung - GI'!RechtsformAngebot=BZ$13,BZ83*CC83,IF('Inhaltliche Bewertung - GI'!RechtsformAngebot=BR$13,BR83*CC83,"")))))</f>
        <v>#N/A</v>
      </c>
      <c r="CF83" s="351"/>
      <c r="CG83" s="356" t="s">
        <v>3234</v>
      </c>
      <c r="CH83" s="376">
        <v>0</v>
      </c>
      <c r="CI83" s="377"/>
      <c r="CJ83" s="376">
        <v>0</v>
      </c>
      <c r="CK83" s="377"/>
      <c r="CL83" s="376">
        <v>0</v>
      </c>
      <c r="CM83" s="377"/>
      <c r="CN83" s="376">
        <v>0</v>
      </c>
      <c r="CO83" s="377"/>
      <c r="CP83" s="376">
        <v>0</v>
      </c>
      <c r="CQ83" s="377"/>
      <c r="CR83" s="377"/>
      <c r="CS83" s="373">
        <v>1</v>
      </c>
      <c r="CT83" s="351" t="e">
        <f>IF('Inhaltliche Bewertung - GI'!RechtsformGI=CJ$13,CJ83*CS83,IF('Inhaltliche Bewertung - GI'!RechtsformGI=CL$13,CL83*CS83,IF('Inhaltliche Bewertung - GI'!RechtsformGI=CN$13,CN83*CS83,IF('Inhaltliche Bewertung - GI'!RechtsformGI=CP$13,CP83*CS83,IF('Inhaltliche Bewertung - GI'!RechtsformGI=CH$13,CH83*CS83,"")))))</f>
        <v>#N/A</v>
      </c>
      <c r="CU83" s="351" t="e">
        <f>IF('Inhaltliche Bewertung - GI'!RechtsformAngebot=CJ$13,CJ83*CS83,IF('Inhaltliche Bewertung - GI'!RechtsformAngebot=CL$13,CL83*CS83,IF('Inhaltliche Bewertung - GI'!RechtsformAngebot=CN$13,CN83*CS83,IF('Inhaltliche Bewertung - GI'!RechtsformAngebot=CP$13,CP83*CS83,IF('Inhaltliche Bewertung - GI'!RechtsformAngebot=CH$13,CH83*CS83,"")))))</f>
        <v>#N/A</v>
      </c>
      <c r="CV83" s="351"/>
      <c r="CW83" s="361" t="s">
        <v>3460</v>
      </c>
      <c r="CX83" s="367">
        <v>1</v>
      </c>
      <c r="CY83" s="368"/>
      <c r="CZ83" s="367">
        <v>1</v>
      </c>
      <c r="DA83" s="369"/>
      <c r="DB83" s="367">
        <v>1</v>
      </c>
      <c r="DC83" s="368"/>
      <c r="DD83" s="367">
        <v>1</v>
      </c>
      <c r="DE83" s="368"/>
      <c r="DF83" s="367">
        <v>1</v>
      </c>
      <c r="DG83" s="368"/>
      <c r="DH83" s="368"/>
      <c r="DI83" s="373">
        <v>1</v>
      </c>
      <c r="DJ83" s="351" t="e">
        <f>IF('Inhaltliche Bewertung - GI'!RechtsformGI=CZ$13,CZ83*DI83,IF('Inhaltliche Bewertung - GI'!RechtsformGI=DB$13,DB83*DI83,IF('Inhaltliche Bewertung - GI'!RechtsformGI=DD$13,DD83*DI83,IF('Inhaltliche Bewertung - GI'!RechtsformGI=DF$13,DF83*DI83,IF('Inhaltliche Bewertung - GI'!RechtsformGI=CX$13,CX83*DI83,"")))))</f>
        <v>#N/A</v>
      </c>
      <c r="DK83" s="351" t="e">
        <f>IF('Inhaltliche Bewertung - GI'!RechtsformAngebot=CZ$13,CZ83*DI83,IF('Inhaltliche Bewertung - GI'!RechtsformAngebot=DB$13,DB83*DI83,IF('Inhaltliche Bewertung - GI'!RechtsformAngebot=DD$13,DD83*DI83,IF('Inhaltliche Bewertung - GI'!RechtsformAngebot=DF$13,DF83*DI83,IF('Inhaltliche Bewertung - GI'!RechtsformAngebot=CX$13,CX83*DI83,"")))))</f>
        <v>#N/A</v>
      </c>
      <c r="DL83" s="351"/>
      <c r="DM83" s="361" t="s">
        <v>3461</v>
      </c>
      <c r="DN83" s="367">
        <v>1</v>
      </c>
      <c r="DO83" s="368"/>
      <c r="DP83" s="367">
        <v>1</v>
      </c>
      <c r="DQ83" s="368"/>
      <c r="DR83" s="367">
        <v>1</v>
      </c>
      <c r="DS83" s="368"/>
      <c r="DT83" s="367">
        <v>1</v>
      </c>
      <c r="DU83" s="368"/>
      <c r="DV83" s="367">
        <v>1</v>
      </c>
      <c r="DW83" s="368"/>
      <c r="DX83" s="368"/>
      <c r="DY83" s="373">
        <v>1</v>
      </c>
      <c r="DZ83" s="351" t="e">
        <f>IF('Inhaltliche Bewertung - GI'!RechtsformGI=DP$13,DP83*DY83,IF('Inhaltliche Bewertung - GI'!RechtsformGI=DR$13,DR83*DY83,IF('Inhaltliche Bewertung - GI'!RechtsformGI=DT$13,DT83*DY83,IF('Inhaltliche Bewertung - GI'!RechtsformGI=DV$13,DV83*DY83,IF('Inhaltliche Bewertung - GI'!RechtsformGI=DN$13,DN83*DY83,"")))))</f>
        <v>#N/A</v>
      </c>
      <c r="EA83" s="351" t="e">
        <f>IF('Inhaltliche Bewertung - GI'!RechtsformAngebot=DP$13,DP83*DY83,IF('Inhaltliche Bewertung - GI'!RechtsformAngebot=DR$13,DR83*DY83,IF('Inhaltliche Bewertung - GI'!RechtsformAngebot=DT$13,DT83*DY83,IF('Inhaltliche Bewertung - GI'!RechtsformAngebot=DV$13,DV83*DY83,IF('Inhaltliche Bewertung - GI'!RechtsformAngebot=DN$13,DN83*DY83,"")))))</f>
        <v>#N/A</v>
      </c>
      <c r="EB83" s="351"/>
      <c r="EC83" s="157">
        <f t="shared" si="1"/>
        <v>0</v>
      </c>
      <c r="ED83" s="157">
        <f t="shared" si="2"/>
        <v>1</v>
      </c>
      <c r="EE83" s="157">
        <f t="shared" si="3"/>
        <v>0.375</v>
      </c>
      <c r="EF83" s="157">
        <f t="shared" si="4"/>
        <v>0</v>
      </c>
    </row>
    <row r="84" spans="1:136" ht="14.25" customHeight="1">
      <c r="A84" s="444" t="b">
        <f t="shared" si="5"/>
        <v>1</v>
      </c>
      <c r="B84" s="292"/>
      <c r="C84" s="355" t="s">
        <v>3462</v>
      </c>
      <c r="D84" s="345"/>
      <c r="E84" s="361" t="s">
        <v>3463</v>
      </c>
      <c r="F84" s="362">
        <v>1</v>
      </c>
      <c r="G84" s="365"/>
      <c r="H84" s="362">
        <v>1</v>
      </c>
      <c r="I84" s="365"/>
      <c r="J84" s="362">
        <v>1</v>
      </c>
      <c r="K84" s="365"/>
      <c r="L84" s="362">
        <v>1</v>
      </c>
      <c r="M84" s="365"/>
      <c r="N84" s="362">
        <v>1</v>
      </c>
      <c r="O84" s="365"/>
      <c r="P84" s="370"/>
      <c r="Q84" s="360">
        <v>1</v>
      </c>
      <c r="R84" s="351" t="e">
        <f>IF('Inhaltliche Bewertung - GI'!RechtsformGI=H$13,H84*Q84,IF('Inhaltliche Bewertung - GI'!RechtsformGI=J$13,J84*Q84,IF('Inhaltliche Bewertung - GI'!RechtsformGI=L$13,L84*Q84,IF('Inhaltliche Bewertung - GI'!RechtsformGI=N$13,N84*Q84,IF('Inhaltliche Bewertung - GI'!RechtsformGI=F$13,F84*Q84,"")))))</f>
        <v>#N/A</v>
      </c>
      <c r="S84" s="351" t="e">
        <f>IF('Inhaltliche Bewertung - GI'!RechtsformAngebot=H$13,H84*Q84,IF('Inhaltliche Bewertung - GI'!RechtsformAngebot=J$13,J84*Q84,IF('Inhaltliche Bewertung - GI'!RechtsformAngebot=L$13,L84*Q84,IF('Inhaltliche Bewertung - GI'!RechtsformAngebot=N$13,N84*Q84,IF('Inhaltliche Bewertung - GI'!RechtsformAngebot=F$13,F84*Q84,"")))))</f>
        <v>#N/A</v>
      </c>
      <c r="T84" s="351"/>
      <c r="U84" s="361" t="s">
        <v>3464</v>
      </c>
      <c r="V84" s="362">
        <v>1</v>
      </c>
      <c r="W84" s="365"/>
      <c r="X84" s="362">
        <v>1</v>
      </c>
      <c r="Y84" s="365"/>
      <c r="Z84" s="362">
        <v>1</v>
      </c>
      <c r="AA84" s="365"/>
      <c r="AB84" s="362">
        <v>1</v>
      </c>
      <c r="AC84" s="365"/>
      <c r="AD84" s="362">
        <v>1</v>
      </c>
      <c r="AE84" s="365"/>
      <c r="AF84" s="370"/>
      <c r="AG84" s="360">
        <v>1</v>
      </c>
      <c r="AH84" s="351" t="e">
        <f>IF('Inhaltliche Bewertung - GI'!RechtsformGI=X$13,X84*AG84,IF('Inhaltliche Bewertung - GI'!RechtsformGI=Z$13,Z84*AG84,IF('Inhaltliche Bewertung - GI'!RechtsformGI=AB$13,AB84*AG84,IF('Inhaltliche Bewertung - GI'!RechtsformGI=AD$13,AD84*AG84,IF('Inhaltliche Bewertung - GI'!RechtsformGI=V$13,V84*AG84,"")))))</f>
        <v>#N/A</v>
      </c>
      <c r="AI84" s="351" t="e">
        <f>IF('Inhaltliche Bewertung - GI'!RechtsformAngebot=X$13,X84*AG84,IF('Inhaltliche Bewertung - GI'!RechtsformAngebot=Z$13,Z84*AG84,IF('Inhaltliche Bewertung - GI'!RechtsformAngebot=AB$13,AB84*AG84,IF('Inhaltliche Bewertung - GI'!RechtsformAngebot=AD$13,AD84*AG84,IF('Inhaltliche Bewertung - GI'!RechtsformAngebot=V$13,V84*AG84,"")))))</f>
        <v>#N/A</v>
      </c>
      <c r="AJ84" s="351"/>
      <c r="AK84" s="361" t="s">
        <v>3465</v>
      </c>
      <c r="AL84" s="362">
        <v>1</v>
      </c>
      <c r="AM84" s="365"/>
      <c r="AN84" s="362">
        <v>1</v>
      </c>
      <c r="AO84" s="365"/>
      <c r="AP84" s="362">
        <v>1</v>
      </c>
      <c r="AQ84" s="365"/>
      <c r="AR84" s="362">
        <v>1</v>
      </c>
      <c r="AS84" s="365"/>
      <c r="AT84" s="362">
        <v>1</v>
      </c>
      <c r="AU84" s="365"/>
      <c r="AV84" s="370"/>
      <c r="AW84" s="360">
        <v>1</v>
      </c>
      <c r="AX84" s="351" t="e">
        <f>IF('Inhaltliche Bewertung - GI'!RechtsformGI=AN$13,AN84*AW84,IF('Inhaltliche Bewertung - GI'!RechtsformGI=AP$13,AP84*AW84,IF('Inhaltliche Bewertung - GI'!RechtsformGI=AR$13,AR84*AW84,IF('Inhaltliche Bewertung - GI'!RechtsformGI=AT$13,AT84*AW84,IF('Inhaltliche Bewertung - GI'!RechtsformGI=AL$13,AL84*AW84,"")))))</f>
        <v>#N/A</v>
      </c>
      <c r="AY84" s="351" t="e">
        <f>IF('Inhaltliche Bewertung - GI'!RechtsformAngebot=AN$13,AN84*AW84,IF('Inhaltliche Bewertung - GI'!RechtsformAngebot=AP$13,AP84*AW84,IF('Inhaltliche Bewertung - GI'!RechtsformAngebot=AR$13,AR84*AW84,IF('Inhaltliche Bewertung - GI'!RechtsformAngebot=AT$13,AT84*AW84,IF('Inhaltliche Bewertung - GI'!RechtsformAngebot=AL$13,AL84*AW84,"")))))</f>
        <v>#N/A</v>
      </c>
      <c r="AZ84" s="351"/>
      <c r="BA84" s="361" t="s">
        <v>3466</v>
      </c>
      <c r="BB84" s="362">
        <v>1</v>
      </c>
      <c r="BC84" s="365"/>
      <c r="BD84" s="362">
        <v>1</v>
      </c>
      <c r="BE84" s="365"/>
      <c r="BF84" s="362">
        <v>1</v>
      </c>
      <c r="BG84" s="365"/>
      <c r="BH84" s="362">
        <v>1</v>
      </c>
      <c r="BI84" s="365"/>
      <c r="BJ84" s="362">
        <v>1</v>
      </c>
      <c r="BK84" s="365"/>
      <c r="BL84" s="370"/>
      <c r="BM84" s="360">
        <v>1</v>
      </c>
      <c r="BN84" s="351" t="e">
        <f>IF('Inhaltliche Bewertung - GI'!RechtsformGI=BD$13,BD84*BM84,IF('Inhaltliche Bewertung - GI'!RechtsformGI=BF$13,BF84*BM84,IF('Inhaltliche Bewertung - GI'!RechtsformGI=BH$13,BH84*BM84,IF('Inhaltliche Bewertung - GI'!RechtsformGI=BJ$13,BJ84*BM84,IF('Inhaltliche Bewertung - GI'!RechtsformGI=BB$13,BB84*BM84,"")))))</f>
        <v>#N/A</v>
      </c>
      <c r="BO84" s="351" t="e">
        <f>IF('Inhaltliche Bewertung - GI'!RechtsformAngebot=BD$13,BD84*BM84,IF('Inhaltliche Bewertung - GI'!RechtsformAngebot=BF$13,BF84*BM84,IF('Inhaltliche Bewertung - GI'!RechtsformAngebot=BH$13,BH84*BM84,IF('Inhaltliche Bewertung - GI'!RechtsformAngebot=BJ$13,BJ84*BM84,IF('Inhaltliche Bewertung - GI'!RechtsformAngebot=BB$13,BB84*BM84,"")))))</f>
        <v>#N/A</v>
      </c>
      <c r="BP84" s="351"/>
      <c r="BQ84" s="361" t="s">
        <v>3466</v>
      </c>
      <c r="BR84" s="362">
        <v>1</v>
      </c>
      <c r="BS84" s="365"/>
      <c r="BT84" s="362">
        <v>1</v>
      </c>
      <c r="BU84" s="365"/>
      <c r="BV84" s="362">
        <v>1</v>
      </c>
      <c r="BW84" s="365"/>
      <c r="BX84" s="362">
        <v>1</v>
      </c>
      <c r="BY84" s="365"/>
      <c r="BZ84" s="362">
        <v>1</v>
      </c>
      <c r="CA84" s="365"/>
      <c r="CB84" s="370"/>
      <c r="CC84" s="360">
        <v>1</v>
      </c>
      <c r="CD84" s="351" t="e">
        <f>IF('Inhaltliche Bewertung - GI'!RechtsformGI=BT$13,BT84*CC84,IF('Inhaltliche Bewertung - GI'!RechtsformGI=BV$13,BV84*CC84,IF('Inhaltliche Bewertung - GI'!RechtsformGI=BX$13,BX84*CC84,IF('Inhaltliche Bewertung - GI'!RechtsformGI=BZ$13,BZ84*CC84,IF('Inhaltliche Bewertung - GI'!RechtsformGI=BR$13,BR84*CC84,"")))))</f>
        <v>#N/A</v>
      </c>
      <c r="CE84" s="351" t="e">
        <f>IF('Inhaltliche Bewertung - GI'!RechtsformAngebot=BT$13,BT84*CC84,IF('Inhaltliche Bewertung - GI'!RechtsformAngebot=BV$13,BV84*CC84,IF('Inhaltliche Bewertung - GI'!RechtsformAngebot=BX$13,BX84*CC84,IF('Inhaltliche Bewertung - GI'!RechtsformAngebot=BZ$13,BZ84*CC84,IF('Inhaltliche Bewertung - GI'!RechtsformAngebot=BR$13,BR84*CC84,"")))))</f>
        <v>#N/A</v>
      </c>
      <c r="CF84" s="351"/>
      <c r="CG84" s="361" t="s">
        <v>3467</v>
      </c>
      <c r="CH84" s="362">
        <v>1</v>
      </c>
      <c r="CI84" s="365"/>
      <c r="CJ84" s="362">
        <v>1</v>
      </c>
      <c r="CK84" s="365"/>
      <c r="CL84" s="362">
        <v>1</v>
      </c>
      <c r="CM84" s="365"/>
      <c r="CN84" s="362">
        <v>1</v>
      </c>
      <c r="CO84" s="365"/>
      <c r="CP84" s="362">
        <v>1</v>
      </c>
      <c r="CQ84" s="365"/>
      <c r="CR84" s="370"/>
      <c r="CS84" s="360">
        <v>1</v>
      </c>
      <c r="CT84" s="351" t="e">
        <f>IF('Inhaltliche Bewertung - GI'!RechtsformGI=CJ$13,CJ84*CS84,IF('Inhaltliche Bewertung - GI'!RechtsformGI=CL$13,CL84*CS84,IF('Inhaltliche Bewertung - GI'!RechtsformGI=CN$13,CN84*CS84,IF('Inhaltliche Bewertung - GI'!RechtsformGI=CP$13,CP84*CS84,IF('Inhaltliche Bewertung - GI'!RechtsformGI=CH$13,CH84*CS84,"")))))</f>
        <v>#N/A</v>
      </c>
      <c r="CU84" s="351" t="e">
        <f>IF('Inhaltliche Bewertung - GI'!RechtsformAngebot=CJ$13,CJ84*CS84,IF('Inhaltliche Bewertung - GI'!RechtsformAngebot=CL$13,CL84*CS84,IF('Inhaltliche Bewertung - GI'!RechtsformAngebot=CN$13,CN84*CS84,IF('Inhaltliche Bewertung - GI'!RechtsformAngebot=CP$13,CP84*CS84,IF('Inhaltliche Bewertung - GI'!RechtsformAngebot=CH$13,CH84*CS84,"")))))</f>
        <v>#N/A</v>
      </c>
      <c r="CV84" s="351"/>
      <c r="CW84" s="361" t="s">
        <v>3468</v>
      </c>
      <c r="CX84" s="362">
        <v>1</v>
      </c>
      <c r="CY84" s="365"/>
      <c r="CZ84" s="362">
        <v>1</v>
      </c>
      <c r="DA84" s="365"/>
      <c r="DB84" s="362">
        <v>1</v>
      </c>
      <c r="DC84" s="365"/>
      <c r="DD84" s="362">
        <v>1</v>
      </c>
      <c r="DE84" s="365"/>
      <c r="DF84" s="362">
        <v>1</v>
      </c>
      <c r="DG84" s="365"/>
      <c r="DH84" s="370"/>
      <c r="DI84" s="360">
        <v>1</v>
      </c>
      <c r="DJ84" s="351" t="e">
        <f>IF('Inhaltliche Bewertung - GI'!RechtsformGI=CZ$13,CZ84*DI84,IF('Inhaltliche Bewertung - GI'!RechtsformGI=DB$13,DB84*DI84,IF('Inhaltliche Bewertung - GI'!RechtsformGI=DD$13,DD84*DI84,IF('Inhaltliche Bewertung - GI'!RechtsformGI=DF$13,DF84*DI84,IF('Inhaltliche Bewertung - GI'!RechtsformGI=CX$13,CX84*DI84,"")))))</f>
        <v>#N/A</v>
      </c>
      <c r="DK84" s="351" t="e">
        <f>IF('Inhaltliche Bewertung - GI'!RechtsformAngebot=CZ$13,CZ84*DI84,IF('Inhaltliche Bewertung - GI'!RechtsformAngebot=DB$13,DB84*DI84,IF('Inhaltliche Bewertung - GI'!RechtsformAngebot=DD$13,DD84*DI84,IF('Inhaltliche Bewertung - GI'!RechtsformAngebot=DF$13,DF84*DI84,IF('Inhaltliche Bewertung - GI'!RechtsformAngebot=CX$13,CX84*DI84,"")))))</f>
        <v>#N/A</v>
      </c>
      <c r="DL84" s="351"/>
      <c r="DM84" s="361" t="s">
        <v>3469</v>
      </c>
      <c r="DN84" s="362">
        <v>1</v>
      </c>
      <c r="DO84" s="365"/>
      <c r="DP84" s="362">
        <v>1</v>
      </c>
      <c r="DQ84" s="365"/>
      <c r="DR84" s="362">
        <v>1</v>
      </c>
      <c r="DS84" s="365"/>
      <c r="DT84" s="362">
        <v>1</v>
      </c>
      <c r="DU84" s="365"/>
      <c r="DV84" s="362">
        <v>1</v>
      </c>
      <c r="DW84" s="365"/>
      <c r="DX84" s="370"/>
      <c r="DY84" s="360">
        <v>1</v>
      </c>
      <c r="DZ84" s="351" t="e">
        <f>IF('Inhaltliche Bewertung - GI'!RechtsformGI=DP$13,DP84*DY84,IF('Inhaltliche Bewertung - GI'!RechtsformGI=DR$13,DR84*DY84,IF('Inhaltliche Bewertung - GI'!RechtsformGI=DT$13,DT84*DY84,IF('Inhaltliche Bewertung - GI'!RechtsformGI=DV$13,DV84*DY84,IF('Inhaltliche Bewertung - GI'!RechtsformGI=DN$13,DN84*DY84,"")))))</f>
        <v>#N/A</v>
      </c>
      <c r="EA84" s="351" t="e">
        <f>IF('Inhaltliche Bewertung - GI'!RechtsformAngebot=DP$13,DP84*DY84,IF('Inhaltliche Bewertung - GI'!RechtsformAngebot=DR$13,DR84*DY84,IF('Inhaltliche Bewertung - GI'!RechtsformAngebot=DT$13,DT84*DY84,IF('Inhaltliche Bewertung - GI'!RechtsformAngebot=DV$13,DV84*DY84,IF('Inhaltliche Bewertung - GI'!RechtsformAngebot=DN$13,DN84*DY84,"")))))</f>
        <v>#N/A</v>
      </c>
      <c r="EB84" s="351"/>
      <c r="EC84" s="157">
        <f t="shared" si="1"/>
        <v>1</v>
      </c>
      <c r="ED84" s="157">
        <f t="shared" si="2"/>
        <v>1</v>
      </c>
      <c r="EE84" s="157">
        <f t="shared" si="3"/>
        <v>1</v>
      </c>
      <c r="EF84" s="157">
        <f t="shared" si="4"/>
        <v>1</v>
      </c>
    </row>
    <row r="85" spans="1:136" ht="14.25" customHeight="1">
      <c r="A85" s="444" t="b">
        <f t="shared" si="5"/>
        <v>0</v>
      </c>
      <c r="B85" s="292"/>
      <c r="C85" s="355" t="s">
        <v>3470</v>
      </c>
      <c r="D85" s="345"/>
      <c r="E85" s="356" t="s">
        <v>3234</v>
      </c>
      <c r="F85" s="357">
        <v>0</v>
      </c>
      <c r="G85" s="358"/>
      <c r="H85" s="357">
        <v>0</v>
      </c>
      <c r="I85" s="358"/>
      <c r="J85" s="357">
        <v>0</v>
      </c>
      <c r="K85" s="358"/>
      <c r="L85" s="357">
        <v>0</v>
      </c>
      <c r="M85" s="358"/>
      <c r="N85" s="357">
        <v>0</v>
      </c>
      <c r="O85" s="358"/>
      <c r="P85" s="359"/>
      <c r="Q85" s="373">
        <v>1</v>
      </c>
      <c r="R85" s="351" t="e">
        <f>IF('Inhaltliche Bewertung - GI'!RechtsformGI=H$13,H85*Q85,IF('Inhaltliche Bewertung - GI'!RechtsformGI=J$13,J85*Q85,IF('Inhaltliche Bewertung - GI'!RechtsformGI=L$13,L85*Q85,IF('Inhaltliche Bewertung - GI'!RechtsformGI=N$13,N85*Q85,IF('Inhaltliche Bewertung - GI'!RechtsformGI=F$13,F85*Q85,"")))))</f>
        <v>#N/A</v>
      </c>
      <c r="S85" s="351" t="e">
        <f>IF('Inhaltliche Bewertung - GI'!RechtsformAngebot=H$13,H85*Q85,IF('Inhaltliche Bewertung - GI'!RechtsformAngebot=J$13,J85*Q85,IF('Inhaltliche Bewertung - GI'!RechtsformAngebot=L$13,L85*Q85,IF('Inhaltliche Bewertung - GI'!RechtsformAngebot=N$13,N85*Q85,IF('Inhaltliche Bewertung - GI'!RechtsformAngebot=F$13,F85*Q85,"")))))</f>
        <v>#N/A</v>
      </c>
      <c r="T85" s="351"/>
      <c r="U85" s="356" t="s">
        <v>3234</v>
      </c>
      <c r="V85" s="357">
        <v>0</v>
      </c>
      <c r="W85" s="374"/>
      <c r="X85" s="375">
        <v>0</v>
      </c>
      <c r="Y85" s="374"/>
      <c r="Z85" s="375">
        <v>0</v>
      </c>
      <c r="AA85" s="374"/>
      <c r="AB85" s="375">
        <v>0</v>
      </c>
      <c r="AC85" s="374"/>
      <c r="AD85" s="375">
        <v>0</v>
      </c>
      <c r="AE85" s="374"/>
      <c r="AF85" s="374"/>
      <c r="AG85" s="373">
        <v>1</v>
      </c>
      <c r="AH85" s="351" t="e">
        <f>IF('Inhaltliche Bewertung - GI'!RechtsformGI=X$13,X85*AG85,IF('Inhaltliche Bewertung - GI'!RechtsformGI=Z$13,Z85*AG85,IF('Inhaltliche Bewertung - GI'!RechtsformGI=AB$13,AB85*AG85,IF('Inhaltliche Bewertung - GI'!RechtsformGI=AD$13,AD85*AG85,IF('Inhaltliche Bewertung - GI'!RechtsformGI=V$13,V85*AG85,"")))))</f>
        <v>#N/A</v>
      </c>
      <c r="AI85" s="351" t="e">
        <f>IF('Inhaltliche Bewertung - GI'!RechtsformAngebot=X$13,X85*AG85,IF('Inhaltliche Bewertung - GI'!RechtsformAngebot=Z$13,Z85*AG85,IF('Inhaltliche Bewertung - GI'!RechtsformAngebot=AB$13,AB85*AG85,IF('Inhaltliche Bewertung - GI'!RechtsformAngebot=AD$13,AD85*AG85,IF('Inhaltliche Bewertung - GI'!RechtsformAngebot=V$13,V85*AG85,"")))))</f>
        <v>#N/A</v>
      </c>
      <c r="AJ85" s="351"/>
      <c r="AK85" s="371" t="s">
        <v>3471</v>
      </c>
      <c r="AL85" s="372">
        <v>0.7</v>
      </c>
      <c r="AM85" s="358"/>
      <c r="AN85" s="372">
        <v>0.7</v>
      </c>
      <c r="AO85" s="358"/>
      <c r="AP85" s="372">
        <v>0.7</v>
      </c>
      <c r="AQ85" s="358"/>
      <c r="AR85" s="372">
        <v>0.7</v>
      </c>
      <c r="AS85" s="358"/>
      <c r="AT85" s="372">
        <v>0.7</v>
      </c>
      <c r="AU85" s="358"/>
      <c r="AV85" s="358"/>
      <c r="AW85" s="373">
        <v>1</v>
      </c>
      <c r="AX85" s="351" t="e">
        <f>IF('Inhaltliche Bewertung - GI'!RechtsformGI=AN$13,AN85*AW85,IF('Inhaltliche Bewertung - GI'!RechtsformGI=AP$13,AP85*AW85,IF('Inhaltliche Bewertung - GI'!RechtsformGI=AR$13,AR85*AW85,IF('Inhaltliche Bewertung - GI'!RechtsformGI=AT$13,AT85*AW85,IF('Inhaltliche Bewertung - GI'!RechtsformGI=AL$13,AL85*AW85,"")))))</f>
        <v>#N/A</v>
      </c>
      <c r="AY85" s="351" t="e">
        <f>IF('Inhaltliche Bewertung - GI'!RechtsformAngebot=AN$13,AN85*AW85,IF('Inhaltliche Bewertung - GI'!RechtsformAngebot=AP$13,AP85*AW85,IF('Inhaltliche Bewertung - GI'!RechtsformAngebot=AR$13,AR85*AW85,IF('Inhaltliche Bewertung - GI'!RechtsformAngebot=AT$13,AT85*AW85,IF('Inhaltliche Bewertung - GI'!RechtsformAngebot=AL$13,AL85*AW85,"")))))</f>
        <v>#N/A</v>
      </c>
      <c r="AZ85" s="351"/>
      <c r="BA85" s="356" t="s">
        <v>3234</v>
      </c>
      <c r="BB85" s="381">
        <v>0</v>
      </c>
      <c r="BC85" s="358"/>
      <c r="BD85" s="381">
        <v>0</v>
      </c>
      <c r="BE85" s="358"/>
      <c r="BF85" s="381">
        <v>0</v>
      </c>
      <c r="BG85" s="358"/>
      <c r="BH85" s="381">
        <v>0</v>
      </c>
      <c r="BI85" s="358"/>
      <c r="BJ85" s="381">
        <v>0</v>
      </c>
      <c r="BK85" s="358"/>
      <c r="BL85" s="358"/>
      <c r="BM85" s="373">
        <v>1</v>
      </c>
      <c r="BN85" s="351" t="e">
        <f>IF('Inhaltliche Bewertung - GI'!RechtsformGI=BD$13,BD85*BM85,IF('Inhaltliche Bewertung - GI'!RechtsformGI=BF$13,BF85*BM85,IF('Inhaltliche Bewertung - GI'!RechtsformGI=BH$13,BH85*BM85,IF('Inhaltliche Bewertung - GI'!RechtsformGI=BJ$13,BJ85*BM85,IF('Inhaltliche Bewertung - GI'!RechtsformGI=BB$13,BB85*BM85,"")))))</f>
        <v>#N/A</v>
      </c>
      <c r="BO85" s="351" t="e">
        <f>IF('Inhaltliche Bewertung - GI'!RechtsformAngebot=BD$13,BD85*BM85,IF('Inhaltliche Bewertung - GI'!RechtsformAngebot=BF$13,BF85*BM85,IF('Inhaltliche Bewertung - GI'!RechtsformAngebot=BH$13,BH85*BM85,IF('Inhaltliche Bewertung - GI'!RechtsformAngebot=BJ$13,BJ85*BM85,IF('Inhaltliche Bewertung - GI'!RechtsformAngebot=BB$13,BB85*BM85,"")))))</f>
        <v>#N/A</v>
      </c>
      <c r="BP85" s="351"/>
      <c r="BQ85" s="356" t="s">
        <v>3234</v>
      </c>
      <c r="BR85" s="376">
        <v>0</v>
      </c>
      <c r="BS85" s="382"/>
      <c r="BT85" s="376">
        <v>0</v>
      </c>
      <c r="BU85" s="382"/>
      <c r="BV85" s="376">
        <v>0</v>
      </c>
      <c r="BW85" s="382"/>
      <c r="BX85" s="376">
        <v>0</v>
      </c>
      <c r="BY85" s="382"/>
      <c r="BZ85" s="376">
        <v>0</v>
      </c>
      <c r="CA85" s="382"/>
      <c r="CB85" s="382"/>
      <c r="CC85" s="373">
        <v>1</v>
      </c>
      <c r="CD85" s="351" t="e">
        <f>IF('Inhaltliche Bewertung - GI'!RechtsformGI=BT$13,BT85*CC85,IF('Inhaltliche Bewertung - GI'!RechtsformGI=BV$13,BV85*CC85,IF('Inhaltliche Bewertung - GI'!RechtsformGI=BX$13,BX85*CC85,IF('Inhaltliche Bewertung - GI'!RechtsformGI=BZ$13,BZ85*CC85,IF('Inhaltliche Bewertung - GI'!RechtsformGI=BR$13,BR85*CC85,"")))))</f>
        <v>#N/A</v>
      </c>
      <c r="CE85" s="351" t="e">
        <f>IF('Inhaltliche Bewertung - GI'!RechtsformAngebot=BT$13,BT85*CC85,IF('Inhaltliche Bewertung - GI'!RechtsformAngebot=BV$13,BV85*CC85,IF('Inhaltliche Bewertung - GI'!RechtsformAngebot=BX$13,BX85*CC85,IF('Inhaltliche Bewertung - GI'!RechtsformAngebot=BZ$13,BZ85*CC85,IF('Inhaltliche Bewertung - GI'!RechtsformAngebot=BR$13,BR85*CC85,"")))))</f>
        <v>#N/A</v>
      </c>
      <c r="CF85" s="351"/>
      <c r="CG85" s="356" t="s">
        <v>3234</v>
      </c>
      <c r="CH85" s="376">
        <v>0</v>
      </c>
      <c r="CI85" s="377"/>
      <c r="CJ85" s="376">
        <v>0</v>
      </c>
      <c r="CK85" s="377"/>
      <c r="CL85" s="376">
        <v>0</v>
      </c>
      <c r="CM85" s="377"/>
      <c r="CN85" s="376">
        <v>0</v>
      </c>
      <c r="CO85" s="377"/>
      <c r="CP85" s="376">
        <v>0</v>
      </c>
      <c r="CQ85" s="377"/>
      <c r="CR85" s="377"/>
      <c r="CS85" s="373">
        <v>1</v>
      </c>
      <c r="CT85" s="351" t="e">
        <f>IF('Inhaltliche Bewertung - GI'!RechtsformGI=CJ$13,CJ85*CS85,IF('Inhaltliche Bewertung - GI'!RechtsformGI=CL$13,CL85*CS85,IF('Inhaltliche Bewertung - GI'!RechtsformGI=CN$13,CN85*CS85,IF('Inhaltliche Bewertung - GI'!RechtsformGI=CP$13,CP85*CS85,IF('Inhaltliche Bewertung - GI'!RechtsformGI=CH$13,CH85*CS85,"")))))</f>
        <v>#N/A</v>
      </c>
      <c r="CU85" s="351" t="e">
        <f>IF('Inhaltliche Bewertung - GI'!RechtsformAngebot=CJ$13,CJ85*CS85,IF('Inhaltliche Bewertung - GI'!RechtsformAngebot=CL$13,CL85*CS85,IF('Inhaltliche Bewertung - GI'!RechtsformAngebot=CN$13,CN85*CS85,IF('Inhaltliche Bewertung - GI'!RechtsformAngebot=CP$13,CP85*CS85,IF('Inhaltliche Bewertung - GI'!RechtsformAngebot=CH$13,CH85*CS85,"")))))</f>
        <v>#N/A</v>
      </c>
      <c r="CV85" s="351"/>
      <c r="CW85" s="356" t="s">
        <v>3234</v>
      </c>
      <c r="CX85" s="376">
        <v>0</v>
      </c>
      <c r="CY85" s="377"/>
      <c r="CZ85" s="376">
        <v>0</v>
      </c>
      <c r="DA85" s="379"/>
      <c r="DB85" s="376">
        <v>0</v>
      </c>
      <c r="DC85" s="377"/>
      <c r="DD85" s="376">
        <v>0</v>
      </c>
      <c r="DE85" s="377"/>
      <c r="DF85" s="376">
        <v>0</v>
      </c>
      <c r="DG85" s="377"/>
      <c r="DH85" s="377"/>
      <c r="DI85" s="373">
        <v>1</v>
      </c>
      <c r="DJ85" s="351" t="e">
        <f>IF('Inhaltliche Bewertung - GI'!RechtsformGI=CZ$13,CZ85*DI85,IF('Inhaltliche Bewertung - GI'!RechtsformGI=DB$13,DB85*DI85,IF('Inhaltliche Bewertung - GI'!RechtsformGI=DD$13,DD85*DI85,IF('Inhaltliche Bewertung - GI'!RechtsformGI=DF$13,DF85*DI85,IF('Inhaltliche Bewertung - GI'!RechtsformGI=CX$13,CX85*DI85,"")))))</f>
        <v>#N/A</v>
      </c>
      <c r="DK85" s="351" t="e">
        <f>IF('Inhaltliche Bewertung - GI'!RechtsformAngebot=CZ$13,CZ85*DI85,IF('Inhaltliche Bewertung - GI'!RechtsformAngebot=DB$13,DB85*DI85,IF('Inhaltliche Bewertung - GI'!RechtsformAngebot=DD$13,DD85*DI85,IF('Inhaltliche Bewertung - GI'!RechtsformAngebot=DF$13,DF85*DI85,IF('Inhaltliche Bewertung - GI'!RechtsformAngebot=CX$13,CX85*DI85,"")))))</f>
        <v>#N/A</v>
      </c>
      <c r="DL85" s="351"/>
      <c r="DM85" s="361" t="s">
        <v>3472</v>
      </c>
      <c r="DN85" s="367">
        <v>0.9</v>
      </c>
      <c r="DO85" s="368"/>
      <c r="DP85" s="367">
        <v>0.9</v>
      </c>
      <c r="DQ85" s="368"/>
      <c r="DR85" s="367">
        <v>0.9</v>
      </c>
      <c r="DS85" s="368"/>
      <c r="DT85" s="367">
        <v>0.9</v>
      </c>
      <c r="DU85" s="368"/>
      <c r="DV85" s="367">
        <v>0.9</v>
      </c>
      <c r="DW85" s="368"/>
      <c r="DX85" s="368"/>
      <c r="DY85" s="373">
        <v>1</v>
      </c>
      <c r="DZ85" s="351" t="e">
        <f>IF('Inhaltliche Bewertung - GI'!RechtsformGI=DP$13,DP85*DY85,IF('Inhaltliche Bewertung - GI'!RechtsformGI=DR$13,DR85*DY85,IF('Inhaltliche Bewertung - GI'!RechtsformGI=DT$13,DT85*DY85,IF('Inhaltliche Bewertung - GI'!RechtsformGI=DV$13,DV85*DY85,IF('Inhaltliche Bewertung - GI'!RechtsformGI=DN$13,DN85*DY85,"")))))</f>
        <v>#N/A</v>
      </c>
      <c r="EA85" s="351" t="e">
        <f>IF('Inhaltliche Bewertung - GI'!RechtsformAngebot=DP$13,DP85*DY85,IF('Inhaltliche Bewertung - GI'!RechtsformAngebot=DR$13,DR85*DY85,IF('Inhaltliche Bewertung - GI'!RechtsformAngebot=DT$13,DT85*DY85,IF('Inhaltliche Bewertung - GI'!RechtsformAngebot=DV$13,DV85*DY85,IF('Inhaltliche Bewertung - GI'!RechtsformAngebot=DN$13,DN85*DY85,"")))))</f>
        <v>#N/A</v>
      </c>
      <c r="EB85" s="351"/>
      <c r="EC85" s="157">
        <f t="shared" si="1"/>
        <v>0</v>
      </c>
      <c r="ED85" s="157">
        <f t="shared" si="2"/>
        <v>0.9</v>
      </c>
      <c r="EE85" s="157">
        <f t="shared" si="3"/>
        <v>0.20000000000000004</v>
      </c>
      <c r="EF85" s="157">
        <f t="shared" si="4"/>
        <v>0</v>
      </c>
    </row>
    <row r="86" spans="1:136" ht="14.25" customHeight="1">
      <c r="A86" s="444" t="b">
        <f t="shared" si="5"/>
        <v>0</v>
      </c>
      <c r="B86" s="292"/>
      <c r="C86" s="355" t="s">
        <v>3473</v>
      </c>
      <c r="D86" s="345"/>
      <c r="E86" s="361" t="s">
        <v>3474</v>
      </c>
      <c r="F86" s="362">
        <v>1</v>
      </c>
      <c r="G86" s="365"/>
      <c r="H86" s="362">
        <v>1</v>
      </c>
      <c r="I86" s="365"/>
      <c r="J86" s="362">
        <v>1</v>
      </c>
      <c r="K86" s="365"/>
      <c r="L86" s="362">
        <v>1</v>
      </c>
      <c r="M86" s="365"/>
      <c r="N86" s="362">
        <v>1</v>
      </c>
      <c r="O86" s="365"/>
      <c r="P86" s="370"/>
      <c r="Q86" s="360">
        <v>1</v>
      </c>
      <c r="R86" s="351" t="e">
        <f>IF('Inhaltliche Bewertung - GI'!RechtsformGI=H$13,H86*Q86,IF('Inhaltliche Bewertung - GI'!RechtsformGI=J$13,J86*Q86,IF('Inhaltliche Bewertung - GI'!RechtsformGI=L$13,L86*Q86,IF('Inhaltliche Bewertung - GI'!RechtsformGI=N$13,N86*Q86,IF('Inhaltliche Bewertung - GI'!RechtsformGI=F$13,F86*Q86,"")))))</f>
        <v>#N/A</v>
      </c>
      <c r="S86" s="351" t="e">
        <f>IF('Inhaltliche Bewertung - GI'!RechtsformAngebot=H$13,H86*Q86,IF('Inhaltliche Bewertung - GI'!RechtsformAngebot=J$13,J86*Q86,IF('Inhaltliche Bewertung - GI'!RechtsformAngebot=L$13,L86*Q86,IF('Inhaltliche Bewertung - GI'!RechtsformAngebot=N$13,N86*Q86,IF('Inhaltliche Bewertung - GI'!RechtsformAngebot=F$13,F86*Q86,"")))))</f>
        <v>#N/A</v>
      </c>
      <c r="T86" s="351"/>
      <c r="U86" s="361" t="s">
        <v>3474</v>
      </c>
      <c r="V86" s="362">
        <v>1</v>
      </c>
      <c r="W86" s="365"/>
      <c r="X86" s="362">
        <v>1</v>
      </c>
      <c r="Y86" s="365"/>
      <c r="Z86" s="362">
        <v>1</v>
      </c>
      <c r="AA86" s="365"/>
      <c r="AB86" s="362">
        <v>1</v>
      </c>
      <c r="AC86" s="365"/>
      <c r="AD86" s="362">
        <v>1</v>
      </c>
      <c r="AE86" s="365"/>
      <c r="AF86" s="370"/>
      <c r="AG86" s="360">
        <v>1</v>
      </c>
      <c r="AH86" s="351" t="e">
        <f>IF('Inhaltliche Bewertung - GI'!RechtsformGI=X$13,X86*AG86,IF('Inhaltliche Bewertung - GI'!RechtsformGI=Z$13,Z86*AG86,IF('Inhaltliche Bewertung - GI'!RechtsformGI=AB$13,AB86*AG86,IF('Inhaltliche Bewertung - GI'!RechtsformGI=AD$13,AD86*AG86,IF('Inhaltliche Bewertung - GI'!RechtsformGI=V$13,V86*AG86,"")))))</f>
        <v>#N/A</v>
      </c>
      <c r="AI86" s="351" t="e">
        <f>IF('Inhaltliche Bewertung - GI'!RechtsformAngebot=X$13,X86*AG86,IF('Inhaltliche Bewertung - GI'!RechtsformAngebot=Z$13,Z86*AG86,IF('Inhaltliche Bewertung - GI'!RechtsformAngebot=AB$13,AB86*AG86,IF('Inhaltliche Bewertung - GI'!RechtsformAngebot=AD$13,AD86*AG86,IF('Inhaltliche Bewertung - GI'!RechtsformAngebot=V$13,V86*AG86,"")))))</f>
        <v>#N/A</v>
      </c>
      <c r="AJ86" s="351"/>
      <c r="AK86" s="361" t="s">
        <v>3474</v>
      </c>
      <c r="AL86" s="362">
        <v>1</v>
      </c>
      <c r="AM86" s="365"/>
      <c r="AN86" s="362">
        <v>1</v>
      </c>
      <c r="AO86" s="365"/>
      <c r="AP86" s="362">
        <v>1</v>
      </c>
      <c r="AQ86" s="365"/>
      <c r="AR86" s="362">
        <v>1</v>
      </c>
      <c r="AS86" s="365"/>
      <c r="AT86" s="362">
        <v>1</v>
      </c>
      <c r="AU86" s="365"/>
      <c r="AV86" s="370"/>
      <c r="AW86" s="360">
        <v>1</v>
      </c>
      <c r="AX86" s="351" t="e">
        <f>IF('Inhaltliche Bewertung - GI'!RechtsformGI=AN$13,AN86*AW86,IF('Inhaltliche Bewertung - GI'!RechtsformGI=AP$13,AP86*AW86,IF('Inhaltliche Bewertung - GI'!RechtsformGI=AR$13,AR86*AW86,IF('Inhaltliche Bewertung - GI'!RechtsformGI=AT$13,AT86*AW86,IF('Inhaltliche Bewertung - GI'!RechtsformGI=AL$13,AL86*AW86,"")))))</f>
        <v>#N/A</v>
      </c>
      <c r="AY86" s="351" t="e">
        <f>IF('Inhaltliche Bewertung - GI'!RechtsformAngebot=AN$13,AN86*AW86,IF('Inhaltliche Bewertung - GI'!RechtsformAngebot=AP$13,AP86*AW86,IF('Inhaltliche Bewertung - GI'!RechtsformAngebot=AR$13,AR86*AW86,IF('Inhaltliche Bewertung - GI'!RechtsformAngebot=AT$13,AT86*AW86,IF('Inhaltliche Bewertung - GI'!RechtsformAngebot=AL$13,AL86*AW86,"")))))</f>
        <v>#N/A</v>
      </c>
      <c r="AZ86" s="351"/>
      <c r="BA86" s="361" t="s">
        <v>3474</v>
      </c>
      <c r="BB86" s="362">
        <v>1</v>
      </c>
      <c r="BC86" s="365"/>
      <c r="BD86" s="362">
        <v>1</v>
      </c>
      <c r="BE86" s="365"/>
      <c r="BF86" s="362">
        <v>1</v>
      </c>
      <c r="BG86" s="365"/>
      <c r="BH86" s="362">
        <v>1</v>
      </c>
      <c r="BI86" s="365"/>
      <c r="BJ86" s="362">
        <v>1</v>
      </c>
      <c r="BK86" s="365"/>
      <c r="BL86" s="370"/>
      <c r="BM86" s="360">
        <v>1</v>
      </c>
      <c r="BN86" s="351" t="e">
        <f>IF('Inhaltliche Bewertung - GI'!RechtsformGI=BD$13,BD86*BM86,IF('Inhaltliche Bewertung - GI'!RechtsformGI=BF$13,BF86*BM86,IF('Inhaltliche Bewertung - GI'!RechtsformGI=BH$13,BH86*BM86,IF('Inhaltliche Bewertung - GI'!RechtsformGI=BJ$13,BJ86*BM86,IF('Inhaltliche Bewertung - GI'!RechtsformGI=BB$13,BB86*BM86,"")))))</f>
        <v>#N/A</v>
      </c>
      <c r="BO86" s="351" t="e">
        <f>IF('Inhaltliche Bewertung - GI'!RechtsformAngebot=BD$13,BD86*BM86,IF('Inhaltliche Bewertung - GI'!RechtsformAngebot=BF$13,BF86*BM86,IF('Inhaltliche Bewertung - GI'!RechtsformAngebot=BH$13,BH86*BM86,IF('Inhaltliche Bewertung - GI'!RechtsformAngebot=BJ$13,BJ86*BM86,IF('Inhaltliche Bewertung - GI'!RechtsformAngebot=BB$13,BB86*BM86,"")))))</f>
        <v>#N/A</v>
      </c>
      <c r="BP86" s="351"/>
      <c r="BQ86" s="361" t="s">
        <v>3474</v>
      </c>
      <c r="BR86" s="362">
        <v>1</v>
      </c>
      <c r="BS86" s="365"/>
      <c r="BT86" s="362">
        <v>1</v>
      </c>
      <c r="BU86" s="365"/>
      <c r="BV86" s="362">
        <v>1</v>
      </c>
      <c r="BW86" s="365"/>
      <c r="BX86" s="362">
        <v>1</v>
      </c>
      <c r="BY86" s="365"/>
      <c r="BZ86" s="362">
        <v>1</v>
      </c>
      <c r="CA86" s="365"/>
      <c r="CB86" s="370"/>
      <c r="CC86" s="360">
        <v>1</v>
      </c>
      <c r="CD86" s="351" t="e">
        <f>IF('Inhaltliche Bewertung - GI'!RechtsformGI=BT$13,BT86*CC86,IF('Inhaltliche Bewertung - GI'!RechtsformGI=BV$13,BV86*CC86,IF('Inhaltliche Bewertung - GI'!RechtsformGI=BX$13,BX86*CC86,IF('Inhaltliche Bewertung - GI'!RechtsformGI=BZ$13,BZ86*CC86,IF('Inhaltliche Bewertung - GI'!RechtsformGI=BR$13,BR86*CC86,"")))))</f>
        <v>#N/A</v>
      </c>
      <c r="CE86" s="351" t="e">
        <f>IF('Inhaltliche Bewertung - GI'!RechtsformAngebot=BT$13,BT86*CC86,IF('Inhaltliche Bewertung - GI'!RechtsformAngebot=BV$13,BV86*CC86,IF('Inhaltliche Bewertung - GI'!RechtsformAngebot=BX$13,BX86*CC86,IF('Inhaltliche Bewertung - GI'!RechtsformAngebot=BZ$13,BZ86*CC86,IF('Inhaltliche Bewertung - GI'!RechtsformAngebot=BR$13,BR86*CC86,"")))))</f>
        <v>#N/A</v>
      </c>
      <c r="CF86" s="351"/>
      <c r="CG86" s="361" t="s">
        <v>3474</v>
      </c>
      <c r="CH86" s="362">
        <v>0.9</v>
      </c>
      <c r="CI86" s="365"/>
      <c r="CJ86" s="362">
        <v>0.9</v>
      </c>
      <c r="CK86" s="365"/>
      <c r="CL86" s="362">
        <v>0.9</v>
      </c>
      <c r="CM86" s="365"/>
      <c r="CN86" s="362">
        <v>0.9</v>
      </c>
      <c r="CO86" s="365"/>
      <c r="CP86" s="362">
        <v>0.9</v>
      </c>
      <c r="CQ86" s="365"/>
      <c r="CR86" s="370"/>
      <c r="CS86" s="360">
        <v>1</v>
      </c>
      <c r="CT86" s="351" t="e">
        <f>IF('Inhaltliche Bewertung - GI'!RechtsformGI=CJ$13,CJ86*CS86,IF('Inhaltliche Bewertung - GI'!RechtsformGI=CL$13,CL86*CS86,IF('Inhaltliche Bewertung - GI'!RechtsformGI=CN$13,CN86*CS86,IF('Inhaltliche Bewertung - GI'!RechtsformGI=CP$13,CP86*CS86,IF('Inhaltliche Bewertung - GI'!RechtsformGI=CH$13,CH86*CS86,"")))))</f>
        <v>#N/A</v>
      </c>
      <c r="CU86" s="351" t="e">
        <f>IF('Inhaltliche Bewertung - GI'!RechtsformAngebot=CJ$13,CJ86*CS86,IF('Inhaltliche Bewertung - GI'!RechtsformAngebot=CL$13,CL86*CS86,IF('Inhaltliche Bewertung - GI'!RechtsformAngebot=CN$13,CN86*CS86,IF('Inhaltliche Bewertung - GI'!RechtsformAngebot=CP$13,CP86*CS86,IF('Inhaltliche Bewertung - GI'!RechtsformAngebot=CH$13,CH86*CS86,"")))))</f>
        <v>#N/A</v>
      </c>
      <c r="CV86" s="351"/>
      <c r="CW86" s="361" t="s">
        <v>3474</v>
      </c>
      <c r="CX86" s="362">
        <v>1</v>
      </c>
      <c r="CY86" s="365"/>
      <c r="CZ86" s="362">
        <v>1</v>
      </c>
      <c r="DA86" s="365"/>
      <c r="DB86" s="362">
        <v>1</v>
      </c>
      <c r="DC86" s="365"/>
      <c r="DD86" s="362">
        <v>1</v>
      </c>
      <c r="DE86" s="365"/>
      <c r="DF86" s="362">
        <v>1</v>
      </c>
      <c r="DG86" s="365"/>
      <c r="DH86" s="370"/>
      <c r="DI86" s="360">
        <v>1</v>
      </c>
      <c r="DJ86" s="351" t="e">
        <f>IF('Inhaltliche Bewertung - GI'!RechtsformGI=CZ$13,CZ86*DI86,IF('Inhaltliche Bewertung - GI'!RechtsformGI=DB$13,DB86*DI86,IF('Inhaltliche Bewertung - GI'!RechtsformGI=DD$13,DD86*DI86,IF('Inhaltliche Bewertung - GI'!RechtsformGI=DF$13,DF86*DI86,IF('Inhaltliche Bewertung - GI'!RechtsformGI=CX$13,CX86*DI86,"")))))</f>
        <v>#N/A</v>
      </c>
      <c r="DK86" s="351" t="e">
        <f>IF('Inhaltliche Bewertung - GI'!RechtsformAngebot=CZ$13,CZ86*DI86,IF('Inhaltliche Bewertung - GI'!RechtsformAngebot=DB$13,DB86*DI86,IF('Inhaltliche Bewertung - GI'!RechtsformAngebot=DD$13,DD86*DI86,IF('Inhaltliche Bewertung - GI'!RechtsformAngebot=DF$13,DF86*DI86,IF('Inhaltliche Bewertung - GI'!RechtsformAngebot=CX$13,CX86*DI86,"")))))</f>
        <v>#N/A</v>
      </c>
      <c r="DL86" s="351"/>
      <c r="DM86" s="361" t="s">
        <v>3474</v>
      </c>
      <c r="DN86" s="362">
        <v>1</v>
      </c>
      <c r="DO86" s="365"/>
      <c r="DP86" s="362">
        <v>1</v>
      </c>
      <c r="DQ86" s="365"/>
      <c r="DR86" s="362">
        <v>1</v>
      </c>
      <c r="DS86" s="365"/>
      <c r="DT86" s="362">
        <v>1</v>
      </c>
      <c r="DU86" s="365"/>
      <c r="DV86" s="362">
        <v>1</v>
      </c>
      <c r="DW86" s="365"/>
      <c r="DX86" s="370"/>
      <c r="DY86" s="360">
        <v>1</v>
      </c>
      <c r="DZ86" s="351" t="e">
        <f>IF('Inhaltliche Bewertung - GI'!RechtsformGI=DP$13,DP86*DY86,IF('Inhaltliche Bewertung - GI'!RechtsformGI=DR$13,DR86*DY86,IF('Inhaltliche Bewertung - GI'!RechtsformGI=DT$13,DT86*DY86,IF('Inhaltliche Bewertung - GI'!RechtsformGI=DV$13,DV86*DY86,IF('Inhaltliche Bewertung - GI'!RechtsformGI=DN$13,DN86*DY86,"")))))</f>
        <v>#N/A</v>
      </c>
      <c r="EA86" s="351" t="e">
        <f>IF('Inhaltliche Bewertung - GI'!RechtsformAngebot=DP$13,DP86*DY86,IF('Inhaltliche Bewertung - GI'!RechtsformAngebot=DR$13,DR86*DY86,IF('Inhaltliche Bewertung - GI'!RechtsformAngebot=DT$13,DT86*DY86,IF('Inhaltliche Bewertung - GI'!RechtsformAngebot=DV$13,DV86*DY86,IF('Inhaltliche Bewertung - GI'!RechtsformAngebot=DN$13,DN86*DY86,"")))))</f>
        <v>#N/A</v>
      </c>
      <c r="EB86" s="351"/>
      <c r="EC86" s="157">
        <f t="shared" si="1"/>
        <v>0.9</v>
      </c>
      <c r="ED86" s="157">
        <f t="shared" si="2"/>
        <v>1</v>
      </c>
      <c r="EE86" s="157">
        <f t="shared" si="3"/>
        <v>0.98749999999999982</v>
      </c>
      <c r="EF86" s="157">
        <f t="shared" si="4"/>
        <v>1</v>
      </c>
    </row>
    <row r="87" spans="1:136" ht="14.25" customHeight="1">
      <c r="A87" s="444" t="b">
        <f t="shared" si="5"/>
        <v>1</v>
      </c>
      <c r="B87" s="292"/>
      <c r="C87" s="355" t="s">
        <v>3475</v>
      </c>
      <c r="D87" s="345"/>
      <c r="E87" s="361" t="s">
        <v>3476</v>
      </c>
      <c r="F87" s="362">
        <v>1</v>
      </c>
      <c r="G87" s="365"/>
      <c r="H87" s="362">
        <v>1</v>
      </c>
      <c r="I87" s="365"/>
      <c r="J87" s="362">
        <v>1</v>
      </c>
      <c r="K87" s="365"/>
      <c r="L87" s="362">
        <v>1</v>
      </c>
      <c r="M87" s="365"/>
      <c r="N87" s="362">
        <v>1</v>
      </c>
      <c r="O87" s="365"/>
      <c r="P87" s="370"/>
      <c r="Q87" s="360">
        <v>1</v>
      </c>
      <c r="R87" s="351" t="e">
        <f>IF('Inhaltliche Bewertung - GI'!RechtsformGI=H$13,H87*Q87,IF('Inhaltliche Bewertung - GI'!RechtsformGI=J$13,J87*Q87,IF('Inhaltliche Bewertung - GI'!RechtsformGI=L$13,L87*Q87,IF('Inhaltliche Bewertung - GI'!RechtsformGI=N$13,N87*Q87,IF('Inhaltliche Bewertung - GI'!RechtsformGI=F$13,F87*Q87,"")))))</f>
        <v>#N/A</v>
      </c>
      <c r="S87" s="351" t="e">
        <f>IF('Inhaltliche Bewertung - GI'!RechtsformAngebot=H$13,H87*Q87,IF('Inhaltliche Bewertung - GI'!RechtsformAngebot=J$13,J87*Q87,IF('Inhaltliche Bewertung - GI'!RechtsformAngebot=L$13,L87*Q87,IF('Inhaltliche Bewertung - GI'!RechtsformAngebot=N$13,N87*Q87,IF('Inhaltliche Bewertung - GI'!RechtsformAngebot=F$13,F87*Q87,"")))))</f>
        <v>#N/A</v>
      </c>
      <c r="T87" s="351"/>
      <c r="U87" s="361" t="s">
        <v>3476</v>
      </c>
      <c r="V87" s="362">
        <v>1</v>
      </c>
      <c r="W87" s="363"/>
      <c r="X87" s="364">
        <v>1</v>
      </c>
      <c r="Y87" s="363"/>
      <c r="Z87" s="364">
        <v>1</v>
      </c>
      <c r="AA87" s="363"/>
      <c r="AB87" s="364">
        <v>1</v>
      </c>
      <c r="AC87" s="363"/>
      <c r="AD87" s="364">
        <v>1</v>
      </c>
      <c r="AE87" s="363"/>
      <c r="AF87" s="363"/>
      <c r="AG87" s="360">
        <v>1</v>
      </c>
      <c r="AH87" s="351" t="e">
        <f>IF('Inhaltliche Bewertung - GI'!RechtsformGI=X$13,X87*AG87,IF('Inhaltliche Bewertung - GI'!RechtsformGI=Z$13,Z87*AG87,IF('Inhaltliche Bewertung - GI'!RechtsformGI=AB$13,AB87*AG87,IF('Inhaltliche Bewertung - GI'!RechtsformGI=AD$13,AD87*AG87,IF('Inhaltliche Bewertung - GI'!RechtsformGI=V$13,V87*AG87,"")))))</f>
        <v>#N/A</v>
      </c>
      <c r="AI87" s="351" t="e">
        <f>IF('Inhaltliche Bewertung - GI'!RechtsformAngebot=X$13,X87*AG87,IF('Inhaltliche Bewertung - GI'!RechtsformAngebot=Z$13,Z87*AG87,IF('Inhaltliche Bewertung - GI'!RechtsformAngebot=AB$13,AB87*AG87,IF('Inhaltliche Bewertung - GI'!RechtsformAngebot=AD$13,AD87*AG87,IF('Inhaltliche Bewertung - GI'!RechtsformAngebot=V$13,V87*AG87,"")))))</f>
        <v>#N/A</v>
      </c>
      <c r="AJ87" s="351"/>
      <c r="AK87" s="361" t="s">
        <v>3476</v>
      </c>
      <c r="AL87" s="362">
        <v>1</v>
      </c>
      <c r="AM87" s="365"/>
      <c r="AN87" s="362">
        <v>1</v>
      </c>
      <c r="AO87" s="365"/>
      <c r="AP87" s="362">
        <v>1</v>
      </c>
      <c r="AQ87" s="365"/>
      <c r="AR87" s="362">
        <v>1</v>
      </c>
      <c r="AS87" s="365"/>
      <c r="AT87" s="362">
        <v>1</v>
      </c>
      <c r="AU87" s="365"/>
      <c r="AV87" s="365"/>
      <c r="AW87" s="360">
        <v>1</v>
      </c>
      <c r="AX87" s="351" t="e">
        <f>IF('Inhaltliche Bewertung - GI'!RechtsformGI=AN$13,AN87*AW87,IF('Inhaltliche Bewertung - GI'!RechtsformGI=AP$13,AP87*AW87,IF('Inhaltliche Bewertung - GI'!RechtsformGI=AR$13,AR87*AW87,IF('Inhaltliche Bewertung - GI'!RechtsformGI=AT$13,AT87*AW87,IF('Inhaltliche Bewertung - GI'!RechtsformGI=AL$13,AL87*AW87,"")))))</f>
        <v>#N/A</v>
      </c>
      <c r="AY87" s="351" t="e">
        <f>IF('Inhaltliche Bewertung - GI'!RechtsformAngebot=AN$13,AN87*AW87,IF('Inhaltliche Bewertung - GI'!RechtsformAngebot=AP$13,AP87*AW87,IF('Inhaltliche Bewertung - GI'!RechtsformAngebot=AR$13,AR87*AW87,IF('Inhaltliche Bewertung - GI'!RechtsformAngebot=AT$13,AT87*AW87,IF('Inhaltliche Bewertung - GI'!RechtsformAngebot=AL$13,AL87*AW87,"")))))</f>
        <v>#N/A</v>
      </c>
      <c r="AZ87" s="351"/>
      <c r="BA87" s="361" t="s">
        <v>3476</v>
      </c>
      <c r="BB87" s="366">
        <v>1</v>
      </c>
      <c r="BC87" s="365"/>
      <c r="BD87" s="366">
        <v>1</v>
      </c>
      <c r="BE87" s="365"/>
      <c r="BF87" s="366">
        <v>1</v>
      </c>
      <c r="BG87" s="365"/>
      <c r="BH87" s="366">
        <v>1</v>
      </c>
      <c r="BI87" s="365"/>
      <c r="BJ87" s="366">
        <v>1</v>
      </c>
      <c r="BK87" s="365"/>
      <c r="BL87" s="365"/>
      <c r="BM87" s="360">
        <v>1</v>
      </c>
      <c r="BN87" s="351" t="e">
        <f>IF('Inhaltliche Bewertung - GI'!RechtsformGI=BD$13,BD87*BM87,IF('Inhaltliche Bewertung - GI'!RechtsformGI=BF$13,BF87*BM87,IF('Inhaltliche Bewertung - GI'!RechtsformGI=BH$13,BH87*BM87,IF('Inhaltliche Bewertung - GI'!RechtsformGI=BJ$13,BJ87*BM87,IF('Inhaltliche Bewertung - GI'!RechtsformGI=BB$13,BB87*BM87,"")))))</f>
        <v>#N/A</v>
      </c>
      <c r="BO87" s="351" t="e">
        <f>IF('Inhaltliche Bewertung - GI'!RechtsformAngebot=BD$13,BD87*BM87,IF('Inhaltliche Bewertung - GI'!RechtsformAngebot=BF$13,BF87*BM87,IF('Inhaltliche Bewertung - GI'!RechtsformAngebot=BH$13,BH87*BM87,IF('Inhaltliche Bewertung - GI'!RechtsformAngebot=BJ$13,BJ87*BM87,IF('Inhaltliche Bewertung - GI'!RechtsformAngebot=BB$13,BB87*BM87,"")))))</f>
        <v>#N/A</v>
      </c>
      <c r="BP87" s="351"/>
      <c r="BQ87" s="361" t="s">
        <v>3476</v>
      </c>
      <c r="BR87" s="367">
        <v>1</v>
      </c>
      <c r="BS87" s="368"/>
      <c r="BT87" s="367">
        <v>1</v>
      </c>
      <c r="BU87" s="368"/>
      <c r="BV87" s="367">
        <v>1</v>
      </c>
      <c r="BW87" s="368"/>
      <c r="BX87" s="367">
        <v>1</v>
      </c>
      <c r="BY87" s="368"/>
      <c r="BZ87" s="367">
        <v>1</v>
      </c>
      <c r="CA87" s="368"/>
      <c r="CB87" s="368"/>
      <c r="CC87" s="360">
        <v>1</v>
      </c>
      <c r="CD87" s="351" t="e">
        <f>IF('Inhaltliche Bewertung - GI'!RechtsformGI=BT$13,BT87*CC87,IF('Inhaltliche Bewertung - GI'!RechtsformGI=BV$13,BV87*CC87,IF('Inhaltliche Bewertung - GI'!RechtsformGI=BX$13,BX87*CC87,IF('Inhaltliche Bewertung - GI'!RechtsformGI=BZ$13,BZ87*CC87,IF('Inhaltliche Bewertung - GI'!RechtsformGI=BR$13,BR87*CC87,"")))))</f>
        <v>#N/A</v>
      </c>
      <c r="CE87" s="351" t="e">
        <f>IF('Inhaltliche Bewertung - GI'!RechtsformAngebot=BT$13,BT87*CC87,IF('Inhaltliche Bewertung - GI'!RechtsformAngebot=BV$13,BV87*CC87,IF('Inhaltliche Bewertung - GI'!RechtsformAngebot=BX$13,BX87*CC87,IF('Inhaltliche Bewertung - GI'!RechtsformAngebot=BZ$13,BZ87*CC87,IF('Inhaltliche Bewertung - GI'!RechtsformAngebot=BR$13,BR87*CC87,"")))))</f>
        <v>#N/A</v>
      </c>
      <c r="CF87" s="351"/>
      <c r="CG87" s="361" t="s">
        <v>3476</v>
      </c>
      <c r="CH87" s="367">
        <v>1</v>
      </c>
      <c r="CI87" s="368"/>
      <c r="CJ87" s="367">
        <v>1</v>
      </c>
      <c r="CK87" s="368"/>
      <c r="CL87" s="367">
        <v>1</v>
      </c>
      <c r="CM87" s="368"/>
      <c r="CN87" s="367">
        <v>1</v>
      </c>
      <c r="CO87" s="368"/>
      <c r="CP87" s="367">
        <v>1</v>
      </c>
      <c r="CQ87" s="368"/>
      <c r="CR87" s="368"/>
      <c r="CS87" s="360">
        <v>1</v>
      </c>
      <c r="CT87" s="351" t="e">
        <f>IF('Inhaltliche Bewertung - GI'!RechtsformGI=CJ$13,CJ87*CS87,IF('Inhaltliche Bewertung - GI'!RechtsformGI=CL$13,CL87*CS87,IF('Inhaltliche Bewertung - GI'!RechtsformGI=CN$13,CN87*CS87,IF('Inhaltliche Bewertung - GI'!RechtsformGI=CP$13,CP87*CS87,IF('Inhaltliche Bewertung - GI'!RechtsformGI=CH$13,CH87*CS87,"")))))</f>
        <v>#N/A</v>
      </c>
      <c r="CU87" s="351" t="e">
        <f>IF('Inhaltliche Bewertung - GI'!RechtsformAngebot=CJ$13,CJ87*CS87,IF('Inhaltliche Bewertung - GI'!RechtsformAngebot=CL$13,CL87*CS87,IF('Inhaltliche Bewertung - GI'!RechtsformAngebot=CN$13,CN87*CS87,IF('Inhaltliche Bewertung - GI'!RechtsformAngebot=CP$13,CP87*CS87,IF('Inhaltliche Bewertung - GI'!RechtsformAngebot=CH$13,CH87*CS87,"")))))</f>
        <v>#N/A</v>
      </c>
      <c r="CV87" s="351"/>
      <c r="CW87" s="361" t="s">
        <v>3476</v>
      </c>
      <c r="CX87" s="367">
        <v>1</v>
      </c>
      <c r="CY87" s="368"/>
      <c r="CZ87" s="367">
        <v>1</v>
      </c>
      <c r="DA87" s="369"/>
      <c r="DB87" s="367">
        <v>1</v>
      </c>
      <c r="DC87" s="368"/>
      <c r="DD87" s="367">
        <v>1</v>
      </c>
      <c r="DE87" s="368"/>
      <c r="DF87" s="367">
        <v>1</v>
      </c>
      <c r="DG87" s="368"/>
      <c r="DH87" s="368"/>
      <c r="DI87" s="360">
        <v>1</v>
      </c>
      <c r="DJ87" s="351" t="e">
        <f>IF('Inhaltliche Bewertung - GI'!RechtsformGI=CZ$13,CZ87*DI87,IF('Inhaltliche Bewertung - GI'!RechtsformGI=DB$13,DB87*DI87,IF('Inhaltliche Bewertung - GI'!RechtsformGI=DD$13,DD87*DI87,IF('Inhaltliche Bewertung - GI'!RechtsformGI=DF$13,DF87*DI87,IF('Inhaltliche Bewertung - GI'!RechtsformGI=CX$13,CX87*DI87,"")))))</f>
        <v>#N/A</v>
      </c>
      <c r="DK87" s="351" t="e">
        <f>IF('Inhaltliche Bewertung - GI'!RechtsformAngebot=CZ$13,CZ87*DI87,IF('Inhaltliche Bewertung - GI'!RechtsformAngebot=DB$13,DB87*DI87,IF('Inhaltliche Bewertung - GI'!RechtsformAngebot=DD$13,DD87*DI87,IF('Inhaltliche Bewertung - GI'!RechtsformAngebot=DF$13,DF87*DI87,IF('Inhaltliche Bewertung - GI'!RechtsformAngebot=CX$13,CX87*DI87,"")))))</f>
        <v>#N/A</v>
      </c>
      <c r="DL87" s="351"/>
      <c r="DM87" s="361" t="s">
        <v>3476</v>
      </c>
      <c r="DN87" s="367">
        <v>1</v>
      </c>
      <c r="DO87" s="368"/>
      <c r="DP87" s="367">
        <v>1</v>
      </c>
      <c r="DQ87" s="368"/>
      <c r="DR87" s="367">
        <v>1</v>
      </c>
      <c r="DS87" s="368"/>
      <c r="DT87" s="367">
        <v>1</v>
      </c>
      <c r="DU87" s="368"/>
      <c r="DV87" s="367">
        <v>1</v>
      </c>
      <c r="DW87" s="368"/>
      <c r="DX87" s="368"/>
      <c r="DY87" s="360">
        <v>1</v>
      </c>
      <c r="DZ87" s="351" t="e">
        <f>IF('Inhaltliche Bewertung - GI'!RechtsformGI=DP$13,DP87*DY87,IF('Inhaltliche Bewertung - GI'!RechtsformGI=DR$13,DR87*DY87,IF('Inhaltliche Bewertung - GI'!RechtsformGI=DT$13,DT87*DY87,IF('Inhaltliche Bewertung - GI'!RechtsformGI=DV$13,DV87*DY87,IF('Inhaltliche Bewertung - GI'!RechtsformGI=DN$13,DN87*DY87,"")))))</f>
        <v>#N/A</v>
      </c>
      <c r="EA87" s="351" t="e">
        <f>IF('Inhaltliche Bewertung - GI'!RechtsformAngebot=DP$13,DP87*DY87,IF('Inhaltliche Bewertung - GI'!RechtsformAngebot=DR$13,DR87*DY87,IF('Inhaltliche Bewertung - GI'!RechtsformAngebot=DT$13,DT87*DY87,IF('Inhaltliche Bewertung - GI'!RechtsformAngebot=DV$13,DV87*DY87,IF('Inhaltliche Bewertung - GI'!RechtsformAngebot=DN$13,DN87*DY87,"")))))</f>
        <v>#N/A</v>
      </c>
      <c r="EB87" s="351"/>
      <c r="EC87" s="157">
        <f t="shared" si="1"/>
        <v>1</v>
      </c>
      <c r="ED87" s="157">
        <f t="shared" si="2"/>
        <v>1</v>
      </c>
      <c r="EE87" s="157">
        <f t="shared" si="3"/>
        <v>1</v>
      </c>
      <c r="EF87" s="157">
        <f t="shared" si="4"/>
        <v>1</v>
      </c>
    </row>
    <row r="88" spans="1:136" ht="14.25" customHeight="1">
      <c r="A88" s="444" t="b">
        <f t="shared" si="5"/>
        <v>0</v>
      </c>
      <c r="B88" s="292"/>
      <c r="C88" s="355" t="s">
        <v>3477</v>
      </c>
      <c r="D88" s="345"/>
      <c r="E88" s="371" t="s">
        <v>3478</v>
      </c>
      <c r="F88" s="372">
        <v>1</v>
      </c>
      <c r="G88" s="358"/>
      <c r="H88" s="372">
        <v>1</v>
      </c>
      <c r="I88" s="358"/>
      <c r="J88" s="372">
        <v>1</v>
      </c>
      <c r="K88" s="358"/>
      <c r="L88" s="372">
        <v>1</v>
      </c>
      <c r="M88" s="358"/>
      <c r="N88" s="372">
        <v>1</v>
      </c>
      <c r="O88" s="358"/>
      <c r="P88" s="415" t="s">
        <v>3479</v>
      </c>
      <c r="Q88" s="360">
        <v>1</v>
      </c>
      <c r="R88" s="351" t="e">
        <f>IF('Inhaltliche Bewertung - GI'!RechtsformGI=H$13,H88*Q88,IF('Inhaltliche Bewertung - GI'!RechtsformGI=J$13,J88*Q88,IF('Inhaltliche Bewertung - GI'!RechtsformGI=L$13,L88*Q88,IF('Inhaltliche Bewertung - GI'!RechtsformGI=N$13,N88*Q88,IF('Inhaltliche Bewertung - GI'!RechtsformGI=F$13,F88*Q88,"")))))</f>
        <v>#N/A</v>
      </c>
      <c r="S88" s="351" t="e">
        <f>IF('Inhaltliche Bewertung - GI'!RechtsformAngebot=H$13,H88*Q88,IF('Inhaltliche Bewertung - GI'!RechtsformAngebot=J$13,J88*Q88,IF('Inhaltliche Bewertung - GI'!RechtsformAngebot=L$13,L88*Q88,IF('Inhaltliche Bewertung - GI'!RechtsformAngebot=N$13,N88*Q88,IF('Inhaltliche Bewertung - GI'!RechtsformAngebot=F$13,F88*Q88,"")))))</f>
        <v>#N/A</v>
      </c>
      <c r="T88" s="351"/>
      <c r="U88" s="361" t="s">
        <v>3480</v>
      </c>
      <c r="V88" s="372">
        <v>0</v>
      </c>
      <c r="W88" s="358"/>
      <c r="X88" s="372">
        <v>0</v>
      </c>
      <c r="Y88" s="358"/>
      <c r="Z88" s="372">
        <v>0</v>
      </c>
      <c r="AA88" s="358"/>
      <c r="AB88" s="372">
        <v>0</v>
      </c>
      <c r="AC88" s="358"/>
      <c r="AD88" s="372">
        <v>0</v>
      </c>
      <c r="AE88" s="358"/>
      <c r="AF88" s="415" t="s">
        <v>3479</v>
      </c>
      <c r="AG88" s="360">
        <v>1</v>
      </c>
      <c r="AH88" s="351" t="e">
        <f>IF('Inhaltliche Bewertung - GI'!RechtsformGI=X$13,X88*AG88,IF('Inhaltliche Bewertung - GI'!RechtsformGI=Z$13,Z88*AG88,IF('Inhaltliche Bewertung - GI'!RechtsformGI=AB$13,AB88*AG88,IF('Inhaltliche Bewertung - GI'!RechtsformGI=AD$13,AD88*AG88,IF('Inhaltliche Bewertung - GI'!RechtsformGI=V$13,V88*AG88,"")))))</f>
        <v>#N/A</v>
      </c>
      <c r="AI88" s="351" t="e">
        <f>IF('Inhaltliche Bewertung - GI'!RechtsformAngebot=X$13,X88*AG88,IF('Inhaltliche Bewertung - GI'!RechtsformAngebot=Z$13,Z88*AG88,IF('Inhaltliche Bewertung - GI'!RechtsformAngebot=AB$13,AB88*AG88,IF('Inhaltliche Bewertung - GI'!RechtsformAngebot=AD$13,AD88*AG88,IF('Inhaltliche Bewertung - GI'!RechtsformAngebot=V$13,V88*AG88,"")))))</f>
        <v>#N/A</v>
      </c>
      <c r="AJ88" s="351"/>
      <c r="AK88" s="361" t="s">
        <v>3480</v>
      </c>
      <c r="AL88" s="372">
        <v>0</v>
      </c>
      <c r="AM88" s="358"/>
      <c r="AN88" s="372">
        <v>0</v>
      </c>
      <c r="AO88" s="358"/>
      <c r="AP88" s="372">
        <v>0</v>
      </c>
      <c r="AQ88" s="358"/>
      <c r="AR88" s="372">
        <v>0</v>
      </c>
      <c r="AS88" s="358"/>
      <c r="AT88" s="372">
        <v>0</v>
      </c>
      <c r="AU88" s="358"/>
      <c r="AV88" s="415" t="s">
        <v>3479</v>
      </c>
      <c r="AW88" s="360">
        <v>1</v>
      </c>
      <c r="AX88" s="351" t="e">
        <f>IF('Inhaltliche Bewertung - GI'!RechtsformGI=AN$13,AN88*AW88,IF('Inhaltliche Bewertung - GI'!RechtsformGI=AP$13,AP88*AW88,IF('Inhaltliche Bewertung - GI'!RechtsformGI=AR$13,AR88*AW88,IF('Inhaltliche Bewertung - GI'!RechtsformGI=AT$13,AT88*AW88,IF('Inhaltliche Bewertung - GI'!RechtsformGI=AL$13,AL88*AW88,"")))))</f>
        <v>#N/A</v>
      </c>
      <c r="AY88" s="351" t="e">
        <f>IF('Inhaltliche Bewertung - GI'!RechtsformAngebot=AN$13,AN88*AW88,IF('Inhaltliche Bewertung - GI'!RechtsformAngebot=AP$13,AP88*AW88,IF('Inhaltliche Bewertung - GI'!RechtsformAngebot=AR$13,AR88*AW88,IF('Inhaltliche Bewertung - GI'!RechtsformAngebot=AT$13,AT88*AW88,IF('Inhaltliche Bewertung - GI'!RechtsformAngebot=AL$13,AL88*AW88,"")))))</f>
        <v>#N/A</v>
      </c>
      <c r="AZ88" s="351"/>
      <c r="BA88" s="361" t="s">
        <v>3480</v>
      </c>
      <c r="BB88" s="372">
        <v>0</v>
      </c>
      <c r="BC88" s="358"/>
      <c r="BD88" s="372">
        <v>0</v>
      </c>
      <c r="BE88" s="358"/>
      <c r="BF88" s="372">
        <v>0</v>
      </c>
      <c r="BG88" s="358"/>
      <c r="BH88" s="372">
        <v>0</v>
      </c>
      <c r="BI88" s="358"/>
      <c r="BJ88" s="372">
        <v>0</v>
      </c>
      <c r="BK88" s="358"/>
      <c r="BL88" s="415" t="s">
        <v>3479</v>
      </c>
      <c r="BM88" s="360">
        <v>1</v>
      </c>
      <c r="BN88" s="351" t="e">
        <f>IF('Inhaltliche Bewertung - GI'!RechtsformGI=BD$13,BD88*BM88,IF('Inhaltliche Bewertung - GI'!RechtsformGI=BF$13,BF88*BM88,IF('Inhaltliche Bewertung - GI'!RechtsformGI=BH$13,BH88*BM88,IF('Inhaltliche Bewertung - GI'!RechtsformGI=BJ$13,BJ88*BM88,IF('Inhaltliche Bewertung - GI'!RechtsformGI=BB$13,BB88*BM88,"")))))</f>
        <v>#N/A</v>
      </c>
      <c r="BO88" s="351" t="e">
        <f>IF('Inhaltliche Bewertung - GI'!RechtsformAngebot=BD$13,BD88*BM88,IF('Inhaltliche Bewertung - GI'!RechtsformAngebot=BF$13,BF88*BM88,IF('Inhaltliche Bewertung - GI'!RechtsformAngebot=BH$13,BH88*BM88,IF('Inhaltliche Bewertung - GI'!RechtsformAngebot=BJ$13,BJ88*BM88,IF('Inhaltliche Bewertung - GI'!RechtsformAngebot=BB$13,BB88*BM88,"")))))</f>
        <v>#N/A</v>
      </c>
      <c r="BP88" s="351"/>
      <c r="BQ88" s="361" t="s">
        <v>3480</v>
      </c>
      <c r="BR88" s="372">
        <v>0</v>
      </c>
      <c r="BS88" s="358"/>
      <c r="BT88" s="372">
        <v>0</v>
      </c>
      <c r="BU88" s="358"/>
      <c r="BV88" s="372">
        <v>0</v>
      </c>
      <c r="BW88" s="358"/>
      <c r="BX88" s="372">
        <v>0</v>
      </c>
      <c r="BY88" s="358"/>
      <c r="BZ88" s="372">
        <v>0</v>
      </c>
      <c r="CA88" s="358"/>
      <c r="CB88" s="415" t="s">
        <v>3479</v>
      </c>
      <c r="CC88" s="360">
        <v>1</v>
      </c>
      <c r="CD88" s="351" t="e">
        <f>IF('Inhaltliche Bewertung - GI'!RechtsformGI=BT$13,BT88*CC88,IF('Inhaltliche Bewertung - GI'!RechtsformGI=BV$13,BV88*CC88,IF('Inhaltliche Bewertung - GI'!RechtsformGI=BX$13,BX88*CC88,IF('Inhaltliche Bewertung - GI'!RechtsformGI=BZ$13,BZ88*CC88,IF('Inhaltliche Bewertung - GI'!RechtsformGI=BR$13,BR88*CC88,"")))))</f>
        <v>#N/A</v>
      </c>
      <c r="CE88" s="351" t="e">
        <f>IF('Inhaltliche Bewertung - GI'!RechtsformAngebot=BT$13,BT88*CC88,IF('Inhaltliche Bewertung - GI'!RechtsformAngebot=BV$13,BV88*CC88,IF('Inhaltliche Bewertung - GI'!RechtsformAngebot=BX$13,BX88*CC88,IF('Inhaltliche Bewertung - GI'!RechtsformAngebot=BZ$13,BZ88*CC88,IF('Inhaltliche Bewertung - GI'!RechtsformAngebot=BR$13,BR88*CC88,"")))))</f>
        <v>#N/A</v>
      </c>
      <c r="CF88" s="351"/>
      <c r="CG88" s="361" t="s">
        <v>3480</v>
      </c>
      <c r="CH88" s="372">
        <v>0</v>
      </c>
      <c r="CI88" s="358"/>
      <c r="CJ88" s="372">
        <v>0</v>
      </c>
      <c r="CK88" s="358"/>
      <c r="CL88" s="372">
        <v>0</v>
      </c>
      <c r="CM88" s="358"/>
      <c r="CN88" s="372">
        <v>0</v>
      </c>
      <c r="CO88" s="358"/>
      <c r="CP88" s="372">
        <v>0</v>
      </c>
      <c r="CQ88" s="358"/>
      <c r="CR88" s="415" t="s">
        <v>3479</v>
      </c>
      <c r="CS88" s="360">
        <v>1</v>
      </c>
      <c r="CT88" s="351" t="e">
        <f>IF('Inhaltliche Bewertung - GI'!RechtsformGI=CJ$13,CJ88*CS88,IF('Inhaltliche Bewertung - GI'!RechtsformGI=CL$13,CL88*CS88,IF('Inhaltliche Bewertung - GI'!RechtsformGI=CN$13,CN88*CS88,IF('Inhaltliche Bewertung - GI'!RechtsformGI=CP$13,CP88*CS88,IF('Inhaltliche Bewertung - GI'!RechtsformGI=CH$13,CH88*CS88,"")))))</f>
        <v>#N/A</v>
      </c>
      <c r="CU88" s="351" t="e">
        <f>IF('Inhaltliche Bewertung - GI'!RechtsformAngebot=CJ$13,CJ88*CS88,IF('Inhaltliche Bewertung - GI'!RechtsformAngebot=CL$13,CL88*CS88,IF('Inhaltliche Bewertung - GI'!RechtsformAngebot=CN$13,CN88*CS88,IF('Inhaltliche Bewertung - GI'!RechtsformAngebot=CP$13,CP88*CS88,IF('Inhaltliche Bewertung - GI'!RechtsformAngebot=CH$13,CH88*CS88,"")))))</f>
        <v>#N/A</v>
      </c>
      <c r="CV88" s="351"/>
      <c r="CW88" s="361" t="s">
        <v>3480</v>
      </c>
      <c r="CX88" s="372">
        <v>0</v>
      </c>
      <c r="CY88" s="358"/>
      <c r="CZ88" s="372">
        <v>0</v>
      </c>
      <c r="DA88" s="358"/>
      <c r="DB88" s="372">
        <v>0</v>
      </c>
      <c r="DC88" s="358"/>
      <c r="DD88" s="372">
        <v>0</v>
      </c>
      <c r="DE88" s="358"/>
      <c r="DF88" s="372">
        <v>0</v>
      </c>
      <c r="DG88" s="358"/>
      <c r="DH88" s="415" t="s">
        <v>3479</v>
      </c>
      <c r="DI88" s="360">
        <v>1</v>
      </c>
      <c r="DJ88" s="351" t="e">
        <f>IF('Inhaltliche Bewertung - GI'!RechtsformGI=CZ$13,CZ88*DI88,IF('Inhaltliche Bewertung - GI'!RechtsformGI=DB$13,DB88*DI88,IF('Inhaltliche Bewertung - GI'!RechtsformGI=DD$13,DD88*DI88,IF('Inhaltliche Bewertung - GI'!RechtsformGI=DF$13,DF88*DI88,IF('Inhaltliche Bewertung - GI'!RechtsformGI=CX$13,CX88*DI88,"")))))</f>
        <v>#N/A</v>
      </c>
      <c r="DK88" s="351" t="e">
        <f>IF('Inhaltliche Bewertung - GI'!RechtsformAngebot=CZ$13,CZ88*DI88,IF('Inhaltliche Bewertung - GI'!RechtsformAngebot=DB$13,DB88*DI88,IF('Inhaltliche Bewertung - GI'!RechtsformAngebot=DD$13,DD88*DI88,IF('Inhaltliche Bewertung - GI'!RechtsformAngebot=DF$13,DF88*DI88,IF('Inhaltliche Bewertung - GI'!RechtsformAngebot=CX$13,CX88*DI88,"")))))</f>
        <v>#N/A</v>
      </c>
      <c r="DL88" s="351"/>
      <c r="DM88" s="361" t="s">
        <v>3480</v>
      </c>
      <c r="DN88" s="372">
        <v>0</v>
      </c>
      <c r="DO88" s="358"/>
      <c r="DP88" s="372">
        <v>0</v>
      </c>
      <c r="DQ88" s="358"/>
      <c r="DR88" s="372">
        <v>0</v>
      </c>
      <c r="DS88" s="358"/>
      <c r="DT88" s="372">
        <v>0</v>
      </c>
      <c r="DU88" s="358"/>
      <c r="DV88" s="372">
        <v>0</v>
      </c>
      <c r="DW88" s="358"/>
      <c r="DX88" s="415" t="s">
        <v>3479</v>
      </c>
      <c r="DY88" s="360">
        <v>1</v>
      </c>
      <c r="DZ88" s="351" t="e">
        <f>IF('Inhaltliche Bewertung - GI'!RechtsformGI=DP$13,DP88*DY88,IF('Inhaltliche Bewertung - GI'!RechtsformGI=DR$13,DR88*DY88,IF('Inhaltliche Bewertung - GI'!RechtsformGI=DT$13,DT88*DY88,IF('Inhaltliche Bewertung - GI'!RechtsformGI=DV$13,DV88*DY88,IF('Inhaltliche Bewertung - GI'!RechtsformGI=DN$13,DN88*DY88,"")))))</f>
        <v>#N/A</v>
      </c>
      <c r="EA88" s="351" t="e">
        <f>IF('Inhaltliche Bewertung - GI'!RechtsformAngebot=DP$13,DP88*DY88,IF('Inhaltliche Bewertung - GI'!RechtsformAngebot=DR$13,DR88*DY88,IF('Inhaltliche Bewertung - GI'!RechtsformAngebot=DT$13,DT88*DY88,IF('Inhaltliche Bewertung - GI'!RechtsformAngebot=DV$13,DV88*DY88,IF('Inhaltliche Bewertung - GI'!RechtsformAngebot=DN$13,DN88*DY88,"")))))</f>
        <v>#N/A</v>
      </c>
      <c r="EB88" s="351"/>
      <c r="EC88" s="157">
        <f t="shared" si="1"/>
        <v>0</v>
      </c>
      <c r="ED88" s="157">
        <f t="shared" si="2"/>
        <v>1</v>
      </c>
      <c r="EE88" s="157">
        <f t="shared" si="3"/>
        <v>0.125</v>
      </c>
      <c r="EF88" s="157">
        <f t="shared" si="4"/>
        <v>0</v>
      </c>
    </row>
    <row r="89" spans="1:136" ht="14.25" customHeight="1">
      <c r="A89" s="395"/>
      <c r="B89" s="337" t="s">
        <v>3481</v>
      </c>
      <c r="C89" s="395"/>
      <c r="D89" s="396"/>
      <c r="E89" s="397"/>
      <c r="F89" s="398"/>
      <c r="G89" s="399"/>
      <c r="H89" s="398"/>
      <c r="I89" s="399"/>
      <c r="J89" s="398"/>
      <c r="K89" s="399"/>
      <c r="L89" s="398"/>
      <c r="M89" s="399"/>
      <c r="N89" s="398"/>
      <c r="O89" s="399"/>
      <c r="P89" s="400"/>
      <c r="Q89" s="401"/>
      <c r="R89" s="351" t="e">
        <f>IF('Inhaltliche Bewertung - GI'!RechtsformGI=H$13,H89*Q89,IF('Inhaltliche Bewertung - GI'!RechtsformGI=J$13,J89*Q89,IF('Inhaltliche Bewertung - GI'!RechtsformGI=L$13,L89*Q89,IF('Inhaltliche Bewertung - GI'!RechtsformGI=N$13,N89*Q89,IF('Inhaltliche Bewertung - GI'!RechtsformGI=F$13,F89*Q89,"")))))</f>
        <v>#N/A</v>
      </c>
      <c r="S89" s="351" t="e">
        <f>IF('Inhaltliche Bewertung - GI'!RechtsformAngebot=H$13,H89*Q89,IF('Inhaltliche Bewertung - GI'!RechtsformAngebot=J$13,J89*Q89,IF('Inhaltliche Bewertung - GI'!RechtsformAngebot=L$13,L89*Q89,IF('Inhaltliche Bewertung - GI'!RechtsformAngebot=N$13,N89*Q89,IF('Inhaltliche Bewertung - GI'!RechtsformAngebot=F$13,F89*Q89,"")))))</f>
        <v>#N/A</v>
      </c>
      <c r="T89" s="351"/>
      <c r="U89" s="397"/>
      <c r="V89" s="398"/>
      <c r="W89" s="402"/>
      <c r="X89" s="403"/>
      <c r="Y89" s="402"/>
      <c r="Z89" s="403"/>
      <c r="AA89" s="402"/>
      <c r="AB89" s="403"/>
      <c r="AC89" s="402"/>
      <c r="AD89" s="403"/>
      <c r="AE89" s="402"/>
      <c r="AF89" s="402"/>
      <c r="AG89" s="401"/>
      <c r="AH89" s="351" t="e">
        <f>IF('Inhaltliche Bewertung - GI'!RechtsformGI=X$13,X89*AG89,IF('Inhaltliche Bewertung - GI'!RechtsformGI=Z$13,Z89*AG89,IF('Inhaltliche Bewertung - GI'!RechtsformGI=AB$13,AB89*AG89,IF('Inhaltliche Bewertung - GI'!RechtsformGI=AD$13,AD89*AG89,IF('Inhaltliche Bewertung - GI'!RechtsformGI=V$13,V89*AG89,"")))))</f>
        <v>#N/A</v>
      </c>
      <c r="AI89" s="351" t="e">
        <f>IF('Inhaltliche Bewertung - GI'!RechtsformAngebot=X$13,X89*AG89,IF('Inhaltliche Bewertung - GI'!RechtsformAngebot=Z$13,Z89*AG89,IF('Inhaltliche Bewertung - GI'!RechtsformAngebot=AB$13,AB89*AG89,IF('Inhaltliche Bewertung - GI'!RechtsformAngebot=AD$13,AD89*AG89,IF('Inhaltliche Bewertung - GI'!RechtsformAngebot=V$13,V89*AG89,"")))))</f>
        <v>#N/A</v>
      </c>
      <c r="AJ89" s="351"/>
      <c r="AK89" s="397"/>
      <c r="AL89" s="398"/>
      <c r="AM89" s="399"/>
      <c r="AN89" s="398"/>
      <c r="AO89" s="399"/>
      <c r="AP89" s="398"/>
      <c r="AQ89" s="399"/>
      <c r="AR89" s="398"/>
      <c r="AS89" s="399"/>
      <c r="AT89" s="398"/>
      <c r="AU89" s="399"/>
      <c r="AV89" s="399"/>
      <c r="AW89" s="401"/>
      <c r="AX89" s="351" t="e">
        <f>IF('Inhaltliche Bewertung - GI'!RechtsformGI=AN$13,AN89*AW89,IF('Inhaltliche Bewertung - GI'!RechtsformGI=AP$13,AP89*AW89,IF('Inhaltliche Bewertung - GI'!RechtsformGI=AR$13,AR89*AW89,IF('Inhaltliche Bewertung - GI'!RechtsformGI=AT$13,AT89*AW89,IF('Inhaltliche Bewertung - GI'!RechtsformGI=AL$13,AL89*AW89,"")))))</f>
        <v>#N/A</v>
      </c>
      <c r="AY89" s="351" t="e">
        <f>IF('Inhaltliche Bewertung - GI'!RechtsformAngebot=AN$13,AN89*AW89,IF('Inhaltliche Bewertung - GI'!RechtsformAngebot=AP$13,AP89*AW89,IF('Inhaltliche Bewertung - GI'!RechtsformAngebot=AR$13,AR89*AW89,IF('Inhaltliche Bewertung - GI'!RechtsformAngebot=AT$13,AT89*AW89,IF('Inhaltliche Bewertung - GI'!RechtsformAngebot=AL$13,AL89*AW89,"")))))</f>
        <v>#N/A</v>
      </c>
      <c r="AZ89" s="351"/>
      <c r="BA89" s="397"/>
      <c r="BB89" s="404"/>
      <c r="BC89" s="399"/>
      <c r="BD89" s="404"/>
      <c r="BE89" s="399"/>
      <c r="BF89" s="404"/>
      <c r="BG89" s="399"/>
      <c r="BH89" s="404"/>
      <c r="BI89" s="399"/>
      <c r="BJ89" s="404"/>
      <c r="BK89" s="399"/>
      <c r="BL89" s="399"/>
      <c r="BM89" s="401"/>
      <c r="BN89" s="351" t="e">
        <f>IF('Inhaltliche Bewertung - GI'!RechtsformGI=BD$13,BD89*BM89,IF('Inhaltliche Bewertung - GI'!RechtsformGI=BF$13,BF89*BM89,IF('Inhaltliche Bewertung - GI'!RechtsformGI=BH$13,BH89*BM89,IF('Inhaltliche Bewertung - GI'!RechtsformGI=BJ$13,BJ89*BM89,IF('Inhaltliche Bewertung - GI'!RechtsformGI=BB$13,BB89*BM89,"")))))</f>
        <v>#N/A</v>
      </c>
      <c r="BO89" s="351" t="e">
        <f>IF('Inhaltliche Bewertung - GI'!RechtsformAngebot=BD$13,BD89*BM89,IF('Inhaltliche Bewertung - GI'!RechtsformAngebot=BF$13,BF89*BM89,IF('Inhaltliche Bewertung - GI'!RechtsformAngebot=BH$13,BH89*BM89,IF('Inhaltliche Bewertung - GI'!RechtsformAngebot=BJ$13,BJ89*BM89,IF('Inhaltliche Bewertung - GI'!RechtsformAngebot=BB$13,BB89*BM89,"")))))</f>
        <v>#N/A</v>
      </c>
      <c r="BP89" s="351"/>
      <c r="BQ89" s="397"/>
      <c r="BR89" s="405"/>
      <c r="BS89" s="406"/>
      <c r="BT89" s="405"/>
      <c r="BU89" s="406"/>
      <c r="BV89" s="405"/>
      <c r="BW89" s="406"/>
      <c r="BX89" s="405"/>
      <c r="BY89" s="406"/>
      <c r="BZ89" s="405"/>
      <c r="CA89" s="406"/>
      <c r="CB89" s="406"/>
      <c r="CC89" s="401"/>
      <c r="CD89" s="351" t="e">
        <f>IF('Inhaltliche Bewertung - GI'!RechtsformGI=BT$13,BT89*CC89,IF('Inhaltliche Bewertung - GI'!RechtsformGI=BV$13,BV89*CC89,IF('Inhaltliche Bewertung - GI'!RechtsformGI=BX$13,BX89*CC89,IF('Inhaltliche Bewertung - GI'!RechtsformGI=BZ$13,BZ89*CC89,IF('Inhaltliche Bewertung - GI'!RechtsformGI=BR$13,BR89*CC89,"")))))</f>
        <v>#N/A</v>
      </c>
      <c r="CE89" s="351" t="e">
        <f>IF('Inhaltliche Bewertung - GI'!RechtsformAngebot=BT$13,BT89*CC89,IF('Inhaltliche Bewertung - GI'!RechtsformAngebot=BV$13,BV89*CC89,IF('Inhaltliche Bewertung - GI'!RechtsformAngebot=BX$13,BX89*CC89,IF('Inhaltliche Bewertung - GI'!RechtsformAngebot=BZ$13,BZ89*CC89,IF('Inhaltliche Bewertung - GI'!RechtsformAngebot=BR$13,BR89*CC89,"")))))</f>
        <v>#N/A</v>
      </c>
      <c r="CF89" s="351"/>
      <c r="CG89" s="397"/>
      <c r="CH89" s="405"/>
      <c r="CI89" s="407"/>
      <c r="CJ89" s="405"/>
      <c r="CK89" s="407"/>
      <c r="CL89" s="405"/>
      <c r="CM89" s="407"/>
      <c r="CN89" s="405"/>
      <c r="CO89" s="407"/>
      <c r="CP89" s="405"/>
      <c r="CQ89" s="407"/>
      <c r="CR89" s="407"/>
      <c r="CS89" s="401"/>
      <c r="CT89" s="351" t="e">
        <f>IF('Inhaltliche Bewertung - GI'!RechtsformGI=CJ$13,CJ89*CS89,IF('Inhaltliche Bewertung - GI'!RechtsformGI=CL$13,CL89*CS89,IF('Inhaltliche Bewertung - GI'!RechtsformGI=CN$13,CN89*CS89,IF('Inhaltliche Bewertung - GI'!RechtsformGI=CP$13,CP89*CS89,IF('Inhaltliche Bewertung - GI'!RechtsformGI=CH$13,CH89*CS89,"")))))</f>
        <v>#N/A</v>
      </c>
      <c r="CU89" s="351" t="e">
        <f>IF('Inhaltliche Bewertung - GI'!RechtsformAngebot=CJ$13,CJ89*CS89,IF('Inhaltliche Bewertung - GI'!RechtsformAngebot=CL$13,CL89*CS89,IF('Inhaltliche Bewertung - GI'!RechtsformAngebot=CN$13,CN89*CS89,IF('Inhaltliche Bewertung - GI'!RechtsformAngebot=CP$13,CP89*CS89,IF('Inhaltliche Bewertung - GI'!RechtsformAngebot=CH$13,CH89*CS89,"")))))</f>
        <v>#N/A</v>
      </c>
      <c r="CV89" s="351"/>
      <c r="CW89" s="397"/>
      <c r="CX89" s="405"/>
      <c r="CY89" s="407"/>
      <c r="CZ89" s="408"/>
      <c r="DA89" s="409"/>
      <c r="DB89" s="405"/>
      <c r="DC89" s="407"/>
      <c r="DD89" s="405"/>
      <c r="DE89" s="407"/>
      <c r="DF89" s="405"/>
      <c r="DG89" s="407"/>
      <c r="DH89" s="407"/>
      <c r="DI89" s="401"/>
      <c r="DJ89" s="351" t="e">
        <f>IF('Inhaltliche Bewertung - GI'!RechtsformGI=CZ$13,CZ89*DI89,IF('Inhaltliche Bewertung - GI'!RechtsformGI=DB$13,DB89*DI89,IF('Inhaltliche Bewertung - GI'!RechtsformGI=DD$13,DD89*DI89,IF('Inhaltliche Bewertung - GI'!RechtsformGI=DF$13,DF89*DI89,IF('Inhaltliche Bewertung - GI'!RechtsformGI=CX$13,CX89*DI89,"")))))</f>
        <v>#N/A</v>
      </c>
      <c r="DK89" s="351" t="e">
        <f>IF('Inhaltliche Bewertung - GI'!RechtsformAngebot=CZ$13,CZ89*DI89,IF('Inhaltliche Bewertung - GI'!RechtsformAngebot=DB$13,DB89*DI89,IF('Inhaltliche Bewertung - GI'!RechtsformAngebot=DD$13,DD89*DI89,IF('Inhaltliche Bewertung - GI'!RechtsformAngebot=DF$13,DF89*DI89,IF('Inhaltliche Bewertung - GI'!RechtsformAngebot=CX$13,CX89*DI89,"")))))</f>
        <v>#N/A</v>
      </c>
      <c r="DL89" s="351"/>
      <c r="DM89" s="397"/>
      <c r="DN89" s="405"/>
      <c r="DO89" s="407"/>
      <c r="DP89" s="405"/>
      <c r="DQ89" s="407"/>
      <c r="DR89" s="405"/>
      <c r="DS89" s="407"/>
      <c r="DT89" s="405"/>
      <c r="DU89" s="407"/>
      <c r="DV89" s="405"/>
      <c r="DW89" s="407"/>
      <c r="DX89" s="407"/>
      <c r="DY89" s="401"/>
      <c r="DZ89" s="351" t="e">
        <f>IF('Inhaltliche Bewertung - GI'!RechtsformGI=DP$13,DP89*DY89,IF('Inhaltliche Bewertung - GI'!RechtsformGI=DR$13,DR89*DY89,IF('Inhaltliche Bewertung - GI'!RechtsformGI=DT$13,DT89*DY89,IF('Inhaltliche Bewertung - GI'!RechtsformGI=DV$13,DV89*DY89,IF('Inhaltliche Bewertung - GI'!RechtsformGI=DN$13,DN89*DY89,"")))))</f>
        <v>#N/A</v>
      </c>
      <c r="EA89" s="351" t="e">
        <f>IF('Inhaltliche Bewertung - GI'!RechtsformAngebot=DP$13,DP89*DY89,IF('Inhaltliche Bewertung - GI'!RechtsformAngebot=DR$13,DR89*DY89,IF('Inhaltliche Bewertung - GI'!RechtsformAngebot=DT$13,DT89*DY89,IF('Inhaltliche Bewertung - GI'!RechtsformAngebot=DV$13,DV89*DY89,IF('Inhaltliche Bewertung - GI'!RechtsformAngebot=DN$13,DN89*DY89,"")))))</f>
        <v>#N/A</v>
      </c>
      <c r="EB89" s="351"/>
      <c r="EC89" s="157">
        <f t="shared" si="1"/>
        <v>0</v>
      </c>
      <c r="ED89" s="157">
        <f t="shared" si="2"/>
        <v>0</v>
      </c>
      <c r="EE89" s="157" t="e">
        <f t="shared" si="3"/>
        <v>#DIV/0!</v>
      </c>
      <c r="EF89" s="157" t="e">
        <f t="shared" si="4"/>
        <v>#NUM!</v>
      </c>
    </row>
    <row r="90" spans="1:136" ht="14.25" customHeight="1">
      <c r="A90" s="444" t="b">
        <f t="shared" ref="A90:A96" si="6">EXACT(MAX(F90,H90,J90,L90,N90,V90,X90,Z90,AB90,AD90,AL90,AN90,AP90,AR90,AT90,BB90,BD90,BF90,BH90,BJ90,BR90,BT90,BV90,BX90,BZ90,CH90,CJ90,CL90,CN90,CP90,CX90,CZ90,DB90,DD90,DF90),MIN(F90,H90,J90,L90,N90,V90,X90,Z90,AB90,AD90,AL90,AN90,AP90,AR90,AT90,BB90,BD90,BF90,BH90,BJ90,BR90,BT90,BV90,BX90,BZ90,CH90,CJ90,CL90,CN90,CP90,CX90,CZ90,DB90,DD90,DF90))</f>
        <v>1</v>
      </c>
      <c r="B90" s="292"/>
      <c r="C90" s="355" t="s">
        <v>3482</v>
      </c>
      <c r="D90" s="345"/>
      <c r="E90" s="356" t="s">
        <v>3234</v>
      </c>
      <c r="F90" s="357">
        <v>0</v>
      </c>
      <c r="G90" s="358"/>
      <c r="H90" s="357">
        <v>0</v>
      </c>
      <c r="I90" s="358"/>
      <c r="J90" s="357">
        <v>0</v>
      </c>
      <c r="K90" s="358"/>
      <c r="L90" s="357">
        <v>0</v>
      </c>
      <c r="M90" s="358"/>
      <c r="N90" s="357">
        <v>0</v>
      </c>
      <c r="O90" s="358"/>
      <c r="P90" s="359"/>
      <c r="Q90" s="373">
        <v>1</v>
      </c>
      <c r="R90" s="351" t="e">
        <f>IF('Inhaltliche Bewertung - GI'!RechtsformGI=H$13,H90*Q90,IF('Inhaltliche Bewertung - GI'!RechtsformGI=J$13,J90*Q90,IF('Inhaltliche Bewertung - GI'!RechtsformGI=L$13,L90*Q90,IF('Inhaltliche Bewertung - GI'!RechtsformGI=N$13,N90*Q90,IF('Inhaltliche Bewertung - GI'!RechtsformGI=F$13,F90*Q90,"")))))</f>
        <v>#N/A</v>
      </c>
      <c r="S90" s="351" t="e">
        <f>IF('Inhaltliche Bewertung - GI'!RechtsformAngebot=H$13,H90*Q90,IF('Inhaltliche Bewertung - GI'!RechtsformAngebot=J$13,J90*Q90,IF('Inhaltliche Bewertung - GI'!RechtsformAngebot=L$13,L90*Q90,IF('Inhaltliche Bewertung - GI'!RechtsformAngebot=N$13,N90*Q90,IF('Inhaltliche Bewertung - GI'!RechtsformAngebot=F$13,F90*Q90,"")))))</f>
        <v>#N/A</v>
      </c>
      <c r="T90" s="351"/>
      <c r="U90" s="356" t="s">
        <v>3234</v>
      </c>
      <c r="V90" s="357">
        <v>0</v>
      </c>
      <c r="W90" s="374"/>
      <c r="X90" s="375">
        <v>0</v>
      </c>
      <c r="Y90" s="374"/>
      <c r="Z90" s="375">
        <v>0</v>
      </c>
      <c r="AA90" s="374"/>
      <c r="AB90" s="375">
        <v>0</v>
      </c>
      <c r="AC90" s="374"/>
      <c r="AD90" s="375">
        <v>0</v>
      </c>
      <c r="AE90" s="374"/>
      <c r="AF90" s="374"/>
      <c r="AG90" s="373">
        <v>1</v>
      </c>
      <c r="AH90" s="351" t="e">
        <f>IF('Inhaltliche Bewertung - GI'!RechtsformGI=X$13,X90*AG90,IF('Inhaltliche Bewertung - GI'!RechtsformGI=Z$13,Z90*AG90,IF('Inhaltliche Bewertung - GI'!RechtsformGI=AB$13,AB90*AG90,IF('Inhaltliche Bewertung - GI'!RechtsformGI=AD$13,AD90*AG90,IF('Inhaltliche Bewertung - GI'!RechtsformGI=V$13,V90*AG90,"")))))</f>
        <v>#N/A</v>
      </c>
      <c r="AI90" s="351" t="e">
        <f>IF('Inhaltliche Bewertung - GI'!RechtsformAngebot=X$13,X90*AG90,IF('Inhaltliche Bewertung - GI'!RechtsformAngebot=Z$13,Z90*AG90,IF('Inhaltliche Bewertung - GI'!RechtsformAngebot=AB$13,AB90*AG90,IF('Inhaltliche Bewertung - GI'!RechtsformAngebot=AD$13,AD90*AG90,IF('Inhaltliche Bewertung - GI'!RechtsformAngebot=V$13,V90*AG90,"")))))</f>
        <v>#N/A</v>
      </c>
      <c r="AJ90" s="351"/>
      <c r="AK90" s="356" t="s">
        <v>3234</v>
      </c>
      <c r="AL90" s="357">
        <v>0</v>
      </c>
      <c r="AM90" s="358"/>
      <c r="AN90" s="357">
        <v>0</v>
      </c>
      <c r="AO90" s="358"/>
      <c r="AP90" s="357">
        <v>0</v>
      </c>
      <c r="AQ90" s="358"/>
      <c r="AR90" s="357">
        <v>0</v>
      </c>
      <c r="AS90" s="358"/>
      <c r="AT90" s="357">
        <v>0</v>
      </c>
      <c r="AU90" s="358"/>
      <c r="AV90" s="358"/>
      <c r="AW90" s="373">
        <v>1</v>
      </c>
      <c r="AX90" s="351" t="e">
        <f>IF('Inhaltliche Bewertung - GI'!RechtsformGI=AN$13,AN90*AW90,IF('Inhaltliche Bewertung - GI'!RechtsformGI=AP$13,AP90*AW90,IF('Inhaltliche Bewertung - GI'!RechtsformGI=AR$13,AR90*AW90,IF('Inhaltliche Bewertung - GI'!RechtsformGI=AT$13,AT90*AW90,IF('Inhaltliche Bewertung - GI'!RechtsformGI=AL$13,AL90*AW90,"")))))</f>
        <v>#N/A</v>
      </c>
      <c r="AY90" s="351" t="e">
        <f>IF('Inhaltliche Bewertung - GI'!RechtsformAngebot=AN$13,AN90*AW90,IF('Inhaltliche Bewertung - GI'!RechtsformAngebot=AP$13,AP90*AW90,IF('Inhaltliche Bewertung - GI'!RechtsformAngebot=AR$13,AR90*AW90,IF('Inhaltliche Bewertung - GI'!RechtsformAngebot=AT$13,AT90*AW90,IF('Inhaltliche Bewertung - GI'!RechtsformAngebot=AL$13,AL90*AW90,"")))))</f>
        <v>#N/A</v>
      </c>
      <c r="AZ90" s="351"/>
      <c r="BA90" s="356" t="s">
        <v>3234</v>
      </c>
      <c r="BB90" s="381">
        <v>0</v>
      </c>
      <c r="BC90" s="358"/>
      <c r="BD90" s="381">
        <v>0</v>
      </c>
      <c r="BE90" s="358"/>
      <c r="BF90" s="381">
        <v>0</v>
      </c>
      <c r="BG90" s="358"/>
      <c r="BH90" s="381">
        <v>0</v>
      </c>
      <c r="BI90" s="358"/>
      <c r="BJ90" s="381">
        <v>0</v>
      </c>
      <c r="BK90" s="358"/>
      <c r="BL90" s="358"/>
      <c r="BM90" s="373">
        <v>1</v>
      </c>
      <c r="BN90" s="351" t="e">
        <f>IF('Inhaltliche Bewertung - GI'!RechtsformGI=BD$13,BD90*BM90,IF('Inhaltliche Bewertung - GI'!RechtsformGI=BF$13,BF90*BM90,IF('Inhaltliche Bewertung - GI'!RechtsformGI=BH$13,BH90*BM90,IF('Inhaltliche Bewertung - GI'!RechtsformGI=BJ$13,BJ90*BM90,IF('Inhaltliche Bewertung - GI'!RechtsformGI=BB$13,BB90*BM90,"")))))</f>
        <v>#N/A</v>
      </c>
      <c r="BO90" s="351" t="e">
        <f>IF('Inhaltliche Bewertung - GI'!RechtsformAngebot=BD$13,BD90*BM90,IF('Inhaltliche Bewertung - GI'!RechtsformAngebot=BF$13,BF90*BM90,IF('Inhaltliche Bewertung - GI'!RechtsformAngebot=BH$13,BH90*BM90,IF('Inhaltliche Bewertung - GI'!RechtsformAngebot=BJ$13,BJ90*BM90,IF('Inhaltliche Bewertung - GI'!RechtsformAngebot=BB$13,BB90*BM90,"")))))</f>
        <v>#N/A</v>
      </c>
      <c r="BP90" s="351"/>
      <c r="BQ90" s="356" t="s">
        <v>3234</v>
      </c>
      <c r="BR90" s="376">
        <v>0</v>
      </c>
      <c r="BS90" s="382"/>
      <c r="BT90" s="376">
        <v>0</v>
      </c>
      <c r="BU90" s="382"/>
      <c r="BV90" s="376">
        <v>0</v>
      </c>
      <c r="BW90" s="382"/>
      <c r="BX90" s="376">
        <v>0</v>
      </c>
      <c r="BY90" s="382"/>
      <c r="BZ90" s="376">
        <v>0</v>
      </c>
      <c r="CA90" s="382"/>
      <c r="CB90" s="382"/>
      <c r="CC90" s="373">
        <v>1</v>
      </c>
      <c r="CD90" s="351" t="e">
        <f>IF('Inhaltliche Bewertung - GI'!RechtsformGI=BT$13,BT90*CC90,IF('Inhaltliche Bewertung - GI'!RechtsformGI=BV$13,BV90*CC90,IF('Inhaltliche Bewertung - GI'!RechtsformGI=BX$13,BX90*CC90,IF('Inhaltliche Bewertung - GI'!RechtsformGI=BZ$13,BZ90*CC90,IF('Inhaltliche Bewertung - GI'!RechtsformGI=BR$13,BR90*CC90,"")))))</f>
        <v>#N/A</v>
      </c>
      <c r="CE90" s="351" t="e">
        <f>IF('Inhaltliche Bewertung - GI'!RechtsformAngebot=BT$13,BT90*CC90,IF('Inhaltliche Bewertung - GI'!RechtsformAngebot=BV$13,BV90*CC90,IF('Inhaltliche Bewertung - GI'!RechtsformAngebot=BX$13,BX90*CC90,IF('Inhaltliche Bewertung - GI'!RechtsformAngebot=BZ$13,BZ90*CC90,IF('Inhaltliche Bewertung - GI'!RechtsformAngebot=BR$13,BR90*CC90,"")))))</f>
        <v>#N/A</v>
      </c>
      <c r="CF90" s="351"/>
      <c r="CG90" s="356" t="s">
        <v>3234</v>
      </c>
      <c r="CH90" s="376">
        <v>0</v>
      </c>
      <c r="CI90" s="377"/>
      <c r="CJ90" s="376">
        <v>0</v>
      </c>
      <c r="CK90" s="377"/>
      <c r="CL90" s="376">
        <v>0</v>
      </c>
      <c r="CM90" s="377"/>
      <c r="CN90" s="376">
        <v>0</v>
      </c>
      <c r="CO90" s="377"/>
      <c r="CP90" s="376">
        <v>0</v>
      </c>
      <c r="CQ90" s="377"/>
      <c r="CR90" s="377"/>
      <c r="CS90" s="373">
        <v>1</v>
      </c>
      <c r="CT90" s="351" t="e">
        <f>IF('Inhaltliche Bewertung - GI'!RechtsformGI=CJ$13,CJ90*CS90,IF('Inhaltliche Bewertung - GI'!RechtsformGI=CL$13,CL90*CS90,IF('Inhaltliche Bewertung - GI'!RechtsformGI=CN$13,CN90*CS90,IF('Inhaltliche Bewertung - GI'!RechtsformGI=CP$13,CP90*CS90,IF('Inhaltliche Bewertung - GI'!RechtsformGI=CH$13,CH90*CS90,"")))))</f>
        <v>#N/A</v>
      </c>
      <c r="CU90" s="351" t="e">
        <f>IF('Inhaltliche Bewertung - GI'!RechtsformAngebot=CJ$13,CJ90*CS90,IF('Inhaltliche Bewertung - GI'!RechtsformAngebot=CL$13,CL90*CS90,IF('Inhaltliche Bewertung - GI'!RechtsformAngebot=CN$13,CN90*CS90,IF('Inhaltliche Bewertung - GI'!RechtsformAngebot=CP$13,CP90*CS90,IF('Inhaltliche Bewertung - GI'!RechtsformAngebot=CH$13,CH90*CS90,"")))))</f>
        <v>#N/A</v>
      </c>
      <c r="CV90" s="351"/>
      <c r="CW90" s="356" t="s">
        <v>3234</v>
      </c>
      <c r="CX90" s="376">
        <v>0</v>
      </c>
      <c r="CY90" s="377"/>
      <c r="CZ90" s="376">
        <v>0</v>
      </c>
      <c r="DA90" s="379"/>
      <c r="DB90" s="376">
        <v>0</v>
      </c>
      <c r="DC90" s="377"/>
      <c r="DD90" s="376">
        <v>0</v>
      </c>
      <c r="DE90" s="377"/>
      <c r="DF90" s="376">
        <v>0</v>
      </c>
      <c r="DG90" s="377"/>
      <c r="DH90" s="377"/>
      <c r="DI90" s="373">
        <v>1</v>
      </c>
      <c r="DJ90" s="351" t="e">
        <f>IF('Inhaltliche Bewertung - GI'!RechtsformGI=CZ$13,CZ90*DI90,IF('Inhaltliche Bewertung - GI'!RechtsformGI=DB$13,DB90*DI90,IF('Inhaltliche Bewertung - GI'!RechtsformGI=DD$13,DD90*DI90,IF('Inhaltliche Bewertung - GI'!RechtsformGI=DF$13,DF90*DI90,IF('Inhaltliche Bewertung - GI'!RechtsformGI=CX$13,CX90*DI90,"")))))</f>
        <v>#N/A</v>
      </c>
      <c r="DK90" s="351" t="e">
        <f>IF('Inhaltliche Bewertung - GI'!RechtsformAngebot=CZ$13,CZ90*DI90,IF('Inhaltliche Bewertung - GI'!RechtsformAngebot=DB$13,DB90*DI90,IF('Inhaltliche Bewertung - GI'!RechtsformAngebot=DD$13,DD90*DI90,IF('Inhaltliche Bewertung - GI'!RechtsformAngebot=DF$13,DF90*DI90,IF('Inhaltliche Bewertung - GI'!RechtsformAngebot=CX$13,CX90*DI90,"")))))</f>
        <v>#N/A</v>
      </c>
      <c r="DL90" s="351"/>
      <c r="DM90" s="356" t="s">
        <v>3234</v>
      </c>
      <c r="DN90" s="376">
        <v>0</v>
      </c>
      <c r="DO90" s="377"/>
      <c r="DP90" s="376">
        <v>0</v>
      </c>
      <c r="DQ90" s="377"/>
      <c r="DR90" s="376">
        <v>0</v>
      </c>
      <c r="DS90" s="377"/>
      <c r="DT90" s="376">
        <v>0</v>
      </c>
      <c r="DU90" s="377"/>
      <c r="DV90" s="376">
        <v>0</v>
      </c>
      <c r="DW90" s="377"/>
      <c r="DX90" s="377"/>
      <c r="DY90" s="373">
        <v>1</v>
      </c>
      <c r="DZ90" s="351" t="e">
        <f>IF('Inhaltliche Bewertung - GI'!RechtsformGI=DP$13,DP90*DY90,IF('Inhaltliche Bewertung - GI'!RechtsformGI=DR$13,DR90*DY90,IF('Inhaltliche Bewertung - GI'!RechtsformGI=DT$13,DT90*DY90,IF('Inhaltliche Bewertung - GI'!RechtsformGI=DV$13,DV90*DY90,IF('Inhaltliche Bewertung - GI'!RechtsformGI=DN$13,DN90*DY90,"")))))</f>
        <v>#N/A</v>
      </c>
      <c r="EA90" s="351" t="e">
        <f>IF('Inhaltliche Bewertung - GI'!RechtsformAngebot=DP$13,DP90*DY90,IF('Inhaltliche Bewertung - GI'!RechtsformAngebot=DR$13,DR90*DY90,IF('Inhaltliche Bewertung - GI'!RechtsformAngebot=DT$13,DT90*DY90,IF('Inhaltliche Bewertung - GI'!RechtsformAngebot=DV$13,DV90*DY90,IF('Inhaltliche Bewertung - GI'!RechtsformAngebot=DN$13,DN90*DY90,"")))))</f>
        <v>#N/A</v>
      </c>
      <c r="EB90" s="351"/>
      <c r="EC90" s="157">
        <f t="shared" si="1"/>
        <v>0</v>
      </c>
      <c r="ED90" s="157">
        <f t="shared" si="2"/>
        <v>0</v>
      </c>
      <c r="EE90" s="157">
        <f t="shared" si="3"/>
        <v>0</v>
      </c>
      <c r="EF90" s="157">
        <f t="shared" si="4"/>
        <v>0</v>
      </c>
    </row>
    <row r="91" spans="1:136" ht="14.25" customHeight="1">
      <c r="A91" s="444" t="b">
        <f t="shared" si="6"/>
        <v>0</v>
      </c>
      <c r="B91" s="292"/>
      <c r="C91" s="355" t="s">
        <v>3483</v>
      </c>
      <c r="D91" s="345"/>
      <c r="E91" s="371" t="s">
        <v>3484</v>
      </c>
      <c r="F91" s="372">
        <v>1</v>
      </c>
      <c r="G91" s="358"/>
      <c r="H91" s="372">
        <v>1</v>
      </c>
      <c r="I91" s="358"/>
      <c r="J91" s="372">
        <v>1</v>
      </c>
      <c r="K91" s="358"/>
      <c r="L91" s="372">
        <v>1</v>
      </c>
      <c r="M91" s="358"/>
      <c r="N91" s="372">
        <v>1</v>
      </c>
      <c r="O91" s="358"/>
      <c r="P91" s="359"/>
      <c r="Q91" s="360">
        <v>1</v>
      </c>
      <c r="R91" s="351" t="e">
        <f>IF('Inhaltliche Bewertung - GI'!RechtsformGI=H$13,H91*Q91,IF('Inhaltliche Bewertung - GI'!RechtsformGI=J$13,J91*Q91,IF('Inhaltliche Bewertung - GI'!RechtsformGI=L$13,L91*Q91,IF('Inhaltliche Bewertung - GI'!RechtsformGI=N$13,N91*Q91,IF('Inhaltliche Bewertung - GI'!RechtsformGI=F$13,F91*Q91,"")))))</f>
        <v>#N/A</v>
      </c>
      <c r="S91" s="351" t="e">
        <f>IF('Inhaltliche Bewertung - GI'!RechtsformAngebot=H$13,H91*Q91,IF('Inhaltliche Bewertung - GI'!RechtsformAngebot=J$13,J91*Q91,IF('Inhaltliche Bewertung - GI'!RechtsformAngebot=L$13,L91*Q91,IF('Inhaltliche Bewertung - GI'!RechtsformAngebot=N$13,N91*Q91,IF('Inhaltliche Bewertung - GI'!RechtsformAngebot=F$13,F91*Q91,"")))))</f>
        <v>#N/A</v>
      </c>
      <c r="T91" s="351"/>
      <c r="U91" s="361" t="s">
        <v>3485</v>
      </c>
      <c r="V91" s="372">
        <v>1</v>
      </c>
      <c r="W91" s="358"/>
      <c r="X91" s="372">
        <v>1</v>
      </c>
      <c r="Y91" s="358"/>
      <c r="Z91" s="372">
        <v>1</v>
      </c>
      <c r="AA91" s="358"/>
      <c r="AB91" s="372">
        <v>1</v>
      </c>
      <c r="AC91" s="358"/>
      <c r="AD91" s="372">
        <v>1</v>
      </c>
      <c r="AE91" s="358"/>
      <c r="AF91" s="359"/>
      <c r="AG91" s="360">
        <v>1</v>
      </c>
      <c r="AH91" s="351" t="e">
        <f>IF('Inhaltliche Bewertung - GI'!RechtsformGI=X$13,X91*AG91,IF('Inhaltliche Bewertung - GI'!RechtsformGI=Z$13,Z91*AG91,IF('Inhaltliche Bewertung - GI'!RechtsformGI=AB$13,AB91*AG91,IF('Inhaltliche Bewertung - GI'!RechtsformGI=AD$13,AD91*AG91,IF('Inhaltliche Bewertung - GI'!RechtsformGI=V$13,V91*AG91,"")))))</f>
        <v>#N/A</v>
      </c>
      <c r="AI91" s="351" t="e">
        <f>IF('Inhaltliche Bewertung - GI'!RechtsformAngebot=X$13,X91*AG91,IF('Inhaltliche Bewertung - GI'!RechtsformAngebot=Z$13,Z91*AG91,IF('Inhaltliche Bewertung - GI'!RechtsformAngebot=AB$13,AB91*AG91,IF('Inhaltliche Bewertung - GI'!RechtsformAngebot=AD$13,AD91*AG91,IF('Inhaltliche Bewertung - GI'!RechtsformAngebot=V$13,V91*AG91,"")))))</f>
        <v>#N/A</v>
      </c>
      <c r="AJ91" s="351"/>
      <c r="AK91" s="371" t="s">
        <v>3485</v>
      </c>
      <c r="AL91" s="372">
        <v>1</v>
      </c>
      <c r="AM91" s="358"/>
      <c r="AN91" s="372">
        <v>1</v>
      </c>
      <c r="AO91" s="358"/>
      <c r="AP91" s="372">
        <v>1</v>
      </c>
      <c r="AQ91" s="358"/>
      <c r="AR91" s="372">
        <v>1</v>
      </c>
      <c r="AS91" s="358"/>
      <c r="AT91" s="372">
        <v>1</v>
      </c>
      <c r="AU91" s="358"/>
      <c r="AV91" s="359"/>
      <c r="AW91" s="360">
        <v>1</v>
      </c>
      <c r="AX91" s="351" t="e">
        <f>IF('Inhaltliche Bewertung - GI'!RechtsformGI=AN$13,AN91*AW91,IF('Inhaltliche Bewertung - GI'!RechtsformGI=AP$13,AP91*AW91,IF('Inhaltliche Bewertung - GI'!RechtsformGI=AR$13,AR91*AW91,IF('Inhaltliche Bewertung - GI'!RechtsformGI=AT$13,AT91*AW91,IF('Inhaltliche Bewertung - GI'!RechtsformGI=AL$13,AL91*AW91,"")))))</f>
        <v>#N/A</v>
      </c>
      <c r="AY91" s="351" t="e">
        <f>IF('Inhaltliche Bewertung - GI'!RechtsformAngebot=AN$13,AN91*AW91,IF('Inhaltliche Bewertung - GI'!RechtsformAngebot=AP$13,AP91*AW91,IF('Inhaltliche Bewertung - GI'!RechtsformAngebot=AR$13,AR91*AW91,IF('Inhaltliche Bewertung - GI'!RechtsformAngebot=AT$13,AT91*AW91,IF('Inhaltliche Bewertung - GI'!RechtsformAngebot=AL$13,AL91*AW91,"")))))</f>
        <v>#N/A</v>
      </c>
      <c r="AZ91" s="351"/>
      <c r="BA91" s="361" t="s">
        <v>3485</v>
      </c>
      <c r="BB91" s="372">
        <v>1</v>
      </c>
      <c r="BC91" s="358"/>
      <c r="BD91" s="372">
        <v>1</v>
      </c>
      <c r="BE91" s="358"/>
      <c r="BF91" s="372">
        <v>1</v>
      </c>
      <c r="BG91" s="358"/>
      <c r="BH91" s="372">
        <v>1</v>
      </c>
      <c r="BI91" s="358"/>
      <c r="BJ91" s="372">
        <v>1</v>
      </c>
      <c r="BK91" s="358"/>
      <c r="BL91" s="359"/>
      <c r="BM91" s="360">
        <v>1</v>
      </c>
      <c r="BN91" s="351" t="e">
        <f>IF('Inhaltliche Bewertung - GI'!RechtsformGI=BD$13,BD91*BM91,IF('Inhaltliche Bewertung - GI'!RechtsformGI=BF$13,BF91*BM91,IF('Inhaltliche Bewertung - GI'!RechtsformGI=BH$13,BH91*BM91,IF('Inhaltliche Bewertung - GI'!RechtsformGI=BJ$13,BJ91*BM91,IF('Inhaltliche Bewertung - GI'!RechtsformGI=BB$13,BB91*BM91,"")))))</f>
        <v>#N/A</v>
      </c>
      <c r="BO91" s="351" t="e">
        <f>IF('Inhaltliche Bewertung - GI'!RechtsformAngebot=BD$13,BD91*BM91,IF('Inhaltliche Bewertung - GI'!RechtsformAngebot=BF$13,BF91*BM91,IF('Inhaltliche Bewertung - GI'!RechtsformAngebot=BH$13,BH91*BM91,IF('Inhaltliche Bewertung - GI'!RechtsformAngebot=BJ$13,BJ91*BM91,IF('Inhaltliche Bewertung - GI'!RechtsformAngebot=BB$13,BB91*BM91,"")))))</f>
        <v>#N/A</v>
      </c>
      <c r="BP91" s="351"/>
      <c r="BQ91" s="361" t="s">
        <v>3485</v>
      </c>
      <c r="BR91" s="372">
        <v>1</v>
      </c>
      <c r="BS91" s="358"/>
      <c r="BT91" s="372">
        <v>1</v>
      </c>
      <c r="BU91" s="358"/>
      <c r="BV91" s="372">
        <v>1</v>
      </c>
      <c r="BW91" s="358"/>
      <c r="BX91" s="372">
        <v>1</v>
      </c>
      <c r="BY91" s="358"/>
      <c r="BZ91" s="372">
        <v>1</v>
      </c>
      <c r="CA91" s="358"/>
      <c r="CB91" s="359"/>
      <c r="CC91" s="360">
        <v>1</v>
      </c>
      <c r="CD91" s="351" t="e">
        <f>IF('Inhaltliche Bewertung - GI'!RechtsformGI=BT$13,BT91*CC91,IF('Inhaltliche Bewertung - GI'!RechtsformGI=BV$13,BV91*CC91,IF('Inhaltliche Bewertung - GI'!RechtsformGI=BX$13,BX91*CC91,IF('Inhaltliche Bewertung - GI'!RechtsformGI=BZ$13,BZ91*CC91,IF('Inhaltliche Bewertung - GI'!RechtsformGI=BR$13,BR91*CC91,"")))))</f>
        <v>#N/A</v>
      </c>
      <c r="CE91" s="351" t="e">
        <f>IF('Inhaltliche Bewertung - GI'!RechtsformAngebot=BT$13,BT91*CC91,IF('Inhaltliche Bewertung - GI'!RechtsformAngebot=BV$13,BV91*CC91,IF('Inhaltliche Bewertung - GI'!RechtsformAngebot=BX$13,BX91*CC91,IF('Inhaltliche Bewertung - GI'!RechtsformAngebot=BZ$13,BZ91*CC91,IF('Inhaltliche Bewertung - GI'!RechtsformAngebot=BR$13,BR91*CC91,"")))))</f>
        <v>#N/A</v>
      </c>
      <c r="CF91" s="351"/>
      <c r="CG91" s="361" t="s">
        <v>3486</v>
      </c>
      <c r="CH91" s="372">
        <v>0.9</v>
      </c>
      <c r="CI91" s="358"/>
      <c r="CJ91" s="372">
        <v>0.9</v>
      </c>
      <c r="CK91" s="358"/>
      <c r="CL91" s="372">
        <v>0.9</v>
      </c>
      <c r="CM91" s="358"/>
      <c r="CN91" s="372">
        <v>0.9</v>
      </c>
      <c r="CO91" s="358"/>
      <c r="CP91" s="372">
        <v>0.9</v>
      </c>
      <c r="CQ91" s="358"/>
      <c r="CR91" s="359"/>
      <c r="CS91" s="360">
        <v>1</v>
      </c>
      <c r="CT91" s="351" t="e">
        <f>IF('Inhaltliche Bewertung - GI'!RechtsformGI=CJ$13,CJ91*CS91,IF('Inhaltliche Bewertung - GI'!RechtsformGI=CL$13,CL91*CS91,IF('Inhaltliche Bewertung - GI'!RechtsformGI=CN$13,CN91*CS91,IF('Inhaltliche Bewertung - GI'!RechtsformGI=CP$13,CP91*CS91,IF('Inhaltliche Bewertung - GI'!RechtsformGI=CH$13,CH91*CS91,"")))))</f>
        <v>#N/A</v>
      </c>
      <c r="CU91" s="351" t="e">
        <f>IF('Inhaltliche Bewertung - GI'!RechtsformAngebot=CJ$13,CJ91*CS91,IF('Inhaltliche Bewertung - GI'!RechtsformAngebot=CL$13,CL91*CS91,IF('Inhaltliche Bewertung - GI'!RechtsformAngebot=CN$13,CN91*CS91,IF('Inhaltliche Bewertung - GI'!RechtsformAngebot=CP$13,CP91*CS91,IF('Inhaltliche Bewertung - GI'!RechtsformAngebot=CH$13,CH91*CS91,"")))))</f>
        <v>#N/A</v>
      </c>
      <c r="CV91" s="351"/>
      <c r="CW91" s="371" t="s">
        <v>3487</v>
      </c>
      <c r="CX91" s="372">
        <v>1</v>
      </c>
      <c r="CY91" s="358"/>
      <c r="CZ91" s="372">
        <v>1</v>
      </c>
      <c r="DA91" s="358"/>
      <c r="DB91" s="372">
        <v>1</v>
      </c>
      <c r="DC91" s="358"/>
      <c r="DD91" s="372">
        <v>1</v>
      </c>
      <c r="DE91" s="358"/>
      <c r="DF91" s="372">
        <v>1</v>
      </c>
      <c r="DG91" s="358"/>
      <c r="DH91" s="359"/>
      <c r="DI91" s="360">
        <v>1</v>
      </c>
      <c r="DJ91" s="351" t="e">
        <f>IF('Inhaltliche Bewertung - GI'!RechtsformGI=CZ$13,CZ91*DI91,IF('Inhaltliche Bewertung - GI'!RechtsformGI=DB$13,DB91*DI91,IF('Inhaltliche Bewertung - GI'!RechtsformGI=DD$13,DD91*DI91,IF('Inhaltliche Bewertung - GI'!RechtsformGI=DF$13,DF91*DI91,IF('Inhaltliche Bewertung - GI'!RechtsformGI=CX$13,CX91*DI91,"")))))</f>
        <v>#N/A</v>
      </c>
      <c r="DK91" s="351" t="e">
        <f>IF('Inhaltliche Bewertung - GI'!RechtsformAngebot=CZ$13,CZ91*DI91,IF('Inhaltliche Bewertung - GI'!RechtsformAngebot=DB$13,DB91*DI91,IF('Inhaltliche Bewertung - GI'!RechtsformAngebot=DD$13,DD91*DI91,IF('Inhaltliche Bewertung - GI'!RechtsformAngebot=DF$13,DF91*DI91,IF('Inhaltliche Bewertung - GI'!RechtsformAngebot=CX$13,CX91*DI91,"")))))</f>
        <v>#N/A</v>
      </c>
      <c r="DL91" s="351"/>
      <c r="DM91" s="361" t="s">
        <v>3485</v>
      </c>
      <c r="DN91" s="372">
        <v>1</v>
      </c>
      <c r="DO91" s="358"/>
      <c r="DP91" s="372">
        <v>1</v>
      </c>
      <c r="DQ91" s="358"/>
      <c r="DR91" s="372">
        <v>1</v>
      </c>
      <c r="DS91" s="358"/>
      <c r="DT91" s="372">
        <v>1</v>
      </c>
      <c r="DU91" s="358"/>
      <c r="DV91" s="372">
        <v>1</v>
      </c>
      <c r="DW91" s="358"/>
      <c r="DX91" s="359"/>
      <c r="DY91" s="360">
        <v>1</v>
      </c>
      <c r="DZ91" s="351" t="e">
        <f>IF('Inhaltliche Bewertung - GI'!RechtsformGI=DP$13,DP91*DY91,IF('Inhaltliche Bewertung - GI'!RechtsformGI=DR$13,DR91*DY91,IF('Inhaltliche Bewertung - GI'!RechtsformGI=DT$13,DT91*DY91,IF('Inhaltliche Bewertung - GI'!RechtsformGI=DV$13,DV91*DY91,IF('Inhaltliche Bewertung - GI'!RechtsformGI=DN$13,DN91*DY91,"")))))</f>
        <v>#N/A</v>
      </c>
      <c r="EA91" s="351" t="e">
        <f>IF('Inhaltliche Bewertung - GI'!RechtsformAngebot=DP$13,DP91*DY91,IF('Inhaltliche Bewertung - GI'!RechtsformAngebot=DR$13,DR91*DY91,IF('Inhaltliche Bewertung - GI'!RechtsformAngebot=DT$13,DT91*DY91,IF('Inhaltliche Bewertung - GI'!RechtsformAngebot=DV$13,DV91*DY91,IF('Inhaltliche Bewertung - GI'!RechtsformAngebot=DN$13,DN91*DY91,"")))))</f>
        <v>#N/A</v>
      </c>
      <c r="EB91" s="351"/>
      <c r="EC91" s="157">
        <f t="shared" si="1"/>
        <v>0.9</v>
      </c>
      <c r="ED91" s="157">
        <f t="shared" si="2"/>
        <v>1</v>
      </c>
      <c r="EE91" s="157">
        <f t="shared" si="3"/>
        <v>0.98749999999999982</v>
      </c>
      <c r="EF91" s="157">
        <f t="shared" si="4"/>
        <v>1</v>
      </c>
    </row>
    <row r="92" spans="1:136" ht="14.25" customHeight="1">
      <c r="A92" s="444" t="b">
        <f t="shared" si="6"/>
        <v>0</v>
      </c>
      <c r="B92" s="292"/>
      <c r="C92" s="355" t="s">
        <v>3488</v>
      </c>
      <c r="D92" s="345"/>
      <c r="E92" s="356" t="s">
        <v>3489</v>
      </c>
      <c r="F92" s="357">
        <v>0</v>
      </c>
      <c r="G92" s="358"/>
      <c r="H92" s="357">
        <v>0</v>
      </c>
      <c r="I92" s="358"/>
      <c r="J92" s="357">
        <v>0</v>
      </c>
      <c r="K92" s="358"/>
      <c r="L92" s="357">
        <v>0</v>
      </c>
      <c r="M92" s="358"/>
      <c r="N92" s="357">
        <v>0</v>
      </c>
      <c r="O92" s="358"/>
      <c r="P92" s="359"/>
      <c r="Q92" s="373">
        <v>1</v>
      </c>
      <c r="R92" s="351" t="e">
        <f>IF('Inhaltliche Bewertung - GI'!RechtsformGI=H$13,H92*Q92,IF('Inhaltliche Bewertung - GI'!RechtsformGI=J$13,J92*Q92,IF('Inhaltliche Bewertung - GI'!RechtsformGI=L$13,L92*Q92,IF('Inhaltliche Bewertung - GI'!RechtsformGI=N$13,N92*Q92,IF('Inhaltliche Bewertung - GI'!RechtsformGI=F$13,F92*Q92,"")))))</f>
        <v>#N/A</v>
      </c>
      <c r="S92" s="351" t="e">
        <f>IF('Inhaltliche Bewertung - GI'!RechtsformAngebot=H$13,H92*Q92,IF('Inhaltliche Bewertung - GI'!RechtsformAngebot=J$13,J92*Q92,IF('Inhaltliche Bewertung - GI'!RechtsformAngebot=L$13,L92*Q92,IF('Inhaltliche Bewertung - GI'!RechtsformAngebot=N$13,N92*Q92,IF('Inhaltliche Bewertung - GI'!RechtsformAngebot=F$13,F92*Q92,"")))))</f>
        <v>#N/A</v>
      </c>
      <c r="T92" s="351"/>
      <c r="U92" s="356" t="s">
        <v>3489</v>
      </c>
      <c r="V92" s="357">
        <v>0.7</v>
      </c>
      <c r="W92" s="358"/>
      <c r="X92" s="357">
        <v>0.7</v>
      </c>
      <c r="Y92" s="358"/>
      <c r="Z92" s="357">
        <v>0.7</v>
      </c>
      <c r="AA92" s="358"/>
      <c r="AB92" s="357">
        <v>0.7</v>
      </c>
      <c r="AC92" s="358"/>
      <c r="AD92" s="357">
        <v>0.7</v>
      </c>
      <c r="AE92" s="358"/>
      <c r="AF92" s="359"/>
      <c r="AG92" s="373">
        <v>1</v>
      </c>
      <c r="AH92" s="351" t="e">
        <f>IF('Inhaltliche Bewertung - GI'!RechtsformGI=X$13,X92*AG92,IF('Inhaltliche Bewertung - GI'!RechtsformGI=Z$13,Z92*AG92,IF('Inhaltliche Bewertung - GI'!RechtsformGI=AB$13,AB92*AG92,IF('Inhaltliche Bewertung - GI'!RechtsformGI=AD$13,AD92*AG92,IF('Inhaltliche Bewertung - GI'!RechtsformGI=V$13,V92*AG92,"")))))</f>
        <v>#N/A</v>
      </c>
      <c r="AI92" s="351" t="e">
        <f>IF('Inhaltliche Bewertung - GI'!RechtsformAngebot=X$13,X92*AG92,IF('Inhaltliche Bewertung - GI'!RechtsformAngebot=Z$13,Z92*AG92,IF('Inhaltliche Bewertung - GI'!RechtsformAngebot=AB$13,AB92*AG92,IF('Inhaltliche Bewertung - GI'!RechtsformAngebot=AD$13,AD92*AG92,IF('Inhaltliche Bewertung - GI'!RechtsformAngebot=V$13,V92*AG92,"")))))</f>
        <v>#N/A</v>
      </c>
      <c r="AJ92" s="351"/>
      <c r="AK92" s="356" t="s">
        <v>3489</v>
      </c>
      <c r="AL92" s="357">
        <v>0.7</v>
      </c>
      <c r="AM92" s="358"/>
      <c r="AN92" s="357">
        <v>0.7</v>
      </c>
      <c r="AO92" s="358"/>
      <c r="AP92" s="357">
        <v>0.7</v>
      </c>
      <c r="AQ92" s="358"/>
      <c r="AR92" s="357">
        <v>0.7</v>
      </c>
      <c r="AS92" s="358"/>
      <c r="AT92" s="357">
        <v>0.7</v>
      </c>
      <c r="AU92" s="358"/>
      <c r="AV92" s="359"/>
      <c r="AW92" s="373">
        <v>1</v>
      </c>
      <c r="AX92" s="351" t="e">
        <f>IF('Inhaltliche Bewertung - GI'!RechtsformGI=AN$13,AN92*AW92,IF('Inhaltliche Bewertung - GI'!RechtsformGI=AP$13,AP92*AW92,IF('Inhaltliche Bewertung - GI'!RechtsformGI=AR$13,AR92*AW92,IF('Inhaltliche Bewertung - GI'!RechtsformGI=AT$13,AT92*AW92,IF('Inhaltliche Bewertung - GI'!RechtsformGI=AL$13,AL92*AW92,"")))))</f>
        <v>#N/A</v>
      </c>
      <c r="AY92" s="351" t="e">
        <f>IF('Inhaltliche Bewertung - GI'!RechtsformAngebot=AN$13,AN92*AW92,IF('Inhaltliche Bewertung - GI'!RechtsformAngebot=AP$13,AP92*AW92,IF('Inhaltliche Bewertung - GI'!RechtsformAngebot=AR$13,AR92*AW92,IF('Inhaltliche Bewertung - GI'!RechtsformAngebot=AT$13,AT92*AW92,IF('Inhaltliche Bewertung - GI'!RechtsformAngebot=AL$13,AL92*AW92,"")))))</f>
        <v>#N/A</v>
      </c>
      <c r="AZ92" s="351"/>
      <c r="BA92" s="356" t="s">
        <v>3489</v>
      </c>
      <c r="BB92" s="357">
        <v>0.7</v>
      </c>
      <c r="BC92" s="358"/>
      <c r="BD92" s="357">
        <v>0.7</v>
      </c>
      <c r="BE92" s="358"/>
      <c r="BF92" s="357">
        <v>0.7</v>
      </c>
      <c r="BG92" s="358"/>
      <c r="BH92" s="357">
        <v>0.7</v>
      </c>
      <c r="BI92" s="358"/>
      <c r="BJ92" s="357">
        <v>0.7</v>
      </c>
      <c r="BK92" s="358"/>
      <c r="BL92" s="359"/>
      <c r="BM92" s="373">
        <v>1</v>
      </c>
      <c r="BN92" s="351" t="e">
        <f>IF('Inhaltliche Bewertung - GI'!RechtsformGI=BD$13,BD92*BM92,IF('Inhaltliche Bewertung - GI'!RechtsformGI=BF$13,BF92*BM92,IF('Inhaltliche Bewertung - GI'!RechtsformGI=BH$13,BH92*BM92,IF('Inhaltliche Bewertung - GI'!RechtsformGI=BJ$13,BJ92*BM92,IF('Inhaltliche Bewertung - GI'!RechtsformGI=BB$13,BB92*BM92,"")))))</f>
        <v>#N/A</v>
      </c>
      <c r="BO92" s="351" t="e">
        <f>IF('Inhaltliche Bewertung - GI'!RechtsformAngebot=BD$13,BD92*BM92,IF('Inhaltliche Bewertung - GI'!RechtsformAngebot=BF$13,BF92*BM92,IF('Inhaltliche Bewertung - GI'!RechtsformAngebot=BH$13,BH92*BM92,IF('Inhaltliche Bewertung - GI'!RechtsformAngebot=BJ$13,BJ92*BM92,IF('Inhaltliche Bewertung - GI'!RechtsformAngebot=BB$13,BB92*BM92,"")))))</f>
        <v>#N/A</v>
      </c>
      <c r="BP92" s="351"/>
      <c r="BQ92" s="356" t="s">
        <v>3489</v>
      </c>
      <c r="BR92" s="357">
        <v>0.7</v>
      </c>
      <c r="BS92" s="358"/>
      <c r="BT92" s="357">
        <v>0.7</v>
      </c>
      <c r="BU92" s="358"/>
      <c r="BV92" s="357">
        <v>0.7</v>
      </c>
      <c r="BW92" s="358"/>
      <c r="BX92" s="357">
        <v>0.7</v>
      </c>
      <c r="BY92" s="358"/>
      <c r="BZ92" s="357">
        <v>0.7</v>
      </c>
      <c r="CA92" s="358"/>
      <c r="CB92" s="359"/>
      <c r="CC92" s="373">
        <v>1</v>
      </c>
      <c r="CD92" s="351" t="e">
        <f>IF('Inhaltliche Bewertung - GI'!RechtsformGI=BT$13,BT92*CC92,IF('Inhaltliche Bewertung - GI'!RechtsformGI=BV$13,BV92*CC92,IF('Inhaltliche Bewertung - GI'!RechtsformGI=BX$13,BX92*CC92,IF('Inhaltliche Bewertung - GI'!RechtsformGI=BZ$13,BZ92*CC92,IF('Inhaltliche Bewertung - GI'!RechtsformGI=BR$13,BR92*CC92,"")))))</f>
        <v>#N/A</v>
      </c>
      <c r="CE92" s="351" t="e">
        <f>IF('Inhaltliche Bewertung - GI'!RechtsformAngebot=BT$13,BT92*CC92,IF('Inhaltliche Bewertung - GI'!RechtsformAngebot=BV$13,BV92*CC92,IF('Inhaltliche Bewertung - GI'!RechtsformAngebot=BX$13,BX92*CC92,IF('Inhaltliche Bewertung - GI'!RechtsformAngebot=BZ$13,BZ92*CC92,IF('Inhaltliche Bewertung - GI'!RechtsformAngebot=BR$13,BR92*CC92,"")))))</f>
        <v>#N/A</v>
      </c>
      <c r="CF92" s="351"/>
      <c r="CG92" s="361" t="s">
        <v>3490</v>
      </c>
      <c r="CH92" s="357">
        <v>0</v>
      </c>
      <c r="CI92" s="358"/>
      <c r="CJ92" s="357">
        <v>0</v>
      </c>
      <c r="CK92" s="358"/>
      <c r="CL92" s="357">
        <v>0</v>
      </c>
      <c r="CM92" s="358"/>
      <c r="CN92" s="357">
        <v>0</v>
      </c>
      <c r="CO92" s="358"/>
      <c r="CP92" s="357">
        <v>0</v>
      </c>
      <c r="CQ92" s="358"/>
      <c r="CR92" s="359"/>
      <c r="CS92" s="373">
        <v>1</v>
      </c>
      <c r="CT92" s="351" t="e">
        <f>IF('Inhaltliche Bewertung - GI'!RechtsformGI=CJ$13,CJ92*CS92,IF('Inhaltliche Bewertung - GI'!RechtsformGI=CL$13,CL92*CS92,IF('Inhaltliche Bewertung - GI'!RechtsformGI=CN$13,CN92*CS92,IF('Inhaltliche Bewertung - GI'!RechtsformGI=CP$13,CP92*CS92,IF('Inhaltliche Bewertung - GI'!RechtsformGI=CH$13,CH92*CS92,"")))))</f>
        <v>#N/A</v>
      </c>
      <c r="CU92" s="351" t="e">
        <f>IF('Inhaltliche Bewertung - GI'!RechtsformAngebot=CJ$13,CJ92*CS92,IF('Inhaltliche Bewertung - GI'!RechtsformAngebot=CL$13,CL92*CS92,IF('Inhaltliche Bewertung - GI'!RechtsformAngebot=CN$13,CN92*CS92,IF('Inhaltliche Bewertung - GI'!RechtsformAngebot=CP$13,CP92*CS92,IF('Inhaltliche Bewertung - GI'!RechtsformAngebot=CH$13,CH92*CS92,"")))))</f>
        <v>#N/A</v>
      </c>
      <c r="CV92" s="351"/>
      <c r="CW92" s="356" t="s">
        <v>3489</v>
      </c>
      <c r="CX92" s="357">
        <v>0.7</v>
      </c>
      <c r="CY92" s="358"/>
      <c r="CZ92" s="357">
        <v>0.7</v>
      </c>
      <c r="DA92" s="358"/>
      <c r="DB92" s="357">
        <v>0.7</v>
      </c>
      <c r="DC92" s="358"/>
      <c r="DD92" s="357">
        <v>0.7</v>
      </c>
      <c r="DE92" s="358"/>
      <c r="DF92" s="357">
        <v>0.7</v>
      </c>
      <c r="DG92" s="358"/>
      <c r="DH92" s="359"/>
      <c r="DI92" s="373">
        <v>1</v>
      </c>
      <c r="DJ92" s="351" t="e">
        <f>IF('Inhaltliche Bewertung - GI'!RechtsformGI=CZ$13,CZ92*DI92,IF('Inhaltliche Bewertung - GI'!RechtsformGI=DB$13,DB92*DI92,IF('Inhaltliche Bewertung - GI'!RechtsformGI=DD$13,DD92*DI92,IF('Inhaltliche Bewertung - GI'!RechtsformGI=DF$13,DF92*DI92,IF('Inhaltliche Bewertung - GI'!RechtsformGI=CX$13,CX92*DI92,"")))))</f>
        <v>#N/A</v>
      </c>
      <c r="DK92" s="351" t="e">
        <f>IF('Inhaltliche Bewertung - GI'!RechtsformAngebot=CZ$13,CZ92*DI92,IF('Inhaltliche Bewertung - GI'!RechtsformAngebot=DB$13,DB92*DI92,IF('Inhaltliche Bewertung - GI'!RechtsformAngebot=DD$13,DD92*DI92,IF('Inhaltliche Bewertung - GI'!RechtsformAngebot=DF$13,DF92*DI92,IF('Inhaltliche Bewertung - GI'!RechtsformAngebot=CX$13,CX92*DI92,"")))))</f>
        <v>#N/A</v>
      </c>
      <c r="DL92" s="351"/>
      <c r="DM92" s="356" t="s">
        <v>3489</v>
      </c>
      <c r="DN92" s="357">
        <v>0.7</v>
      </c>
      <c r="DO92" s="358"/>
      <c r="DP92" s="357">
        <v>0.7</v>
      </c>
      <c r="DQ92" s="358"/>
      <c r="DR92" s="357">
        <v>0.7</v>
      </c>
      <c r="DS92" s="358"/>
      <c r="DT92" s="357">
        <v>0.7</v>
      </c>
      <c r="DU92" s="358"/>
      <c r="DV92" s="357">
        <v>0.7</v>
      </c>
      <c r="DW92" s="358"/>
      <c r="DX92" s="359"/>
      <c r="DY92" s="373">
        <v>1</v>
      </c>
      <c r="DZ92" s="351" t="e">
        <f>IF('Inhaltliche Bewertung - GI'!RechtsformGI=DP$13,DP92*DY92,IF('Inhaltliche Bewertung - GI'!RechtsformGI=DR$13,DR92*DY92,IF('Inhaltliche Bewertung - GI'!RechtsformGI=DT$13,DT92*DY92,IF('Inhaltliche Bewertung - GI'!RechtsformGI=DV$13,DV92*DY92,IF('Inhaltliche Bewertung - GI'!RechtsformGI=DN$13,DN92*DY92,"")))))</f>
        <v>#N/A</v>
      </c>
      <c r="EA92" s="351" t="e">
        <f>IF('Inhaltliche Bewertung - GI'!RechtsformAngebot=DP$13,DP92*DY92,IF('Inhaltliche Bewertung - GI'!RechtsformAngebot=DR$13,DR92*DY92,IF('Inhaltliche Bewertung - GI'!RechtsformAngebot=DT$13,DT92*DY92,IF('Inhaltliche Bewertung - GI'!RechtsformAngebot=DV$13,DV92*DY92,IF('Inhaltliche Bewertung - GI'!RechtsformAngebot=DN$13,DN92*DY92,"")))))</f>
        <v>#N/A</v>
      </c>
      <c r="EB92" s="351"/>
      <c r="EC92" s="157">
        <f t="shared" si="1"/>
        <v>0</v>
      </c>
      <c r="ED92" s="157">
        <f t="shared" si="2"/>
        <v>0.7</v>
      </c>
      <c r="EE92" s="157">
        <f t="shared" si="3"/>
        <v>0.52499999999999969</v>
      </c>
      <c r="EF92" s="157">
        <f t="shared" si="4"/>
        <v>0.7</v>
      </c>
    </row>
    <row r="93" spans="1:136" ht="14.25" customHeight="1">
      <c r="A93" s="444" t="b">
        <f t="shared" si="6"/>
        <v>1</v>
      </c>
      <c r="B93" s="292"/>
      <c r="C93" s="355" t="s">
        <v>3491</v>
      </c>
      <c r="D93" s="345"/>
      <c r="E93" s="371" t="s">
        <v>3492</v>
      </c>
      <c r="F93" s="372">
        <v>0.7</v>
      </c>
      <c r="G93" s="358"/>
      <c r="H93" s="372">
        <v>0.7</v>
      </c>
      <c r="I93" s="358"/>
      <c r="J93" s="372">
        <v>0.7</v>
      </c>
      <c r="K93" s="358"/>
      <c r="L93" s="372">
        <v>0.7</v>
      </c>
      <c r="M93" s="358"/>
      <c r="N93" s="372">
        <v>0.7</v>
      </c>
      <c r="O93" s="358"/>
      <c r="P93" s="359"/>
      <c r="Q93" s="360">
        <v>1</v>
      </c>
      <c r="R93" s="351" t="e">
        <f>IF('Inhaltliche Bewertung - GI'!RechtsformGI=H$13,H93*Q93,IF('Inhaltliche Bewertung - GI'!RechtsformGI=J$13,J93*Q93,IF('Inhaltliche Bewertung - GI'!RechtsformGI=L$13,L93*Q93,IF('Inhaltliche Bewertung - GI'!RechtsformGI=N$13,N93*Q93,IF('Inhaltliche Bewertung - GI'!RechtsformGI=F$13,F93*Q93,"")))))</f>
        <v>#N/A</v>
      </c>
      <c r="S93" s="351" t="e">
        <f>IF('Inhaltliche Bewertung - GI'!RechtsformAngebot=H$13,H93*Q93,IF('Inhaltliche Bewertung - GI'!RechtsformAngebot=J$13,J93*Q93,IF('Inhaltliche Bewertung - GI'!RechtsformAngebot=L$13,L93*Q93,IF('Inhaltliche Bewertung - GI'!RechtsformAngebot=N$13,N93*Q93,IF('Inhaltliche Bewertung - GI'!RechtsformAngebot=F$13,F93*Q93,"")))))</f>
        <v>#N/A</v>
      </c>
      <c r="T93" s="351"/>
      <c r="U93" s="371" t="s">
        <v>3493</v>
      </c>
      <c r="V93" s="372">
        <v>0.7</v>
      </c>
      <c r="W93" s="358"/>
      <c r="X93" s="372">
        <v>0.7</v>
      </c>
      <c r="Y93" s="358"/>
      <c r="Z93" s="372">
        <v>0.7</v>
      </c>
      <c r="AA93" s="358"/>
      <c r="AB93" s="372">
        <v>0.7</v>
      </c>
      <c r="AC93" s="358"/>
      <c r="AD93" s="372">
        <v>0.7</v>
      </c>
      <c r="AE93" s="358"/>
      <c r="AF93" s="359"/>
      <c r="AG93" s="360">
        <v>1</v>
      </c>
      <c r="AH93" s="351" t="e">
        <f>IF('Inhaltliche Bewertung - GI'!RechtsformGI=X$13,X93*AG93,IF('Inhaltliche Bewertung - GI'!RechtsformGI=Z$13,Z93*AG93,IF('Inhaltliche Bewertung - GI'!RechtsformGI=AB$13,AB93*AG93,IF('Inhaltliche Bewertung - GI'!RechtsformGI=AD$13,AD93*AG93,IF('Inhaltliche Bewertung - GI'!RechtsformGI=V$13,V93*AG93,"")))))</f>
        <v>#N/A</v>
      </c>
      <c r="AI93" s="351" t="e">
        <f>IF('Inhaltliche Bewertung - GI'!RechtsformAngebot=X$13,X93*AG93,IF('Inhaltliche Bewertung - GI'!RechtsformAngebot=Z$13,Z93*AG93,IF('Inhaltliche Bewertung - GI'!RechtsformAngebot=AB$13,AB93*AG93,IF('Inhaltliche Bewertung - GI'!RechtsformAngebot=AD$13,AD93*AG93,IF('Inhaltliche Bewertung - GI'!RechtsformAngebot=V$13,V93*AG93,"")))))</f>
        <v>#N/A</v>
      </c>
      <c r="AJ93" s="351"/>
      <c r="AK93" s="371" t="s">
        <v>3493</v>
      </c>
      <c r="AL93" s="372">
        <v>0.7</v>
      </c>
      <c r="AM93" s="358"/>
      <c r="AN93" s="372">
        <v>0.7</v>
      </c>
      <c r="AO93" s="358"/>
      <c r="AP93" s="372">
        <v>0.7</v>
      </c>
      <c r="AQ93" s="358"/>
      <c r="AR93" s="372">
        <v>0.7</v>
      </c>
      <c r="AS93" s="358"/>
      <c r="AT93" s="372">
        <v>0.7</v>
      </c>
      <c r="AU93" s="358"/>
      <c r="AV93" s="359"/>
      <c r="AW93" s="360">
        <v>1</v>
      </c>
      <c r="AX93" s="351" t="e">
        <f>IF('Inhaltliche Bewertung - GI'!RechtsformGI=AN$13,AN93*AW93,IF('Inhaltliche Bewertung - GI'!RechtsformGI=AP$13,AP93*AW93,IF('Inhaltliche Bewertung - GI'!RechtsformGI=AR$13,AR93*AW93,IF('Inhaltliche Bewertung - GI'!RechtsformGI=AT$13,AT93*AW93,IF('Inhaltliche Bewertung - GI'!RechtsformGI=AL$13,AL93*AW93,"")))))</f>
        <v>#N/A</v>
      </c>
      <c r="AY93" s="351" t="e">
        <f>IF('Inhaltliche Bewertung - GI'!RechtsformAngebot=AN$13,AN93*AW93,IF('Inhaltliche Bewertung - GI'!RechtsformAngebot=AP$13,AP93*AW93,IF('Inhaltliche Bewertung - GI'!RechtsformAngebot=AR$13,AR93*AW93,IF('Inhaltliche Bewertung - GI'!RechtsformAngebot=AT$13,AT93*AW93,IF('Inhaltliche Bewertung - GI'!RechtsformAngebot=AL$13,AL93*AW93,"")))))</f>
        <v>#N/A</v>
      </c>
      <c r="AZ93" s="351"/>
      <c r="BA93" s="371" t="s">
        <v>3494</v>
      </c>
      <c r="BB93" s="372">
        <v>0.7</v>
      </c>
      <c r="BC93" s="358"/>
      <c r="BD93" s="372">
        <v>0.7</v>
      </c>
      <c r="BE93" s="358"/>
      <c r="BF93" s="372">
        <v>0.7</v>
      </c>
      <c r="BG93" s="358"/>
      <c r="BH93" s="372">
        <v>0.7</v>
      </c>
      <c r="BI93" s="358"/>
      <c r="BJ93" s="372">
        <v>0.7</v>
      </c>
      <c r="BK93" s="358"/>
      <c r="BL93" s="359"/>
      <c r="BM93" s="360">
        <v>1</v>
      </c>
      <c r="BN93" s="351" t="e">
        <f>IF('Inhaltliche Bewertung - GI'!RechtsformGI=BD$13,BD93*BM93,IF('Inhaltliche Bewertung - GI'!RechtsformGI=BF$13,BF93*BM93,IF('Inhaltliche Bewertung - GI'!RechtsformGI=BH$13,BH93*BM93,IF('Inhaltliche Bewertung - GI'!RechtsformGI=BJ$13,BJ93*BM93,IF('Inhaltliche Bewertung - GI'!RechtsformGI=BB$13,BB93*BM93,"")))))</f>
        <v>#N/A</v>
      </c>
      <c r="BO93" s="351" t="e">
        <f>IF('Inhaltliche Bewertung - GI'!RechtsformAngebot=BD$13,BD93*BM93,IF('Inhaltliche Bewertung - GI'!RechtsformAngebot=BF$13,BF93*BM93,IF('Inhaltliche Bewertung - GI'!RechtsformAngebot=BH$13,BH93*BM93,IF('Inhaltliche Bewertung - GI'!RechtsformAngebot=BJ$13,BJ93*BM93,IF('Inhaltliche Bewertung - GI'!RechtsformAngebot=BB$13,BB93*BM93,"")))))</f>
        <v>#N/A</v>
      </c>
      <c r="BP93" s="351"/>
      <c r="BQ93" s="371" t="s">
        <v>3494</v>
      </c>
      <c r="BR93" s="372">
        <v>0.7</v>
      </c>
      <c r="BS93" s="358"/>
      <c r="BT93" s="372">
        <v>0.7</v>
      </c>
      <c r="BU93" s="358"/>
      <c r="BV93" s="372">
        <v>0.7</v>
      </c>
      <c r="BW93" s="358"/>
      <c r="BX93" s="372">
        <v>0.7</v>
      </c>
      <c r="BY93" s="358"/>
      <c r="BZ93" s="372">
        <v>0.7</v>
      </c>
      <c r="CA93" s="358"/>
      <c r="CB93" s="359"/>
      <c r="CC93" s="360">
        <v>1</v>
      </c>
      <c r="CD93" s="351" t="e">
        <f>IF('Inhaltliche Bewertung - GI'!RechtsformGI=BT$13,BT93*CC93,IF('Inhaltliche Bewertung - GI'!RechtsformGI=BV$13,BV93*CC93,IF('Inhaltliche Bewertung - GI'!RechtsformGI=BX$13,BX93*CC93,IF('Inhaltliche Bewertung - GI'!RechtsformGI=BZ$13,BZ93*CC93,IF('Inhaltliche Bewertung - GI'!RechtsformGI=BR$13,BR93*CC93,"")))))</f>
        <v>#N/A</v>
      </c>
      <c r="CE93" s="351" t="e">
        <f>IF('Inhaltliche Bewertung - GI'!RechtsformAngebot=BT$13,BT93*CC93,IF('Inhaltliche Bewertung - GI'!RechtsformAngebot=BV$13,BV93*CC93,IF('Inhaltliche Bewertung - GI'!RechtsformAngebot=BX$13,BX93*CC93,IF('Inhaltliche Bewertung - GI'!RechtsformAngebot=BZ$13,BZ93*CC93,IF('Inhaltliche Bewertung - GI'!RechtsformAngebot=BR$13,BR93*CC93,"")))))</f>
        <v>#N/A</v>
      </c>
      <c r="CF93" s="351"/>
      <c r="CG93" s="371" t="s">
        <v>3494</v>
      </c>
      <c r="CH93" s="372">
        <v>0.7</v>
      </c>
      <c r="CI93" s="358"/>
      <c r="CJ93" s="372">
        <v>0.7</v>
      </c>
      <c r="CK93" s="358"/>
      <c r="CL93" s="372">
        <v>0.7</v>
      </c>
      <c r="CM93" s="358"/>
      <c r="CN93" s="372">
        <v>0.7</v>
      </c>
      <c r="CO93" s="358"/>
      <c r="CP93" s="372">
        <v>0.7</v>
      </c>
      <c r="CQ93" s="358"/>
      <c r="CR93" s="359"/>
      <c r="CS93" s="360">
        <v>1</v>
      </c>
      <c r="CT93" s="351" t="e">
        <f>IF('Inhaltliche Bewertung - GI'!RechtsformGI=CJ$13,CJ93*CS93,IF('Inhaltliche Bewertung - GI'!RechtsformGI=CL$13,CL93*CS93,IF('Inhaltliche Bewertung - GI'!RechtsformGI=CN$13,CN93*CS93,IF('Inhaltliche Bewertung - GI'!RechtsformGI=CP$13,CP93*CS93,IF('Inhaltliche Bewertung - GI'!RechtsformGI=CH$13,CH93*CS93,"")))))</f>
        <v>#N/A</v>
      </c>
      <c r="CU93" s="351" t="e">
        <f>IF('Inhaltliche Bewertung - GI'!RechtsformAngebot=CJ$13,CJ93*CS93,IF('Inhaltliche Bewertung - GI'!RechtsformAngebot=CL$13,CL93*CS93,IF('Inhaltliche Bewertung - GI'!RechtsformAngebot=CN$13,CN93*CS93,IF('Inhaltliche Bewertung - GI'!RechtsformAngebot=CP$13,CP93*CS93,IF('Inhaltliche Bewertung - GI'!RechtsformAngebot=CH$13,CH93*CS93,"")))))</f>
        <v>#N/A</v>
      </c>
      <c r="CV93" s="351"/>
      <c r="CW93" s="371" t="s">
        <v>3494</v>
      </c>
      <c r="CX93" s="372">
        <v>0.7</v>
      </c>
      <c r="CY93" s="358"/>
      <c r="CZ93" s="372">
        <v>0.7</v>
      </c>
      <c r="DA93" s="358"/>
      <c r="DB93" s="372">
        <v>0.7</v>
      </c>
      <c r="DC93" s="358"/>
      <c r="DD93" s="372">
        <v>0.7</v>
      </c>
      <c r="DE93" s="358"/>
      <c r="DF93" s="372">
        <v>0.7</v>
      </c>
      <c r="DG93" s="358"/>
      <c r="DH93" s="359"/>
      <c r="DI93" s="360">
        <v>1</v>
      </c>
      <c r="DJ93" s="351" t="e">
        <f>IF('Inhaltliche Bewertung - GI'!RechtsformGI=CZ$13,CZ93*DI93,IF('Inhaltliche Bewertung - GI'!RechtsformGI=DB$13,DB93*DI93,IF('Inhaltliche Bewertung - GI'!RechtsformGI=DD$13,DD93*DI93,IF('Inhaltliche Bewertung - GI'!RechtsformGI=DF$13,DF93*DI93,IF('Inhaltliche Bewertung - GI'!RechtsformGI=CX$13,CX93*DI93,"")))))</f>
        <v>#N/A</v>
      </c>
      <c r="DK93" s="351" t="e">
        <f>IF('Inhaltliche Bewertung - GI'!RechtsformAngebot=CZ$13,CZ93*DI93,IF('Inhaltliche Bewertung - GI'!RechtsformAngebot=DB$13,DB93*DI93,IF('Inhaltliche Bewertung - GI'!RechtsformAngebot=DD$13,DD93*DI93,IF('Inhaltliche Bewertung - GI'!RechtsformAngebot=DF$13,DF93*DI93,IF('Inhaltliche Bewertung - GI'!RechtsformAngebot=CX$13,CX93*DI93,"")))))</f>
        <v>#N/A</v>
      </c>
      <c r="DL93" s="351"/>
      <c r="DM93" s="371" t="s">
        <v>3495</v>
      </c>
      <c r="DN93" s="372">
        <v>0.7</v>
      </c>
      <c r="DO93" s="358"/>
      <c r="DP93" s="372">
        <v>0.7</v>
      </c>
      <c r="DQ93" s="358"/>
      <c r="DR93" s="372">
        <v>0.7</v>
      </c>
      <c r="DS93" s="358"/>
      <c r="DT93" s="372">
        <v>0.7</v>
      </c>
      <c r="DU93" s="358"/>
      <c r="DV93" s="372">
        <v>0.7</v>
      </c>
      <c r="DW93" s="358"/>
      <c r="DX93" s="359"/>
      <c r="DY93" s="360">
        <v>1</v>
      </c>
      <c r="DZ93" s="351" t="e">
        <f>IF('Inhaltliche Bewertung - GI'!RechtsformGI=DP$13,DP93*DY93,IF('Inhaltliche Bewertung - GI'!RechtsformGI=DR$13,DR93*DY93,IF('Inhaltliche Bewertung - GI'!RechtsformGI=DT$13,DT93*DY93,IF('Inhaltliche Bewertung - GI'!RechtsformGI=DV$13,DV93*DY93,IF('Inhaltliche Bewertung - GI'!RechtsformGI=DN$13,DN93*DY93,"")))))</f>
        <v>#N/A</v>
      </c>
      <c r="EA93" s="351" t="e">
        <f>IF('Inhaltliche Bewertung - GI'!RechtsformAngebot=DP$13,DP93*DY93,IF('Inhaltliche Bewertung - GI'!RechtsformAngebot=DR$13,DR93*DY93,IF('Inhaltliche Bewertung - GI'!RechtsformAngebot=DT$13,DT93*DY93,IF('Inhaltliche Bewertung - GI'!RechtsformAngebot=DV$13,DV93*DY93,IF('Inhaltliche Bewertung - GI'!RechtsformAngebot=DN$13,DN93*DY93,"")))))</f>
        <v>#N/A</v>
      </c>
      <c r="EB93" s="351"/>
      <c r="EC93" s="157">
        <f t="shared" si="1"/>
        <v>0.7</v>
      </c>
      <c r="ED93" s="157">
        <f t="shared" si="2"/>
        <v>0.7</v>
      </c>
      <c r="EE93" s="157">
        <f t="shared" si="3"/>
        <v>0.69999999999999951</v>
      </c>
      <c r="EF93" s="157">
        <f t="shared" si="4"/>
        <v>0.7</v>
      </c>
    </row>
    <row r="94" spans="1:136" ht="14.25" customHeight="1">
      <c r="A94" s="444" t="b">
        <f t="shared" si="6"/>
        <v>0</v>
      </c>
      <c r="B94" s="292"/>
      <c r="C94" s="355" t="s">
        <v>3496</v>
      </c>
      <c r="D94" s="345"/>
      <c r="E94" s="361" t="s">
        <v>3497</v>
      </c>
      <c r="F94" s="362">
        <v>0.7</v>
      </c>
      <c r="G94" s="365"/>
      <c r="H94" s="362">
        <v>0.7</v>
      </c>
      <c r="I94" s="365"/>
      <c r="J94" s="362">
        <v>0.3</v>
      </c>
      <c r="K94" s="365"/>
      <c r="L94" s="362">
        <v>0.2</v>
      </c>
      <c r="M94" s="365"/>
      <c r="N94" s="362">
        <v>0.1</v>
      </c>
      <c r="O94" s="365"/>
      <c r="P94" s="370" t="s">
        <v>3498</v>
      </c>
      <c r="Q94" s="360">
        <v>1</v>
      </c>
      <c r="R94" s="351" t="e">
        <f>IF('Inhaltliche Bewertung - GI'!RechtsformGI=H$13,H94*Q94,IF('Inhaltliche Bewertung - GI'!RechtsformGI=J$13,J94*Q94,IF('Inhaltliche Bewertung - GI'!RechtsformGI=L$13,L94*Q94,IF('Inhaltliche Bewertung - GI'!RechtsformGI=N$13,N94*Q94,IF('Inhaltliche Bewertung - GI'!RechtsformGI=F$13,F94*Q94,"")))))</f>
        <v>#N/A</v>
      </c>
      <c r="S94" s="351" t="e">
        <f>IF('Inhaltliche Bewertung - GI'!RechtsformAngebot=H$13,H94*Q94,IF('Inhaltliche Bewertung - GI'!RechtsformAngebot=J$13,J94*Q94,IF('Inhaltliche Bewertung - GI'!RechtsformAngebot=L$13,L94*Q94,IF('Inhaltliche Bewertung - GI'!RechtsformAngebot=N$13,N94*Q94,IF('Inhaltliche Bewertung - GI'!RechtsformAngebot=F$13,F94*Q94,"")))))</f>
        <v>#N/A</v>
      </c>
      <c r="T94" s="351"/>
      <c r="U94" s="361" t="s">
        <v>3499</v>
      </c>
      <c r="V94" s="362">
        <v>0.7</v>
      </c>
      <c r="W94" s="363"/>
      <c r="X94" s="364">
        <v>0.7</v>
      </c>
      <c r="Y94" s="363"/>
      <c r="Z94" s="364">
        <v>0.3</v>
      </c>
      <c r="AA94" s="363"/>
      <c r="AB94" s="364">
        <v>0.2</v>
      </c>
      <c r="AC94" s="363"/>
      <c r="AD94" s="364">
        <v>0.1</v>
      </c>
      <c r="AE94" s="363"/>
      <c r="AF94" s="365" t="s">
        <v>3498</v>
      </c>
      <c r="AG94" s="360">
        <v>1</v>
      </c>
      <c r="AH94" s="351" t="e">
        <f>IF('Inhaltliche Bewertung - GI'!RechtsformGI=X$13,X94*AG94,IF('Inhaltliche Bewertung - GI'!RechtsformGI=Z$13,Z94*AG94,IF('Inhaltliche Bewertung - GI'!RechtsformGI=AB$13,AB94*AG94,IF('Inhaltliche Bewertung - GI'!RechtsformGI=AD$13,AD94*AG94,IF('Inhaltliche Bewertung - GI'!RechtsformGI=V$13,V94*AG94,"")))))</f>
        <v>#N/A</v>
      </c>
      <c r="AI94" s="351" t="e">
        <f>IF('Inhaltliche Bewertung - GI'!RechtsformAngebot=X$13,X94*AG94,IF('Inhaltliche Bewertung - GI'!RechtsformAngebot=Z$13,Z94*AG94,IF('Inhaltliche Bewertung - GI'!RechtsformAngebot=AB$13,AB94*AG94,IF('Inhaltliche Bewertung - GI'!RechtsformAngebot=AD$13,AD94*AG94,IF('Inhaltliche Bewertung - GI'!RechtsformAngebot=V$13,V94*AG94,"")))))</f>
        <v>#N/A</v>
      </c>
      <c r="AJ94" s="351"/>
      <c r="AK94" s="371" t="s">
        <v>3500</v>
      </c>
      <c r="AL94" s="372">
        <v>0</v>
      </c>
      <c r="AM94" s="358"/>
      <c r="AN94" s="372">
        <v>0</v>
      </c>
      <c r="AO94" s="358"/>
      <c r="AP94" s="372">
        <v>0</v>
      </c>
      <c r="AQ94" s="358"/>
      <c r="AR94" s="372">
        <v>0</v>
      </c>
      <c r="AS94" s="358"/>
      <c r="AT94" s="372">
        <v>0</v>
      </c>
      <c r="AU94" s="358"/>
      <c r="AV94" s="358" t="s">
        <v>3498</v>
      </c>
      <c r="AW94" s="360">
        <v>1</v>
      </c>
      <c r="AX94" s="351" t="e">
        <f>IF('Inhaltliche Bewertung - GI'!RechtsformGI=AN$13,AN94*AW94,IF('Inhaltliche Bewertung - GI'!RechtsformGI=AP$13,AP94*AW94,IF('Inhaltliche Bewertung - GI'!RechtsformGI=AR$13,AR94*AW94,IF('Inhaltliche Bewertung - GI'!RechtsformGI=AT$13,AT94*AW94,IF('Inhaltliche Bewertung - GI'!RechtsformGI=AL$13,AL94*AW94,"")))))</f>
        <v>#N/A</v>
      </c>
      <c r="AY94" s="351" t="e">
        <f>IF('Inhaltliche Bewertung - GI'!RechtsformAngebot=AN$13,AN94*AW94,IF('Inhaltliche Bewertung - GI'!RechtsformAngebot=AP$13,AP94*AW94,IF('Inhaltliche Bewertung - GI'!RechtsformAngebot=AR$13,AR94*AW94,IF('Inhaltliche Bewertung - GI'!RechtsformAngebot=AT$13,AT94*AW94,IF('Inhaltliche Bewertung - GI'!RechtsformAngebot=AL$13,AL94*AW94,"")))))</f>
        <v>#N/A</v>
      </c>
      <c r="AZ94" s="351"/>
      <c r="BA94" s="361" t="s">
        <v>3499</v>
      </c>
      <c r="BB94" s="366">
        <v>0.7</v>
      </c>
      <c r="BC94" s="365"/>
      <c r="BD94" s="366">
        <v>0.7</v>
      </c>
      <c r="BE94" s="365"/>
      <c r="BF94" s="366">
        <v>0.3</v>
      </c>
      <c r="BG94" s="365"/>
      <c r="BH94" s="366">
        <v>0.2</v>
      </c>
      <c r="BI94" s="365"/>
      <c r="BJ94" s="366">
        <v>0.1</v>
      </c>
      <c r="BK94" s="365"/>
      <c r="BL94" s="368" t="s">
        <v>3498</v>
      </c>
      <c r="BM94" s="360">
        <v>1</v>
      </c>
      <c r="BN94" s="351" t="e">
        <f>IF('Inhaltliche Bewertung - GI'!RechtsformGI=BD$13,BD94*BM94,IF('Inhaltliche Bewertung - GI'!RechtsformGI=BF$13,BF94*BM94,IF('Inhaltliche Bewertung - GI'!RechtsformGI=BH$13,BH94*BM94,IF('Inhaltliche Bewertung - GI'!RechtsformGI=BJ$13,BJ94*BM94,IF('Inhaltliche Bewertung - GI'!RechtsformGI=BB$13,BB94*BM94,"")))))</f>
        <v>#N/A</v>
      </c>
      <c r="BO94" s="351" t="e">
        <f>IF('Inhaltliche Bewertung - GI'!RechtsformAngebot=BD$13,BD94*BM94,IF('Inhaltliche Bewertung - GI'!RechtsformAngebot=BF$13,BF94*BM94,IF('Inhaltliche Bewertung - GI'!RechtsformAngebot=BH$13,BH94*BM94,IF('Inhaltliche Bewertung - GI'!RechtsformAngebot=BJ$13,BJ94*BM94,IF('Inhaltliche Bewertung - GI'!RechtsformAngebot=BB$13,BB94*BM94,"")))))</f>
        <v>#N/A</v>
      </c>
      <c r="BP94" s="351"/>
      <c r="BQ94" s="361" t="s">
        <v>3501</v>
      </c>
      <c r="BR94" s="367">
        <v>0.7</v>
      </c>
      <c r="BS94" s="368"/>
      <c r="BT94" s="367">
        <v>0.7</v>
      </c>
      <c r="BU94" s="368"/>
      <c r="BV94" s="367">
        <v>0.3</v>
      </c>
      <c r="BW94" s="368"/>
      <c r="BX94" s="367">
        <v>0.2</v>
      </c>
      <c r="BY94" s="368"/>
      <c r="BZ94" s="367">
        <v>0.1</v>
      </c>
      <c r="CA94" s="368"/>
      <c r="CB94" s="368" t="s">
        <v>3498</v>
      </c>
      <c r="CC94" s="360">
        <v>1</v>
      </c>
      <c r="CD94" s="351" t="e">
        <f>IF('Inhaltliche Bewertung - GI'!RechtsformGI=BT$13,BT94*CC94,IF('Inhaltliche Bewertung - GI'!RechtsformGI=BV$13,BV94*CC94,IF('Inhaltliche Bewertung - GI'!RechtsformGI=BX$13,BX94*CC94,IF('Inhaltliche Bewertung - GI'!RechtsformGI=BZ$13,BZ94*CC94,IF('Inhaltliche Bewertung - GI'!RechtsformGI=BR$13,BR94*CC94,"")))))</f>
        <v>#N/A</v>
      </c>
      <c r="CE94" s="351" t="e">
        <f>IF('Inhaltliche Bewertung - GI'!RechtsformAngebot=BT$13,BT94*CC94,IF('Inhaltliche Bewertung - GI'!RechtsformAngebot=BV$13,BV94*CC94,IF('Inhaltliche Bewertung - GI'!RechtsformAngebot=BX$13,BX94*CC94,IF('Inhaltliche Bewertung - GI'!RechtsformAngebot=BZ$13,BZ94*CC94,IF('Inhaltliche Bewertung - GI'!RechtsformAngebot=BR$13,BR94*CC94,"")))))</f>
        <v>#N/A</v>
      </c>
      <c r="CF94" s="351"/>
      <c r="CG94" s="361" t="s">
        <v>3501</v>
      </c>
      <c r="CH94" s="367">
        <v>0</v>
      </c>
      <c r="CI94" s="368"/>
      <c r="CJ94" s="367">
        <v>0</v>
      </c>
      <c r="CK94" s="368"/>
      <c r="CL94" s="367">
        <v>0</v>
      </c>
      <c r="CM94" s="368"/>
      <c r="CN94" s="367">
        <v>0</v>
      </c>
      <c r="CO94" s="368"/>
      <c r="CP94" s="367">
        <v>0</v>
      </c>
      <c r="CQ94" s="368"/>
      <c r="CR94" s="368" t="s">
        <v>3498</v>
      </c>
      <c r="CS94" s="360">
        <v>1</v>
      </c>
      <c r="CT94" s="351" t="e">
        <f>IF('Inhaltliche Bewertung - GI'!RechtsformGI=CJ$13,CJ94*CS94,IF('Inhaltliche Bewertung - GI'!RechtsformGI=CL$13,CL94*CS94,IF('Inhaltliche Bewertung - GI'!RechtsformGI=CN$13,CN94*CS94,IF('Inhaltliche Bewertung - GI'!RechtsformGI=CP$13,CP94*CS94,IF('Inhaltliche Bewertung - GI'!RechtsformGI=CH$13,CH94*CS94,"")))))</f>
        <v>#N/A</v>
      </c>
      <c r="CU94" s="351" t="e">
        <f>IF('Inhaltliche Bewertung - GI'!RechtsformAngebot=CJ$13,CJ94*CS94,IF('Inhaltliche Bewertung - GI'!RechtsformAngebot=CL$13,CL94*CS94,IF('Inhaltliche Bewertung - GI'!RechtsformAngebot=CN$13,CN94*CS94,IF('Inhaltliche Bewertung - GI'!RechtsformAngebot=CP$13,CP94*CS94,IF('Inhaltliche Bewertung - GI'!RechtsformAngebot=CH$13,CH94*CS94,"")))))</f>
        <v>#N/A</v>
      </c>
      <c r="CV94" s="351"/>
      <c r="CW94" s="371" t="s">
        <v>3502</v>
      </c>
      <c r="CX94" s="385">
        <v>0.3</v>
      </c>
      <c r="CY94" s="377"/>
      <c r="CZ94" s="385">
        <v>0.3</v>
      </c>
      <c r="DA94" s="416"/>
      <c r="DB94" s="385">
        <v>0.1</v>
      </c>
      <c r="DC94" s="377"/>
      <c r="DD94" s="385">
        <v>0.1</v>
      </c>
      <c r="DE94" s="377"/>
      <c r="DF94" s="385">
        <v>0.1</v>
      </c>
      <c r="DG94" s="377"/>
      <c r="DH94" s="377" t="s">
        <v>3498</v>
      </c>
      <c r="DI94" s="360">
        <v>1</v>
      </c>
      <c r="DJ94" s="351" t="e">
        <f>IF('Inhaltliche Bewertung - GI'!RechtsformGI=CZ$13,CZ94*DI94,IF('Inhaltliche Bewertung - GI'!RechtsformGI=DB$13,DB94*DI94,IF('Inhaltliche Bewertung - GI'!RechtsformGI=DD$13,DD94*DI94,IF('Inhaltliche Bewertung - GI'!RechtsformGI=DF$13,DF94*DI94,IF('Inhaltliche Bewertung - GI'!RechtsformGI=CX$13,CX94*DI94,"")))))</f>
        <v>#N/A</v>
      </c>
      <c r="DK94" s="351" t="e">
        <f>IF('Inhaltliche Bewertung - GI'!RechtsformAngebot=CZ$13,CZ94*DI94,IF('Inhaltliche Bewertung - GI'!RechtsformAngebot=DB$13,DB94*DI94,IF('Inhaltliche Bewertung - GI'!RechtsformAngebot=DD$13,DD94*DI94,IF('Inhaltliche Bewertung - GI'!RechtsformAngebot=DF$13,DF94*DI94,IF('Inhaltliche Bewertung - GI'!RechtsformAngebot=CX$13,CX94*DI94,"")))))</f>
        <v>#N/A</v>
      </c>
      <c r="DL94" s="351"/>
      <c r="DM94" s="371" t="s">
        <v>3500</v>
      </c>
      <c r="DN94" s="385">
        <v>0.1</v>
      </c>
      <c r="DO94" s="377"/>
      <c r="DP94" s="385">
        <v>0.1</v>
      </c>
      <c r="DQ94" s="377"/>
      <c r="DR94" s="385">
        <v>0.1</v>
      </c>
      <c r="DS94" s="377"/>
      <c r="DT94" s="385">
        <v>0.1</v>
      </c>
      <c r="DU94" s="377"/>
      <c r="DV94" s="385">
        <v>0.1</v>
      </c>
      <c r="DW94" s="377"/>
      <c r="DX94" s="417" t="s">
        <v>3498</v>
      </c>
      <c r="DY94" s="360">
        <v>1</v>
      </c>
      <c r="DZ94" s="351" t="e">
        <f>IF('Inhaltliche Bewertung - GI'!RechtsformGI=DP$13,DP94*DY94,IF('Inhaltliche Bewertung - GI'!RechtsformGI=DR$13,DR94*DY94,IF('Inhaltliche Bewertung - GI'!RechtsformGI=DT$13,DT94*DY94,IF('Inhaltliche Bewertung - GI'!RechtsformGI=DV$13,DV94*DY94,IF('Inhaltliche Bewertung - GI'!RechtsformGI=DN$13,DN94*DY94,"")))))</f>
        <v>#N/A</v>
      </c>
      <c r="EA94" s="351" t="e">
        <f>IF('Inhaltliche Bewertung - GI'!RechtsformAngebot=DP$13,DP94*DY94,IF('Inhaltliche Bewertung - GI'!RechtsformAngebot=DR$13,DR94*DY94,IF('Inhaltliche Bewertung - GI'!RechtsformAngebot=DT$13,DT94*DY94,IF('Inhaltliche Bewertung - GI'!RechtsformAngebot=DV$13,DV94*DY94,IF('Inhaltliche Bewertung - GI'!RechtsformAngebot=DN$13,DN94*DY94,"")))))</f>
        <v>#N/A</v>
      </c>
      <c r="EB94" s="351"/>
      <c r="EC94" s="157">
        <f t="shared" si="1"/>
        <v>0</v>
      </c>
      <c r="ED94" s="157">
        <f t="shared" si="2"/>
        <v>0.7</v>
      </c>
      <c r="EE94" s="157">
        <f t="shared" si="3"/>
        <v>0.23499999999999996</v>
      </c>
      <c r="EF94" s="157">
        <f t="shared" si="4"/>
        <v>0.1</v>
      </c>
    </row>
    <row r="95" spans="1:136" ht="14.25" customHeight="1">
      <c r="A95" s="444" t="b">
        <f t="shared" si="6"/>
        <v>0</v>
      </c>
      <c r="B95" s="292"/>
      <c r="C95" s="355" t="s">
        <v>3503</v>
      </c>
      <c r="D95" s="345"/>
      <c r="E95" s="388" t="s">
        <v>3234</v>
      </c>
      <c r="F95" s="389">
        <v>1</v>
      </c>
      <c r="G95" s="365"/>
      <c r="H95" s="389">
        <v>1</v>
      </c>
      <c r="I95" s="365"/>
      <c r="J95" s="389">
        <v>1</v>
      </c>
      <c r="K95" s="365"/>
      <c r="L95" s="389">
        <v>1</v>
      </c>
      <c r="M95" s="365"/>
      <c r="N95" s="389">
        <v>1</v>
      </c>
      <c r="O95" s="365"/>
      <c r="P95" s="370" t="s">
        <v>3504</v>
      </c>
      <c r="Q95" s="360">
        <v>1</v>
      </c>
      <c r="R95" s="351" t="e">
        <f>IF('Inhaltliche Bewertung - GI'!RechtsformGI=H$13,H95*Q95,IF('Inhaltliche Bewertung - GI'!RechtsformGI=J$13,J95*Q95,IF('Inhaltliche Bewertung - GI'!RechtsformGI=L$13,L95*Q95,IF('Inhaltliche Bewertung - GI'!RechtsformGI=N$13,N95*Q95,IF('Inhaltliche Bewertung - GI'!RechtsformGI=F$13,F95*Q95,"")))))</f>
        <v>#N/A</v>
      </c>
      <c r="S95" s="351" t="e">
        <f>IF('Inhaltliche Bewertung - GI'!RechtsformAngebot=H$13,H95*Q95,IF('Inhaltliche Bewertung - GI'!RechtsformAngebot=J$13,J95*Q95,IF('Inhaltliche Bewertung - GI'!RechtsformAngebot=L$13,L95*Q95,IF('Inhaltliche Bewertung - GI'!RechtsformAngebot=N$13,N95*Q95,IF('Inhaltliche Bewertung - GI'!RechtsformAngebot=F$13,F95*Q95,"")))))</f>
        <v>#N/A</v>
      </c>
      <c r="T95" s="351"/>
      <c r="U95" s="371" t="s">
        <v>3505</v>
      </c>
      <c r="V95" s="372">
        <v>0</v>
      </c>
      <c r="W95" s="374"/>
      <c r="X95" s="380">
        <v>0</v>
      </c>
      <c r="Y95" s="374"/>
      <c r="Z95" s="380">
        <v>0</v>
      </c>
      <c r="AA95" s="374"/>
      <c r="AB95" s="380">
        <v>0</v>
      </c>
      <c r="AC95" s="374"/>
      <c r="AD95" s="380">
        <v>0</v>
      </c>
      <c r="AE95" s="374"/>
      <c r="AF95" s="358" t="s">
        <v>3504</v>
      </c>
      <c r="AG95" s="360">
        <v>1</v>
      </c>
      <c r="AH95" s="351" t="e">
        <f>IF('Inhaltliche Bewertung - GI'!RechtsformGI=X$13,X95*AG95,IF('Inhaltliche Bewertung - GI'!RechtsformGI=Z$13,Z95*AG95,IF('Inhaltliche Bewertung - GI'!RechtsformGI=AB$13,AB95*AG95,IF('Inhaltliche Bewertung - GI'!RechtsformGI=AD$13,AD95*AG95,IF('Inhaltliche Bewertung - GI'!RechtsformGI=V$13,V95*AG95,"")))))</f>
        <v>#N/A</v>
      </c>
      <c r="AI95" s="351" t="e">
        <f>IF('Inhaltliche Bewertung - GI'!RechtsformAngebot=X$13,X95*AG95,IF('Inhaltliche Bewertung - GI'!RechtsformAngebot=Z$13,Z95*AG95,IF('Inhaltliche Bewertung - GI'!RechtsformAngebot=AB$13,AB95*AG95,IF('Inhaltliche Bewertung - GI'!RechtsformAngebot=AD$13,AD95*AG95,IF('Inhaltliche Bewertung - GI'!RechtsformAngebot=V$13,V95*AG95,"")))))</f>
        <v>#N/A</v>
      </c>
      <c r="AJ95" s="351"/>
      <c r="AK95" s="388" t="s">
        <v>3234</v>
      </c>
      <c r="AL95" s="389">
        <v>0</v>
      </c>
      <c r="AM95" s="365"/>
      <c r="AN95" s="389">
        <v>0</v>
      </c>
      <c r="AO95" s="365"/>
      <c r="AP95" s="389">
        <v>0</v>
      </c>
      <c r="AQ95" s="365"/>
      <c r="AR95" s="389">
        <v>0</v>
      </c>
      <c r="AS95" s="365"/>
      <c r="AT95" s="389">
        <v>0</v>
      </c>
      <c r="AU95" s="365"/>
      <c r="AV95" s="365" t="s">
        <v>3504</v>
      </c>
      <c r="AW95" s="360">
        <v>1</v>
      </c>
      <c r="AX95" s="351" t="e">
        <f>IF('Inhaltliche Bewertung - GI'!RechtsformGI=AN$13,AN95*AW95,IF('Inhaltliche Bewertung - GI'!RechtsformGI=AP$13,AP95*AW95,IF('Inhaltliche Bewertung - GI'!RechtsformGI=AR$13,AR95*AW95,IF('Inhaltliche Bewertung - GI'!RechtsformGI=AT$13,AT95*AW95,IF('Inhaltliche Bewertung - GI'!RechtsformGI=AL$13,AL95*AW95,"")))))</f>
        <v>#N/A</v>
      </c>
      <c r="AY95" s="351" t="e">
        <f>IF('Inhaltliche Bewertung - GI'!RechtsformAngebot=AN$13,AN95*AW95,IF('Inhaltliche Bewertung - GI'!RechtsformAngebot=AP$13,AP95*AW95,IF('Inhaltliche Bewertung - GI'!RechtsformAngebot=AR$13,AR95*AW95,IF('Inhaltliche Bewertung - GI'!RechtsformAngebot=AT$13,AT95*AW95,IF('Inhaltliche Bewertung - GI'!RechtsformAngebot=AL$13,AL95*AW95,"")))))</f>
        <v>#N/A</v>
      </c>
      <c r="AZ95" s="351"/>
      <c r="BA95" s="388" t="s">
        <v>3234</v>
      </c>
      <c r="BB95" s="391">
        <v>0</v>
      </c>
      <c r="BC95" s="365"/>
      <c r="BD95" s="391">
        <v>0</v>
      </c>
      <c r="BE95" s="365"/>
      <c r="BF95" s="391">
        <v>0</v>
      </c>
      <c r="BG95" s="365"/>
      <c r="BH95" s="391">
        <v>0</v>
      </c>
      <c r="BI95" s="365"/>
      <c r="BJ95" s="391">
        <v>0</v>
      </c>
      <c r="BK95" s="365"/>
      <c r="BL95" s="368" t="s">
        <v>3504</v>
      </c>
      <c r="BM95" s="360">
        <v>1</v>
      </c>
      <c r="BN95" s="351" t="e">
        <f>IF('Inhaltliche Bewertung - GI'!RechtsformGI=BD$13,BD95*BM95,IF('Inhaltliche Bewertung - GI'!RechtsformGI=BF$13,BF95*BM95,IF('Inhaltliche Bewertung - GI'!RechtsformGI=BH$13,BH95*BM95,IF('Inhaltliche Bewertung - GI'!RechtsformGI=BJ$13,BJ95*BM95,IF('Inhaltliche Bewertung - GI'!RechtsformGI=BB$13,BB95*BM95,"")))))</f>
        <v>#N/A</v>
      </c>
      <c r="BO95" s="351" t="e">
        <f>IF('Inhaltliche Bewertung - GI'!RechtsformAngebot=BD$13,BD95*BM95,IF('Inhaltliche Bewertung - GI'!RechtsformAngebot=BF$13,BF95*BM95,IF('Inhaltliche Bewertung - GI'!RechtsformAngebot=BH$13,BH95*BM95,IF('Inhaltliche Bewertung - GI'!RechtsformAngebot=BJ$13,BJ95*BM95,IF('Inhaltliche Bewertung - GI'!RechtsformAngebot=BB$13,BB95*BM95,"")))))</f>
        <v>#N/A</v>
      </c>
      <c r="BP95" s="351"/>
      <c r="BQ95" s="388" t="s">
        <v>3234</v>
      </c>
      <c r="BR95" s="392">
        <v>0</v>
      </c>
      <c r="BS95" s="393"/>
      <c r="BT95" s="392">
        <v>0</v>
      </c>
      <c r="BU95" s="393"/>
      <c r="BV95" s="392">
        <v>0</v>
      </c>
      <c r="BW95" s="393"/>
      <c r="BX95" s="392">
        <v>0</v>
      </c>
      <c r="BY95" s="393"/>
      <c r="BZ95" s="392">
        <v>0</v>
      </c>
      <c r="CA95" s="393"/>
      <c r="CB95" s="368" t="s">
        <v>3504</v>
      </c>
      <c r="CC95" s="360">
        <v>1</v>
      </c>
      <c r="CD95" s="351" t="e">
        <f>IF('Inhaltliche Bewertung - GI'!RechtsformGI=BT$13,BT95*CC95,IF('Inhaltliche Bewertung - GI'!RechtsformGI=BV$13,BV95*CC95,IF('Inhaltliche Bewertung - GI'!RechtsformGI=BX$13,BX95*CC95,IF('Inhaltliche Bewertung - GI'!RechtsformGI=BZ$13,BZ95*CC95,IF('Inhaltliche Bewertung - GI'!RechtsformGI=BR$13,BR95*CC95,"")))))</f>
        <v>#N/A</v>
      </c>
      <c r="CE95" s="351" t="e">
        <f>IF('Inhaltliche Bewertung - GI'!RechtsformAngebot=BT$13,BT95*CC95,IF('Inhaltliche Bewertung - GI'!RechtsformAngebot=BV$13,BV95*CC95,IF('Inhaltliche Bewertung - GI'!RechtsformAngebot=BX$13,BX95*CC95,IF('Inhaltliche Bewertung - GI'!RechtsformAngebot=BZ$13,BZ95*CC95,IF('Inhaltliche Bewertung - GI'!RechtsformAngebot=BR$13,BR95*CC95,"")))))</f>
        <v>#N/A</v>
      </c>
      <c r="CF95" s="351"/>
      <c r="CG95" s="371" t="s">
        <v>3505</v>
      </c>
      <c r="CH95" s="385">
        <v>0</v>
      </c>
      <c r="CI95" s="377"/>
      <c r="CJ95" s="385">
        <v>0</v>
      </c>
      <c r="CK95" s="377"/>
      <c r="CL95" s="385">
        <v>0</v>
      </c>
      <c r="CM95" s="377"/>
      <c r="CN95" s="385">
        <v>0</v>
      </c>
      <c r="CO95" s="377"/>
      <c r="CP95" s="385">
        <v>0</v>
      </c>
      <c r="CQ95" s="377"/>
      <c r="CR95" s="377" t="s">
        <v>3504</v>
      </c>
      <c r="CS95" s="360">
        <v>1</v>
      </c>
      <c r="CT95" s="351" t="e">
        <f>IF('Inhaltliche Bewertung - GI'!RechtsformGI=CJ$13,CJ95*CS95,IF('Inhaltliche Bewertung - GI'!RechtsformGI=CL$13,CL95*CS95,IF('Inhaltliche Bewertung - GI'!RechtsformGI=CN$13,CN95*CS95,IF('Inhaltliche Bewertung - GI'!RechtsformGI=CP$13,CP95*CS95,IF('Inhaltliche Bewertung - GI'!RechtsformGI=CH$13,CH95*CS95,"")))))</f>
        <v>#N/A</v>
      </c>
      <c r="CU95" s="351" t="e">
        <f>IF('Inhaltliche Bewertung - GI'!RechtsformAngebot=CJ$13,CJ95*CS95,IF('Inhaltliche Bewertung - GI'!RechtsformAngebot=CL$13,CL95*CS95,IF('Inhaltliche Bewertung - GI'!RechtsformAngebot=CN$13,CN95*CS95,IF('Inhaltliche Bewertung - GI'!RechtsformAngebot=CP$13,CP95*CS95,IF('Inhaltliche Bewertung - GI'!RechtsformAngebot=CH$13,CH95*CS95,"")))))</f>
        <v>#N/A</v>
      </c>
      <c r="CV95" s="351"/>
      <c r="CW95" s="371" t="s">
        <v>3505</v>
      </c>
      <c r="CX95" s="385">
        <v>0</v>
      </c>
      <c r="CY95" s="377"/>
      <c r="CZ95" s="385">
        <v>0</v>
      </c>
      <c r="DA95" s="416"/>
      <c r="DB95" s="385">
        <v>0</v>
      </c>
      <c r="DC95" s="377"/>
      <c r="DD95" s="385">
        <v>0</v>
      </c>
      <c r="DE95" s="377"/>
      <c r="DF95" s="385">
        <v>0</v>
      </c>
      <c r="DG95" s="377"/>
      <c r="DH95" s="377" t="s">
        <v>3504</v>
      </c>
      <c r="DI95" s="360">
        <v>1</v>
      </c>
      <c r="DJ95" s="351" t="e">
        <f>IF('Inhaltliche Bewertung - GI'!RechtsformGI=CZ$13,CZ95*DI95,IF('Inhaltliche Bewertung - GI'!RechtsformGI=DB$13,DB95*DI95,IF('Inhaltliche Bewertung - GI'!RechtsformGI=DD$13,DD95*DI95,IF('Inhaltliche Bewertung - GI'!RechtsformGI=DF$13,DF95*DI95,IF('Inhaltliche Bewertung - GI'!RechtsformGI=CX$13,CX95*DI95,"")))))</f>
        <v>#N/A</v>
      </c>
      <c r="DK95" s="351" t="e">
        <f>IF('Inhaltliche Bewertung - GI'!RechtsformAngebot=CZ$13,CZ95*DI95,IF('Inhaltliche Bewertung - GI'!RechtsformAngebot=DB$13,DB95*DI95,IF('Inhaltliche Bewertung - GI'!RechtsformAngebot=DD$13,DD95*DI95,IF('Inhaltliche Bewertung - GI'!RechtsformAngebot=DF$13,DF95*DI95,IF('Inhaltliche Bewertung - GI'!RechtsformAngebot=CX$13,CX95*DI95,"")))))</f>
        <v>#N/A</v>
      </c>
      <c r="DL95" s="351"/>
      <c r="DM95" s="388" t="s">
        <v>3234</v>
      </c>
      <c r="DN95" s="392">
        <v>0</v>
      </c>
      <c r="DO95" s="368"/>
      <c r="DP95" s="392">
        <v>0</v>
      </c>
      <c r="DQ95" s="368"/>
      <c r="DR95" s="392">
        <v>0</v>
      </c>
      <c r="DS95" s="368"/>
      <c r="DT95" s="392">
        <v>0</v>
      </c>
      <c r="DU95" s="368"/>
      <c r="DV95" s="392">
        <v>0</v>
      </c>
      <c r="DW95" s="368"/>
      <c r="DX95" s="368" t="s">
        <v>3504</v>
      </c>
      <c r="DY95" s="360">
        <v>1</v>
      </c>
      <c r="DZ95" s="351" t="e">
        <f>IF('Inhaltliche Bewertung - GI'!RechtsformGI=DP$13,DP95*DY95,IF('Inhaltliche Bewertung - GI'!RechtsformGI=DR$13,DR95*DY95,IF('Inhaltliche Bewertung - GI'!RechtsformGI=DT$13,DT95*DY95,IF('Inhaltliche Bewertung - GI'!RechtsformGI=DV$13,DV95*DY95,IF('Inhaltliche Bewertung - GI'!RechtsformGI=DN$13,DN95*DY95,"")))))</f>
        <v>#N/A</v>
      </c>
      <c r="EA95" s="351" t="e">
        <f>IF('Inhaltliche Bewertung - GI'!RechtsformAngebot=DP$13,DP95*DY95,IF('Inhaltliche Bewertung - GI'!RechtsformAngebot=DR$13,DR95*DY95,IF('Inhaltliche Bewertung - GI'!RechtsformAngebot=DT$13,DT95*DY95,IF('Inhaltliche Bewertung - GI'!RechtsformAngebot=DV$13,DV95*DY95,IF('Inhaltliche Bewertung - GI'!RechtsformAngebot=DN$13,DN95*DY95,"")))))</f>
        <v>#N/A</v>
      </c>
      <c r="EB95" s="351"/>
      <c r="EC95" s="157">
        <f t="shared" si="1"/>
        <v>0</v>
      </c>
      <c r="ED95" s="157">
        <f t="shared" si="2"/>
        <v>1</v>
      </c>
      <c r="EE95" s="157">
        <f t="shared" si="3"/>
        <v>0.125</v>
      </c>
      <c r="EF95" s="157">
        <f t="shared" si="4"/>
        <v>0</v>
      </c>
    </row>
    <row r="96" spans="1:136" ht="14.25" customHeight="1">
      <c r="A96" s="444" t="b">
        <f t="shared" si="6"/>
        <v>0</v>
      </c>
      <c r="B96" s="292"/>
      <c r="C96" s="355" t="s">
        <v>3506</v>
      </c>
      <c r="D96" s="345"/>
      <c r="E96" s="371" t="s">
        <v>3507</v>
      </c>
      <c r="F96" s="372">
        <v>0.8</v>
      </c>
      <c r="G96" s="358"/>
      <c r="H96" s="372">
        <v>0.8</v>
      </c>
      <c r="I96" s="358"/>
      <c r="J96" s="372">
        <v>0.8</v>
      </c>
      <c r="K96" s="358"/>
      <c r="L96" s="372">
        <v>0.8</v>
      </c>
      <c r="M96" s="358"/>
      <c r="N96" s="372">
        <v>0.8</v>
      </c>
      <c r="O96" s="358"/>
      <c r="P96" s="358" t="s">
        <v>3508</v>
      </c>
      <c r="Q96" s="360">
        <v>1</v>
      </c>
      <c r="R96" s="351" t="e">
        <f>IF('Inhaltliche Bewertung - GI'!RechtsformGI=H$13,H96*Q96,IF('Inhaltliche Bewertung - GI'!RechtsformGI=J$13,J96*Q96,IF('Inhaltliche Bewertung - GI'!RechtsformGI=L$13,L96*Q96,IF('Inhaltliche Bewertung - GI'!RechtsformGI=N$13,N96*Q96,IF('Inhaltliche Bewertung - GI'!RechtsformGI=F$13,F96*Q96,"")))))</f>
        <v>#N/A</v>
      </c>
      <c r="S96" s="351" t="e">
        <f>IF('Inhaltliche Bewertung - GI'!RechtsformAngebot=H$13,H96*Q96,IF('Inhaltliche Bewertung - GI'!RechtsformAngebot=J$13,J96*Q96,IF('Inhaltliche Bewertung - GI'!RechtsformAngebot=L$13,L96*Q96,IF('Inhaltliche Bewertung - GI'!RechtsformAngebot=N$13,N96*Q96,IF('Inhaltliche Bewertung - GI'!RechtsformAngebot=F$13,F96*Q96,"")))))</f>
        <v>#N/A</v>
      </c>
      <c r="T96" s="351"/>
      <c r="U96" s="371" t="s">
        <v>3509</v>
      </c>
      <c r="V96" s="372">
        <v>0</v>
      </c>
      <c r="W96" s="374"/>
      <c r="X96" s="380">
        <v>0</v>
      </c>
      <c r="Y96" s="374"/>
      <c r="Z96" s="380">
        <v>0</v>
      </c>
      <c r="AA96" s="374"/>
      <c r="AB96" s="380">
        <v>0</v>
      </c>
      <c r="AC96" s="374"/>
      <c r="AD96" s="380">
        <v>0</v>
      </c>
      <c r="AE96" s="374"/>
      <c r="AF96" s="358" t="s">
        <v>3508</v>
      </c>
      <c r="AG96" s="360">
        <v>1</v>
      </c>
      <c r="AH96" s="351" t="e">
        <f>IF('Inhaltliche Bewertung - GI'!RechtsformGI=X$13,X96*AG96,IF('Inhaltliche Bewertung - GI'!RechtsformGI=Z$13,Z96*AG96,IF('Inhaltliche Bewertung - GI'!RechtsformGI=AB$13,AB96*AG96,IF('Inhaltliche Bewertung - GI'!RechtsformGI=AD$13,AD96*AG96,IF('Inhaltliche Bewertung - GI'!RechtsformGI=V$13,V96*AG96,"")))))</f>
        <v>#N/A</v>
      </c>
      <c r="AI96" s="351" t="e">
        <f>IF('Inhaltliche Bewertung - GI'!RechtsformAngebot=X$13,X96*AG96,IF('Inhaltliche Bewertung - GI'!RechtsformAngebot=Z$13,Z96*AG96,IF('Inhaltliche Bewertung - GI'!RechtsformAngebot=AB$13,AB96*AG96,IF('Inhaltliche Bewertung - GI'!RechtsformAngebot=AD$13,AD96*AG96,IF('Inhaltliche Bewertung - GI'!RechtsformAngebot=V$13,V96*AG96,"")))))</f>
        <v>#N/A</v>
      </c>
      <c r="AJ96" s="351"/>
      <c r="AK96" s="371" t="s">
        <v>3509</v>
      </c>
      <c r="AL96" s="372">
        <v>0.2</v>
      </c>
      <c r="AM96" s="358"/>
      <c r="AN96" s="372">
        <v>0.2</v>
      </c>
      <c r="AO96" s="358"/>
      <c r="AP96" s="372">
        <v>0.2</v>
      </c>
      <c r="AQ96" s="358"/>
      <c r="AR96" s="372">
        <v>0.2</v>
      </c>
      <c r="AS96" s="358"/>
      <c r="AT96" s="372">
        <v>0.2</v>
      </c>
      <c r="AU96" s="358"/>
      <c r="AV96" s="358" t="s">
        <v>3510</v>
      </c>
      <c r="AW96" s="360">
        <v>1</v>
      </c>
      <c r="AX96" s="351" t="e">
        <f>IF('Inhaltliche Bewertung - GI'!RechtsformGI=AN$13,AN96*AW96,IF('Inhaltliche Bewertung - GI'!RechtsformGI=AP$13,AP96*AW96,IF('Inhaltliche Bewertung - GI'!RechtsformGI=AR$13,AR96*AW96,IF('Inhaltliche Bewertung - GI'!RechtsformGI=AT$13,AT96*AW96,IF('Inhaltliche Bewertung - GI'!RechtsformGI=AL$13,AL96*AW96,"")))))</f>
        <v>#N/A</v>
      </c>
      <c r="AY96" s="351" t="e">
        <f>IF('Inhaltliche Bewertung - GI'!RechtsformAngebot=AN$13,AN96*AW96,IF('Inhaltliche Bewertung - GI'!RechtsformAngebot=AP$13,AP96*AW96,IF('Inhaltliche Bewertung - GI'!RechtsformAngebot=AR$13,AR96*AW96,IF('Inhaltliche Bewertung - GI'!RechtsformAngebot=AT$13,AT96*AW96,IF('Inhaltliche Bewertung - GI'!RechtsformAngebot=AL$13,AL96*AW96,"")))))</f>
        <v>#N/A</v>
      </c>
      <c r="AZ96" s="351"/>
      <c r="BA96" s="361" t="s">
        <v>3511</v>
      </c>
      <c r="BB96" s="366">
        <v>0.3</v>
      </c>
      <c r="BC96" s="365"/>
      <c r="BD96" s="366">
        <v>0.3</v>
      </c>
      <c r="BE96" s="365"/>
      <c r="BF96" s="366">
        <v>0.3</v>
      </c>
      <c r="BG96" s="365"/>
      <c r="BH96" s="366">
        <v>0.3</v>
      </c>
      <c r="BI96" s="365"/>
      <c r="BJ96" s="366">
        <v>0.3</v>
      </c>
      <c r="BK96" s="365"/>
      <c r="BL96" s="368" t="s">
        <v>3512</v>
      </c>
      <c r="BM96" s="360">
        <v>1</v>
      </c>
      <c r="BN96" s="351" t="e">
        <f>IF('Inhaltliche Bewertung - GI'!RechtsformGI=BD$13,BD96*BM96,IF('Inhaltliche Bewertung - GI'!RechtsformGI=BF$13,BF96*BM96,IF('Inhaltliche Bewertung - GI'!RechtsformGI=BH$13,BH96*BM96,IF('Inhaltliche Bewertung - GI'!RechtsformGI=BJ$13,BJ96*BM96,IF('Inhaltliche Bewertung - GI'!RechtsformGI=BB$13,BB96*BM96,"")))))</f>
        <v>#N/A</v>
      </c>
      <c r="BO96" s="351" t="e">
        <f>IF('Inhaltliche Bewertung - GI'!RechtsformAngebot=BD$13,BD96*BM96,IF('Inhaltliche Bewertung - GI'!RechtsformAngebot=BF$13,BF96*BM96,IF('Inhaltliche Bewertung - GI'!RechtsformAngebot=BH$13,BH96*BM96,IF('Inhaltliche Bewertung - GI'!RechtsformAngebot=BJ$13,BJ96*BM96,IF('Inhaltliche Bewertung - GI'!RechtsformAngebot=BB$13,BB96*BM96,"")))))</f>
        <v>#N/A</v>
      </c>
      <c r="BP96" s="351"/>
      <c r="BQ96" s="361" t="s">
        <v>3511</v>
      </c>
      <c r="BR96" s="367">
        <v>0.3</v>
      </c>
      <c r="BS96" s="368"/>
      <c r="BT96" s="367">
        <v>0.3</v>
      </c>
      <c r="BU96" s="368"/>
      <c r="BV96" s="367">
        <v>0.3</v>
      </c>
      <c r="BW96" s="368"/>
      <c r="BX96" s="367">
        <v>0.3</v>
      </c>
      <c r="BY96" s="368"/>
      <c r="BZ96" s="367">
        <v>0.3</v>
      </c>
      <c r="CA96" s="368"/>
      <c r="CB96" s="368" t="s">
        <v>3508</v>
      </c>
      <c r="CC96" s="360">
        <v>1</v>
      </c>
      <c r="CD96" s="351" t="e">
        <f>IF('Inhaltliche Bewertung - GI'!RechtsformGI=BT$13,BT96*CC96,IF('Inhaltliche Bewertung - GI'!RechtsformGI=BV$13,BV96*CC96,IF('Inhaltliche Bewertung - GI'!RechtsformGI=BX$13,BX96*CC96,IF('Inhaltliche Bewertung - GI'!RechtsformGI=BZ$13,BZ96*CC96,IF('Inhaltliche Bewertung - GI'!RechtsformGI=BR$13,BR96*CC96,"")))))</f>
        <v>#N/A</v>
      </c>
      <c r="CE96" s="351" t="e">
        <f>IF('Inhaltliche Bewertung - GI'!RechtsformAngebot=BT$13,BT96*CC96,IF('Inhaltliche Bewertung - GI'!RechtsformAngebot=BV$13,BV96*CC96,IF('Inhaltliche Bewertung - GI'!RechtsformAngebot=BX$13,BX96*CC96,IF('Inhaltliche Bewertung - GI'!RechtsformAngebot=BZ$13,BZ96*CC96,IF('Inhaltliche Bewertung - GI'!RechtsformAngebot=BR$13,BR96*CC96,"")))))</f>
        <v>#N/A</v>
      </c>
      <c r="CF96" s="351"/>
      <c r="CG96" s="371" t="s">
        <v>3513</v>
      </c>
      <c r="CH96" s="385">
        <v>0</v>
      </c>
      <c r="CI96" s="377"/>
      <c r="CJ96" s="385">
        <v>0</v>
      </c>
      <c r="CK96" s="377"/>
      <c r="CL96" s="385">
        <v>0</v>
      </c>
      <c r="CM96" s="377"/>
      <c r="CN96" s="385">
        <v>0</v>
      </c>
      <c r="CO96" s="377"/>
      <c r="CP96" s="385">
        <v>0</v>
      </c>
      <c r="CQ96" s="377"/>
      <c r="CR96" s="377" t="s">
        <v>3508</v>
      </c>
      <c r="CS96" s="360">
        <v>1</v>
      </c>
      <c r="CT96" s="351" t="e">
        <f>IF('Inhaltliche Bewertung - GI'!RechtsformGI=CJ$13,CJ96*CS96,IF('Inhaltliche Bewertung - GI'!RechtsformGI=CL$13,CL96*CS96,IF('Inhaltliche Bewertung - GI'!RechtsformGI=CN$13,CN96*CS96,IF('Inhaltliche Bewertung - GI'!RechtsformGI=CP$13,CP96*CS96,IF('Inhaltliche Bewertung - GI'!RechtsformGI=CH$13,CH96*CS96,"")))))</f>
        <v>#N/A</v>
      </c>
      <c r="CU96" s="351" t="e">
        <f>IF('Inhaltliche Bewertung - GI'!RechtsformAngebot=CJ$13,CJ96*CS96,IF('Inhaltliche Bewertung - GI'!RechtsformAngebot=CL$13,CL96*CS96,IF('Inhaltliche Bewertung - GI'!RechtsformAngebot=CN$13,CN96*CS96,IF('Inhaltliche Bewertung - GI'!RechtsformAngebot=CP$13,CP96*CS96,IF('Inhaltliche Bewertung - GI'!RechtsformAngebot=CH$13,CH96*CS96,"")))))</f>
        <v>#N/A</v>
      </c>
      <c r="CV96" s="351"/>
      <c r="CW96" s="371" t="s">
        <v>3513</v>
      </c>
      <c r="CX96" s="385">
        <v>0</v>
      </c>
      <c r="CY96" s="377"/>
      <c r="CZ96" s="385">
        <v>0</v>
      </c>
      <c r="DA96" s="416"/>
      <c r="DB96" s="385">
        <v>0</v>
      </c>
      <c r="DC96" s="377"/>
      <c r="DD96" s="385">
        <v>0</v>
      </c>
      <c r="DE96" s="377"/>
      <c r="DF96" s="385">
        <v>0</v>
      </c>
      <c r="DG96" s="377"/>
      <c r="DH96" s="377" t="s">
        <v>3508</v>
      </c>
      <c r="DI96" s="360">
        <v>1</v>
      </c>
      <c r="DJ96" s="351" t="e">
        <f>IF('Inhaltliche Bewertung - GI'!RechtsformGI=CZ$13,CZ96*DI96,IF('Inhaltliche Bewertung - GI'!RechtsformGI=DB$13,DB96*DI96,IF('Inhaltliche Bewertung - GI'!RechtsformGI=DD$13,DD96*DI96,IF('Inhaltliche Bewertung - GI'!RechtsformGI=DF$13,DF96*DI96,IF('Inhaltliche Bewertung - GI'!RechtsformGI=CX$13,CX96*DI96,"")))))</f>
        <v>#N/A</v>
      </c>
      <c r="DK96" s="351" t="e">
        <f>IF('Inhaltliche Bewertung - GI'!RechtsformAngebot=CZ$13,CZ96*DI96,IF('Inhaltliche Bewertung - GI'!RechtsformAngebot=DB$13,DB96*DI96,IF('Inhaltliche Bewertung - GI'!RechtsformAngebot=DD$13,DD96*DI96,IF('Inhaltliche Bewertung - GI'!RechtsformAngebot=DF$13,DF96*DI96,IF('Inhaltliche Bewertung - GI'!RechtsformAngebot=CX$13,CX96*DI96,"")))))</f>
        <v>#N/A</v>
      </c>
      <c r="DL96" s="351"/>
      <c r="DM96" s="361" t="s">
        <v>3514</v>
      </c>
      <c r="DN96" s="367">
        <v>0.3</v>
      </c>
      <c r="DO96" s="368"/>
      <c r="DP96" s="367">
        <v>0.3</v>
      </c>
      <c r="DQ96" s="368"/>
      <c r="DR96" s="367">
        <v>0.3</v>
      </c>
      <c r="DS96" s="368"/>
      <c r="DT96" s="367">
        <v>0.3</v>
      </c>
      <c r="DU96" s="368"/>
      <c r="DV96" s="367">
        <v>0.3</v>
      </c>
      <c r="DW96" s="368"/>
      <c r="DX96" s="368" t="s">
        <v>3508</v>
      </c>
      <c r="DY96" s="360">
        <v>1</v>
      </c>
      <c r="DZ96" s="351" t="e">
        <f>IF('Inhaltliche Bewertung - GI'!RechtsformGI=DP$13,DP96*DY96,IF('Inhaltliche Bewertung - GI'!RechtsformGI=DR$13,DR96*DY96,IF('Inhaltliche Bewertung - GI'!RechtsformGI=DT$13,DT96*DY96,IF('Inhaltliche Bewertung - GI'!RechtsformGI=DV$13,DV96*DY96,IF('Inhaltliche Bewertung - GI'!RechtsformGI=DN$13,DN96*DY96,"")))))</f>
        <v>#N/A</v>
      </c>
      <c r="EA96" s="351" t="e">
        <f>IF('Inhaltliche Bewertung - GI'!RechtsformAngebot=DP$13,DP96*DY96,IF('Inhaltliche Bewertung - GI'!RechtsformAngebot=DR$13,DR96*DY96,IF('Inhaltliche Bewertung - GI'!RechtsformAngebot=DT$13,DT96*DY96,IF('Inhaltliche Bewertung - GI'!RechtsformAngebot=DV$13,DV96*DY96,IF('Inhaltliche Bewertung - GI'!RechtsformAngebot=DN$13,DN96*DY96,"")))))</f>
        <v>#N/A</v>
      </c>
      <c r="EB96" s="351"/>
      <c r="EC96" s="157">
        <f t="shared" si="1"/>
        <v>0</v>
      </c>
      <c r="ED96" s="157">
        <f t="shared" si="2"/>
        <v>0.8</v>
      </c>
      <c r="EE96" s="157">
        <f t="shared" si="3"/>
        <v>0.23750000000000004</v>
      </c>
      <c r="EF96" s="157">
        <f t="shared" si="4"/>
        <v>0.25</v>
      </c>
    </row>
    <row r="97" spans="1:136" ht="14.25" customHeight="1">
      <c r="A97" s="395"/>
      <c r="B97" s="337" t="s">
        <v>3515</v>
      </c>
      <c r="C97" s="395"/>
      <c r="D97" s="396"/>
      <c r="E97" s="397"/>
      <c r="F97" s="398"/>
      <c r="G97" s="399"/>
      <c r="H97" s="398"/>
      <c r="I97" s="399"/>
      <c r="J97" s="398"/>
      <c r="K97" s="399"/>
      <c r="L97" s="398"/>
      <c r="M97" s="399"/>
      <c r="N97" s="398"/>
      <c r="O97" s="399"/>
      <c r="P97" s="400"/>
      <c r="Q97" s="401"/>
      <c r="R97" s="351" t="e">
        <f>IF('Inhaltliche Bewertung - GI'!RechtsformGI=H$13,H97*Q97,IF('Inhaltliche Bewertung - GI'!RechtsformGI=J$13,J97*Q97,IF('Inhaltliche Bewertung - GI'!RechtsformGI=L$13,L97*Q97,IF('Inhaltliche Bewertung - GI'!RechtsformGI=N$13,N97*Q97,IF('Inhaltliche Bewertung - GI'!RechtsformGI=F$13,F97*Q97,"")))))</f>
        <v>#N/A</v>
      </c>
      <c r="S97" s="351" t="e">
        <f>IF('Inhaltliche Bewertung - GI'!RechtsformAngebot=H$13,H97*Q97,IF('Inhaltliche Bewertung - GI'!RechtsformAngebot=J$13,J97*Q97,IF('Inhaltliche Bewertung - GI'!RechtsformAngebot=L$13,L97*Q97,IF('Inhaltliche Bewertung - GI'!RechtsformAngebot=N$13,N97*Q97,IF('Inhaltliche Bewertung - GI'!RechtsformAngebot=F$13,F97*Q97,"")))))</f>
        <v>#N/A</v>
      </c>
      <c r="T97" s="351"/>
      <c r="U97" s="397"/>
      <c r="V97" s="398"/>
      <c r="W97" s="402"/>
      <c r="X97" s="403"/>
      <c r="Y97" s="402"/>
      <c r="Z97" s="403"/>
      <c r="AA97" s="402"/>
      <c r="AB97" s="403"/>
      <c r="AC97" s="402"/>
      <c r="AD97" s="403"/>
      <c r="AE97" s="402"/>
      <c r="AF97" s="402"/>
      <c r="AG97" s="401"/>
      <c r="AH97" s="351" t="e">
        <f>IF('Inhaltliche Bewertung - GI'!RechtsformGI=X$13,X97*AG97,IF('Inhaltliche Bewertung - GI'!RechtsformGI=Z$13,Z97*AG97,IF('Inhaltliche Bewertung - GI'!RechtsformGI=AB$13,AB97*AG97,IF('Inhaltliche Bewertung - GI'!RechtsformGI=AD$13,AD97*AG97,IF('Inhaltliche Bewertung - GI'!RechtsformGI=V$13,V97*AG97,"")))))</f>
        <v>#N/A</v>
      </c>
      <c r="AI97" s="351" t="e">
        <f>IF('Inhaltliche Bewertung - GI'!RechtsformAngebot=X$13,X97*AG97,IF('Inhaltliche Bewertung - GI'!RechtsformAngebot=Z$13,Z97*AG97,IF('Inhaltliche Bewertung - GI'!RechtsformAngebot=AB$13,AB97*AG97,IF('Inhaltliche Bewertung - GI'!RechtsformAngebot=AD$13,AD97*AG97,IF('Inhaltliche Bewertung - GI'!RechtsformAngebot=V$13,V97*AG97,"")))))</f>
        <v>#N/A</v>
      </c>
      <c r="AJ97" s="351"/>
      <c r="AK97" s="397"/>
      <c r="AL97" s="398"/>
      <c r="AM97" s="399"/>
      <c r="AN97" s="398"/>
      <c r="AO97" s="399"/>
      <c r="AP97" s="398"/>
      <c r="AQ97" s="399"/>
      <c r="AR97" s="398"/>
      <c r="AS97" s="399"/>
      <c r="AT97" s="398"/>
      <c r="AU97" s="399"/>
      <c r="AV97" s="399"/>
      <c r="AW97" s="401"/>
      <c r="AX97" s="351" t="e">
        <f>IF('Inhaltliche Bewertung - GI'!RechtsformGI=AN$13,AN97*AW97,IF('Inhaltliche Bewertung - GI'!RechtsformGI=AP$13,AP97*AW97,IF('Inhaltliche Bewertung - GI'!RechtsformGI=AR$13,AR97*AW97,IF('Inhaltliche Bewertung - GI'!RechtsformGI=AT$13,AT97*AW97,IF('Inhaltliche Bewertung - GI'!RechtsformGI=AL$13,AL97*AW97,"")))))</f>
        <v>#N/A</v>
      </c>
      <c r="AY97" s="351" t="e">
        <f>IF('Inhaltliche Bewertung - GI'!RechtsformAngebot=AN$13,AN97*AW97,IF('Inhaltliche Bewertung - GI'!RechtsformAngebot=AP$13,AP97*AW97,IF('Inhaltliche Bewertung - GI'!RechtsformAngebot=AR$13,AR97*AW97,IF('Inhaltliche Bewertung - GI'!RechtsformAngebot=AT$13,AT97*AW97,IF('Inhaltliche Bewertung - GI'!RechtsformAngebot=AL$13,AL97*AW97,"")))))</f>
        <v>#N/A</v>
      </c>
      <c r="AZ97" s="351"/>
      <c r="BA97" s="397"/>
      <c r="BB97" s="404"/>
      <c r="BC97" s="399"/>
      <c r="BD97" s="404"/>
      <c r="BE97" s="399"/>
      <c r="BF97" s="404"/>
      <c r="BG97" s="399"/>
      <c r="BH97" s="404"/>
      <c r="BI97" s="399"/>
      <c r="BJ97" s="404"/>
      <c r="BK97" s="399"/>
      <c r="BL97" s="399" t="s">
        <v>2393</v>
      </c>
      <c r="BM97" s="401"/>
      <c r="BN97" s="351" t="e">
        <f>IF('Inhaltliche Bewertung - GI'!RechtsformGI=BD$13,BD97*BM97,IF('Inhaltliche Bewertung - GI'!RechtsformGI=BF$13,BF97*BM97,IF('Inhaltliche Bewertung - GI'!RechtsformGI=BH$13,BH97*BM97,IF('Inhaltliche Bewertung - GI'!RechtsformGI=BJ$13,BJ97*BM97,IF('Inhaltliche Bewertung - GI'!RechtsformGI=BB$13,BB97*BM97,"")))))</f>
        <v>#N/A</v>
      </c>
      <c r="BO97" s="351" t="e">
        <f>IF('Inhaltliche Bewertung - GI'!RechtsformAngebot=BD$13,BD97*BM97,IF('Inhaltliche Bewertung - GI'!RechtsformAngebot=BF$13,BF97*BM97,IF('Inhaltliche Bewertung - GI'!RechtsformAngebot=BH$13,BH97*BM97,IF('Inhaltliche Bewertung - GI'!RechtsformAngebot=BJ$13,BJ97*BM97,IF('Inhaltliche Bewertung - GI'!RechtsformAngebot=BB$13,BB97*BM97,"")))))</f>
        <v>#N/A</v>
      </c>
      <c r="BP97" s="351"/>
      <c r="BQ97" s="397"/>
      <c r="BR97" s="405"/>
      <c r="BS97" s="406"/>
      <c r="BT97" s="405"/>
      <c r="BU97" s="406"/>
      <c r="BV97" s="405"/>
      <c r="BW97" s="406"/>
      <c r="BX97" s="405"/>
      <c r="BY97" s="406"/>
      <c r="BZ97" s="405"/>
      <c r="CA97" s="406"/>
      <c r="CB97" s="406"/>
      <c r="CC97" s="401"/>
      <c r="CD97" s="351" t="e">
        <f>IF('Inhaltliche Bewertung - GI'!RechtsformGI=BT$13,BT97*CC97,IF('Inhaltliche Bewertung - GI'!RechtsformGI=BV$13,BV97*CC97,IF('Inhaltliche Bewertung - GI'!RechtsformGI=BX$13,BX97*CC97,IF('Inhaltliche Bewertung - GI'!RechtsformGI=BZ$13,BZ97*CC97,IF('Inhaltliche Bewertung - GI'!RechtsformGI=BR$13,BR97*CC97,"")))))</f>
        <v>#N/A</v>
      </c>
      <c r="CE97" s="351" t="e">
        <f>IF('Inhaltliche Bewertung - GI'!RechtsformAngebot=BT$13,BT97*CC97,IF('Inhaltliche Bewertung - GI'!RechtsformAngebot=BV$13,BV97*CC97,IF('Inhaltliche Bewertung - GI'!RechtsformAngebot=BX$13,BX97*CC97,IF('Inhaltliche Bewertung - GI'!RechtsformAngebot=BZ$13,BZ97*CC97,IF('Inhaltliche Bewertung - GI'!RechtsformAngebot=BR$13,BR97*CC97,"")))))</f>
        <v>#N/A</v>
      </c>
      <c r="CF97" s="351"/>
      <c r="CG97" s="397"/>
      <c r="CH97" s="405"/>
      <c r="CI97" s="407"/>
      <c r="CJ97" s="405"/>
      <c r="CK97" s="407"/>
      <c r="CL97" s="405"/>
      <c r="CM97" s="407"/>
      <c r="CN97" s="405"/>
      <c r="CO97" s="407"/>
      <c r="CP97" s="405"/>
      <c r="CQ97" s="407"/>
      <c r="CR97" s="407"/>
      <c r="CS97" s="401"/>
      <c r="CT97" s="351" t="e">
        <f>IF('Inhaltliche Bewertung - GI'!RechtsformGI=CJ$13,CJ97*CS97,IF('Inhaltliche Bewertung - GI'!RechtsformGI=CL$13,CL97*CS97,IF('Inhaltliche Bewertung - GI'!RechtsformGI=CN$13,CN97*CS97,IF('Inhaltliche Bewertung - GI'!RechtsformGI=CP$13,CP97*CS97,IF('Inhaltliche Bewertung - GI'!RechtsformGI=CH$13,CH97*CS97,"")))))</f>
        <v>#N/A</v>
      </c>
      <c r="CU97" s="351" t="e">
        <f>IF('Inhaltliche Bewertung - GI'!RechtsformAngebot=CJ$13,CJ97*CS97,IF('Inhaltliche Bewertung - GI'!RechtsformAngebot=CL$13,CL97*CS97,IF('Inhaltliche Bewertung - GI'!RechtsformAngebot=CN$13,CN97*CS97,IF('Inhaltliche Bewertung - GI'!RechtsformAngebot=CP$13,CP97*CS97,IF('Inhaltliche Bewertung - GI'!RechtsformAngebot=CH$13,CH97*CS97,"")))))</f>
        <v>#N/A</v>
      </c>
      <c r="CV97" s="351"/>
      <c r="CW97" s="397"/>
      <c r="CX97" s="405"/>
      <c r="CY97" s="407"/>
      <c r="CZ97" s="408"/>
      <c r="DA97" s="409"/>
      <c r="DB97" s="405"/>
      <c r="DC97" s="407"/>
      <c r="DD97" s="405"/>
      <c r="DE97" s="407"/>
      <c r="DF97" s="405"/>
      <c r="DG97" s="407"/>
      <c r="DH97" s="407"/>
      <c r="DI97" s="401"/>
      <c r="DJ97" s="351" t="e">
        <f>IF('Inhaltliche Bewertung - GI'!RechtsformGI=CZ$13,CZ97*DI97,IF('Inhaltliche Bewertung - GI'!RechtsformGI=DB$13,DB97*DI97,IF('Inhaltliche Bewertung - GI'!RechtsformGI=DD$13,DD97*DI97,IF('Inhaltliche Bewertung - GI'!RechtsformGI=DF$13,DF97*DI97,IF('Inhaltliche Bewertung - GI'!RechtsformGI=CX$13,CX97*DI97,"")))))</f>
        <v>#N/A</v>
      </c>
      <c r="DK97" s="351" t="e">
        <f>IF('Inhaltliche Bewertung - GI'!RechtsformAngebot=CZ$13,CZ97*DI97,IF('Inhaltliche Bewertung - GI'!RechtsformAngebot=DB$13,DB97*DI97,IF('Inhaltliche Bewertung - GI'!RechtsformAngebot=DD$13,DD97*DI97,IF('Inhaltliche Bewertung - GI'!RechtsformAngebot=DF$13,DF97*DI97,IF('Inhaltliche Bewertung - GI'!RechtsformAngebot=CX$13,CX97*DI97,"")))))</f>
        <v>#N/A</v>
      </c>
      <c r="DL97" s="351"/>
      <c r="DM97" s="397"/>
      <c r="DN97" s="405"/>
      <c r="DO97" s="407"/>
      <c r="DP97" s="405"/>
      <c r="DQ97" s="407"/>
      <c r="DR97" s="405"/>
      <c r="DS97" s="407"/>
      <c r="DT97" s="405"/>
      <c r="DU97" s="407"/>
      <c r="DV97" s="405"/>
      <c r="DW97" s="407"/>
      <c r="DX97" s="407"/>
      <c r="DY97" s="401"/>
      <c r="DZ97" s="351" t="e">
        <f>IF('Inhaltliche Bewertung - GI'!RechtsformGI=DP$13,DP97*DY97,IF('Inhaltliche Bewertung - GI'!RechtsformGI=DR$13,DR97*DY97,IF('Inhaltliche Bewertung - GI'!RechtsformGI=DT$13,DT97*DY97,IF('Inhaltliche Bewertung - GI'!RechtsformGI=DV$13,DV97*DY97,IF('Inhaltliche Bewertung - GI'!RechtsformGI=DN$13,DN97*DY97,"")))))</f>
        <v>#N/A</v>
      </c>
      <c r="EA97" s="351" t="e">
        <f>IF('Inhaltliche Bewertung - GI'!RechtsformAngebot=DP$13,DP97*DY97,IF('Inhaltliche Bewertung - GI'!RechtsformAngebot=DR$13,DR97*DY97,IF('Inhaltliche Bewertung - GI'!RechtsformAngebot=DT$13,DT97*DY97,IF('Inhaltliche Bewertung - GI'!RechtsformAngebot=DV$13,DV97*DY97,IF('Inhaltliche Bewertung - GI'!RechtsformAngebot=DN$13,DN97*DY97,"")))))</f>
        <v>#N/A</v>
      </c>
      <c r="EB97" s="351"/>
      <c r="EC97" s="157">
        <f t="shared" si="1"/>
        <v>0</v>
      </c>
      <c r="ED97" s="157">
        <f t="shared" si="2"/>
        <v>0</v>
      </c>
      <c r="EE97" s="157" t="e">
        <f t="shared" si="3"/>
        <v>#DIV/0!</v>
      </c>
      <c r="EF97" s="157" t="e">
        <f t="shared" si="4"/>
        <v>#NUM!</v>
      </c>
    </row>
    <row r="98" spans="1:136" ht="14.25" customHeight="1">
      <c r="A98" s="444" t="b">
        <f t="shared" ref="A98:A108" si="7">EXACT(MAX(F98,H98,J98,L98,N98,V98,X98,Z98,AB98,AD98,AL98,AN98,AP98,AR98,AT98,BB98,BD98,BF98,BH98,BJ98,BR98,BT98,BV98,BX98,BZ98,CH98,CJ98,CL98,CN98,CP98,CX98,CZ98,DB98,DD98,DF98),MIN(F98,H98,J98,L98,N98,V98,X98,Z98,AB98,AD98,AL98,AN98,AP98,AR98,AT98,BB98,BD98,BF98,BH98,BJ98,BR98,BT98,BV98,BX98,BZ98,CH98,CJ98,CL98,CN98,CP98,CX98,CZ98,DB98,DD98,DF98))</f>
        <v>0</v>
      </c>
      <c r="B98" s="292"/>
      <c r="C98" s="355" t="s">
        <v>3516</v>
      </c>
      <c r="D98" s="345"/>
      <c r="E98" s="361" t="s">
        <v>3517</v>
      </c>
      <c r="F98" s="362">
        <v>1</v>
      </c>
      <c r="G98" s="365"/>
      <c r="H98" s="362">
        <v>1</v>
      </c>
      <c r="I98" s="365"/>
      <c r="J98" s="362">
        <v>1</v>
      </c>
      <c r="K98" s="365"/>
      <c r="L98" s="362">
        <v>1</v>
      </c>
      <c r="M98" s="365"/>
      <c r="N98" s="362">
        <v>1</v>
      </c>
      <c r="O98" s="365"/>
      <c r="P98" s="370"/>
      <c r="Q98" s="360">
        <v>1</v>
      </c>
      <c r="R98" s="351" t="e">
        <f>IF('Inhaltliche Bewertung - GI'!RechtsformGI=H$13,H98*Q98,IF('Inhaltliche Bewertung - GI'!RechtsformGI=J$13,J98*Q98,IF('Inhaltliche Bewertung - GI'!RechtsformGI=L$13,L98*Q98,IF('Inhaltliche Bewertung - GI'!RechtsformGI=N$13,N98*Q98,IF('Inhaltliche Bewertung - GI'!RechtsformGI=F$13,F98*Q98,"")))))</f>
        <v>#N/A</v>
      </c>
      <c r="S98" s="351" t="e">
        <f>IF('Inhaltliche Bewertung - GI'!RechtsformAngebot=H$13,H98*Q98,IF('Inhaltliche Bewertung - GI'!RechtsformAngebot=J$13,J98*Q98,IF('Inhaltliche Bewertung - GI'!RechtsformAngebot=L$13,L98*Q98,IF('Inhaltliche Bewertung - GI'!RechtsformAngebot=N$13,N98*Q98,IF('Inhaltliche Bewertung - GI'!RechtsformAngebot=F$13,F98*Q98,"")))))</f>
        <v>#N/A</v>
      </c>
      <c r="T98" s="351"/>
      <c r="U98" s="361" t="s">
        <v>3517</v>
      </c>
      <c r="V98" s="362">
        <v>1</v>
      </c>
      <c r="W98" s="365"/>
      <c r="X98" s="362">
        <v>1</v>
      </c>
      <c r="Y98" s="365"/>
      <c r="Z98" s="362">
        <v>1</v>
      </c>
      <c r="AA98" s="365"/>
      <c r="AB98" s="362">
        <v>1</v>
      </c>
      <c r="AC98" s="365"/>
      <c r="AD98" s="362">
        <v>1</v>
      </c>
      <c r="AE98" s="365"/>
      <c r="AF98" s="370"/>
      <c r="AG98" s="360">
        <v>1</v>
      </c>
      <c r="AH98" s="351" t="e">
        <f>IF('Inhaltliche Bewertung - GI'!RechtsformGI=X$13,X98*AG98,IF('Inhaltliche Bewertung - GI'!RechtsformGI=Z$13,Z98*AG98,IF('Inhaltliche Bewertung - GI'!RechtsformGI=AB$13,AB98*AG98,IF('Inhaltliche Bewertung - GI'!RechtsformGI=AD$13,AD98*AG98,IF('Inhaltliche Bewertung - GI'!RechtsformGI=V$13,V98*AG98,"")))))</f>
        <v>#N/A</v>
      </c>
      <c r="AI98" s="351" t="e">
        <f>IF('Inhaltliche Bewertung - GI'!RechtsformAngebot=X$13,X98*AG98,IF('Inhaltliche Bewertung - GI'!RechtsformAngebot=Z$13,Z98*AG98,IF('Inhaltliche Bewertung - GI'!RechtsformAngebot=AB$13,AB98*AG98,IF('Inhaltliche Bewertung - GI'!RechtsformAngebot=AD$13,AD98*AG98,IF('Inhaltliche Bewertung - GI'!RechtsformAngebot=V$13,V98*AG98,"")))))</f>
        <v>#N/A</v>
      </c>
      <c r="AJ98" s="351"/>
      <c r="AK98" s="361" t="s">
        <v>3517</v>
      </c>
      <c r="AL98" s="362">
        <v>1</v>
      </c>
      <c r="AM98" s="365"/>
      <c r="AN98" s="362">
        <v>1</v>
      </c>
      <c r="AO98" s="365"/>
      <c r="AP98" s="362">
        <v>1</v>
      </c>
      <c r="AQ98" s="365"/>
      <c r="AR98" s="362">
        <v>1</v>
      </c>
      <c r="AS98" s="365"/>
      <c r="AT98" s="362">
        <v>1</v>
      </c>
      <c r="AU98" s="365"/>
      <c r="AV98" s="370"/>
      <c r="AW98" s="360">
        <v>1</v>
      </c>
      <c r="AX98" s="351" t="e">
        <f>IF('Inhaltliche Bewertung - GI'!RechtsformGI=AN$13,AN98*AW98,IF('Inhaltliche Bewertung - GI'!RechtsformGI=AP$13,AP98*AW98,IF('Inhaltliche Bewertung - GI'!RechtsformGI=AR$13,AR98*AW98,IF('Inhaltliche Bewertung - GI'!RechtsformGI=AT$13,AT98*AW98,IF('Inhaltliche Bewertung - GI'!RechtsformGI=AL$13,AL98*AW98,"")))))</f>
        <v>#N/A</v>
      </c>
      <c r="AY98" s="351" t="e">
        <f>IF('Inhaltliche Bewertung - GI'!RechtsformAngebot=AN$13,AN98*AW98,IF('Inhaltliche Bewertung - GI'!RechtsformAngebot=AP$13,AP98*AW98,IF('Inhaltliche Bewertung - GI'!RechtsformAngebot=AR$13,AR98*AW98,IF('Inhaltliche Bewertung - GI'!RechtsformAngebot=AT$13,AT98*AW98,IF('Inhaltliche Bewertung - GI'!RechtsformAngebot=AL$13,AL98*AW98,"")))))</f>
        <v>#N/A</v>
      </c>
      <c r="AZ98" s="351"/>
      <c r="BA98" s="361" t="s">
        <v>3517</v>
      </c>
      <c r="BB98" s="362">
        <v>1</v>
      </c>
      <c r="BC98" s="365"/>
      <c r="BD98" s="362">
        <v>1</v>
      </c>
      <c r="BE98" s="365"/>
      <c r="BF98" s="362">
        <v>1</v>
      </c>
      <c r="BG98" s="365"/>
      <c r="BH98" s="362">
        <v>1</v>
      </c>
      <c r="BI98" s="365"/>
      <c r="BJ98" s="362">
        <v>1</v>
      </c>
      <c r="BK98" s="365"/>
      <c r="BL98" s="370"/>
      <c r="BM98" s="360">
        <v>1</v>
      </c>
      <c r="BN98" s="351" t="e">
        <f>IF('Inhaltliche Bewertung - GI'!RechtsformGI=BD$13,BD98*BM98,IF('Inhaltliche Bewertung - GI'!RechtsformGI=BF$13,BF98*BM98,IF('Inhaltliche Bewertung - GI'!RechtsformGI=BH$13,BH98*BM98,IF('Inhaltliche Bewertung - GI'!RechtsformGI=BJ$13,BJ98*BM98,IF('Inhaltliche Bewertung - GI'!RechtsformGI=BB$13,BB98*BM98,"")))))</f>
        <v>#N/A</v>
      </c>
      <c r="BO98" s="351" t="e">
        <f>IF('Inhaltliche Bewertung - GI'!RechtsformAngebot=BD$13,BD98*BM98,IF('Inhaltliche Bewertung - GI'!RechtsformAngebot=BF$13,BF98*BM98,IF('Inhaltliche Bewertung - GI'!RechtsformAngebot=BH$13,BH98*BM98,IF('Inhaltliche Bewertung - GI'!RechtsformAngebot=BJ$13,BJ98*BM98,IF('Inhaltliche Bewertung - GI'!RechtsformAngebot=BB$13,BB98*BM98,"")))))</f>
        <v>#N/A</v>
      </c>
      <c r="BP98" s="351"/>
      <c r="BQ98" s="361" t="s">
        <v>3517</v>
      </c>
      <c r="BR98" s="362">
        <v>1</v>
      </c>
      <c r="BS98" s="365"/>
      <c r="BT98" s="362">
        <v>1</v>
      </c>
      <c r="BU98" s="365"/>
      <c r="BV98" s="362">
        <v>1</v>
      </c>
      <c r="BW98" s="365"/>
      <c r="BX98" s="362">
        <v>1</v>
      </c>
      <c r="BY98" s="365"/>
      <c r="BZ98" s="362">
        <v>1</v>
      </c>
      <c r="CA98" s="365"/>
      <c r="CB98" s="370"/>
      <c r="CC98" s="360">
        <v>1</v>
      </c>
      <c r="CD98" s="351" t="e">
        <f>IF('Inhaltliche Bewertung - GI'!RechtsformGI=BT$13,BT98*CC98,IF('Inhaltliche Bewertung - GI'!RechtsformGI=BV$13,BV98*CC98,IF('Inhaltliche Bewertung - GI'!RechtsformGI=BX$13,BX98*CC98,IF('Inhaltliche Bewertung - GI'!RechtsformGI=BZ$13,BZ98*CC98,IF('Inhaltliche Bewertung - GI'!RechtsformGI=BR$13,BR98*CC98,"")))))</f>
        <v>#N/A</v>
      </c>
      <c r="CE98" s="351" t="e">
        <f>IF('Inhaltliche Bewertung - GI'!RechtsformAngebot=BT$13,BT98*CC98,IF('Inhaltliche Bewertung - GI'!RechtsformAngebot=BV$13,BV98*CC98,IF('Inhaltliche Bewertung - GI'!RechtsformAngebot=BX$13,BX98*CC98,IF('Inhaltliche Bewertung - GI'!RechtsformAngebot=BZ$13,BZ98*CC98,IF('Inhaltliche Bewertung - GI'!RechtsformAngebot=BR$13,BR98*CC98,"")))))</f>
        <v>#N/A</v>
      </c>
      <c r="CF98" s="351"/>
      <c r="CG98" s="361" t="s">
        <v>3517</v>
      </c>
      <c r="CH98" s="362">
        <v>0.9</v>
      </c>
      <c r="CI98" s="365"/>
      <c r="CJ98" s="362">
        <v>0.9</v>
      </c>
      <c r="CK98" s="365"/>
      <c r="CL98" s="362">
        <v>0.9</v>
      </c>
      <c r="CM98" s="365"/>
      <c r="CN98" s="362">
        <v>0.9</v>
      </c>
      <c r="CO98" s="365"/>
      <c r="CP98" s="362">
        <v>0.9</v>
      </c>
      <c r="CQ98" s="365"/>
      <c r="CR98" s="370"/>
      <c r="CS98" s="360">
        <v>1</v>
      </c>
      <c r="CT98" s="351" t="e">
        <f>IF('Inhaltliche Bewertung - GI'!RechtsformGI=CJ$13,CJ98*CS98,IF('Inhaltliche Bewertung - GI'!RechtsformGI=CL$13,CL98*CS98,IF('Inhaltliche Bewertung - GI'!RechtsformGI=CN$13,CN98*CS98,IF('Inhaltliche Bewertung - GI'!RechtsformGI=CP$13,CP98*CS98,IF('Inhaltliche Bewertung - GI'!RechtsformGI=CH$13,CH98*CS98,"")))))</f>
        <v>#N/A</v>
      </c>
      <c r="CU98" s="351" t="e">
        <f>IF('Inhaltliche Bewertung - GI'!RechtsformAngebot=CJ$13,CJ98*CS98,IF('Inhaltliche Bewertung - GI'!RechtsformAngebot=CL$13,CL98*CS98,IF('Inhaltliche Bewertung - GI'!RechtsformAngebot=CN$13,CN98*CS98,IF('Inhaltliche Bewertung - GI'!RechtsformAngebot=CP$13,CP98*CS98,IF('Inhaltliche Bewertung - GI'!RechtsformAngebot=CH$13,CH98*CS98,"")))))</f>
        <v>#N/A</v>
      </c>
      <c r="CV98" s="351"/>
      <c r="CW98" s="361" t="s">
        <v>3517</v>
      </c>
      <c r="CX98" s="362">
        <v>1</v>
      </c>
      <c r="CY98" s="365"/>
      <c r="CZ98" s="362">
        <v>1</v>
      </c>
      <c r="DA98" s="365"/>
      <c r="DB98" s="362">
        <v>1</v>
      </c>
      <c r="DC98" s="365"/>
      <c r="DD98" s="362">
        <v>1</v>
      </c>
      <c r="DE98" s="365"/>
      <c r="DF98" s="362">
        <v>1</v>
      </c>
      <c r="DG98" s="365"/>
      <c r="DH98" s="370"/>
      <c r="DI98" s="360">
        <v>1</v>
      </c>
      <c r="DJ98" s="351" t="e">
        <f>IF('Inhaltliche Bewertung - GI'!RechtsformGI=CZ$13,CZ98*DI98,IF('Inhaltliche Bewertung - GI'!RechtsformGI=DB$13,DB98*DI98,IF('Inhaltliche Bewertung - GI'!RechtsformGI=DD$13,DD98*DI98,IF('Inhaltliche Bewertung - GI'!RechtsformGI=DF$13,DF98*DI98,IF('Inhaltliche Bewertung - GI'!RechtsformGI=CX$13,CX98*DI98,"")))))</f>
        <v>#N/A</v>
      </c>
      <c r="DK98" s="351" t="e">
        <f>IF('Inhaltliche Bewertung - GI'!RechtsformAngebot=CZ$13,CZ98*DI98,IF('Inhaltliche Bewertung - GI'!RechtsformAngebot=DB$13,DB98*DI98,IF('Inhaltliche Bewertung - GI'!RechtsformAngebot=DD$13,DD98*DI98,IF('Inhaltliche Bewertung - GI'!RechtsformAngebot=DF$13,DF98*DI98,IF('Inhaltliche Bewertung - GI'!RechtsformAngebot=CX$13,CX98*DI98,"")))))</f>
        <v>#N/A</v>
      </c>
      <c r="DL98" s="351"/>
      <c r="DM98" s="361" t="s">
        <v>3517</v>
      </c>
      <c r="DN98" s="362">
        <v>1</v>
      </c>
      <c r="DO98" s="365"/>
      <c r="DP98" s="362">
        <v>1</v>
      </c>
      <c r="DQ98" s="365"/>
      <c r="DR98" s="362">
        <v>1</v>
      </c>
      <c r="DS98" s="365"/>
      <c r="DT98" s="362">
        <v>1</v>
      </c>
      <c r="DU98" s="365"/>
      <c r="DV98" s="362">
        <v>1</v>
      </c>
      <c r="DW98" s="365"/>
      <c r="DX98" s="370"/>
      <c r="DY98" s="360">
        <v>1</v>
      </c>
      <c r="DZ98" s="351" t="e">
        <f>IF('Inhaltliche Bewertung - GI'!RechtsformGI=DP$13,DP98*DY98,IF('Inhaltliche Bewertung - GI'!RechtsformGI=DR$13,DR98*DY98,IF('Inhaltliche Bewertung - GI'!RechtsformGI=DT$13,DT98*DY98,IF('Inhaltliche Bewertung - GI'!RechtsformGI=DV$13,DV98*DY98,IF('Inhaltliche Bewertung - GI'!RechtsformGI=DN$13,DN98*DY98,"")))))</f>
        <v>#N/A</v>
      </c>
      <c r="EA98" s="351" t="e">
        <f>IF('Inhaltliche Bewertung - GI'!RechtsformAngebot=DP$13,DP98*DY98,IF('Inhaltliche Bewertung - GI'!RechtsformAngebot=DR$13,DR98*DY98,IF('Inhaltliche Bewertung - GI'!RechtsformAngebot=DT$13,DT98*DY98,IF('Inhaltliche Bewertung - GI'!RechtsformAngebot=DV$13,DV98*DY98,IF('Inhaltliche Bewertung - GI'!RechtsformAngebot=DN$13,DN98*DY98,"")))))</f>
        <v>#N/A</v>
      </c>
      <c r="EB98" s="351"/>
      <c r="EC98" s="157">
        <f t="shared" si="1"/>
        <v>0.9</v>
      </c>
      <c r="ED98" s="157">
        <f t="shared" si="2"/>
        <v>1</v>
      </c>
      <c r="EE98" s="157">
        <f t="shared" si="3"/>
        <v>0.98749999999999982</v>
      </c>
      <c r="EF98" s="157">
        <f t="shared" si="4"/>
        <v>1</v>
      </c>
    </row>
    <row r="99" spans="1:136" ht="14.25" customHeight="1">
      <c r="A99" s="444" t="b">
        <f t="shared" si="7"/>
        <v>0</v>
      </c>
      <c r="B99" s="292"/>
      <c r="C99" s="355" t="s">
        <v>3518</v>
      </c>
      <c r="D99" s="345"/>
      <c r="E99" s="361" t="s">
        <v>3234</v>
      </c>
      <c r="F99" s="362">
        <v>0</v>
      </c>
      <c r="G99" s="365"/>
      <c r="H99" s="362">
        <v>0</v>
      </c>
      <c r="I99" s="365"/>
      <c r="J99" s="362">
        <v>0</v>
      </c>
      <c r="K99" s="365"/>
      <c r="L99" s="362">
        <v>0</v>
      </c>
      <c r="M99" s="365"/>
      <c r="N99" s="362">
        <v>0</v>
      </c>
      <c r="O99" s="365"/>
      <c r="P99" s="370"/>
      <c r="Q99" s="360">
        <v>1</v>
      </c>
      <c r="R99" s="351" t="e">
        <f>IF('Inhaltliche Bewertung - GI'!RechtsformGI=H$13,H99*Q99,IF('Inhaltliche Bewertung - GI'!RechtsformGI=J$13,J99*Q99,IF('Inhaltliche Bewertung - GI'!RechtsformGI=L$13,L99*Q99,IF('Inhaltliche Bewertung - GI'!RechtsformGI=N$13,N99*Q99,IF('Inhaltliche Bewertung - GI'!RechtsformGI=F$13,F99*Q99,"")))))</f>
        <v>#N/A</v>
      </c>
      <c r="S99" s="351" t="e">
        <f>IF('Inhaltliche Bewertung - GI'!RechtsformAngebot=H$13,H99*Q99,IF('Inhaltliche Bewertung - GI'!RechtsformAngebot=J$13,J99*Q99,IF('Inhaltliche Bewertung - GI'!RechtsformAngebot=L$13,L99*Q99,IF('Inhaltliche Bewertung - GI'!RechtsformAngebot=N$13,N99*Q99,IF('Inhaltliche Bewertung - GI'!RechtsformAngebot=F$13,F99*Q99,"")))))</f>
        <v>#N/A</v>
      </c>
      <c r="T99" s="351"/>
      <c r="U99" s="361" t="s">
        <v>3519</v>
      </c>
      <c r="V99" s="362">
        <v>1</v>
      </c>
      <c r="W99" s="365"/>
      <c r="X99" s="362">
        <v>1</v>
      </c>
      <c r="Y99" s="365"/>
      <c r="Z99" s="362">
        <v>1</v>
      </c>
      <c r="AA99" s="365"/>
      <c r="AB99" s="362">
        <v>1</v>
      </c>
      <c r="AC99" s="365"/>
      <c r="AD99" s="362">
        <v>1</v>
      </c>
      <c r="AE99" s="365"/>
      <c r="AF99" s="370"/>
      <c r="AG99" s="360">
        <v>1</v>
      </c>
      <c r="AH99" s="351" t="e">
        <f>IF('Inhaltliche Bewertung - GI'!RechtsformGI=X$13,X99*AG99,IF('Inhaltliche Bewertung - GI'!RechtsformGI=Z$13,Z99*AG99,IF('Inhaltliche Bewertung - GI'!RechtsformGI=AB$13,AB99*AG99,IF('Inhaltliche Bewertung - GI'!RechtsformGI=AD$13,AD99*AG99,IF('Inhaltliche Bewertung - GI'!RechtsformGI=V$13,V99*AG99,"")))))</f>
        <v>#N/A</v>
      </c>
      <c r="AI99" s="351" t="e">
        <f>IF('Inhaltliche Bewertung - GI'!RechtsformAngebot=X$13,X99*AG99,IF('Inhaltliche Bewertung - GI'!RechtsformAngebot=Z$13,Z99*AG99,IF('Inhaltliche Bewertung - GI'!RechtsformAngebot=AB$13,AB99*AG99,IF('Inhaltliche Bewertung - GI'!RechtsformAngebot=AD$13,AD99*AG99,IF('Inhaltliche Bewertung - GI'!RechtsformAngebot=V$13,V99*AG99,"")))))</f>
        <v>#N/A</v>
      </c>
      <c r="AJ99" s="351"/>
      <c r="AK99" s="361" t="s">
        <v>3519</v>
      </c>
      <c r="AL99" s="362">
        <v>1</v>
      </c>
      <c r="AM99" s="365"/>
      <c r="AN99" s="362">
        <v>1</v>
      </c>
      <c r="AO99" s="365"/>
      <c r="AP99" s="362">
        <v>1</v>
      </c>
      <c r="AQ99" s="365"/>
      <c r="AR99" s="362">
        <v>1</v>
      </c>
      <c r="AS99" s="365"/>
      <c r="AT99" s="362">
        <v>1</v>
      </c>
      <c r="AU99" s="365"/>
      <c r="AV99" s="370"/>
      <c r="AW99" s="360">
        <v>1</v>
      </c>
      <c r="AX99" s="351" t="e">
        <f>IF('Inhaltliche Bewertung - GI'!RechtsformGI=AN$13,AN99*AW99,IF('Inhaltliche Bewertung - GI'!RechtsformGI=AP$13,AP99*AW99,IF('Inhaltliche Bewertung - GI'!RechtsformGI=AR$13,AR99*AW99,IF('Inhaltliche Bewertung - GI'!RechtsformGI=AT$13,AT99*AW99,IF('Inhaltliche Bewertung - GI'!RechtsformGI=AL$13,AL99*AW99,"")))))</f>
        <v>#N/A</v>
      </c>
      <c r="AY99" s="351" t="e">
        <f>IF('Inhaltliche Bewertung - GI'!RechtsformAngebot=AN$13,AN99*AW99,IF('Inhaltliche Bewertung - GI'!RechtsformAngebot=AP$13,AP99*AW99,IF('Inhaltliche Bewertung - GI'!RechtsformAngebot=AR$13,AR99*AW99,IF('Inhaltliche Bewertung - GI'!RechtsformAngebot=AT$13,AT99*AW99,IF('Inhaltliche Bewertung - GI'!RechtsformAngebot=AL$13,AL99*AW99,"")))))</f>
        <v>#N/A</v>
      </c>
      <c r="AZ99" s="351"/>
      <c r="BA99" s="361" t="s">
        <v>3519</v>
      </c>
      <c r="BB99" s="362">
        <v>1</v>
      </c>
      <c r="BC99" s="365"/>
      <c r="BD99" s="362">
        <v>1</v>
      </c>
      <c r="BE99" s="365"/>
      <c r="BF99" s="362">
        <v>1</v>
      </c>
      <c r="BG99" s="365"/>
      <c r="BH99" s="362">
        <v>1</v>
      </c>
      <c r="BI99" s="365"/>
      <c r="BJ99" s="362">
        <v>1</v>
      </c>
      <c r="BK99" s="365"/>
      <c r="BL99" s="370"/>
      <c r="BM99" s="360">
        <v>1</v>
      </c>
      <c r="BN99" s="351" t="e">
        <f>IF('Inhaltliche Bewertung - GI'!RechtsformGI=BD$13,BD99*BM99,IF('Inhaltliche Bewertung - GI'!RechtsformGI=BF$13,BF99*BM99,IF('Inhaltliche Bewertung - GI'!RechtsformGI=BH$13,BH99*BM99,IF('Inhaltliche Bewertung - GI'!RechtsformGI=BJ$13,BJ99*BM99,IF('Inhaltliche Bewertung - GI'!RechtsformGI=BB$13,BB99*BM99,"")))))</f>
        <v>#N/A</v>
      </c>
      <c r="BO99" s="351" t="e">
        <f>IF('Inhaltliche Bewertung - GI'!RechtsformAngebot=BD$13,BD99*BM99,IF('Inhaltliche Bewertung - GI'!RechtsformAngebot=BF$13,BF99*BM99,IF('Inhaltliche Bewertung - GI'!RechtsformAngebot=BH$13,BH99*BM99,IF('Inhaltliche Bewertung - GI'!RechtsformAngebot=BJ$13,BJ99*BM99,IF('Inhaltliche Bewertung - GI'!RechtsformAngebot=BB$13,BB99*BM99,"")))))</f>
        <v>#N/A</v>
      </c>
      <c r="BP99" s="351"/>
      <c r="BQ99" s="361" t="s">
        <v>3519</v>
      </c>
      <c r="BR99" s="362">
        <v>1</v>
      </c>
      <c r="BS99" s="365"/>
      <c r="BT99" s="362">
        <v>1</v>
      </c>
      <c r="BU99" s="365"/>
      <c r="BV99" s="362">
        <v>1</v>
      </c>
      <c r="BW99" s="365"/>
      <c r="BX99" s="362">
        <v>1</v>
      </c>
      <c r="BY99" s="365"/>
      <c r="BZ99" s="362">
        <v>1</v>
      </c>
      <c r="CA99" s="365"/>
      <c r="CB99" s="370"/>
      <c r="CC99" s="360">
        <v>1</v>
      </c>
      <c r="CD99" s="351" t="e">
        <f>IF('Inhaltliche Bewertung - GI'!RechtsformGI=BT$13,BT99*CC99,IF('Inhaltliche Bewertung - GI'!RechtsformGI=BV$13,BV99*CC99,IF('Inhaltliche Bewertung - GI'!RechtsformGI=BX$13,BX99*CC99,IF('Inhaltliche Bewertung - GI'!RechtsformGI=BZ$13,BZ99*CC99,IF('Inhaltliche Bewertung - GI'!RechtsformGI=BR$13,BR99*CC99,"")))))</f>
        <v>#N/A</v>
      </c>
      <c r="CE99" s="351" t="e">
        <f>IF('Inhaltliche Bewertung - GI'!RechtsformAngebot=BT$13,BT99*CC99,IF('Inhaltliche Bewertung - GI'!RechtsformAngebot=BV$13,BV99*CC99,IF('Inhaltliche Bewertung - GI'!RechtsformAngebot=BX$13,BX99*CC99,IF('Inhaltliche Bewertung - GI'!RechtsformAngebot=BZ$13,BZ99*CC99,IF('Inhaltliche Bewertung - GI'!RechtsformAngebot=BR$13,BR99*CC99,"")))))</f>
        <v>#N/A</v>
      </c>
      <c r="CF99" s="351"/>
      <c r="CG99" s="356" t="s">
        <v>3234</v>
      </c>
      <c r="CH99" s="376">
        <v>0</v>
      </c>
      <c r="CI99" s="377"/>
      <c r="CJ99" s="376">
        <v>0</v>
      </c>
      <c r="CK99" s="377"/>
      <c r="CL99" s="376">
        <v>0</v>
      </c>
      <c r="CM99" s="377"/>
      <c r="CN99" s="376">
        <v>0</v>
      </c>
      <c r="CO99" s="377"/>
      <c r="CP99" s="376">
        <v>0</v>
      </c>
      <c r="CQ99" s="377"/>
      <c r="CR99" s="377"/>
      <c r="CS99" s="360">
        <v>1</v>
      </c>
      <c r="CT99" s="351" t="e">
        <f>IF('Inhaltliche Bewertung - GI'!RechtsformGI=CJ$13,CJ99*CS99,IF('Inhaltliche Bewertung - GI'!RechtsformGI=CL$13,CL99*CS99,IF('Inhaltliche Bewertung - GI'!RechtsformGI=CN$13,CN99*CS99,IF('Inhaltliche Bewertung - GI'!RechtsformGI=CP$13,CP99*CS99,IF('Inhaltliche Bewertung - GI'!RechtsformGI=CH$13,CH99*CS99,"")))))</f>
        <v>#N/A</v>
      </c>
      <c r="CU99" s="351" t="e">
        <f>IF('Inhaltliche Bewertung - GI'!RechtsformAngebot=CJ$13,CJ99*CS99,IF('Inhaltliche Bewertung - GI'!RechtsformAngebot=CL$13,CL99*CS99,IF('Inhaltliche Bewertung - GI'!RechtsformAngebot=CN$13,CN99*CS99,IF('Inhaltliche Bewertung - GI'!RechtsformAngebot=CP$13,CP99*CS99,IF('Inhaltliche Bewertung - GI'!RechtsformAngebot=CH$13,CH99*CS99,"")))))</f>
        <v>#N/A</v>
      </c>
      <c r="CV99" s="351"/>
      <c r="CW99" s="361" t="s">
        <v>3519</v>
      </c>
      <c r="CX99" s="362">
        <v>1</v>
      </c>
      <c r="CY99" s="365"/>
      <c r="CZ99" s="362">
        <v>1</v>
      </c>
      <c r="DA99" s="365"/>
      <c r="DB99" s="362">
        <v>1</v>
      </c>
      <c r="DC99" s="365"/>
      <c r="DD99" s="362">
        <v>1</v>
      </c>
      <c r="DE99" s="365"/>
      <c r="DF99" s="362">
        <v>1</v>
      </c>
      <c r="DG99" s="365"/>
      <c r="DH99" s="370"/>
      <c r="DI99" s="360">
        <v>1</v>
      </c>
      <c r="DJ99" s="351" t="e">
        <f>IF('Inhaltliche Bewertung - GI'!RechtsformGI=CZ$13,CZ99*DI99,IF('Inhaltliche Bewertung - GI'!RechtsformGI=DB$13,DB99*DI99,IF('Inhaltliche Bewertung - GI'!RechtsformGI=DD$13,DD99*DI99,IF('Inhaltliche Bewertung - GI'!RechtsformGI=DF$13,DF99*DI99,IF('Inhaltliche Bewertung - GI'!RechtsformGI=CX$13,CX99*DI99,"")))))</f>
        <v>#N/A</v>
      </c>
      <c r="DK99" s="351" t="e">
        <f>IF('Inhaltliche Bewertung - GI'!RechtsformAngebot=CZ$13,CZ99*DI99,IF('Inhaltliche Bewertung - GI'!RechtsformAngebot=DB$13,DB99*DI99,IF('Inhaltliche Bewertung - GI'!RechtsformAngebot=DD$13,DD99*DI99,IF('Inhaltliche Bewertung - GI'!RechtsformAngebot=DF$13,DF99*DI99,IF('Inhaltliche Bewertung - GI'!RechtsformAngebot=CX$13,CX99*DI99,"")))))</f>
        <v>#N/A</v>
      </c>
      <c r="DL99" s="351"/>
      <c r="DM99" s="361" t="s">
        <v>3519</v>
      </c>
      <c r="DN99" s="362">
        <v>1</v>
      </c>
      <c r="DO99" s="365"/>
      <c r="DP99" s="362">
        <v>1</v>
      </c>
      <c r="DQ99" s="365"/>
      <c r="DR99" s="362">
        <v>1</v>
      </c>
      <c r="DS99" s="365"/>
      <c r="DT99" s="362">
        <v>1</v>
      </c>
      <c r="DU99" s="365"/>
      <c r="DV99" s="362">
        <v>1</v>
      </c>
      <c r="DW99" s="365"/>
      <c r="DX99" s="370"/>
      <c r="DY99" s="360">
        <v>1</v>
      </c>
      <c r="DZ99" s="351" t="e">
        <f>IF('Inhaltliche Bewertung - GI'!RechtsformGI=DP$13,DP99*DY99,IF('Inhaltliche Bewertung - GI'!RechtsformGI=DR$13,DR99*DY99,IF('Inhaltliche Bewertung - GI'!RechtsformGI=DT$13,DT99*DY99,IF('Inhaltliche Bewertung - GI'!RechtsformGI=DV$13,DV99*DY99,IF('Inhaltliche Bewertung - GI'!RechtsformGI=DN$13,DN99*DY99,"")))))</f>
        <v>#N/A</v>
      </c>
      <c r="EA99" s="351" t="e">
        <f>IF('Inhaltliche Bewertung - GI'!RechtsformAngebot=DP$13,DP99*DY99,IF('Inhaltliche Bewertung - GI'!RechtsformAngebot=DR$13,DR99*DY99,IF('Inhaltliche Bewertung - GI'!RechtsformAngebot=DT$13,DT99*DY99,IF('Inhaltliche Bewertung - GI'!RechtsformAngebot=DV$13,DV99*DY99,IF('Inhaltliche Bewertung - GI'!RechtsformAngebot=DN$13,DN99*DY99,"")))))</f>
        <v>#N/A</v>
      </c>
      <c r="EB99" s="351"/>
      <c r="EC99" s="157">
        <f t="shared" si="1"/>
        <v>0</v>
      </c>
      <c r="ED99" s="157">
        <f t="shared" si="2"/>
        <v>1</v>
      </c>
      <c r="EE99" s="157">
        <f t="shared" si="3"/>
        <v>0.75</v>
      </c>
      <c r="EF99" s="157">
        <f t="shared" si="4"/>
        <v>1</v>
      </c>
    </row>
    <row r="100" spans="1:136" ht="14.25" customHeight="1">
      <c r="A100" s="444" t="b">
        <f t="shared" si="7"/>
        <v>0</v>
      </c>
      <c r="B100" s="292"/>
      <c r="C100" s="355" t="s">
        <v>3520</v>
      </c>
      <c r="D100" s="345"/>
      <c r="E100" s="356" t="s">
        <v>3234</v>
      </c>
      <c r="F100" s="357">
        <v>0</v>
      </c>
      <c r="G100" s="358"/>
      <c r="H100" s="357">
        <v>0</v>
      </c>
      <c r="I100" s="358"/>
      <c r="J100" s="357">
        <v>0</v>
      </c>
      <c r="K100" s="358"/>
      <c r="L100" s="357">
        <v>0</v>
      </c>
      <c r="M100" s="358"/>
      <c r="N100" s="357">
        <v>0</v>
      </c>
      <c r="O100" s="358"/>
      <c r="P100" s="359"/>
      <c r="Q100" s="373">
        <v>1</v>
      </c>
      <c r="R100" s="351" t="e">
        <f>IF('Inhaltliche Bewertung - GI'!RechtsformGI=H$13,H100*Q100,IF('Inhaltliche Bewertung - GI'!RechtsformGI=J$13,J100*Q100,IF('Inhaltliche Bewertung - GI'!RechtsformGI=L$13,L100*Q100,IF('Inhaltliche Bewertung - GI'!RechtsformGI=N$13,N100*Q100,IF('Inhaltliche Bewertung - GI'!RechtsformGI=F$13,F100*Q100,"")))))</f>
        <v>#N/A</v>
      </c>
      <c r="S100" s="351" t="e">
        <f>IF('Inhaltliche Bewertung - GI'!RechtsformAngebot=H$13,H100*Q100,IF('Inhaltliche Bewertung - GI'!RechtsformAngebot=J$13,J100*Q100,IF('Inhaltliche Bewertung - GI'!RechtsformAngebot=L$13,L100*Q100,IF('Inhaltliche Bewertung - GI'!RechtsformAngebot=N$13,N100*Q100,IF('Inhaltliche Bewertung - GI'!RechtsformAngebot=F$13,F100*Q100,"")))))</f>
        <v>#N/A</v>
      </c>
      <c r="T100" s="351"/>
      <c r="U100" s="356" t="s">
        <v>3234</v>
      </c>
      <c r="V100" s="357">
        <v>0</v>
      </c>
      <c r="W100" s="374"/>
      <c r="X100" s="375">
        <v>0</v>
      </c>
      <c r="Y100" s="374"/>
      <c r="Z100" s="375">
        <v>0</v>
      </c>
      <c r="AA100" s="374"/>
      <c r="AB100" s="375">
        <v>0</v>
      </c>
      <c r="AC100" s="374"/>
      <c r="AD100" s="375">
        <v>0</v>
      </c>
      <c r="AE100" s="374"/>
      <c r="AF100" s="374"/>
      <c r="AG100" s="373">
        <v>1</v>
      </c>
      <c r="AH100" s="351" t="e">
        <f>IF('Inhaltliche Bewertung - GI'!RechtsformGI=X$13,X100*AG100,IF('Inhaltliche Bewertung - GI'!RechtsformGI=Z$13,Z100*AG100,IF('Inhaltliche Bewertung - GI'!RechtsformGI=AB$13,AB100*AG100,IF('Inhaltliche Bewertung - GI'!RechtsformGI=AD$13,AD100*AG100,IF('Inhaltliche Bewertung - GI'!RechtsformGI=V$13,V100*AG100,"")))))</f>
        <v>#N/A</v>
      </c>
      <c r="AI100" s="351" t="e">
        <f>IF('Inhaltliche Bewertung - GI'!RechtsformAngebot=X$13,X100*AG100,IF('Inhaltliche Bewertung - GI'!RechtsformAngebot=Z$13,Z100*AG100,IF('Inhaltliche Bewertung - GI'!RechtsformAngebot=AB$13,AB100*AG100,IF('Inhaltliche Bewertung - GI'!RechtsformAngebot=AD$13,AD100*AG100,IF('Inhaltliche Bewertung - GI'!RechtsformAngebot=V$13,V100*AG100,"")))))</f>
        <v>#N/A</v>
      </c>
      <c r="AJ100" s="351"/>
      <c r="AK100" s="356" t="s">
        <v>3234</v>
      </c>
      <c r="AL100" s="357">
        <v>0</v>
      </c>
      <c r="AM100" s="358"/>
      <c r="AN100" s="357">
        <v>0</v>
      </c>
      <c r="AO100" s="358"/>
      <c r="AP100" s="357">
        <v>0</v>
      </c>
      <c r="AQ100" s="358"/>
      <c r="AR100" s="357">
        <v>0</v>
      </c>
      <c r="AS100" s="358"/>
      <c r="AT100" s="357">
        <v>0</v>
      </c>
      <c r="AU100" s="358"/>
      <c r="AV100" s="358"/>
      <c r="AW100" s="373">
        <v>1</v>
      </c>
      <c r="AX100" s="351" t="e">
        <f>IF('Inhaltliche Bewertung - GI'!RechtsformGI=AN$13,AN100*AW100,IF('Inhaltliche Bewertung - GI'!RechtsformGI=AP$13,AP100*AW100,IF('Inhaltliche Bewertung - GI'!RechtsformGI=AR$13,AR100*AW100,IF('Inhaltliche Bewertung - GI'!RechtsformGI=AT$13,AT100*AW100,IF('Inhaltliche Bewertung - GI'!RechtsformGI=AL$13,AL100*AW100,"")))))</f>
        <v>#N/A</v>
      </c>
      <c r="AY100" s="351" t="e">
        <f>IF('Inhaltliche Bewertung - GI'!RechtsformAngebot=AN$13,AN100*AW100,IF('Inhaltliche Bewertung - GI'!RechtsformAngebot=AP$13,AP100*AW100,IF('Inhaltliche Bewertung - GI'!RechtsformAngebot=AR$13,AR100*AW100,IF('Inhaltliche Bewertung - GI'!RechtsformAngebot=AT$13,AT100*AW100,IF('Inhaltliche Bewertung - GI'!RechtsformAngebot=AL$13,AL100*AW100,"")))))</f>
        <v>#N/A</v>
      </c>
      <c r="AZ100" s="351"/>
      <c r="BA100" s="361" t="s">
        <v>3521</v>
      </c>
      <c r="BB100" s="366">
        <v>1</v>
      </c>
      <c r="BC100" s="365"/>
      <c r="BD100" s="366">
        <v>1</v>
      </c>
      <c r="BE100" s="365"/>
      <c r="BF100" s="366">
        <v>1</v>
      </c>
      <c r="BG100" s="365"/>
      <c r="BH100" s="366">
        <v>1</v>
      </c>
      <c r="BI100" s="365"/>
      <c r="BJ100" s="366">
        <v>1</v>
      </c>
      <c r="BK100" s="365"/>
      <c r="BL100" s="365"/>
      <c r="BM100" s="373">
        <v>1</v>
      </c>
      <c r="BN100" s="351" t="e">
        <f>IF('Inhaltliche Bewertung - GI'!RechtsformGI=BD$13,BD100*BM100,IF('Inhaltliche Bewertung - GI'!RechtsformGI=BF$13,BF100*BM100,IF('Inhaltliche Bewertung - GI'!RechtsformGI=BH$13,BH100*BM100,IF('Inhaltliche Bewertung - GI'!RechtsformGI=BJ$13,BJ100*BM100,IF('Inhaltliche Bewertung - GI'!RechtsformGI=BB$13,BB100*BM100,"")))))</f>
        <v>#N/A</v>
      </c>
      <c r="BO100" s="351" t="e">
        <f>IF('Inhaltliche Bewertung - GI'!RechtsformAngebot=BD$13,BD100*BM100,IF('Inhaltliche Bewertung - GI'!RechtsformAngebot=BF$13,BF100*BM100,IF('Inhaltliche Bewertung - GI'!RechtsformAngebot=BH$13,BH100*BM100,IF('Inhaltliche Bewertung - GI'!RechtsformAngebot=BJ$13,BJ100*BM100,IF('Inhaltliche Bewertung - GI'!RechtsformAngebot=BB$13,BB100*BM100,"")))))</f>
        <v>#N/A</v>
      </c>
      <c r="BP100" s="351"/>
      <c r="BQ100" s="361" t="s">
        <v>3521</v>
      </c>
      <c r="BR100" s="367">
        <v>1</v>
      </c>
      <c r="BS100" s="368"/>
      <c r="BT100" s="367">
        <v>1</v>
      </c>
      <c r="BU100" s="368"/>
      <c r="BV100" s="367">
        <v>1</v>
      </c>
      <c r="BW100" s="368"/>
      <c r="BX100" s="367">
        <v>1</v>
      </c>
      <c r="BY100" s="368"/>
      <c r="BZ100" s="367">
        <v>1</v>
      </c>
      <c r="CA100" s="368"/>
      <c r="CB100" s="368"/>
      <c r="CC100" s="373">
        <v>1</v>
      </c>
      <c r="CD100" s="351" t="e">
        <f>IF('Inhaltliche Bewertung - GI'!RechtsformGI=BT$13,BT100*CC100,IF('Inhaltliche Bewertung - GI'!RechtsformGI=BV$13,BV100*CC100,IF('Inhaltliche Bewertung - GI'!RechtsformGI=BX$13,BX100*CC100,IF('Inhaltliche Bewertung - GI'!RechtsformGI=BZ$13,BZ100*CC100,IF('Inhaltliche Bewertung - GI'!RechtsformGI=BR$13,BR100*CC100,"")))))</f>
        <v>#N/A</v>
      </c>
      <c r="CE100" s="351" t="e">
        <f>IF('Inhaltliche Bewertung - GI'!RechtsformAngebot=BT$13,BT100*CC100,IF('Inhaltliche Bewertung - GI'!RechtsformAngebot=BV$13,BV100*CC100,IF('Inhaltliche Bewertung - GI'!RechtsformAngebot=BX$13,BX100*CC100,IF('Inhaltliche Bewertung - GI'!RechtsformAngebot=BZ$13,BZ100*CC100,IF('Inhaltliche Bewertung - GI'!RechtsformAngebot=BR$13,BR100*CC100,"")))))</f>
        <v>#N/A</v>
      </c>
      <c r="CF100" s="351"/>
      <c r="CG100" s="356" t="s">
        <v>3234</v>
      </c>
      <c r="CH100" s="376">
        <v>0</v>
      </c>
      <c r="CI100" s="377"/>
      <c r="CJ100" s="376">
        <v>0</v>
      </c>
      <c r="CK100" s="377"/>
      <c r="CL100" s="376">
        <v>0</v>
      </c>
      <c r="CM100" s="377"/>
      <c r="CN100" s="376">
        <v>0</v>
      </c>
      <c r="CO100" s="377"/>
      <c r="CP100" s="376">
        <v>0</v>
      </c>
      <c r="CQ100" s="377"/>
      <c r="CR100" s="377"/>
      <c r="CS100" s="373">
        <v>1</v>
      </c>
      <c r="CT100" s="351" t="e">
        <f>IF('Inhaltliche Bewertung - GI'!RechtsformGI=CJ$13,CJ100*CS100,IF('Inhaltliche Bewertung - GI'!RechtsformGI=CL$13,CL100*CS100,IF('Inhaltliche Bewertung - GI'!RechtsformGI=CN$13,CN100*CS100,IF('Inhaltliche Bewertung - GI'!RechtsformGI=CP$13,CP100*CS100,IF('Inhaltliche Bewertung - GI'!RechtsformGI=CH$13,CH100*CS100,"")))))</f>
        <v>#N/A</v>
      </c>
      <c r="CU100" s="351" t="e">
        <f>IF('Inhaltliche Bewertung - GI'!RechtsformAngebot=CJ$13,CJ100*CS100,IF('Inhaltliche Bewertung - GI'!RechtsformAngebot=CL$13,CL100*CS100,IF('Inhaltliche Bewertung - GI'!RechtsformAngebot=CN$13,CN100*CS100,IF('Inhaltliche Bewertung - GI'!RechtsformAngebot=CP$13,CP100*CS100,IF('Inhaltliche Bewertung - GI'!RechtsformAngebot=CH$13,CH100*CS100,"")))))</f>
        <v>#N/A</v>
      </c>
      <c r="CV100" s="351"/>
      <c r="CW100" s="356" t="s">
        <v>3234</v>
      </c>
      <c r="CX100" s="376">
        <v>0</v>
      </c>
      <c r="CY100" s="377"/>
      <c r="CZ100" s="376">
        <v>0</v>
      </c>
      <c r="DA100" s="379"/>
      <c r="DB100" s="376">
        <v>0</v>
      </c>
      <c r="DC100" s="377"/>
      <c r="DD100" s="376">
        <v>0</v>
      </c>
      <c r="DE100" s="377"/>
      <c r="DF100" s="376">
        <v>0</v>
      </c>
      <c r="DG100" s="377"/>
      <c r="DH100" s="377"/>
      <c r="DI100" s="373">
        <v>1</v>
      </c>
      <c r="DJ100" s="351" t="e">
        <f>IF('Inhaltliche Bewertung - GI'!RechtsformGI=CZ$13,CZ100*DI100,IF('Inhaltliche Bewertung - GI'!RechtsformGI=DB$13,DB100*DI100,IF('Inhaltliche Bewertung - GI'!RechtsformGI=DD$13,DD100*DI100,IF('Inhaltliche Bewertung - GI'!RechtsformGI=DF$13,DF100*DI100,IF('Inhaltliche Bewertung - GI'!RechtsformGI=CX$13,CX100*DI100,"")))))</f>
        <v>#N/A</v>
      </c>
      <c r="DK100" s="351" t="e">
        <f>IF('Inhaltliche Bewertung - GI'!RechtsformAngebot=CZ$13,CZ100*DI100,IF('Inhaltliche Bewertung - GI'!RechtsformAngebot=DB$13,DB100*DI100,IF('Inhaltliche Bewertung - GI'!RechtsformAngebot=DD$13,DD100*DI100,IF('Inhaltliche Bewertung - GI'!RechtsformAngebot=DF$13,DF100*DI100,IF('Inhaltliche Bewertung - GI'!RechtsformAngebot=CX$13,CX100*DI100,"")))))</f>
        <v>#N/A</v>
      </c>
      <c r="DL100" s="351"/>
      <c r="DM100" s="361" t="s">
        <v>3521</v>
      </c>
      <c r="DN100" s="367">
        <v>1</v>
      </c>
      <c r="DO100" s="368"/>
      <c r="DP100" s="367">
        <v>1</v>
      </c>
      <c r="DQ100" s="368"/>
      <c r="DR100" s="367">
        <v>1</v>
      </c>
      <c r="DS100" s="368"/>
      <c r="DT100" s="367">
        <v>1</v>
      </c>
      <c r="DU100" s="368"/>
      <c r="DV100" s="367">
        <v>1</v>
      </c>
      <c r="DW100" s="368"/>
      <c r="DX100" s="368"/>
      <c r="DY100" s="373">
        <v>1</v>
      </c>
      <c r="DZ100" s="351" t="e">
        <f>IF('Inhaltliche Bewertung - GI'!RechtsformGI=DP$13,DP100*DY100,IF('Inhaltliche Bewertung - GI'!RechtsformGI=DR$13,DR100*DY100,IF('Inhaltliche Bewertung - GI'!RechtsformGI=DT$13,DT100*DY100,IF('Inhaltliche Bewertung - GI'!RechtsformGI=DV$13,DV100*DY100,IF('Inhaltliche Bewertung - GI'!RechtsformGI=DN$13,DN100*DY100,"")))))</f>
        <v>#N/A</v>
      </c>
      <c r="EA100" s="351" t="e">
        <f>IF('Inhaltliche Bewertung - GI'!RechtsformAngebot=DP$13,DP100*DY100,IF('Inhaltliche Bewertung - GI'!RechtsformAngebot=DR$13,DR100*DY100,IF('Inhaltliche Bewertung - GI'!RechtsformAngebot=DT$13,DT100*DY100,IF('Inhaltliche Bewertung - GI'!RechtsformAngebot=DV$13,DV100*DY100,IF('Inhaltliche Bewertung - GI'!RechtsformAngebot=DN$13,DN100*DY100,"")))))</f>
        <v>#N/A</v>
      </c>
      <c r="EB100" s="351"/>
      <c r="EC100" s="157">
        <f t="shared" si="1"/>
        <v>0</v>
      </c>
      <c r="ED100" s="157">
        <f t="shared" si="2"/>
        <v>1</v>
      </c>
      <c r="EE100" s="157">
        <f t="shared" si="3"/>
        <v>0.375</v>
      </c>
      <c r="EF100" s="157">
        <f t="shared" si="4"/>
        <v>0</v>
      </c>
    </row>
    <row r="101" spans="1:136" ht="14.25" customHeight="1">
      <c r="A101" s="444" t="b">
        <f t="shared" si="7"/>
        <v>0</v>
      </c>
      <c r="B101" s="292"/>
      <c r="C101" s="355" t="s">
        <v>3522</v>
      </c>
      <c r="D101" s="345" t="s">
        <v>3523</v>
      </c>
      <c r="E101" s="371" t="s">
        <v>3524</v>
      </c>
      <c r="F101" s="372">
        <v>1</v>
      </c>
      <c r="G101" s="377"/>
      <c r="H101" s="372">
        <v>1</v>
      </c>
      <c r="I101" s="358"/>
      <c r="J101" s="372">
        <v>1</v>
      </c>
      <c r="K101" s="358"/>
      <c r="L101" s="372">
        <v>1</v>
      </c>
      <c r="M101" s="358"/>
      <c r="N101" s="372">
        <v>1</v>
      </c>
      <c r="O101" s="358"/>
      <c r="P101" s="359" t="s">
        <v>3525</v>
      </c>
      <c r="Q101" s="360">
        <v>1</v>
      </c>
      <c r="R101" s="351" t="e">
        <f>IF('Inhaltliche Bewertung - GI'!RechtsformGI=H$13,H101*Q101,IF('Inhaltliche Bewertung - GI'!RechtsformGI=J$13,J101*Q101,IF('Inhaltliche Bewertung - GI'!RechtsformGI=L$13,L101*Q101,IF('Inhaltliche Bewertung - GI'!RechtsformGI=N$13,N101*Q101,IF('Inhaltliche Bewertung - GI'!RechtsformGI=F$13,F101*Q101,"")))))</f>
        <v>#N/A</v>
      </c>
      <c r="S101" s="351" t="e">
        <f>IF('Inhaltliche Bewertung - GI'!RechtsformAngebot=H$13,H101*Q101,IF('Inhaltliche Bewertung - GI'!RechtsformAngebot=J$13,J101*Q101,IF('Inhaltliche Bewertung - GI'!RechtsformAngebot=L$13,L101*Q101,IF('Inhaltliche Bewertung - GI'!RechtsformAngebot=N$13,N101*Q101,IF('Inhaltliche Bewertung - GI'!RechtsformAngebot=F$13,F101*Q101,"")))))</f>
        <v>#N/A</v>
      </c>
      <c r="T101" s="351"/>
      <c r="U101" s="371" t="s">
        <v>3526</v>
      </c>
      <c r="V101" s="372">
        <v>0.5</v>
      </c>
      <c r="W101" s="377" t="s">
        <v>3525</v>
      </c>
      <c r="X101" s="380">
        <v>0.8</v>
      </c>
      <c r="Y101" s="374"/>
      <c r="Z101" s="380">
        <v>0.8</v>
      </c>
      <c r="AA101" s="374"/>
      <c r="AB101" s="380">
        <v>0.8</v>
      </c>
      <c r="AC101" s="374"/>
      <c r="AD101" s="380">
        <v>0.8</v>
      </c>
      <c r="AE101" s="374"/>
      <c r="AF101" s="374" t="s">
        <v>3525</v>
      </c>
      <c r="AG101" s="360">
        <v>1</v>
      </c>
      <c r="AH101" s="351" t="e">
        <f>IF('Inhaltliche Bewertung - GI'!RechtsformGI=X$13,X101*AG101,IF('Inhaltliche Bewertung - GI'!RechtsformGI=Z$13,Z101*AG101,IF('Inhaltliche Bewertung - GI'!RechtsformGI=AB$13,AB101*AG101,IF('Inhaltliche Bewertung - GI'!RechtsformGI=AD$13,AD101*AG101,IF('Inhaltliche Bewertung - GI'!RechtsformGI=V$13,V101*AG101,"")))))</f>
        <v>#N/A</v>
      </c>
      <c r="AI101" s="351" t="e">
        <f>IF('Inhaltliche Bewertung - GI'!RechtsformAngebot=X$13,X101*AG101,IF('Inhaltliche Bewertung - GI'!RechtsformAngebot=Z$13,Z101*AG101,IF('Inhaltliche Bewertung - GI'!RechtsformAngebot=AB$13,AB101*AG101,IF('Inhaltliche Bewertung - GI'!RechtsformAngebot=AD$13,AD101*AG101,IF('Inhaltliche Bewertung - GI'!RechtsformAngebot=V$13,V101*AG101,"")))))</f>
        <v>#N/A</v>
      </c>
      <c r="AJ101" s="351"/>
      <c r="AK101" s="361" t="s">
        <v>3527</v>
      </c>
      <c r="AL101" s="362">
        <v>1</v>
      </c>
      <c r="AM101" s="365" t="s">
        <v>3525</v>
      </c>
      <c r="AN101" s="362">
        <v>1</v>
      </c>
      <c r="AO101" s="365"/>
      <c r="AP101" s="362">
        <v>1</v>
      </c>
      <c r="AQ101" s="365"/>
      <c r="AR101" s="362">
        <v>1</v>
      </c>
      <c r="AS101" s="365"/>
      <c r="AT101" s="362">
        <v>1</v>
      </c>
      <c r="AU101" s="365"/>
      <c r="AV101" s="365"/>
      <c r="AW101" s="360">
        <v>1</v>
      </c>
      <c r="AX101" s="351" t="e">
        <f>IF('Inhaltliche Bewertung - GI'!RechtsformGI=AN$13,AN101*AW101,IF('Inhaltliche Bewertung - GI'!RechtsformGI=AP$13,AP101*AW101,IF('Inhaltliche Bewertung - GI'!RechtsformGI=AR$13,AR101*AW101,IF('Inhaltliche Bewertung - GI'!RechtsformGI=AT$13,AT101*AW101,IF('Inhaltliche Bewertung - GI'!RechtsformGI=AL$13,AL101*AW101,"")))))</f>
        <v>#N/A</v>
      </c>
      <c r="AY101" s="351" t="e">
        <f>IF('Inhaltliche Bewertung - GI'!RechtsformAngebot=AN$13,AN101*AW101,IF('Inhaltliche Bewertung - GI'!RechtsformAngebot=AP$13,AP101*AW101,IF('Inhaltliche Bewertung - GI'!RechtsformAngebot=AR$13,AR101*AW101,IF('Inhaltliche Bewertung - GI'!RechtsformAngebot=AT$13,AT101*AW101,IF('Inhaltliche Bewertung - GI'!RechtsformAngebot=AL$13,AL101*AW101,"")))))</f>
        <v>#N/A</v>
      </c>
      <c r="AZ101" s="351"/>
      <c r="BA101" s="371" t="s">
        <v>3528</v>
      </c>
      <c r="BB101" s="384">
        <v>0.3</v>
      </c>
      <c r="BC101" s="377" t="s">
        <v>3525</v>
      </c>
      <c r="BD101" s="384">
        <v>0.7</v>
      </c>
      <c r="BE101" s="358"/>
      <c r="BF101" s="384">
        <v>0.7</v>
      </c>
      <c r="BG101" s="358"/>
      <c r="BH101" s="384">
        <v>0.7</v>
      </c>
      <c r="BI101" s="358"/>
      <c r="BJ101" s="384">
        <v>0.7</v>
      </c>
      <c r="BK101" s="358"/>
      <c r="BL101" s="358"/>
      <c r="BM101" s="360">
        <v>1</v>
      </c>
      <c r="BN101" s="351" t="e">
        <f>IF('Inhaltliche Bewertung - GI'!RechtsformGI=BD$13,BD101*BM101,IF('Inhaltliche Bewertung - GI'!RechtsformGI=BF$13,BF101*BM101,IF('Inhaltliche Bewertung - GI'!RechtsformGI=BH$13,BH101*BM101,IF('Inhaltliche Bewertung - GI'!RechtsformGI=BJ$13,BJ101*BM101,IF('Inhaltliche Bewertung - GI'!RechtsformGI=BB$13,BB101*BM101,"")))))</f>
        <v>#N/A</v>
      </c>
      <c r="BO101" s="351" t="e">
        <f>IF('Inhaltliche Bewertung - GI'!RechtsformAngebot=BD$13,BD101*BM101,IF('Inhaltliche Bewertung - GI'!RechtsformAngebot=BF$13,BF101*BM101,IF('Inhaltliche Bewertung - GI'!RechtsformAngebot=BH$13,BH101*BM101,IF('Inhaltliche Bewertung - GI'!RechtsformAngebot=BJ$13,BJ101*BM101,IF('Inhaltliche Bewertung - GI'!RechtsformAngebot=BB$13,BB101*BM101,"")))))</f>
        <v>#N/A</v>
      </c>
      <c r="BP101" s="351"/>
      <c r="BQ101" s="371" t="s">
        <v>3529</v>
      </c>
      <c r="BR101" s="385">
        <v>0.3</v>
      </c>
      <c r="BS101" s="377" t="s">
        <v>3525</v>
      </c>
      <c r="BT101" s="385">
        <v>0.7</v>
      </c>
      <c r="BU101" s="377"/>
      <c r="BV101" s="385">
        <v>0.7</v>
      </c>
      <c r="BW101" s="377"/>
      <c r="BX101" s="385">
        <v>0.7</v>
      </c>
      <c r="BY101" s="377"/>
      <c r="BZ101" s="385">
        <v>0.7</v>
      </c>
      <c r="CA101" s="377"/>
      <c r="CB101" s="377"/>
      <c r="CC101" s="360">
        <v>1</v>
      </c>
      <c r="CD101" s="351" t="e">
        <f>IF('Inhaltliche Bewertung - GI'!RechtsformGI=BT$13,BT101*CC101,IF('Inhaltliche Bewertung - GI'!RechtsformGI=BV$13,BV101*CC101,IF('Inhaltliche Bewertung - GI'!RechtsformGI=BX$13,BX101*CC101,IF('Inhaltliche Bewertung - GI'!RechtsformGI=BZ$13,BZ101*CC101,IF('Inhaltliche Bewertung - GI'!RechtsformGI=BR$13,BR101*CC101,"")))))</f>
        <v>#N/A</v>
      </c>
      <c r="CE101" s="351" t="e">
        <f>IF('Inhaltliche Bewertung - GI'!RechtsformAngebot=BT$13,BT101*CC101,IF('Inhaltliche Bewertung - GI'!RechtsformAngebot=BV$13,BV101*CC101,IF('Inhaltliche Bewertung - GI'!RechtsformAngebot=BX$13,BX101*CC101,IF('Inhaltliche Bewertung - GI'!RechtsformAngebot=BZ$13,BZ101*CC101,IF('Inhaltliche Bewertung - GI'!RechtsformAngebot=BR$13,BR101*CC101,"")))))</f>
        <v>#N/A</v>
      </c>
      <c r="CF101" s="351"/>
      <c r="CG101" s="371" t="s">
        <v>3530</v>
      </c>
      <c r="CH101" s="385">
        <v>0.5</v>
      </c>
      <c r="CI101" s="377" t="s">
        <v>3525</v>
      </c>
      <c r="CJ101" s="385">
        <v>0.8</v>
      </c>
      <c r="CK101" s="377"/>
      <c r="CL101" s="385">
        <v>0.8</v>
      </c>
      <c r="CM101" s="377"/>
      <c r="CN101" s="385">
        <v>0.8</v>
      </c>
      <c r="CO101" s="377"/>
      <c r="CP101" s="385">
        <v>0.8</v>
      </c>
      <c r="CQ101" s="377"/>
      <c r="CR101" s="377"/>
      <c r="CS101" s="360">
        <v>1</v>
      </c>
      <c r="CT101" s="351" t="e">
        <f>IF('Inhaltliche Bewertung - GI'!RechtsformGI=CJ$13,CJ101*CS101,IF('Inhaltliche Bewertung - GI'!RechtsformGI=CL$13,CL101*CS101,IF('Inhaltliche Bewertung - GI'!RechtsformGI=CN$13,CN101*CS101,IF('Inhaltliche Bewertung - GI'!RechtsformGI=CP$13,CP101*CS101,IF('Inhaltliche Bewertung - GI'!RechtsformGI=CH$13,CH101*CS101,"")))))</f>
        <v>#N/A</v>
      </c>
      <c r="CU101" s="351" t="e">
        <f>IF('Inhaltliche Bewertung - GI'!RechtsformAngebot=CJ$13,CJ101*CS101,IF('Inhaltliche Bewertung - GI'!RechtsformAngebot=CL$13,CL101*CS101,IF('Inhaltliche Bewertung - GI'!RechtsformAngebot=CN$13,CN101*CS101,IF('Inhaltliche Bewertung - GI'!RechtsformAngebot=CP$13,CP101*CS101,IF('Inhaltliche Bewertung - GI'!RechtsformAngebot=CH$13,CH101*CS101,"")))))</f>
        <v>#N/A</v>
      </c>
      <c r="CV101" s="351"/>
      <c r="CW101" s="371" t="s">
        <v>3531</v>
      </c>
      <c r="CX101" s="385">
        <v>0.3</v>
      </c>
      <c r="CY101" s="377" t="s">
        <v>3525</v>
      </c>
      <c r="CZ101" s="385">
        <v>0.7</v>
      </c>
      <c r="DA101" s="416"/>
      <c r="DB101" s="385">
        <v>0.7</v>
      </c>
      <c r="DC101" s="377"/>
      <c r="DD101" s="385">
        <v>0.7</v>
      </c>
      <c r="DE101" s="377"/>
      <c r="DF101" s="385">
        <v>0.7</v>
      </c>
      <c r="DG101" s="377"/>
      <c r="DH101" s="377"/>
      <c r="DI101" s="360">
        <v>1</v>
      </c>
      <c r="DJ101" s="351" t="e">
        <f>IF('Inhaltliche Bewertung - GI'!RechtsformGI=CZ$13,CZ101*DI101,IF('Inhaltliche Bewertung - GI'!RechtsformGI=DB$13,DB101*DI101,IF('Inhaltliche Bewertung - GI'!RechtsformGI=DD$13,DD101*DI101,IF('Inhaltliche Bewertung - GI'!RechtsformGI=DF$13,DF101*DI101,IF('Inhaltliche Bewertung - GI'!RechtsformGI=CX$13,CX101*DI101,"")))))</f>
        <v>#N/A</v>
      </c>
      <c r="DK101" s="351" t="e">
        <f>IF('Inhaltliche Bewertung - GI'!RechtsformAngebot=CZ$13,CZ101*DI101,IF('Inhaltliche Bewertung - GI'!RechtsformAngebot=DB$13,DB101*DI101,IF('Inhaltliche Bewertung - GI'!RechtsformAngebot=DD$13,DD101*DI101,IF('Inhaltliche Bewertung - GI'!RechtsformAngebot=DF$13,DF101*DI101,IF('Inhaltliche Bewertung - GI'!RechtsformAngebot=CX$13,CX101*DI101,"")))))</f>
        <v>#N/A</v>
      </c>
      <c r="DL101" s="351"/>
      <c r="DM101" s="371" t="s">
        <v>3532</v>
      </c>
      <c r="DN101" s="385">
        <v>1</v>
      </c>
      <c r="DO101" s="377" t="s">
        <v>3525</v>
      </c>
      <c r="DP101" s="385">
        <v>1</v>
      </c>
      <c r="DQ101" s="377"/>
      <c r="DR101" s="385">
        <v>1</v>
      </c>
      <c r="DS101" s="377"/>
      <c r="DT101" s="385">
        <v>1</v>
      </c>
      <c r="DU101" s="377"/>
      <c r="DV101" s="385">
        <v>1</v>
      </c>
      <c r="DW101" s="377"/>
      <c r="DX101" s="377"/>
      <c r="DY101" s="360">
        <v>1</v>
      </c>
      <c r="DZ101" s="351" t="e">
        <f>IF('Inhaltliche Bewertung - GI'!RechtsformGI=DP$13,DP101*DY101,IF('Inhaltliche Bewertung - GI'!RechtsformGI=DR$13,DR101*DY101,IF('Inhaltliche Bewertung - GI'!RechtsformGI=DT$13,DT101*DY101,IF('Inhaltliche Bewertung - GI'!RechtsformGI=DV$13,DV101*DY101,IF('Inhaltliche Bewertung - GI'!RechtsformGI=DN$13,DN101*DY101,"")))))</f>
        <v>#N/A</v>
      </c>
      <c r="EA101" s="351" t="e">
        <f>IF('Inhaltliche Bewertung - GI'!RechtsformAngebot=DP$13,DP101*DY101,IF('Inhaltliche Bewertung - GI'!RechtsformAngebot=DR$13,DR101*DY101,IF('Inhaltliche Bewertung - GI'!RechtsformAngebot=DT$13,DT101*DY101,IF('Inhaltliche Bewertung - GI'!RechtsformAngebot=DV$13,DV101*DY101,IF('Inhaltliche Bewertung - GI'!RechtsformAngebot=DN$13,DN101*DY101,"")))))</f>
        <v>#N/A</v>
      </c>
      <c r="EB101" s="351"/>
      <c r="EC101" s="157">
        <f t="shared" si="1"/>
        <v>0.3</v>
      </c>
      <c r="ED101" s="157">
        <f t="shared" si="2"/>
        <v>1</v>
      </c>
      <c r="EE101" s="157">
        <f t="shared" si="3"/>
        <v>0.79249999999999987</v>
      </c>
      <c r="EF101" s="157">
        <f t="shared" si="4"/>
        <v>0.8</v>
      </c>
    </row>
    <row r="102" spans="1:136" ht="14.25" customHeight="1">
      <c r="A102" s="444" t="b">
        <f t="shared" si="7"/>
        <v>0</v>
      </c>
      <c r="B102" s="292"/>
      <c r="C102" s="355" t="s">
        <v>3533</v>
      </c>
      <c r="D102" s="345"/>
      <c r="E102" s="356" t="s">
        <v>3534</v>
      </c>
      <c r="F102" s="357">
        <v>0.7</v>
      </c>
      <c r="G102" s="358"/>
      <c r="H102" s="357">
        <v>0.7</v>
      </c>
      <c r="I102" s="358"/>
      <c r="J102" s="357">
        <v>0.7</v>
      </c>
      <c r="K102" s="358"/>
      <c r="L102" s="357">
        <v>0.7</v>
      </c>
      <c r="M102" s="358"/>
      <c r="N102" s="357">
        <v>0.7</v>
      </c>
      <c r="O102" s="358"/>
      <c r="P102" s="359"/>
      <c r="Q102" s="360">
        <v>1</v>
      </c>
      <c r="R102" s="351" t="e">
        <f>IF('Inhaltliche Bewertung - GI'!RechtsformGI=H$13,H102*Q102,IF('Inhaltliche Bewertung - GI'!RechtsformGI=J$13,J102*Q102,IF('Inhaltliche Bewertung - GI'!RechtsformGI=L$13,L102*Q102,IF('Inhaltliche Bewertung - GI'!RechtsformGI=N$13,N102*Q102,IF('Inhaltliche Bewertung - GI'!RechtsformGI=F$13,F102*Q102,"")))))</f>
        <v>#N/A</v>
      </c>
      <c r="S102" s="351" t="e">
        <f>IF('Inhaltliche Bewertung - GI'!RechtsformAngebot=H$13,H102*Q102,IF('Inhaltliche Bewertung - GI'!RechtsformAngebot=J$13,J102*Q102,IF('Inhaltliche Bewertung - GI'!RechtsformAngebot=L$13,L102*Q102,IF('Inhaltliche Bewertung - GI'!RechtsformAngebot=N$13,N102*Q102,IF('Inhaltliche Bewertung - GI'!RechtsformAngebot=F$13,F102*Q102,"")))))</f>
        <v>#N/A</v>
      </c>
      <c r="T102" s="351"/>
      <c r="U102" s="361" t="s">
        <v>3535</v>
      </c>
      <c r="V102" s="362">
        <v>0.8</v>
      </c>
      <c r="W102" s="363"/>
      <c r="X102" s="364">
        <v>0.8</v>
      </c>
      <c r="Y102" s="363"/>
      <c r="Z102" s="364">
        <v>0.8</v>
      </c>
      <c r="AA102" s="363"/>
      <c r="AB102" s="364">
        <v>0.8</v>
      </c>
      <c r="AC102" s="363"/>
      <c r="AD102" s="364">
        <v>0.8</v>
      </c>
      <c r="AE102" s="363"/>
      <c r="AF102" s="363"/>
      <c r="AG102" s="360">
        <v>1</v>
      </c>
      <c r="AH102" s="351" t="e">
        <f>IF('Inhaltliche Bewertung - GI'!RechtsformGI=X$13,X102*AG102,IF('Inhaltliche Bewertung - GI'!RechtsformGI=Z$13,Z102*AG102,IF('Inhaltliche Bewertung - GI'!RechtsformGI=AB$13,AB102*AG102,IF('Inhaltliche Bewertung - GI'!RechtsformGI=AD$13,AD102*AG102,IF('Inhaltliche Bewertung - GI'!RechtsformGI=V$13,V102*AG102,"")))))</f>
        <v>#N/A</v>
      </c>
      <c r="AI102" s="351" t="e">
        <f>IF('Inhaltliche Bewertung - GI'!RechtsformAngebot=X$13,X102*AG102,IF('Inhaltliche Bewertung - GI'!RechtsformAngebot=Z$13,Z102*AG102,IF('Inhaltliche Bewertung - GI'!RechtsformAngebot=AB$13,AB102*AG102,IF('Inhaltliche Bewertung - GI'!RechtsformAngebot=AD$13,AD102*AG102,IF('Inhaltliche Bewertung - GI'!RechtsformAngebot=V$13,V102*AG102,"")))))</f>
        <v>#N/A</v>
      </c>
      <c r="AJ102" s="351"/>
      <c r="AK102" s="361" t="s">
        <v>3536</v>
      </c>
      <c r="AL102" s="362">
        <v>0.8</v>
      </c>
      <c r="AM102" s="365"/>
      <c r="AN102" s="362">
        <v>0.8</v>
      </c>
      <c r="AO102" s="365"/>
      <c r="AP102" s="362">
        <v>0.8</v>
      </c>
      <c r="AQ102" s="365"/>
      <c r="AR102" s="362">
        <v>0.8</v>
      </c>
      <c r="AS102" s="365"/>
      <c r="AT102" s="362">
        <v>0.8</v>
      </c>
      <c r="AU102" s="365"/>
      <c r="AV102" s="365"/>
      <c r="AW102" s="360">
        <v>1</v>
      </c>
      <c r="AX102" s="351" t="e">
        <f>IF('Inhaltliche Bewertung - GI'!RechtsformGI=AN$13,AN102*AW102,IF('Inhaltliche Bewertung - GI'!RechtsformGI=AP$13,AP102*AW102,IF('Inhaltliche Bewertung - GI'!RechtsformGI=AR$13,AR102*AW102,IF('Inhaltliche Bewertung - GI'!RechtsformGI=AT$13,AT102*AW102,IF('Inhaltliche Bewertung - GI'!RechtsformGI=AL$13,AL102*AW102,"")))))</f>
        <v>#N/A</v>
      </c>
      <c r="AY102" s="351" t="e">
        <f>IF('Inhaltliche Bewertung - GI'!RechtsformAngebot=AN$13,AN102*AW102,IF('Inhaltliche Bewertung - GI'!RechtsformAngebot=AP$13,AP102*AW102,IF('Inhaltliche Bewertung - GI'!RechtsformAngebot=AR$13,AR102*AW102,IF('Inhaltliche Bewertung - GI'!RechtsformAngebot=AT$13,AT102*AW102,IF('Inhaltliche Bewertung - GI'!RechtsformAngebot=AL$13,AL102*AW102,"")))))</f>
        <v>#N/A</v>
      </c>
      <c r="AZ102" s="351"/>
      <c r="BA102" s="361" t="s">
        <v>3537</v>
      </c>
      <c r="BB102" s="366">
        <v>0.8</v>
      </c>
      <c r="BC102" s="365"/>
      <c r="BD102" s="366">
        <v>0.8</v>
      </c>
      <c r="BE102" s="365"/>
      <c r="BF102" s="366">
        <v>0.8</v>
      </c>
      <c r="BG102" s="365"/>
      <c r="BH102" s="366">
        <v>0.8</v>
      </c>
      <c r="BI102" s="365"/>
      <c r="BJ102" s="366">
        <v>0.8</v>
      </c>
      <c r="BK102" s="365"/>
      <c r="BL102" s="365"/>
      <c r="BM102" s="360">
        <v>1</v>
      </c>
      <c r="BN102" s="351" t="e">
        <f>IF('Inhaltliche Bewertung - GI'!RechtsformGI=BD$13,BD102*BM102,IF('Inhaltliche Bewertung - GI'!RechtsformGI=BF$13,BF102*BM102,IF('Inhaltliche Bewertung - GI'!RechtsformGI=BH$13,BH102*BM102,IF('Inhaltliche Bewertung - GI'!RechtsformGI=BJ$13,BJ102*BM102,IF('Inhaltliche Bewertung - GI'!RechtsformGI=BB$13,BB102*BM102,"")))))</f>
        <v>#N/A</v>
      </c>
      <c r="BO102" s="351" t="e">
        <f>IF('Inhaltliche Bewertung - GI'!RechtsformAngebot=BD$13,BD102*BM102,IF('Inhaltliche Bewertung - GI'!RechtsformAngebot=BF$13,BF102*BM102,IF('Inhaltliche Bewertung - GI'!RechtsformAngebot=BH$13,BH102*BM102,IF('Inhaltliche Bewertung - GI'!RechtsformAngebot=BJ$13,BJ102*BM102,IF('Inhaltliche Bewertung - GI'!RechtsformAngebot=BB$13,BB102*BM102,"")))))</f>
        <v>#N/A</v>
      </c>
      <c r="BP102" s="351"/>
      <c r="BQ102" s="361" t="s">
        <v>3535</v>
      </c>
      <c r="BR102" s="367">
        <v>0.8</v>
      </c>
      <c r="BS102" s="368"/>
      <c r="BT102" s="367">
        <v>0.8</v>
      </c>
      <c r="BU102" s="368"/>
      <c r="BV102" s="367">
        <v>0.8</v>
      </c>
      <c r="BW102" s="368"/>
      <c r="BX102" s="367">
        <v>0.8</v>
      </c>
      <c r="BY102" s="368"/>
      <c r="BZ102" s="367">
        <v>0.8</v>
      </c>
      <c r="CA102" s="368"/>
      <c r="CB102" s="368"/>
      <c r="CC102" s="360">
        <v>1</v>
      </c>
      <c r="CD102" s="351" t="e">
        <f>IF('Inhaltliche Bewertung - GI'!RechtsformGI=BT$13,BT102*CC102,IF('Inhaltliche Bewertung - GI'!RechtsformGI=BV$13,BV102*CC102,IF('Inhaltliche Bewertung - GI'!RechtsformGI=BX$13,BX102*CC102,IF('Inhaltliche Bewertung - GI'!RechtsformGI=BZ$13,BZ102*CC102,IF('Inhaltliche Bewertung - GI'!RechtsformGI=BR$13,BR102*CC102,"")))))</f>
        <v>#N/A</v>
      </c>
      <c r="CE102" s="351" t="e">
        <f>IF('Inhaltliche Bewertung - GI'!RechtsformAngebot=BT$13,BT102*CC102,IF('Inhaltliche Bewertung - GI'!RechtsformAngebot=BV$13,BV102*CC102,IF('Inhaltliche Bewertung - GI'!RechtsformAngebot=BX$13,BX102*CC102,IF('Inhaltliche Bewertung - GI'!RechtsformAngebot=BZ$13,BZ102*CC102,IF('Inhaltliche Bewertung - GI'!RechtsformAngebot=BR$13,BR102*CC102,"")))))</f>
        <v>#N/A</v>
      </c>
      <c r="CF102" s="351"/>
      <c r="CG102" s="356" t="s">
        <v>3234</v>
      </c>
      <c r="CH102" s="376">
        <v>0</v>
      </c>
      <c r="CI102" s="377"/>
      <c r="CJ102" s="376">
        <v>0</v>
      </c>
      <c r="CK102" s="377"/>
      <c r="CL102" s="376">
        <v>0</v>
      </c>
      <c r="CM102" s="377"/>
      <c r="CN102" s="376">
        <v>0</v>
      </c>
      <c r="CO102" s="377"/>
      <c r="CP102" s="376">
        <v>0</v>
      </c>
      <c r="CQ102" s="377"/>
      <c r="CR102" s="377"/>
      <c r="CS102" s="360">
        <v>1</v>
      </c>
      <c r="CT102" s="351" t="e">
        <f>IF('Inhaltliche Bewertung - GI'!RechtsformGI=CJ$13,CJ102*CS102,IF('Inhaltliche Bewertung - GI'!RechtsformGI=CL$13,CL102*CS102,IF('Inhaltliche Bewertung - GI'!RechtsformGI=CN$13,CN102*CS102,IF('Inhaltliche Bewertung - GI'!RechtsformGI=CP$13,CP102*CS102,IF('Inhaltliche Bewertung - GI'!RechtsformGI=CH$13,CH102*CS102,"")))))</f>
        <v>#N/A</v>
      </c>
      <c r="CU102" s="351" t="e">
        <f>IF('Inhaltliche Bewertung - GI'!RechtsformAngebot=CJ$13,CJ102*CS102,IF('Inhaltliche Bewertung - GI'!RechtsformAngebot=CL$13,CL102*CS102,IF('Inhaltliche Bewertung - GI'!RechtsformAngebot=CN$13,CN102*CS102,IF('Inhaltliche Bewertung - GI'!RechtsformAngebot=CP$13,CP102*CS102,IF('Inhaltliche Bewertung - GI'!RechtsformAngebot=CH$13,CH102*CS102,"")))))</f>
        <v>#N/A</v>
      </c>
      <c r="CV102" s="351"/>
      <c r="CW102" s="356" t="s">
        <v>3234</v>
      </c>
      <c r="CX102" s="376">
        <v>0</v>
      </c>
      <c r="CY102" s="377"/>
      <c r="CZ102" s="376">
        <v>0</v>
      </c>
      <c r="DA102" s="379"/>
      <c r="DB102" s="376">
        <v>0</v>
      </c>
      <c r="DC102" s="377"/>
      <c r="DD102" s="376">
        <v>0</v>
      </c>
      <c r="DE102" s="377"/>
      <c r="DF102" s="376">
        <v>0</v>
      </c>
      <c r="DG102" s="377"/>
      <c r="DH102" s="377"/>
      <c r="DI102" s="360">
        <v>1</v>
      </c>
      <c r="DJ102" s="351" t="e">
        <f>IF('Inhaltliche Bewertung - GI'!RechtsformGI=CZ$13,CZ102*DI102,IF('Inhaltliche Bewertung - GI'!RechtsformGI=DB$13,DB102*DI102,IF('Inhaltliche Bewertung - GI'!RechtsformGI=DD$13,DD102*DI102,IF('Inhaltliche Bewertung - GI'!RechtsformGI=DF$13,DF102*DI102,IF('Inhaltliche Bewertung - GI'!RechtsformGI=CX$13,CX102*DI102,"")))))</f>
        <v>#N/A</v>
      </c>
      <c r="DK102" s="351" t="e">
        <f>IF('Inhaltliche Bewertung - GI'!RechtsformAngebot=CZ$13,CZ102*DI102,IF('Inhaltliche Bewertung - GI'!RechtsformAngebot=DB$13,DB102*DI102,IF('Inhaltliche Bewertung - GI'!RechtsformAngebot=DD$13,DD102*DI102,IF('Inhaltliche Bewertung - GI'!RechtsformAngebot=DF$13,DF102*DI102,IF('Inhaltliche Bewertung - GI'!RechtsformAngebot=CX$13,CX102*DI102,"")))))</f>
        <v>#N/A</v>
      </c>
      <c r="DL102" s="351"/>
      <c r="DM102" s="371" t="s">
        <v>3538</v>
      </c>
      <c r="DN102" s="385">
        <v>0.9</v>
      </c>
      <c r="DO102" s="377"/>
      <c r="DP102" s="385">
        <v>0.9</v>
      </c>
      <c r="DQ102" s="377"/>
      <c r="DR102" s="385">
        <v>0.9</v>
      </c>
      <c r="DS102" s="377"/>
      <c r="DT102" s="385">
        <v>0.9</v>
      </c>
      <c r="DU102" s="377"/>
      <c r="DV102" s="385">
        <v>0.9</v>
      </c>
      <c r="DW102" s="377"/>
      <c r="DX102" s="377"/>
      <c r="DY102" s="360">
        <v>1</v>
      </c>
      <c r="DZ102" s="351" t="e">
        <f>IF('Inhaltliche Bewertung - GI'!RechtsformGI=DP$13,DP102*DY102,IF('Inhaltliche Bewertung - GI'!RechtsformGI=DR$13,DR102*DY102,IF('Inhaltliche Bewertung - GI'!RechtsformGI=DT$13,DT102*DY102,IF('Inhaltliche Bewertung - GI'!RechtsformGI=DV$13,DV102*DY102,IF('Inhaltliche Bewertung - GI'!RechtsformGI=DN$13,DN102*DY102,"")))))</f>
        <v>#N/A</v>
      </c>
      <c r="EA102" s="351" t="e">
        <f>IF('Inhaltliche Bewertung - GI'!RechtsformAngebot=DP$13,DP102*DY102,IF('Inhaltliche Bewertung - GI'!RechtsformAngebot=DR$13,DR102*DY102,IF('Inhaltliche Bewertung - GI'!RechtsformAngebot=DT$13,DT102*DY102,IF('Inhaltliche Bewertung - GI'!RechtsformAngebot=DV$13,DV102*DY102,IF('Inhaltliche Bewertung - GI'!RechtsformAngebot=DN$13,DN102*DY102,"")))))</f>
        <v>#N/A</v>
      </c>
      <c r="EB102" s="351"/>
      <c r="EC102" s="157">
        <f t="shared" si="1"/>
        <v>0</v>
      </c>
      <c r="ED102" s="157">
        <f t="shared" si="2"/>
        <v>0.9</v>
      </c>
      <c r="EE102" s="157">
        <f t="shared" si="3"/>
        <v>0.6</v>
      </c>
      <c r="EF102" s="157">
        <f t="shared" si="4"/>
        <v>0.8</v>
      </c>
    </row>
    <row r="103" spans="1:136" ht="14.25" customHeight="1">
      <c r="A103" s="444" t="b">
        <f t="shared" si="7"/>
        <v>0</v>
      </c>
      <c r="B103" s="292"/>
      <c r="C103" s="355" t="s">
        <v>3539</v>
      </c>
      <c r="D103" s="345"/>
      <c r="E103" s="361" t="s">
        <v>3540</v>
      </c>
      <c r="F103" s="362">
        <v>1</v>
      </c>
      <c r="G103" s="365"/>
      <c r="H103" s="362">
        <v>1</v>
      </c>
      <c r="I103" s="365"/>
      <c r="J103" s="362">
        <v>1</v>
      </c>
      <c r="K103" s="365"/>
      <c r="L103" s="362">
        <v>1</v>
      </c>
      <c r="M103" s="365"/>
      <c r="N103" s="362">
        <v>1</v>
      </c>
      <c r="O103" s="365"/>
      <c r="P103" s="370"/>
      <c r="Q103" s="360">
        <v>1</v>
      </c>
      <c r="R103" s="351" t="e">
        <f>IF('Inhaltliche Bewertung - GI'!RechtsformGI=H$13,H103*Q103,IF('Inhaltliche Bewertung - GI'!RechtsformGI=J$13,J103*Q103,IF('Inhaltliche Bewertung - GI'!RechtsformGI=L$13,L103*Q103,IF('Inhaltliche Bewertung - GI'!RechtsformGI=N$13,N103*Q103,IF('Inhaltliche Bewertung - GI'!RechtsformGI=F$13,F103*Q103,"")))))</f>
        <v>#N/A</v>
      </c>
      <c r="S103" s="351" t="e">
        <f>IF('Inhaltliche Bewertung - GI'!RechtsformAngebot=H$13,H103*Q103,IF('Inhaltliche Bewertung - GI'!RechtsformAngebot=J$13,J103*Q103,IF('Inhaltliche Bewertung - GI'!RechtsformAngebot=L$13,L103*Q103,IF('Inhaltliche Bewertung - GI'!RechtsformAngebot=N$13,N103*Q103,IF('Inhaltliche Bewertung - GI'!RechtsformAngebot=F$13,F103*Q103,"")))))</f>
        <v>#N/A</v>
      </c>
      <c r="T103" s="351"/>
      <c r="U103" s="361" t="s">
        <v>3540</v>
      </c>
      <c r="V103" s="362">
        <v>1</v>
      </c>
      <c r="W103" s="365"/>
      <c r="X103" s="362">
        <v>1</v>
      </c>
      <c r="Y103" s="365"/>
      <c r="Z103" s="362">
        <v>1</v>
      </c>
      <c r="AA103" s="365"/>
      <c r="AB103" s="362">
        <v>1</v>
      </c>
      <c r="AC103" s="365"/>
      <c r="AD103" s="362">
        <v>1</v>
      </c>
      <c r="AE103" s="365"/>
      <c r="AF103" s="370"/>
      <c r="AG103" s="360">
        <v>1</v>
      </c>
      <c r="AH103" s="351" t="e">
        <f>IF('Inhaltliche Bewertung - GI'!RechtsformGI=X$13,X103*AG103,IF('Inhaltliche Bewertung - GI'!RechtsformGI=Z$13,Z103*AG103,IF('Inhaltliche Bewertung - GI'!RechtsformGI=AB$13,AB103*AG103,IF('Inhaltliche Bewertung - GI'!RechtsformGI=AD$13,AD103*AG103,IF('Inhaltliche Bewertung - GI'!RechtsformGI=V$13,V103*AG103,"")))))</f>
        <v>#N/A</v>
      </c>
      <c r="AI103" s="351" t="e">
        <f>IF('Inhaltliche Bewertung - GI'!RechtsformAngebot=X$13,X103*AG103,IF('Inhaltliche Bewertung - GI'!RechtsformAngebot=Z$13,Z103*AG103,IF('Inhaltliche Bewertung - GI'!RechtsformAngebot=AB$13,AB103*AG103,IF('Inhaltliche Bewertung - GI'!RechtsformAngebot=AD$13,AD103*AG103,IF('Inhaltliche Bewertung - GI'!RechtsformAngebot=V$13,V103*AG103,"")))))</f>
        <v>#N/A</v>
      </c>
      <c r="AJ103" s="351"/>
      <c r="AK103" s="361" t="s">
        <v>3541</v>
      </c>
      <c r="AL103" s="362">
        <v>1</v>
      </c>
      <c r="AM103" s="365"/>
      <c r="AN103" s="362">
        <v>1</v>
      </c>
      <c r="AO103" s="365"/>
      <c r="AP103" s="362">
        <v>1</v>
      </c>
      <c r="AQ103" s="365"/>
      <c r="AR103" s="362">
        <v>1</v>
      </c>
      <c r="AS103" s="365"/>
      <c r="AT103" s="362">
        <v>1</v>
      </c>
      <c r="AU103" s="365"/>
      <c r="AV103" s="370"/>
      <c r="AW103" s="360">
        <v>1</v>
      </c>
      <c r="AX103" s="351" t="e">
        <f>IF('Inhaltliche Bewertung - GI'!RechtsformGI=AN$13,AN103*AW103,IF('Inhaltliche Bewertung - GI'!RechtsformGI=AP$13,AP103*AW103,IF('Inhaltliche Bewertung - GI'!RechtsformGI=AR$13,AR103*AW103,IF('Inhaltliche Bewertung - GI'!RechtsformGI=AT$13,AT103*AW103,IF('Inhaltliche Bewertung - GI'!RechtsformGI=AL$13,AL103*AW103,"")))))</f>
        <v>#N/A</v>
      </c>
      <c r="AY103" s="351" t="e">
        <f>IF('Inhaltliche Bewertung - GI'!RechtsformAngebot=AN$13,AN103*AW103,IF('Inhaltliche Bewertung - GI'!RechtsformAngebot=AP$13,AP103*AW103,IF('Inhaltliche Bewertung - GI'!RechtsformAngebot=AR$13,AR103*AW103,IF('Inhaltliche Bewertung - GI'!RechtsformAngebot=AT$13,AT103*AW103,IF('Inhaltliche Bewertung - GI'!RechtsformAngebot=AL$13,AL103*AW103,"")))))</f>
        <v>#N/A</v>
      </c>
      <c r="AZ103" s="351"/>
      <c r="BA103" s="361" t="s">
        <v>3540</v>
      </c>
      <c r="BB103" s="362">
        <v>1</v>
      </c>
      <c r="BC103" s="365"/>
      <c r="BD103" s="362">
        <v>1</v>
      </c>
      <c r="BE103" s="365"/>
      <c r="BF103" s="362">
        <v>1</v>
      </c>
      <c r="BG103" s="365"/>
      <c r="BH103" s="362">
        <v>1</v>
      </c>
      <c r="BI103" s="365"/>
      <c r="BJ103" s="362">
        <v>1</v>
      </c>
      <c r="BK103" s="365"/>
      <c r="BL103" s="370"/>
      <c r="BM103" s="360">
        <v>1</v>
      </c>
      <c r="BN103" s="351" t="e">
        <f>IF('Inhaltliche Bewertung - GI'!RechtsformGI=BD$13,BD103*BM103,IF('Inhaltliche Bewertung - GI'!RechtsformGI=BF$13,BF103*BM103,IF('Inhaltliche Bewertung - GI'!RechtsformGI=BH$13,BH103*BM103,IF('Inhaltliche Bewertung - GI'!RechtsformGI=BJ$13,BJ103*BM103,IF('Inhaltliche Bewertung - GI'!RechtsformGI=BB$13,BB103*BM103,"")))))</f>
        <v>#N/A</v>
      </c>
      <c r="BO103" s="351" t="e">
        <f>IF('Inhaltliche Bewertung - GI'!RechtsformAngebot=BD$13,BD103*BM103,IF('Inhaltliche Bewertung - GI'!RechtsformAngebot=BF$13,BF103*BM103,IF('Inhaltliche Bewertung - GI'!RechtsformAngebot=BH$13,BH103*BM103,IF('Inhaltliche Bewertung - GI'!RechtsformAngebot=BJ$13,BJ103*BM103,IF('Inhaltliche Bewertung - GI'!RechtsformAngebot=BB$13,BB103*BM103,"")))))</f>
        <v>#N/A</v>
      </c>
      <c r="BP103" s="351"/>
      <c r="BQ103" s="361" t="s">
        <v>3540</v>
      </c>
      <c r="BR103" s="362">
        <v>1</v>
      </c>
      <c r="BS103" s="365"/>
      <c r="BT103" s="362">
        <v>1</v>
      </c>
      <c r="BU103" s="365"/>
      <c r="BV103" s="362">
        <v>1</v>
      </c>
      <c r="BW103" s="365"/>
      <c r="BX103" s="362">
        <v>1</v>
      </c>
      <c r="BY103" s="365"/>
      <c r="BZ103" s="362">
        <v>1</v>
      </c>
      <c r="CA103" s="365"/>
      <c r="CB103" s="370"/>
      <c r="CC103" s="360">
        <v>1</v>
      </c>
      <c r="CD103" s="351" t="e">
        <f>IF('Inhaltliche Bewertung - GI'!RechtsformGI=BT$13,BT103*CC103,IF('Inhaltliche Bewertung - GI'!RechtsformGI=BV$13,BV103*CC103,IF('Inhaltliche Bewertung - GI'!RechtsformGI=BX$13,BX103*CC103,IF('Inhaltliche Bewertung - GI'!RechtsformGI=BZ$13,BZ103*CC103,IF('Inhaltliche Bewertung - GI'!RechtsformGI=BR$13,BR103*CC103,"")))))</f>
        <v>#N/A</v>
      </c>
      <c r="CE103" s="351" t="e">
        <f>IF('Inhaltliche Bewertung - GI'!RechtsformAngebot=BT$13,BT103*CC103,IF('Inhaltliche Bewertung - GI'!RechtsformAngebot=BV$13,BV103*CC103,IF('Inhaltliche Bewertung - GI'!RechtsformAngebot=BX$13,BX103*CC103,IF('Inhaltliche Bewertung - GI'!RechtsformAngebot=BZ$13,BZ103*CC103,IF('Inhaltliche Bewertung - GI'!RechtsformAngebot=BR$13,BR103*CC103,"")))))</f>
        <v>#N/A</v>
      </c>
      <c r="CF103" s="351"/>
      <c r="CG103" s="361" t="s">
        <v>3542</v>
      </c>
      <c r="CH103" s="362">
        <v>0.9</v>
      </c>
      <c r="CI103" s="365"/>
      <c r="CJ103" s="362">
        <v>0.9</v>
      </c>
      <c r="CK103" s="365"/>
      <c r="CL103" s="362">
        <v>0.9</v>
      </c>
      <c r="CM103" s="365"/>
      <c r="CN103" s="362">
        <v>0.9</v>
      </c>
      <c r="CO103" s="365"/>
      <c r="CP103" s="362">
        <v>0.9</v>
      </c>
      <c r="CQ103" s="365"/>
      <c r="CR103" s="370"/>
      <c r="CS103" s="360">
        <v>1</v>
      </c>
      <c r="CT103" s="351" t="e">
        <f>IF('Inhaltliche Bewertung - GI'!RechtsformGI=CJ$13,CJ103*CS103,IF('Inhaltliche Bewertung - GI'!RechtsformGI=CL$13,CL103*CS103,IF('Inhaltliche Bewertung - GI'!RechtsformGI=CN$13,CN103*CS103,IF('Inhaltliche Bewertung - GI'!RechtsformGI=CP$13,CP103*CS103,IF('Inhaltliche Bewertung - GI'!RechtsformGI=CH$13,CH103*CS103,"")))))</f>
        <v>#N/A</v>
      </c>
      <c r="CU103" s="351" t="e">
        <f>IF('Inhaltliche Bewertung - GI'!RechtsformAngebot=CJ$13,CJ103*CS103,IF('Inhaltliche Bewertung - GI'!RechtsformAngebot=CL$13,CL103*CS103,IF('Inhaltliche Bewertung - GI'!RechtsformAngebot=CN$13,CN103*CS103,IF('Inhaltliche Bewertung - GI'!RechtsformAngebot=CP$13,CP103*CS103,IF('Inhaltliche Bewertung - GI'!RechtsformAngebot=CH$13,CH103*CS103,"")))))</f>
        <v>#N/A</v>
      </c>
      <c r="CV103" s="351"/>
      <c r="CW103" s="361" t="s">
        <v>3540</v>
      </c>
      <c r="CX103" s="362">
        <v>1</v>
      </c>
      <c r="CY103" s="365"/>
      <c r="CZ103" s="362">
        <v>1</v>
      </c>
      <c r="DA103" s="365"/>
      <c r="DB103" s="362">
        <v>1</v>
      </c>
      <c r="DC103" s="365"/>
      <c r="DD103" s="362">
        <v>1</v>
      </c>
      <c r="DE103" s="365"/>
      <c r="DF103" s="362">
        <v>1</v>
      </c>
      <c r="DG103" s="365"/>
      <c r="DH103" s="370"/>
      <c r="DI103" s="360">
        <v>1</v>
      </c>
      <c r="DJ103" s="351" t="e">
        <f>IF('Inhaltliche Bewertung - GI'!RechtsformGI=CZ$13,CZ103*DI103,IF('Inhaltliche Bewertung - GI'!RechtsformGI=DB$13,DB103*DI103,IF('Inhaltliche Bewertung - GI'!RechtsformGI=DD$13,DD103*DI103,IF('Inhaltliche Bewertung - GI'!RechtsformGI=DF$13,DF103*DI103,IF('Inhaltliche Bewertung - GI'!RechtsformGI=CX$13,CX103*DI103,"")))))</f>
        <v>#N/A</v>
      </c>
      <c r="DK103" s="351" t="e">
        <f>IF('Inhaltliche Bewertung - GI'!RechtsformAngebot=CZ$13,CZ103*DI103,IF('Inhaltliche Bewertung - GI'!RechtsformAngebot=DB$13,DB103*DI103,IF('Inhaltliche Bewertung - GI'!RechtsformAngebot=DD$13,DD103*DI103,IF('Inhaltliche Bewertung - GI'!RechtsformAngebot=DF$13,DF103*DI103,IF('Inhaltliche Bewertung - GI'!RechtsformAngebot=CX$13,CX103*DI103,"")))))</f>
        <v>#N/A</v>
      </c>
      <c r="DL103" s="351"/>
      <c r="DM103" s="361" t="s">
        <v>3543</v>
      </c>
      <c r="DN103" s="362">
        <v>1</v>
      </c>
      <c r="DO103" s="365"/>
      <c r="DP103" s="362">
        <v>1</v>
      </c>
      <c r="DQ103" s="365"/>
      <c r="DR103" s="362">
        <v>1</v>
      </c>
      <c r="DS103" s="365"/>
      <c r="DT103" s="362">
        <v>1</v>
      </c>
      <c r="DU103" s="365"/>
      <c r="DV103" s="362">
        <v>1</v>
      </c>
      <c r="DW103" s="365"/>
      <c r="DX103" s="370"/>
      <c r="DY103" s="360">
        <v>1</v>
      </c>
      <c r="DZ103" s="351" t="e">
        <f>IF('Inhaltliche Bewertung - GI'!RechtsformGI=DP$13,DP103*DY103,IF('Inhaltliche Bewertung - GI'!RechtsformGI=DR$13,DR103*DY103,IF('Inhaltliche Bewertung - GI'!RechtsformGI=DT$13,DT103*DY103,IF('Inhaltliche Bewertung - GI'!RechtsformGI=DV$13,DV103*DY103,IF('Inhaltliche Bewertung - GI'!RechtsformGI=DN$13,DN103*DY103,"")))))</f>
        <v>#N/A</v>
      </c>
      <c r="EA103" s="351" t="e">
        <f>IF('Inhaltliche Bewertung - GI'!RechtsformAngebot=DP$13,DP103*DY103,IF('Inhaltliche Bewertung - GI'!RechtsformAngebot=DR$13,DR103*DY103,IF('Inhaltliche Bewertung - GI'!RechtsformAngebot=DT$13,DT103*DY103,IF('Inhaltliche Bewertung - GI'!RechtsformAngebot=DV$13,DV103*DY103,IF('Inhaltliche Bewertung - GI'!RechtsformAngebot=DN$13,DN103*DY103,"")))))</f>
        <v>#N/A</v>
      </c>
      <c r="EB103" s="351"/>
      <c r="EC103" s="157">
        <f t="shared" si="1"/>
        <v>0.9</v>
      </c>
      <c r="ED103" s="157">
        <f t="shared" si="2"/>
        <v>1</v>
      </c>
      <c r="EE103" s="157">
        <f t="shared" si="3"/>
        <v>0.98749999999999982</v>
      </c>
      <c r="EF103" s="157">
        <f t="shared" si="4"/>
        <v>1</v>
      </c>
    </row>
    <row r="104" spans="1:136" ht="14.25" customHeight="1">
      <c r="A104" s="444" t="b">
        <f t="shared" si="7"/>
        <v>0</v>
      </c>
      <c r="B104" s="292"/>
      <c r="C104" s="355" t="s">
        <v>3544</v>
      </c>
      <c r="D104" s="345"/>
      <c r="E104" s="356" t="s">
        <v>3234</v>
      </c>
      <c r="F104" s="357">
        <v>0</v>
      </c>
      <c r="G104" s="358"/>
      <c r="H104" s="357">
        <v>0</v>
      </c>
      <c r="I104" s="358"/>
      <c r="J104" s="357">
        <v>0</v>
      </c>
      <c r="K104" s="358"/>
      <c r="L104" s="357">
        <v>0</v>
      </c>
      <c r="M104" s="358"/>
      <c r="N104" s="357">
        <v>0</v>
      </c>
      <c r="O104" s="358"/>
      <c r="P104" s="359"/>
      <c r="Q104" s="373">
        <v>1</v>
      </c>
      <c r="R104" s="351" t="e">
        <f>IF('Inhaltliche Bewertung - GI'!RechtsformGI=H$13,H104*Q104,IF('Inhaltliche Bewertung - GI'!RechtsformGI=J$13,J104*Q104,IF('Inhaltliche Bewertung - GI'!RechtsformGI=L$13,L104*Q104,IF('Inhaltliche Bewertung - GI'!RechtsformGI=N$13,N104*Q104,IF('Inhaltliche Bewertung - GI'!RechtsformGI=F$13,F104*Q104,"")))))</f>
        <v>#N/A</v>
      </c>
      <c r="S104" s="351" t="e">
        <f>IF('Inhaltliche Bewertung - GI'!RechtsformAngebot=H$13,H104*Q104,IF('Inhaltliche Bewertung - GI'!RechtsformAngebot=J$13,J104*Q104,IF('Inhaltliche Bewertung - GI'!RechtsformAngebot=L$13,L104*Q104,IF('Inhaltliche Bewertung - GI'!RechtsformAngebot=N$13,N104*Q104,IF('Inhaltliche Bewertung - GI'!RechtsformAngebot=F$13,F104*Q104,"")))))</f>
        <v>#N/A</v>
      </c>
      <c r="T104" s="351"/>
      <c r="U104" s="356" t="s">
        <v>3234</v>
      </c>
      <c r="V104" s="357">
        <v>0</v>
      </c>
      <c r="W104" s="374"/>
      <c r="X104" s="375">
        <v>0</v>
      </c>
      <c r="Y104" s="374"/>
      <c r="Z104" s="375">
        <v>0</v>
      </c>
      <c r="AA104" s="374"/>
      <c r="AB104" s="375">
        <v>0</v>
      </c>
      <c r="AC104" s="374"/>
      <c r="AD104" s="375">
        <v>0</v>
      </c>
      <c r="AE104" s="374"/>
      <c r="AF104" s="374"/>
      <c r="AG104" s="373">
        <v>1</v>
      </c>
      <c r="AH104" s="351" t="e">
        <f>IF('Inhaltliche Bewertung - GI'!RechtsformGI=X$13,X104*AG104,IF('Inhaltliche Bewertung - GI'!RechtsformGI=Z$13,Z104*AG104,IF('Inhaltliche Bewertung - GI'!RechtsformGI=AB$13,AB104*AG104,IF('Inhaltliche Bewertung - GI'!RechtsformGI=AD$13,AD104*AG104,IF('Inhaltliche Bewertung - GI'!RechtsformGI=V$13,V104*AG104,"")))))</f>
        <v>#N/A</v>
      </c>
      <c r="AI104" s="351" t="e">
        <f>IF('Inhaltliche Bewertung - GI'!RechtsformAngebot=X$13,X104*AG104,IF('Inhaltliche Bewertung - GI'!RechtsformAngebot=Z$13,Z104*AG104,IF('Inhaltliche Bewertung - GI'!RechtsformAngebot=AB$13,AB104*AG104,IF('Inhaltliche Bewertung - GI'!RechtsformAngebot=AD$13,AD104*AG104,IF('Inhaltliche Bewertung - GI'!RechtsformAngebot=V$13,V104*AG104,"")))))</f>
        <v>#N/A</v>
      </c>
      <c r="AJ104" s="351"/>
      <c r="AK104" s="361" t="s">
        <v>3545</v>
      </c>
      <c r="AL104" s="362">
        <v>1</v>
      </c>
      <c r="AM104" s="365"/>
      <c r="AN104" s="362">
        <v>1</v>
      </c>
      <c r="AO104" s="365"/>
      <c r="AP104" s="362">
        <v>1</v>
      </c>
      <c r="AQ104" s="365"/>
      <c r="AR104" s="362">
        <v>1</v>
      </c>
      <c r="AS104" s="365"/>
      <c r="AT104" s="362">
        <v>1</v>
      </c>
      <c r="AU104" s="365"/>
      <c r="AV104" s="365"/>
      <c r="AW104" s="373">
        <v>1</v>
      </c>
      <c r="AX104" s="351" t="e">
        <f>IF('Inhaltliche Bewertung - GI'!RechtsformGI=AN$13,AN104*AW104,IF('Inhaltliche Bewertung - GI'!RechtsformGI=AP$13,AP104*AW104,IF('Inhaltliche Bewertung - GI'!RechtsformGI=AR$13,AR104*AW104,IF('Inhaltliche Bewertung - GI'!RechtsformGI=AT$13,AT104*AW104,IF('Inhaltliche Bewertung - GI'!RechtsformGI=AL$13,AL104*AW104,"")))))</f>
        <v>#N/A</v>
      </c>
      <c r="AY104" s="351" t="e">
        <f>IF('Inhaltliche Bewertung - GI'!RechtsformAngebot=AN$13,AN104*AW104,IF('Inhaltliche Bewertung - GI'!RechtsformAngebot=AP$13,AP104*AW104,IF('Inhaltliche Bewertung - GI'!RechtsformAngebot=AR$13,AR104*AW104,IF('Inhaltliche Bewertung - GI'!RechtsformAngebot=AT$13,AT104*AW104,IF('Inhaltliche Bewertung - GI'!RechtsformAngebot=AL$13,AL104*AW104,"")))))</f>
        <v>#N/A</v>
      </c>
      <c r="AZ104" s="351"/>
      <c r="BA104" s="361" t="s">
        <v>3546</v>
      </c>
      <c r="BB104" s="366">
        <v>1</v>
      </c>
      <c r="BC104" s="365"/>
      <c r="BD104" s="366">
        <v>1</v>
      </c>
      <c r="BE104" s="365"/>
      <c r="BF104" s="366">
        <v>1</v>
      </c>
      <c r="BG104" s="365"/>
      <c r="BH104" s="366">
        <v>1</v>
      </c>
      <c r="BI104" s="365"/>
      <c r="BJ104" s="366">
        <v>1</v>
      </c>
      <c r="BK104" s="365"/>
      <c r="BL104" s="365"/>
      <c r="BM104" s="373">
        <v>1</v>
      </c>
      <c r="BN104" s="351" t="e">
        <f>IF('Inhaltliche Bewertung - GI'!RechtsformGI=BD$13,BD104*BM104,IF('Inhaltliche Bewertung - GI'!RechtsformGI=BF$13,BF104*BM104,IF('Inhaltliche Bewertung - GI'!RechtsformGI=BH$13,BH104*BM104,IF('Inhaltliche Bewertung - GI'!RechtsformGI=BJ$13,BJ104*BM104,IF('Inhaltliche Bewertung - GI'!RechtsformGI=BB$13,BB104*BM104,"")))))</f>
        <v>#N/A</v>
      </c>
      <c r="BO104" s="351" t="e">
        <f>IF('Inhaltliche Bewertung - GI'!RechtsformAngebot=BD$13,BD104*BM104,IF('Inhaltliche Bewertung - GI'!RechtsformAngebot=BF$13,BF104*BM104,IF('Inhaltliche Bewertung - GI'!RechtsformAngebot=BH$13,BH104*BM104,IF('Inhaltliche Bewertung - GI'!RechtsformAngebot=BJ$13,BJ104*BM104,IF('Inhaltliche Bewertung - GI'!RechtsformAngebot=BB$13,BB104*BM104,"")))))</f>
        <v>#N/A</v>
      </c>
      <c r="BP104" s="351"/>
      <c r="BQ104" s="361" t="s">
        <v>3546</v>
      </c>
      <c r="BR104" s="367">
        <v>1</v>
      </c>
      <c r="BS104" s="368"/>
      <c r="BT104" s="367">
        <v>1</v>
      </c>
      <c r="BU104" s="368"/>
      <c r="BV104" s="367">
        <v>1</v>
      </c>
      <c r="BW104" s="368"/>
      <c r="BX104" s="367">
        <v>1</v>
      </c>
      <c r="BY104" s="368"/>
      <c r="BZ104" s="367">
        <v>1</v>
      </c>
      <c r="CA104" s="368"/>
      <c r="CB104" s="368"/>
      <c r="CC104" s="373">
        <v>1</v>
      </c>
      <c r="CD104" s="351" t="e">
        <f>IF('Inhaltliche Bewertung - GI'!RechtsformGI=BT$13,BT104*CC104,IF('Inhaltliche Bewertung - GI'!RechtsformGI=BV$13,BV104*CC104,IF('Inhaltliche Bewertung - GI'!RechtsformGI=BX$13,BX104*CC104,IF('Inhaltliche Bewertung - GI'!RechtsformGI=BZ$13,BZ104*CC104,IF('Inhaltliche Bewertung - GI'!RechtsformGI=BR$13,BR104*CC104,"")))))</f>
        <v>#N/A</v>
      </c>
      <c r="CE104" s="351" t="e">
        <f>IF('Inhaltliche Bewertung - GI'!RechtsformAngebot=BT$13,BT104*CC104,IF('Inhaltliche Bewertung - GI'!RechtsformAngebot=BV$13,BV104*CC104,IF('Inhaltliche Bewertung - GI'!RechtsformAngebot=BX$13,BX104*CC104,IF('Inhaltliche Bewertung - GI'!RechtsformAngebot=BZ$13,BZ104*CC104,IF('Inhaltliche Bewertung - GI'!RechtsformAngebot=BR$13,BR104*CC104,"")))))</f>
        <v>#N/A</v>
      </c>
      <c r="CF104" s="351"/>
      <c r="CG104" s="361" t="s">
        <v>3540</v>
      </c>
      <c r="CH104" s="367">
        <v>1</v>
      </c>
      <c r="CI104" s="368"/>
      <c r="CJ104" s="367">
        <v>1</v>
      </c>
      <c r="CK104" s="368"/>
      <c r="CL104" s="367">
        <v>1</v>
      </c>
      <c r="CM104" s="368"/>
      <c r="CN104" s="367">
        <v>1</v>
      </c>
      <c r="CO104" s="368"/>
      <c r="CP104" s="367">
        <v>1</v>
      </c>
      <c r="CQ104" s="368"/>
      <c r="CR104" s="368"/>
      <c r="CS104" s="373">
        <v>1</v>
      </c>
      <c r="CT104" s="351" t="e">
        <f>IF('Inhaltliche Bewertung - GI'!RechtsformGI=CJ$13,CJ104*CS104,IF('Inhaltliche Bewertung - GI'!RechtsformGI=CL$13,CL104*CS104,IF('Inhaltliche Bewertung - GI'!RechtsformGI=CN$13,CN104*CS104,IF('Inhaltliche Bewertung - GI'!RechtsformGI=CP$13,CP104*CS104,IF('Inhaltliche Bewertung - GI'!RechtsformGI=CH$13,CH104*CS104,"")))))</f>
        <v>#N/A</v>
      </c>
      <c r="CU104" s="351" t="e">
        <f>IF('Inhaltliche Bewertung - GI'!RechtsformAngebot=CJ$13,CJ104*CS104,IF('Inhaltliche Bewertung - GI'!RechtsformAngebot=CL$13,CL104*CS104,IF('Inhaltliche Bewertung - GI'!RechtsformAngebot=CN$13,CN104*CS104,IF('Inhaltliche Bewertung - GI'!RechtsformAngebot=CP$13,CP104*CS104,IF('Inhaltliche Bewertung - GI'!RechtsformAngebot=CH$13,CH104*CS104,"")))))</f>
        <v>#N/A</v>
      </c>
      <c r="CV104" s="351"/>
      <c r="CW104" s="361" t="s">
        <v>3545</v>
      </c>
      <c r="CX104" s="367">
        <v>1</v>
      </c>
      <c r="CY104" s="368"/>
      <c r="CZ104" s="367">
        <v>1</v>
      </c>
      <c r="DA104" s="369"/>
      <c r="DB104" s="367">
        <v>1</v>
      </c>
      <c r="DC104" s="368"/>
      <c r="DD104" s="367">
        <v>1</v>
      </c>
      <c r="DE104" s="368"/>
      <c r="DF104" s="367">
        <v>1</v>
      </c>
      <c r="DG104" s="368"/>
      <c r="DH104" s="368"/>
      <c r="DI104" s="373">
        <v>1</v>
      </c>
      <c r="DJ104" s="351" t="e">
        <f>IF('Inhaltliche Bewertung - GI'!RechtsformGI=CZ$13,CZ104*DI104,IF('Inhaltliche Bewertung - GI'!RechtsformGI=DB$13,DB104*DI104,IF('Inhaltliche Bewertung - GI'!RechtsformGI=DD$13,DD104*DI104,IF('Inhaltliche Bewertung - GI'!RechtsformGI=DF$13,DF104*DI104,IF('Inhaltliche Bewertung - GI'!RechtsformGI=CX$13,CX104*DI104,"")))))</f>
        <v>#N/A</v>
      </c>
      <c r="DK104" s="351" t="e">
        <f>IF('Inhaltliche Bewertung - GI'!RechtsformAngebot=CZ$13,CZ104*DI104,IF('Inhaltliche Bewertung - GI'!RechtsformAngebot=DB$13,DB104*DI104,IF('Inhaltliche Bewertung - GI'!RechtsformAngebot=DD$13,DD104*DI104,IF('Inhaltliche Bewertung - GI'!RechtsformAngebot=DF$13,DF104*DI104,IF('Inhaltliche Bewertung - GI'!RechtsformAngebot=CX$13,CX104*DI104,"")))))</f>
        <v>#N/A</v>
      </c>
      <c r="DL104" s="351"/>
      <c r="DM104" s="361" t="s">
        <v>3545</v>
      </c>
      <c r="DN104" s="367">
        <v>1</v>
      </c>
      <c r="DO104" s="368"/>
      <c r="DP104" s="367">
        <v>1</v>
      </c>
      <c r="DQ104" s="368"/>
      <c r="DR104" s="367">
        <v>1</v>
      </c>
      <c r="DS104" s="368"/>
      <c r="DT104" s="367">
        <v>1</v>
      </c>
      <c r="DU104" s="368"/>
      <c r="DV104" s="367">
        <v>1</v>
      </c>
      <c r="DW104" s="368"/>
      <c r="DX104" s="368"/>
      <c r="DY104" s="373">
        <v>1</v>
      </c>
      <c r="DZ104" s="351" t="e">
        <f>IF('Inhaltliche Bewertung - GI'!RechtsformGI=DP$13,DP104*DY104,IF('Inhaltliche Bewertung - GI'!RechtsformGI=DR$13,DR104*DY104,IF('Inhaltliche Bewertung - GI'!RechtsformGI=DT$13,DT104*DY104,IF('Inhaltliche Bewertung - GI'!RechtsformGI=DV$13,DV104*DY104,IF('Inhaltliche Bewertung - GI'!RechtsformGI=DN$13,DN104*DY104,"")))))</f>
        <v>#N/A</v>
      </c>
      <c r="EA104" s="351" t="e">
        <f>IF('Inhaltliche Bewertung - GI'!RechtsformAngebot=DP$13,DP104*DY104,IF('Inhaltliche Bewertung - GI'!RechtsformAngebot=DR$13,DR104*DY104,IF('Inhaltliche Bewertung - GI'!RechtsformAngebot=DT$13,DT104*DY104,IF('Inhaltliche Bewertung - GI'!RechtsformAngebot=DV$13,DV104*DY104,IF('Inhaltliche Bewertung - GI'!RechtsformAngebot=DN$13,DN104*DY104,"")))))</f>
        <v>#N/A</v>
      </c>
      <c r="EB104" s="351"/>
      <c r="EC104" s="157">
        <f t="shared" si="1"/>
        <v>0</v>
      </c>
      <c r="ED104" s="157">
        <f t="shared" si="2"/>
        <v>1</v>
      </c>
      <c r="EE104" s="157">
        <f t="shared" si="3"/>
        <v>0.75</v>
      </c>
      <c r="EF104" s="157">
        <f t="shared" si="4"/>
        <v>1</v>
      </c>
    </row>
    <row r="105" spans="1:136" ht="14.25" customHeight="1">
      <c r="A105" s="444" t="b">
        <f t="shared" si="7"/>
        <v>0</v>
      </c>
      <c r="B105" s="292"/>
      <c r="C105" s="355" t="s">
        <v>3547</v>
      </c>
      <c r="D105" s="345"/>
      <c r="E105" s="361" t="s">
        <v>3232</v>
      </c>
      <c r="F105" s="362">
        <v>0</v>
      </c>
      <c r="G105" s="365"/>
      <c r="H105" s="362">
        <v>0</v>
      </c>
      <c r="I105" s="365"/>
      <c r="J105" s="362">
        <v>0</v>
      </c>
      <c r="K105" s="365"/>
      <c r="L105" s="362">
        <v>0</v>
      </c>
      <c r="M105" s="365"/>
      <c r="N105" s="362">
        <v>0</v>
      </c>
      <c r="O105" s="365"/>
      <c r="P105" s="370"/>
      <c r="Q105" s="360">
        <v>1</v>
      </c>
      <c r="R105" s="351" t="e">
        <f>IF('Inhaltliche Bewertung - GI'!RechtsformGI=H$13,H105*Q105,IF('Inhaltliche Bewertung - GI'!RechtsformGI=J$13,J105*Q105,IF('Inhaltliche Bewertung - GI'!RechtsformGI=L$13,L105*Q105,IF('Inhaltliche Bewertung - GI'!RechtsformGI=N$13,N105*Q105,IF('Inhaltliche Bewertung - GI'!RechtsformGI=F$13,F105*Q105,"")))))</f>
        <v>#N/A</v>
      </c>
      <c r="S105" s="351" t="e">
        <f>IF('Inhaltliche Bewertung - GI'!RechtsformAngebot=H$13,H105*Q105,IF('Inhaltliche Bewertung - GI'!RechtsformAngebot=J$13,J105*Q105,IF('Inhaltliche Bewertung - GI'!RechtsformAngebot=L$13,L105*Q105,IF('Inhaltliche Bewertung - GI'!RechtsformAngebot=N$13,N105*Q105,IF('Inhaltliche Bewertung - GI'!RechtsformAngebot=F$13,F105*Q105,"")))))</f>
        <v>#N/A</v>
      </c>
      <c r="T105" s="351"/>
      <c r="U105" s="361" t="s">
        <v>3540</v>
      </c>
      <c r="V105" s="362">
        <v>1</v>
      </c>
      <c r="W105" s="365"/>
      <c r="X105" s="362">
        <v>1</v>
      </c>
      <c r="Y105" s="365"/>
      <c r="Z105" s="362">
        <v>1</v>
      </c>
      <c r="AA105" s="365"/>
      <c r="AB105" s="362">
        <v>1</v>
      </c>
      <c r="AC105" s="365"/>
      <c r="AD105" s="362">
        <v>1</v>
      </c>
      <c r="AE105" s="365"/>
      <c r="AF105" s="370"/>
      <c r="AG105" s="360">
        <v>1</v>
      </c>
      <c r="AH105" s="351" t="e">
        <f>IF('Inhaltliche Bewertung - GI'!RechtsformGI=X$13,X105*AG105,IF('Inhaltliche Bewertung - GI'!RechtsformGI=Z$13,Z105*AG105,IF('Inhaltliche Bewertung - GI'!RechtsformGI=AB$13,AB105*AG105,IF('Inhaltliche Bewertung - GI'!RechtsformGI=AD$13,AD105*AG105,IF('Inhaltliche Bewertung - GI'!RechtsformGI=V$13,V105*AG105,"")))))</f>
        <v>#N/A</v>
      </c>
      <c r="AI105" s="351" t="e">
        <f>IF('Inhaltliche Bewertung - GI'!RechtsformAngebot=X$13,X105*AG105,IF('Inhaltliche Bewertung - GI'!RechtsformAngebot=Z$13,Z105*AG105,IF('Inhaltliche Bewertung - GI'!RechtsformAngebot=AB$13,AB105*AG105,IF('Inhaltliche Bewertung - GI'!RechtsformAngebot=AD$13,AD105*AG105,IF('Inhaltliche Bewertung - GI'!RechtsformAngebot=V$13,V105*AG105,"")))))</f>
        <v>#N/A</v>
      </c>
      <c r="AJ105" s="351"/>
      <c r="AK105" s="361" t="s">
        <v>3541</v>
      </c>
      <c r="AL105" s="362">
        <v>1</v>
      </c>
      <c r="AM105" s="365"/>
      <c r="AN105" s="362">
        <v>1</v>
      </c>
      <c r="AO105" s="365"/>
      <c r="AP105" s="362">
        <v>1</v>
      </c>
      <c r="AQ105" s="365"/>
      <c r="AR105" s="362">
        <v>1</v>
      </c>
      <c r="AS105" s="365"/>
      <c r="AT105" s="362">
        <v>1</v>
      </c>
      <c r="AU105" s="365"/>
      <c r="AV105" s="370"/>
      <c r="AW105" s="360">
        <v>1</v>
      </c>
      <c r="AX105" s="351" t="e">
        <f>IF('Inhaltliche Bewertung - GI'!RechtsformGI=AN$13,AN105*AW105,IF('Inhaltliche Bewertung - GI'!RechtsformGI=AP$13,AP105*AW105,IF('Inhaltliche Bewertung - GI'!RechtsformGI=AR$13,AR105*AW105,IF('Inhaltliche Bewertung - GI'!RechtsformGI=AT$13,AT105*AW105,IF('Inhaltliche Bewertung - GI'!RechtsformGI=AL$13,AL105*AW105,"")))))</f>
        <v>#N/A</v>
      </c>
      <c r="AY105" s="351" t="e">
        <f>IF('Inhaltliche Bewertung - GI'!RechtsformAngebot=AN$13,AN105*AW105,IF('Inhaltliche Bewertung - GI'!RechtsformAngebot=AP$13,AP105*AW105,IF('Inhaltliche Bewertung - GI'!RechtsformAngebot=AR$13,AR105*AW105,IF('Inhaltliche Bewertung - GI'!RechtsformAngebot=AT$13,AT105*AW105,IF('Inhaltliche Bewertung - GI'!RechtsformAngebot=AL$13,AL105*AW105,"")))))</f>
        <v>#N/A</v>
      </c>
      <c r="AZ105" s="351"/>
      <c r="BA105" s="361" t="s">
        <v>3540</v>
      </c>
      <c r="BB105" s="362">
        <v>1</v>
      </c>
      <c r="BC105" s="365"/>
      <c r="BD105" s="362">
        <v>1</v>
      </c>
      <c r="BE105" s="365"/>
      <c r="BF105" s="362">
        <v>1</v>
      </c>
      <c r="BG105" s="365"/>
      <c r="BH105" s="362">
        <v>1</v>
      </c>
      <c r="BI105" s="365"/>
      <c r="BJ105" s="362">
        <v>1</v>
      </c>
      <c r="BK105" s="365"/>
      <c r="BL105" s="370"/>
      <c r="BM105" s="360">
        <v>1</v>
      </c>
      <c r="BN105" s="351" t="e">
        <f>IF('Inhaltliche Bewertung - GI'!RechtsformGI=BD$13,BD105*BM105,IF('Inhaltliche Bewertung - GI'!RechtsformGI=BF$13,BF105*BM105,IF('Inhaltliche Bewertung - GI'!RechtsformGI=BH$13,BH105*BM105,IF('Inhaltliche Bewertung - GI'!RechtsformGI=BJ$13,BJ105*BM105,IF('Inhaltliche Bewertung - GI'!RechtsformGI=BB$13,BB105*BM105,"")))))</f>
        <v>#N/A</v>
      </c>
      <c r="BO105" s="351" t="e">
        <f>IF('Inhaltliche Bewertung - GI'!RechtsformAngebot=BD$13,BD105*BM105,IF('Inhaltliche Bewertung - GI'!RechtsformAngebot=BF$13,BF105*BM105,IF('Inhaltliche Bewertung - GI'!RechtsformAngebot=BH$13,BH105*BM105,IF('Inhaltliche Bewertung - GI'!RechtsformAngebot=BJ$13,BJ105*BM105,IF('Inhaltliche Bewertung - GI'!RechtsformAngebot=BB$13,BB105*BM105,"")))))</f>
        <v>#N/A</v>
      </c>
      <c r="BP105" s="351"/>
      <c r="BQ105" s="361" t="s">
        <v>3540</v>
      </c>
      <c r="BR105" s="362">
        <v>1</v>
      </c>
      <c r="BS105" s="365"/>
      <c r="BT105" s="362">
        <v>1</v>
      </c>
      <c r="BU105" s="365"/>
      <c r="BV105" s="362">
        <v>1</v>
      </c>
      <c r="BW105" s="365"/>
      <c r="BX105" s="362">
        <v>1</v>
      </c>
      <c r="BY105" s="365"/>
      <c r="BZ105" s="362">
        <v>1</v>
      </c>
      <c r="CA105" s="365"/>
      <c r="CB105" s="370"/>
      <c r="CC105" s="360">
        <v>1</v>
      </c>
      <c r="CD105" s="351" t="e">
        <f>IF('Inhaltliche Bewertung - GI'!RechtsformGI=BT$13,BT105*CC105,IF('Inhaltliche Bewertung - GI'!RechtsformGI=BV$13,BV105*CC105,IF('Inhaltliche Bewertung - GI'!RechtsformGI=BX$13,BX105*CC105,IF('Inhaltliche Bewertung - GI'!RechtsformGI=BZ$13,BZ105*CC105,IF('Inhaltliche Bewertung - GI'!RechtsformGI=BR$13,BR105*CC105,"")))))</f>
        <v>#N/A</v>
      </c>
      <c r="CE105" s="351" t="e">
        <f>IF('Inhaltliche Bewertung - GI'!RechtsformAngebot=BT$13,BT105*CC105,IF('Inhaltliche Bewertung - GI'!RechtsformAngebot=BV$13,BV105*CC105,IF('Inhaltliche Bewertung - GI'!RechtsformAngebot=BX$13,BX105*CC105,IF('Inhaltliche Bewertung - GI'!RechtsformAngebot=BZ$13,BZ105*CC105,IF('Inhaltliche Bewertung - GI'!RechtsformAngebot=BR$13,BR105*CC105,"")))))</f>
        <v>#N/A</v>
      </c>
      <c r="CF105" s="351"/>
      <c r="CG105" s="356" t="s">
        <v>3234</v>
      </c>
      <c r="CH105" s="376">
        <v>0</v>
      </c>
      <c r="CI105" s="377"/>
      <c r="CJ105" s="376">
        <v>0</v>
      </c>
      <c r="CK105" s="377"/>
      <c r="CL105" s="376">
        <v>0</v>
      </c>
      <c r="CM105" s="377"/>
      <c r="CN105" s="376">
        <v>0</v>
      </c>
      <c r="CO105" s="377"/>
      <c r="CP105" s="376">
        <v>0</v>
      </c>
      <c r="CQ105" s="377"/>
      <c r="CR105" s="377"/>
      <c r="CS105" s="360">
        <v>1</v>
      </c>
      <c r="CT105" s="351" t="e">
        <f>IF('Inhaltliche Bewertung - GI'!RechtsformGI=CJ$13,CJ105*CS105,IF('Inhaltliche Bewertung - GI'!RechtsformGI=CL$13,CL105*CS105,IF('Inhaltliche Bewertung - GI'!RechtsformGI=CN$13,CN105*CS105,IF('Inhaltliche Bewertung - GI'!RechtsformGI=CP$13,CP105*CS105,IF('Inhaltliche Bewertung - GI'!RechtsformGI=CH$13,CH105*CS105,"")))))</f>
        <v>#N/A</v>
      </c>
      <c r="CU105" s="351" t="e">
        <f>IF('Inhaltliche Bewertung - GI'!RechtsformAngebot=CJ$13,CJ105*CS105,IF('Inhaltliche Bewertung - GI'!RechtsformAngebot=CL$13,CL105*CS105,IF('Inhaltliche Bewertung - GI'!RechtsformAngebot=CN$13,CN105*CS105,IF('Inhaltliche Bewertung - GI'!RechtsformAngebot=CP$13,CP105*CS105,IF('Inhaltliche Bewertung - GI'!RechtsformAngebot=CH$13,CH105*CS105,"")))))</f>
        <v>#N/A</v>
      </c>
      <c r="CV105" s="351"/>
      <c r="CW105" s="361" t="s">
        <v>3540</v>
      </c>
      <c r="CX105" s="362">
        <v>1</v>
      </c>
      <c r="CY105" s="365"/>
      <c r="CZ105" s="362">
        <v>1</v>
      </c>
      <c r="DA105" s="365"/>
      <c r="DB105" s="362">
        <v>1</v>
      </c>
      <c r="DC105" s="365"/>
      <c r="DD105" s="362">
        <v>1</v>
      </c>
      <c r="DE105" s="365"/>
      <c r="DF105" s="362">
        <v>1</v>
      </c>
      <c r="DG105" s="365"/>
      <c r="DH105" s="370"/>
      <c r="DI105" s="360">
        <v>1</v>
      </c>
      <c r="DJ105" s="351" t="e">
        <f>IF('Inhaltliche Bewertung - GI'!RechtsformGI=CZ$13,CZ105*DI105,IF('Inhaltliche Bewertung - GI'!RechtsformGI=DB$13,DB105*DI105,IF('Inhaltliche Bewertung - GI'!RechtsformGI=DD$13,DD105*DI105,IF('Inhaltliche Bewertung - GI'!RechtsformGI=DF$13,DF105*DI105,IF('Inhaltliche Bewertung - GI'!RechtsformGI=CX$13,CX105*DI105,"")))))</f>
        <v>#N/A</v>
      </c>
      <c r="DK105" s="351" t="e">
        <f>IF('Inhaltliche Bewertung - GI'!RechtsformAngebot=CZ$13,CZ105*DI105,IF('Inhaltliche Bewertung - GI'!RechtsformAngebot=DB$13,DB105*DI105,IF('Inhaltliche Bewertung - GI'!RechtsformAngebot=DD$13,DD105*DI105,IF('Inhaltliche Bewertung - GI'!RechtsformAngebot=DF$13,DF105*DI105,IF('Inhaltliche Bewertung - GI'!RechtsformAngebot=CX$13,CX105*DI105,"")))))</f>
        <v>#N/A</v>
      </c>
      <c r="DL105" s="351"/>
      <c r="DM105" s="361" t="s">
        <v>3543</v>
      </c>
      <c r="DN105" s="362">
        <v>1</v>
      </c>
      <c r="DO105" s="365"/>
      <c r="DP105" s="362">
        <v>1</v>
      </c>
      <c r="DQ105" s="365"/>
      <c r="DR105" s="362">
        <v>1</v>
      </c>
      <c r="DS105" s="365"/>
      <c r="DT105" s="362">
        <v>1</v>
      </c>
      <c r="DU105" s="365"/>
      <c r="DV105" s="362">
        <v>1</v>
      </c>
      <c r="DW105" s="365"/>
      <c r="DX105" s="370"/>
      <c r="DY105" s="360">
        <v>1</v>
      </c>
      <c r="DZ105" s="351" t="e">
        <f>IF('Inhaltliche Bewertung - GI'!RechtsformGI=DP$13,DP105*DY105,IF('Inhaltliche Bewertung - GI'!RechtsformGI=DR$13,DR105*DY105,IF('Inhaltliche Bewertung - GI'!RechtsformGI=DT$13,DT105*DY105,IF('Inhaltliche Bewertung - GI'!RechtsformGI=DV$13,DV105*DY105,IF('Inhaltliche Bewertung - GI'!RechtsformGI=DN$13,DN105*DY105,"")))))</f>
        <v>#N/A</v>
      </c>
      <c r="EA105" s="351" t="e">
        <f>IF('Inhaltliche Bewertung - GI'!RechtsformAngebot=DP$13,DP105*DY105,IF('Inhaltliche Bewertung - GI'!RechtsformAngebot=DR$13,DR105*DY105,IF('Inhaltliche Bewertung - GI'!RechtsformAngebot=DT$13,DT105*DY105,IF('Inhaltliche Bewertung - GI'!RechtsformAngebot=DV$13,DV105*DY105,IF('Inhaltliche Bewertung - GI'!RechtsformAngebot=DN$13,DN105*DY105,"")))))</f>
        <v>#N/A</v>
      </c>
      <c r="EB105" s="351"/>
      <c r="EC105" s="157">
        <f t="shared" si="1"/>
        <v>0</v>
      </c>
      <c r="ED105" s="157">
        <f t="shared" si="2"/>
        <v>1</v>
      </c>
      <c r="EE105" s="157">
        <f t="shared" si="3"/>
        <v>0.75</v>
      </c>
      <c r="EF105" s="157">
        <f t="shared" si="4"/>
        <v>1</v>
      </c>
    </row>
    <row r="106" spans="1:136" ht="14.25" customHeight="1">
      <c r="A106" s="444" t="b">
        <f t="shared" si="7"/>
        <v>1</v>
      </c>
      <c r="B106" s="292"/>
      <c r="C106" s="355" t="s">
        <v>3548</v>
      </c>
      <c r="D106" s="345"/>
      <c r="E106" s="371" t="s">
        <v>3549</v>
      </c>
      <c r="F106" s="372">
        <v>0.5</v>
      </c>
      <c r="G106" s="358"/>
      <c r="H106" s="372">
        <v>0.5</v>
      </c>
      <c r="I106" s="358"/>
      <c r="J106" s="372">
        <v>0.5</v>
      </c>
      <c r="K106" s="358"/>
      <c r="L106" s="372">
        <v>0.5</v>
      </c>
      <c r="M106" s="358"/>
      <c r="N106" s="372">
        <v>0.5</v>
      </c>
      <c r="O106" s="358"/>
      <c r="P106" s="359"/>
      <c r="Q106" s="360">
        <v>1</v>
      </c>
      <c r="R106" s="351" t="e">
        <f>IF('Inhaltliche Bewertung - GI'!RechtsformGI=H$13,H106*Q106,IF('Inhaltliche Bewertung - GI'!RechtsformGI=J$13,J106*Q106,IF('Inhaltliche Bewertung - GI'!RechtsformGI=L$13,L106*Q106,IF('Inhaltliche Bewertung - GI'!RechtsformGI=N$13,N106*Q106,IF('Inhaltliche Bewertung - GI'!RechtsformGI=F$13,F106*Q106,"")))))</f>
        <v>#N/A</v>
      </c>
      <c r="S106" s="351" t="e">
        <f>IF('Inhaltliche Bewertung - GI'!RechtsformAngebot=H$13,H106*Q106,IF('Inhaltliche Bewertung - GI'!RechtsformAngebot=J$13,J106*Q106,IF('Inhaltliche Bewertung - GI'!RechtsformAngebot=L$13,L106*Q106,IF('Inhaltliche Bewertung - GI'!RechtsformAngebot=N$13,N106*Q106,IF('Inhaltliche Bewertung - GI'!RechtsformAngebot=F$13,F106*Q106,"")))))</f>
        <v>#N/A</v>
      </c>
      <c r="T106" s="351"/>
      <c r="U106" s="371" t="s">
        <v>3550</v>
      </c>
      <c r="V106" s="372">
        <v>0.5</v>
      </c>
      <c r="W106" s="358"/>
      <c r="X106" s="372">
        <v>0.5</v>
      </c>
      <c r="Y106" s="358"/>
      <c r="Z106" s="372">
        <v>0.5</v>
      </c>
      <c r="AA106" s="358"/>
      <c r="AB106" s="372">
        <v>0.5</v>
      </c>
      <c r="AC106" s="358"/>
      <c r="AD106" s="372">
        <v>0.5</v>
      </c>
      <c r="AE106" s="358"/>
      <c r="AF106" s="359"/>
      <c r="AG106" s="360">
        <v>1</v>
      </c>
      <c r="AH106" s="351" t="e">
        <f>IF('Inhaltliche Bewertung - GI'!RechtsformGI=X$13,X106*AG106,IF('Inhaltliche Bewertung - GI'!RechtsformGI=Z$13,Z106*AG106,IF('Inhaltliche Bewertung - GI'!RechtsformGI=AB$13,AB106*AG106,IF('Inhaltliche Bewertung - GI'!RechtsformGI=AD$13,AD106*AG106,IF('Inhaltliche Bewertung - GI'!RechtsformGI=V$13,V106*AG106,"")))))</f>
        <v>#N/A</v>
      </c>
      <c r="AI106" s="351" t="e">
        <f>IF('Inhaltliche Bewertung - GI'!RechtsformAngebot=X$13,X106*AG106,IF('Inhaltliche Bewertung - GI'!RechtsformAngebot=Z$13,Z106*AG106,IF('Inhaltliche Bewertung - GI'!RechtsformAngebot=AB$13,AB106*AG106,IF('Inhaltliche Bewertung - GI'!RechtsformAngebot=AD$13,AD106*AG106,IF('Inhaltliche Bewertung - GI'!RechtsformAngebot=V$13,V106*AG106,"")))))</f>
        <v>#N/A</v>
      </c>
      <c r="AJ106" s="351"/>
      <c r="AK106" s="361" t="s">
        <v>3551</v>
      </c>
      <c r="AL106" s="372">
        <v>0.5</v>
      </c>
      <c r="AM106" s="358"/>
      <c r="AN106" s="372">
        <v>0.5</v>
      </c>
      <c r="AO106" s="358"/>
      <c r="AP106" s="372">
        <v>0.5</v>
      </c>
      <c r="AQ106" s="358"/>
      <c r="AR106" s="372">
        <v>0.5</v>
      </c>
      <c r="AS106" s="358"/>
      <c r="AT106" s="372">
        <v>0.5</v>
      </c>
      <c r="AU106" s="358"/>
      <c r="AV106" s="359"/>
      <c r="AW106" s="360">
        <v>1</v>
      </c>
      <c r="AX106" s="351" t="e">
        <f>IF('Inhaltliche Bewertung - GI'!RechtsformGI=AN$13,AN106*AW106,IF('Inhaltliche Bewertung - GI'!RechtsformGI=AP$13,AP106*AW106,IF('Inhaltliche Bewertung - GI'!RechtsformGI=AR$13,AR106*AW106,IF('Inhaltliche Bewertung - GI'!RechtsformGI=AT$13,AT106*AW106,IF('Inhaltliche Bewertung - GI'!RechtsformGI=AL$13,AL106*AW106,"")))))</f>
        <v>#N/A</v>
      </c>
      <c r="AY106" s="351" t="e">
        <f>IF('Inhaltliche Bewertung - GI'!RechtsformAngebot=AN$13,AN106*AW106,IF('Inhaltliche Bewertung - GI'!RechtsformAngebot=AP$13,AP106*AW106,IF('Inhaltliche Bewertung - GI'!RechtsformAngebot=AR$13,AR106*AW106,IF('Inhaltliche Bewertung - GI'!RechtsformAngebot=AT$13,AT106*AW106,IF('Inhaltliche Bewertung - GI'!RechtsformAngebot=AL$13,AL106*AW106,"")))))</f>
        <v>#N/A</v>
      </c>
      <c r="AZ106" s="351"/>
      <c r="BA106" s="371" t="s">
        <v>3552</v>
      </c>
      <c r="BB106" s="372">
        <v>0.5</v>
      </c>
      <c r="BC106" s="358"/>
      <c r="BD106" s="372">
        <v>0.5</v>
      </c>
      <c r="BE106" s="358"/>
      <c r="BF106" s="372">
        <v>0.5</v>
      </c>
      <c r="BG106" s="358"/>
      <c r="BH106" s="372">
        <v>0.5</v>
      </c>
      <c r="BI106" s="358"/>
      <c r="BJ106" s="372">
        <v>0.5</v>
      </c>
      <c r="BK106" s="358"/>
      <c r="BL106" s="359"/>
      <c r="BM106" s="360">
        <v>1</v>
      </c>
      <c r="BN106" s="351" t="e">
        <f>IF('Inhaltliche Bewertung - GI'!RechtsformGI=BD$13,BD106*BM106,IF('Inhaltliche Bewertung - GI'!RechtsformGI=BF$13,BF106*BM106,IF('Inhaltliche Bewertung - GI'!RechtsformGI=BH$13,BH106*BM106,IF('Inhaltliche Bewertung - GI'!RechtsformGI=BJ$13,BJ106*BM106,IF('Inhaltliche Bewertung - GI'!RechtsformGI=BB$13,BB106*BM106,"")))))</f>
        <v>#N/A</v>
      </c>
      <c r="BO106" s="351" t="e">
        <f>IF('Inhaltliche Bewertung - GI'!RechtsformAngebot=BD$13,BD106*BM106,IF('Inhaltliche Bewertung - GI'!RechtsformAngebot=BF$13,BF106*BM106,IF('Inhaltliche Bewertung - GI'!RechtsformAngebot=BH$13,BH106*BM106,IF('Inhaltliche Bewertung - GI'!RechtsformAngebot=BJ$13,BJ106*BM106,IF('Inhaltliche Bewertung - GI'!RechtsformAngebot=BB$13,BB106*BM106,"")))))</f>
        <v>#N/A</v>
      </c>
      <c r="BP106" s="351"/>
      <c r="BQ106" s="371" t="s">
        <v>3553</v>
      </c>
      <c r="BR106" s="372">
        <v>0.5</v>
      </c>
      <c r="BS106" s="358"/>
      <c r="BT106" s="372">
        <v>0.5</v>
      </c>
      <c r="BU106" s="358"/>
      <c r="BV106" s="372">
        <v>0.5</v>
      </c>
      <c r="BW106" s="358"/>
      <c r="BX106" s="372">
        <v>0.5</v>
      </c>
      <c r="BY106" s="358"/>
      <c r="BZ106" s="372">
        <v>0.5</v>
      </c>
      <c r="CA106" s="358"/>
      <c r="CB106" s="359"/>
      <c r="CC106" s="360">
        <v>1</v>
      </c>
      <c r="CD106" s="351" t="e">
        <f>IF('Inhaltliche Bewertung - GI'!RechtsformGI=BT$13,BT106*CC106,IF('Inhaltliche Bewertung - GI'!RechtsformGI=BV$13,BV106*CC106,IF('Inhaltliche Bewertung - GI'!RechtsformGI=BX$13,BX106*CC106,IF('Inhaltliche Bewertung - GI'!RechtsformGI=BZ$13,BZ106*CC106,IF('Inhaltliche Bewertung - GI'!RechtsformGI=BR$13,BR106*CC106,"")))))</f>
        <v>#N/A</v>
      </c>
      <c r="CE106" s="351" t="e">
        <f>IF('Inhaltliche Bewertung - GI'!RechtsformAngebot=BT$13,BT106*CC106,IF('Inhaltliche Bewertung - GI'!RechtsformAngebot=BV$13,BV106*CC106,IF('Inhaltliche Bewertung - GI'!RechtsformAngebot=BX$13,BX106*CC106,IF('Inhaltliche Bewertung - GI'!RechtsformAngebot=BZ$13,BZ106*CC106,IF('Inhaltliche Bewertung - GI'!RechtsformAngebot=BR$13,BR106*CC106,"")))))</f>
        <v>#N/A</v>
      </c>
      <c r="CF106" s="351"/>
      <c r="CG106" s="371" t="s">
        <v>3554</v>
      </c>
      <c r="CH106" s="372">
        <v>0.5</v>
      </c>
      <c r="CI106" s="358"/>
      <c r="CJ106" s="372">
        <v>0.5</v>
      </c>
      <c r="CK106" s="358"/>
      <c r="CL106" s="372">
        <v>0.5</v>
      </c>
      <c r="CM106" s="358"/>
      <c r="CN106" s="372">
        <v>0.5</v>
      </c>
      <c r="CO106" s="358"/>
      <c r="CP106" s="372">
        <v>0.5</v>
      </c>
      <c r="CQ106" s="358"/>
      <c r="CR106" s="359"/>
      <c r="CS106" s="360">
        <v>1</v>
      </c>
      <c r="CT106" s="351" t="e">
        <f>IF('Inhaltliche Bewertung - GI'!RechtsformGI=CJ$13,CJ106*CS106,IF('Inhaltliche Bewertung - GI'!RechtsformGI=CL$13,CL106*CS106,IF('Inhaltliche Bewertung - GI'!RechtsformGI=CN$13,CN106*CS106,IF('Inhaltliche Bewertung - GI'!RechtsformGI=CP$13,CP106*CS106,IF('Inhaltliche Bewertung - GI'!RechtsformGI=CH$13,CH106*CS106,"")))))</f>
        <v>#N/A</v>
      </c>
      <c r="CU106" s="351" t="e">
        <f>IF('Inhaltliche Bewertung - GI'!RechtsformAngebot=CJ$13,CJ106*CS106,IF('Inhaltliche Bewertung - GI'!RechtsformAngebot=CL$13,CL106*CS106,IF('Inhaltliche Bewertung - GI'!RechtsformAngebot=CN$13,CN106*CS106,IF('Inhaltliche Bewertung - GI'!RechtsformAngebot=CP$13,CP106*CS106,IF('Inhaltliche Bewertung - GI'!RechtsformAngebot=CH$13,CH106*CS106,"")))))</f>
        <v>#N/A</v>
      </c>
      <c r="CV106" s="351"/>
      <c r="CW106" s="371" t="s">
        <v>3554</v>
      </c>
      <c r="CX106" s="372">
        <v>0.5</v>
      </c>
      <c r="CY106" s="358"/>
      <c r="CZ106" s="372">
        <v>0.5</v>
      </c>
      <c r="DA106" s="358"/>
      <c r="DB106" s="372">
        <v>0.5</v>
      </c>
      <c r="DC106" s="358"/>
      <c r="DD106" s="372">
        <v>0.5</v>
      </c>
      <c r="DE106" s="358"/>
      <c r="DF106" s="372">
        <v>0.5</v>
      </c>
      <c r="DG106" s="358"/>
      <c r="DH106" s="359"/>
      <c r="DI106" s="360">
        <v>1</v>
      </c>
      <c r="DJ106" s="351" t="e">
        <f>IF('Inhaltliche Bewertung - GI'!RechtsformGI=CZ$13,CZ106*DI106,IF('Inhaltliche Bewertung - GI'!RechtsformGI=DB$13,DB106*DI106,IF('Inhaltliche Bewertung - GI'!RechtsformGI=DD$13,DD106*DI106,IF('Inhaltliche Bewertung - GI'!RechtsformGI=DF$13,DF106*DI106,IF('Inhaltliche Bewertung - GI'!RechtsformGI=CX$13,CX106*DI106,"")))))</f>
        <v>#N/A</v>
      </c>
      <c r="DK106" s="351" t="e">
        <f>IF('Inhaltliche Bewertung - GI'!RechtsformAngebot=CZ$13,CZ106*DI106,IF('Inhaltliche Bewertung - GI'!RechtsformAngebot=DB$13,DB106*DI106,IF('Inhaltliche Bewertung - GI'!RechtsformAngebot=DD$13,DD106*DI106,IF('Inhaltliche Bewertung - GI'!RechtsformAngebot=DF$13,DF106*DI106,IF('Inhaltliche Bewertung - GI'!RechtsformAngebot=CX$13,CX106*DI106,"")))))</f>
        <v>#N/A</v>
      </c>
      <c r="DL106" s="351"/>
      <c r="DM106" s="361" t="s">
        <v>3555</v>
      </c>
      <c r="DN106" s="372">
        <v>0.5</v>
      </c>
      <c r="DO106" s="358"/>
      <c r="DP106" s="372">
        <v>0.5</v>
      </c>
      <c r="DQ106" s="358"/>
      <c r="DR106" s="372">
        <v>0.5</v>
      </c>
      <c r="DS106" s="358"/>
      <c r="DT106" s="372">
        <v>0.5</v>
      </c>
      <c r="DU106" s="358"/>
      <c r="DV106" s="372">
        <v>0.5</v>
      </c>
      <c r="DW106" s="358"/>
      <c r="DX106" s="359"/>
      <c r="DY106" s="360">
        <v>1</v>
      </c>
      <c r="DZ106" s="351" t="e">
        <f>IF('Inhaltliche Bewertung - GI'!RechtsformGI=DP$13,DP106*DY106,IF('Inhaltliche Bewertung - GI'!RechtsformGI=DR$13,DR106*DY106,IF('Inhaltliche Bewertung - GI'!RechtsformGI=DT$13,DT106*DY106,IF('Inhaltliche Bewertung - GI'!RechtsformGI=DV$13,DV106*DY106,IF('Inhaltliche Bewertung - GI'!RechtsformGI=DN$13,DN106*DY106,"")))))</f>
        <v>#N/A</v>
      </c>
      <c r="EA106" s="351" t="e">
        <f>IF('Inhaltliche Bewertung - GI'!RechtsformAngebot=DP$13,DP106*DY106,IF('Inhaltliche Bewertung - GI'!RechtsformAngebot=DR$13,DR106*DY106,IF('Inhaltliche Bewertung - GI'!RechtsformAngebot=DT$13,DT106*DY106,IF('Inhaltliche Bewertung - GI'!RechtsformAngebot=DV$13,DV106*DY106,IF('Inhaltliche Bewertung - GI'!RechtsformAngebot=DN$13,DN106*DY106,"")))))</f>
        <v>#N/A</v>
      </c>
      <c r="EB106" s="351"/>
      <c r="EC106" s="157">
        <f t="shared" si="1"/>
        <v>0.5</v>
      </c>
      <c r="ED106" s="157">
        <f t="shared" si="2"/>
        <v>0.5</v>
      </c>
      <c r="EE106" s="157">
        <f t="shared" si="3"/>
        <v>0.5</v>
      </c>
      <c r="EF106" s="157">
        <f t="shared" si="4"/>
        <v>0.5</v>
      </c>
    </row>
    <row r="107" spans="1:136" ht="14.25" customHeight="1">
      <c r="A107" s="444" t="b">
        <f t="shared" si="7"/>
        <v>1</v>
      </c>
      <c r="B107" s="292"/>
      <c r="C107" s="355" t="s">
        <v>3556</v>
      </c>
      <c r="D107" s="345"/>
      <c r="E107" s="371" t="s">
        <v>3557</v>
      </c>
      <c r="F107" s="372">
        <v>0.5</v>
      </c>
      <c r="G107" s="358"/>
      <c r="H107" s="372">
        <v>0.5</v>
      </c>
      <c r="I107" s="358"/>
      <c r="J107" s="372">
        <v>0.5</v>
      </c>
      <c r="K107" s="358"/>
      <c r="L107" s="372">
        <v>0.5</v>
      </c>
      <c r="M107" s="358"/>
      <c r="N107" s="372">
        <v>0.5</v>
      </c>
      <c r="O107" s="358"/>
      <c r="P107" s="359"/>
      <c r="Q107" s="360">
        <v>1</v>
      </c>
      <c r="R107" s="351" t="e">
        <f>IF('Inhaltliche Bewertung - GI'!RechtsformGI=H$13,H107*Q107,IF('Inhaltliche Bewertung - GI'!RechtsformGI=J$13,J107*Q107,IF('Inhaltliche Bewertung - GI'!RechtsformGI=L$13,L107*Q107,IF('Inhaltliche Bewertung - GI'!RechtsformGI=N$13,N107*Q107,IF('Inhaltliche Bewertung - GI'!RechtsformGI=F$13,F107*Q107,"")))))</f>
        <v>#N/A</v>
      </c>
      <c r="S107" s="351" t="e">
        <f>IF('Inhaltliche Bewertung - GI'!RechtsformAngebot=H$13,H107*Q107,IF('Inhaltliche Bewertung - GI'!RechtsformAngebot=J$13,J107*Q107,IF('Inhaltliche Bewertung - GI'!RechtsformAngebot=L$13,L107*Q107,IF('Inhaltliche Bewertung - GI'!RechtsformAngebot=N$13,N107*Q107,IF('Inhaltliche Bewertung - GI'!RechtsformAngebot=F$13,F107*Q107,"")))))</f>
        <v>#N/A</v>
      </c>
      <c r="T107" s="351"/>
      <c r="U107" s="371" t="s">
        <v>3558</v>
      </c>
      <c r="V107" s="372">
        <v>0.5</v>
      </c>
      <c r="W107" s="358"/>
      <c r="X107" s="372">
        <v>0.5</v>
      </c>
      <c r="Y107" s="358"/>
      <c r="Z107" s="372">
        <v>0.5</v>
      </c>
      <c r="AA107" s="358"/>
      <c r="AB107" s="372">
        <v>0.5</v>
      </c>
      <c r="AC107" s="358"/>
      <c r="AD107" s="372">
        <v>0.5</v>
      </c>
      <c r="AE107" s="358"/>
      <c r="AF107" s="359"/>
      <c r="AG107" s="360">
        <v>1</v>
      </c>
      <c r="AH107" s="351" t="e">
        <f>IF('Inhaltliche Bewertung - GI'!RechtsformGI=X$13,X107*AG107,IF('Inhaltliche Bewertung - GI'!RechtsformGI=Z$13,Z107*AG107,IF('Inhaltliche Bewertung - GI'!RechtsformGI=AB$13,AB107*AG107,IF('Inhaltliche Bewertung - GI'!RechtsformGI=AD$13,AD107*AG107,IF('Inhaltliche Bewertung - GI'!RechtsformGI=V$13,V107*AG107,"")))))</f>
        <v>#N/A</v>
      </c>
      <c r="AI107" s="351" t="e">
        <f>IF('Inhaltliche Bewertung - GI'!RechtsformAngebot=X$13,X107*AG107,IF('Inhaltliche Bewertung - GI'!RechtsformAngebot=Z$13,Z107*AG107,IF('Inhaltliche Bewertung - GI'!RechtsformAngebot=AB$13,AB107*AG107,IF('Inhaltliche Bewertung - GI'!RechtsformAngebot=AD$13,AD107*AG107,IF('Inhaltliche Bewertung - GI'!RechtsformAngebot=V$13,V107*AG107,"")))))</f>
        <v>#N/A</v>
      </c>
      <c r="AJ107" s="351"/>
      <c r="AK107" s="371" t="s">
        <v>3559</v>
      </c>
      <c r="AL107" s="372">
        <v>0.5</v>
      </c>
      <c r="AM107" s="358"/>
      <c r="AN107" s="372">
        <v>0.5</v>
      </c>
      <c r="AO107" s="358"/>
      <c r="AP107" s="372">
        <v>0.5</v>
      </c>
      <c r="AQ107" s="358"/>
      <c r="AR107" s="372">
        <v>0.5</v>
      </c>
      <c r="AS107" s="358"/>
      <c r="AT107" s="372">
        <v>0.5</v>
      </c>
      <c r="AU107" s="358"/>
      <c r="AV107" s="359"/>
      <c r="AW107" s="360">
        <v>1</v>
      </c>
      <c r="AX107" s="351" t="e">
        <f>IF('Inhaltliche Bewertung - GI'!RechtsformGI=AN$13,AN107*AW107,IF('Inhaltliche Bewertung - GI'!RechtsformGI=AP$13,AP107*AW107,IF('Inhaltliche Bewertung - GI'!RechtsformGI=AR$13,AR107*AW107,IF('Inhaltliche Bewertung - GI'!RechtsformGI=AT$13,AT107*AW107,IF('Inhaltliche Bewertung - GI'!RechtsformGI=AL$13,AL107*AW107,"")))))</f>
        <v>#N/A</v>
      </c>
      <c r="AY107" s="351" t="e">
        <f>IF('Inhaltliche Bewertung - GI'!RechtsformAngebot=AN$13,AN107*AW107,IF('Inhaltliche Bewertung - GI'!RechtsformAngebot=AP$13,AP107*AW107,IF('Inhaltliche Bewertung - GI'!RechtsformAngebot=AR$13,AR107*AW107,IF('Inhaltliche Bewertung - GI'!RechtsformAngebot=AT$13,AT107*AW107,IF('Inhaltliche Bewertung - GI'!RechtsformAngebot=AL$13,AL107*AW107,"")))))</f>
        <v>#N/A</v>
      </c>
      <c r="AZ107" s="351"/>
      <c r="BA107" s="361" t="s">
        <v>3560</v>
      </c>
      <c r="BB107" s="372">
        <v>0.5</v>
      </c>
      <c r="BC107" s="358"/>
      <c r="BD107" s="372">
        <v>0.5</v>
      </c>
      <c r="BE107" s="358"/>
      <c r="BF107" s="372">
        <v>0.5</v>
      </c>
      <c r="BG107" s="358"/>
      <c r="BH107" s="372">
        <v>0.5</v>
      </c>
      <c r="BI107" s="358"/>
      <c r="BJ107" s="372">
        <v>0.5</v>
      </c>
      <c r="BK107" s="358"/>
      <c r="BL107" s="359"/>
      <c r="BM107" s="360">
        <v>1</v>
      </c>
      <c r="BN107" s="351" t="e">
        <f>IF('Inhaltliche Bewertung - GI'!RechtsformGI=BD$13,BD107*BM107,IF('Inhaltliche Bewertung - GI'!RechtsformGI=BF$13,BF107*BM107,IF('Inhaltliche Bewertung - GI'!RechtsformGI=BH$13,BH107*BM107,IF('Inhaltliche Bewertung - GI'!RechtsformGI=BJ$13,BJ107*BM107,IF('Inhaltliche Bewertung - GI'!RechtsformGI=BB$13,BB107*BM107,"")))))</f>
        <v>#N/A</v>
      </c>
      <c r="BO107" s="351" t="e">
        <f>IF('Inhaltliche Bewertung - GI'!RechtsformAngebot=BD$13,BD107*BM107,IF('Inhaltliche Bewertung - GI'!RechtsformAngebot=BF$13,BF107*BM107,IF('Inhaltliche Bewertung - GI'!RechtsformAngebot=BH$13,BH107*BM107,IF('Inhaltliche Bewertung - GI'!RechtsformAngebot=BJ$13,BJ107*BM107,IF('Inhaltliche Bewertung - GI'!RechtsformAngebot=BB$13,BB107*BM107,"")))))</f>
        <v>#N/A</v>
      </c>
      <c r="BP107" s="351"/>
      <c r="BQ107" s="361" t="s">
        <v>3560</v>
      </c>
      <c r="BR107" s="372">
        <v>0.5</v>
      </c>
      <c r="BS107" s="358"/>
      <c r="BT107" s="372">
        <v>0.5</v>
      </c>
      <c r="BU107" s="358"/>
      <c r="BV107" s="372">
        <v>0.5</v>
      </c>
      <c r="BW107" s="358"/>
      <c r="BX107" s="372">
        <v>0.5</v>
      </c>
      <c r="BY107" s="358"/>
      <c r="BZ107" s="372">
        <v>0.5</v>
      </c>
      <c r="CA107" s="358"/>
      <c r="CB107" s="359"/>
      <c r="CC107" s="360">
        <v>1</v>
      </c>
      <c r="CD107" s="351" t="e">
        <f>IF('Inhaltliche Bewertung - GI'!RechtsformGI=BT$13,BT107*CC107,IF('Inhaltliche Bewertung - GI'!RechtsformGI=BV$13,BV107*CC107,IF('Inhaltliche Bewertung - GI'!RechtsformGI=BX$13,BX107*CC107,IF('Inhaltliche Bewertung - GI'!RechtsformGI=BZ$13,BZ107*CC107,IF('Inhaltliche Bewertung - GI'!RechtsformGI=BR$13,BR107*CC107,"")))))</f>
        <v>#N/A</v>
      </c>
      <c r="CE107" s="351" t="e">
        <f>IF('Inhaltliche Bewertung - GI'!RechtsformAngebot=BT$13,BT107*CC107,IF('Inhaltliche Bewertung - GI'!RechtsformAngebot=BV$13,BV107*CC107,IF('Inhaltliche Bewertung - GI'!RechtsformAngebot=BX$13,BX107*CC107,IF('Inhaltliche Bewertung - GI'!RechtsformAngebot=BZ$13,BZ107*CC107,IF('Inhaltliche Bewertung - GI'!RechtsformAngebot=BR$13,BR107*CC107,"")))))</f>
        <v>#N/A</v>
      </c>
      <c r="CF107" s="351"/>
      <c r="CG107" s="371" t="s">
        <v>3557</v>
      </c>
      <c r="CH107" s="372">
        <v>0.5</v>
      </c>
      <c r="CI107" s="358"/>
      <c r="CJ107" s="372">
        <v>0.5</v>
      </c>
      <c r="CK107" s="358"/>
      <c r="CL107" s="372">
        <v>0.5</v>
      </c>
      <c r="CM107" s="358"/>
      <c r="CN107" s="372">
        <v>0.5</v>
      </c>
      <c r="CO107" s="358"/>
      <c r="CP107" s="372">
        <v>0.5</v>
      </c>
      <c r="CQ107" s="358"/>
      <c r="CR107" s="359"/>
      <c r="CS107" s="360">
        <v>1</v>
      </c>
      <c r="CT107" s="351" t="e">
        <f>IF('Inhaltliche Bewertung - GI'!RechtsformGI=CJ$13,CJ107*CS107,IF('Inhaltliche Bewertung - GI'!RechtsformGI=CL$13,CL107*CS107,IF('Inhaltliche Bewertung - GI'!RechtsformGI=CN$13,CN107*CS107,IF('Inhaltliche Bewertung - GI'!RechtsformGI=CP$13,CP107*CS107,IF('Inhaltliche Bewertung - GI'!RechtsformGI=CH$13,CH107*CS107,"")))))</f>
        <v>#N/A</v>
      </c>
      <c r="CU107" s="351" t="e">
        <f>IF('Inhaltliche Bewertung - GI'!RechtsformAngebot=CJ$13,CJ107*CS107,IF('Inhaltliche Bewertung - GI'!RechtsformAngebot=CL$13,CL107*CS107,IF('Inhaltliche Bewertung - GI'!RechtsformAngebot=CN$13,CN107*CS107,IF('Inhaltliche Bewertung - GI'!RechtsformAngebot=CP$13,CP107*CS107,IF('Inhaltliche Bewertung - GI'!RechtsformAngebot=CH$13,CH107*CS107,"")))))</f>
        <v>#N/A</v>
      </c>
      <c r="CV107" s="351"/>
      <c r="CW107" s="371" t="s">
        <v>3557</v>
      </c>
      <c r="CX107" s="372">
        <v>0.5</v>
      </c>
      <c r="CY107" s="358"/>
      <c r="CZ107" s="372">
        <v>0.5</v>
      </c>
      <c r="DA107" s="358"/>
      <c r="DB107" s="372">
        <v>0.5</v>
      </c>
      <c r="DC107" s="358"/>
      <c r="DD107" s="372">
        <v>0.5</v>
      </c>
      <c r="DE107" s="358"/>
      <c r="DF107" s="372">
        <v>0.5</v>
      </c>
      <c r="DG107" s="358"/>
      <c r="DH107" s="359"/>
      <c r="DI107" s="360">
        <v>1</v>
      </c>
      <c r="DJ107" s="351" t="e">
        <f>IF('Inhaltliche Bewertung - GI'!RechtsformGI=CZ$13,CZ107*DI107,IF('Inhaltliche Bewertung - GI'!RechtsformGI=DB$13,DB107*DI107,IF('Inhaltliche Bewertung - GI'!RechtsformGI=DD$13,DD107*DI107,IF('Inhaltliche Bewertung - GI'!RechtsformGI=DF$13,DF107*DI107,IF('Inhaltliche Bewertung - GI'!RechtsformGI=CX$13,CX107*DI107,"")))))</f>
        <v>#N/A</v>
      </c>
      <c r="DK107" s="351" t="e">
        <f>IF('Inhaltliche Bewertung - GI'!RechtsformAngebot=CZ$13,CZ107*DI107,IF('Inhaltliche Bewertung - GI'!RechtsformAngebot=DB$13,DB107*DI107,IF('Inhaltliche Bewertung - GI'!RechtsformAngebot=DD$13,DD107*DI107,IF('Inhaltliche Bewertung - GI'!RechtsformAngebot=DF$13,DF107*DI107,IF('Inhaltliche Bewertung - GI'!RechtsformAngebot=CX$13,CX107*DI107,"")))))</f>
        <v>#N/A</v>
      </c>
      <c r="DL107" s="351"/>
      <c r="DM107" s="361" t="s">
        <v>3561</v>
      </c>
      <c r="DN107" s="372">
        <v>0.5</v>
      </c>
      <c r="DO107" s="358"/>
      <c r="DP107" s="372">
        <v>0.5</v>
      </c>
      <c r="DQ107" s="358"/>
      <c r="DR107" s="372">
        <v>0.5</v>
      </c>
      <c r="DS107" s="358"/>
      <c r="DT107" s="372">
        <v>0.5</v>
      </c>
      <c r="DU107" s="358"/>
      <c r="DV107" s="372">
        <v>0.5</v>
      </c>
      <c r="DW107" s="358"/>
      <c r="DX107" s="359"/>
      <c r="DY107" s="360">
        <v>1</v>
      </c>
      <c r="DZ107" s="351" t="e">
        <f>IF('Inhaltliche Bewertung - GI'!RechtsformGI=DP$13,DP107*DY107,IF('Inhaltliche Bewertung - GI'!RechtsformGI=DR$13,DR107*DY107,IF('Inhaltliche Bewertung - GI'!RechtsformGI=DT$13,DT107*DY107,IF('Inhaltliche Bewertung - GI'!RechtsformGI=DV$13,DV107*DY107,IF('Inhaltliche Bewertung - GI'!RechtsformGI=DN$13,DN107*DY107,"")))))</f>
        <v>#N/A</v>
      </c>
      <c r="EA107" s="351" t="e">
        <f>IF('Inhaltliche Bewertung - GI'!RechtsformAngebot=DP$13,DP107*DY107,IF('Inhaltliche Bewertung - GI'!RechtsformAngebot=DR$13,DR107*DY107,IF('Inhaltliche Bewertung - GI'!RechtsformAngebot=DT$13,DT107*DY107,IF('Inhaltliche Bewertung - GI'!RechtsformAngebot=DV$13,DV107*DY107,IF('Inhaltliche Bewertung - GI'!RechtsformAngebot=DN$13,DN107*DY107,"")))))</f>
        <v>#N/A</v>
      </c>
      <c r="EB107" s="351"/>
      <c r="EC107" s="157">
        <f t="shared" si="1"/>
        <v>0.5</v>
      </c>
      <c r="ED107" s="157">
        <f t="shared" si="2"/>
        <v>0.5</v>
      </c>
      <c r="EE107" s="157">
        <f t="shared" si="3"/>
        <v>0.5</v>
      </c>
      <c r="EF107" s="157">
        <f t="shared" si="4"/>
        <v>0.5</v>
      </c>
    </row>
    <row r="108" spans="1:136" ht="14.25" customHeight="1">
      <c r="A108" s="444" t="b">
        <f t="shared" si="7"/>
        <v>0</v>
      </c>
      <c r="B108" s="292"/>
      <c r="C108" s="355" t="s">
        <v>3562</v>
      </c>
      <c r="D108" s="345"/>
      <c r="E108" s="371" t="s">
        <v>3232</v>
      </c>
      <c r="F108" s="372">
        <v>0</v>
      </c>
      <c r="G108" s="358"/>
      <c r="H108" s="372">
        <v>0</v>
      </c>
      <c r="I108" s="358"/>
      <c r="J108" s="372">
        <v>0</v>
      </c>
      <c r="K108" s="358"/>
      <c r="L108" s="372">
        <v>0</v>
      </c>
      <c r="M108" s="358"/>
      <c r="N108" s="372">
        <v>0</v>
      </c>
      <c r="O108" s="358"/>
      <c r="P108" s="359"/>
      <c r="Q108" s="373">
        <v>1</v>
      </c>
      <c r="R108" s="351" t="e">
        <f>IF('Inhaltliche Bewertung - GI'!RechtsformGI=H$13,H108*Q108,IF('Inhaltliche Bewertung - GI'!RechtsformGI=J$13,J108*Q108,IF('Inhaltliche Bewertung - GI'!RechtsformGI=L$13,L108*Q108,IF('Inhaltliche Bewertung - GI'!RechtsformGI=N$13,N108*Q108,IF('Inhaltliche Bewertung - GI'!RechtsformGI=F$13,F108*Q108,"")))))</f>
        <v>#N/A</v>
      </c>
      <c r="S108" s="351" t="e">
        <f>IF('Inhaltliche Bewertung - GI'!RechtsformAngebot=H$13,H108*Q108,IF('Inhaltliche Bewertung - GI'!RechtsformAngebot=J$13,J108*Q108,IF('Inhaltliche Bewertung - GI'!RechtsformAngebot=L$13,L108*Q108,IF('Inhaltliche Bewertung - GI'!RechtsformAngebot=N$13,N108*Q108,IF('Inhaltliche Bewertung - GI'!RechtsformAngebot=F$13,F108*Q108,"")))))</f>
        <v>#N/A</v>
      </c>
      <c r="T108" s="351"/>
      <c r="U108" s="356" t="s">
        <v>3234</v>
      </c>
      <c r="V108" s="357">
        <v>0</v>
      </c>
      <c r="W108" s="374"/>
      <c r="X108" s="375">
        <v>0</v>
      </c>
      <c r="Y108" s="374"/>
      <c r="Z108" s="375">
        <v>0</v>
      </c>
      <c r="AA108" s="374"/>
      <c r="AB108" s="375">
        <v>0</v>
      </c>
      <c r="AC108" s="374"/>
      <c r="AD108" s="375">
        <v>0</v>
      </c>
      <c r="AE108" s="374"/>
      <c r="AF108" s="374"/>
      <c r="AG108" s="373">
        <v>1</v>
      </c>
      <c r="AH108" s="351" t="e">
        <f>IF('Inhaltliche Bewertung - GI'!RechtsformGI=X$13,X108*AG108,IF('Inhaltliche Bewertung - GI'!RechtsformGI=Z$13,Z108*AG108,IF('Inhaltliche Bewertung - GI'!RechtsformGI=AB$13,AB108*AG108,IF('Inhaltliche Bewertung - GI'!RechtsformGI=AD$13,AD108*AG108,IF('Inhaltliche Bewertung - GI'!RechtsformGI=V$13,V108*AG108,"")))))</f>
        <v>#N/A</v>
      </c>
      <c r="AI108" s="351" t="e">
        <f>IF('Inhaltliche Bewertung - GI'!RechtsformAngebot=X$13,X108*AG108,IF('Inhaltliche Bewertung - GI'!RechtsformAngebot=Z$13,Z108*AG108,IF('Inhaltliche Bewertung - GI'!RechtsformAngebot=AB$13,AB108*AG108,IF('Inhaltliche Bewertung - GI'!RechtsformAngebot=AD$13,AD108*AG108,IF('Inhaltliche Bewertung - GI'!RechtsformAngebot=V$13,V108*AG108,"")))))</f>
        <v>#N/A</v>
      </c>
      <c r="AJ108" s="351"/>
      <c r="AK108" s="361" t="s">
        <v>3563</v>
      </c>
      <c r="AL108" s="372">
        <v>0.5</v>
      </c>
      <c r="AM108" s="358"/>
      <c r="AN108" s="372">
        <v>0.5</v>
      </c>
      <c r="AO108" s="358"/>
      <c r="AP108" s="372">
        <v>0.5</v>
      </c>
      <c r="AQ108" s="358"/>
      <c r="AR108" s="372">
        <v>0.5</v>
      </c>
      <c r="AS108" s="358"/>
      <c r="AT108" s="372">
        <v>0.5</v>
      </c>
      <c r="AU108" s="358"/>
      <c r="AV108" s="359"/>
      <c r="AW108" s="373">
        <v>1</v>
      </c>
      <c r="AX108" s="351" t="e">
        <f>IF('Inhaltliche Bewertung - GI'!RechtsformGI=AN$13,AN108*AW108,IF('Inhaltliche Bewertung - GI'!RechtsformGI=AP$13,AP108*AW108,IF('Inhaltliche Bewertung - GI'!RechtsformGI=AR$13,AR108*AW108,IF('Inhaltliche Bewertung - GI'!RechtsformGI=AT$13,AT108*AW108,IF('Inhaltliche Bewertung - GI'!RechtsformGI=AL$13,AL108*AW108,"")))))</f>
        <v>#N/A</v>
      </c>
      <c r="AY108" s="351" t="e">
        <f>IF('Inhaltliche Bewertung - GI'!RechtsformAngebot=AN$13,AN108*AW108,IF('Inhaltliche Bewertung - GI'!RechtsformAngebot=AP$13,AP108*AW108,IF('Inhaltliche Bewertung - GI'!RechtsformAngebot=AR$13,AR108*AW108,IF('Inhaltliche Bewertung - GI'!RechtsformAngebot=AT$13,AT108*AW108,IF('Inhaltliche Bewertung - GI'!RechtsformAngebot=AL$13,AL108*AW108,"")))))</f>
        <v>#N/A</v>
      </c>
      <c r="AZ108" s="351"/>
      <c r="BA108" s="361" t="s">
        <v>3564</v>
      </c>
      <c r="BB108" s="372">
        <v>0.5</v>
      </c>
      <c r="BC108" s="358"/>
      <c r="BD108" s="372">
        <v>0.5</v>
      </c>
      <c r="BE108" s="358"/>
      <c r="BF108" s="372">
        <v>0.5</v>
      </c>
      <c r="BG108" s="358"/>
      <c r="BH108" s="372">
        <v>0.5</v>
      </c>
      <c r="BI108" s="358"/>
      <c r="BJ108" s="372">
        <v>0.5</v>
      </c>
      <c r="BK108" s="358"/>
      <c r="BL108" s="359"/>
      <c r="BM108" s="373">
        <v>1</v>
      </c>
      <c r="BN108" s="351" t="e">
        <f>IF('Inhaltliche Bewertung - GI'!RechtsformGI=BD$13,BD108*BM108,IF('Inhaltliche Bewertung - GI'!RechtsformGI=BF$13,BF108*BM108,IF('Inhaltliche Bewertung - GI'!RechtsformGI=BH$13,BH108*BM108,IF('Inhaltliche Bewertung - GI'!RechtsformGI=BJ$13,BJ108*BM108,IF('Inhaltliche Bewertung - GI'!RechtsformGI=BB$13,BB108*BM108,"")))))</f>
        <v>#N/A</v>
      </c>
      <c r="BO108" s="351" t="e">
        <f>IF('Inhaltliche Bewertung - GI'!RechtsformAngebot=BD$13,BD108*BM108,IF('Inhaltliche Bewertung - GI'!RechtsformAngebot=BF$13,BF108*BM108,IF('Inhaltliche Bewertung - GI'!RechtsformAngebot=BH$13,BH108*BM108,IF('Inhaltliche Bewertung - GI'!RechtsformAngebot=BJ$13,BJ108*BM108,IF('Inhaltliche Bewertung - GI'!RechtsformAngebot=BB$13,BB108*BM108,"")))))</f>
        <v>#N/A</v>
      </c>
      <c r="BP108" s="351"/>
      <c r="BQ108" s="361" t="s">
        <v>3564</v>
      </c>
      <c r="BR108" s="372">
        <v>0.5</v>
      </c>
      <c r="BS108" s="358"/>
      <c r="BT108" s="372">
        <v>0.5</v>
      </c>
      <c r="BU108" s="358"/>
      <c r="BV108" s="372">
        <v>0.5</v>
      </c>
      <c r="BW108" s="358"/>
      <c r="BX108" s="372">
        <v>0.5</v>
      </c>
      <c r="BY108" s="358"/>
      <c r="BZ108" s="372">
        <v>0.5</v>
      </c>
      <c r="CA108" s="358"/>
      <c r="CB108" s="359"/>
      <c r="CC108" s="373">
        <v>1</v>
      </c>
      <c r="CD108" s="351" t="e">
        <f>IF('Inhaltliche Bewertung - GI'!RechtsformGI=BT$13,BT108*CC108,IF('Inhaltliche Bewertung - GI'!RechtsformGI=BV$13,BV108*CC108,IF('Inhaltliche Bewertung - GI'!RechtsformGI=BX$13,BX108*CC108,IF('Inhaltliche Bewertung - GI'!RechtsformGI=BZ$13,BZ108*CC108,IF('Inhaltliche Bewertung - GI'!RechtsformGI=BR$13,BR108*CC108,"")))))</f>
        <v>#N/A</v>
      </c>
      <c r="CE108" s="351" t="e">
        <f>IF('Inhaltliche Bewertung - GI'!RechtsformAngebot=BT$13,BT108*CC108,IF('Inhaltliche Bewertung - GI'!RechtsformAngebot=BV$13,BV108*CC108,IF('Inhaltliche Bewertung - GI'!RechtsformAngebot=BX$13,BX108*CC108,IF('Inhaltliche Bewertung - GI'!RechtsformAngebot=BZ$13,BZ108*CC108,IF('Inhaltliche Bewertung - GI'!RechtsformAngebot=BR$13,BR108*CC108,"")))))</f>
        <v>#N/A</v>
      </c>
      <c r="CF108" s="351"/>
      <c r="CG108" s="371" t="s">
        <v>3565</v>
      </c>
      <c r="CH108" s="372">
        <v>0.5</v>
      </c>
      <c r="CI108" s="358"/>
      <c r="CJ108" s="372">
        <v>0.5</v>
      </c>
      <c r="CK108" s="358"/>
      <c r="CL108" s="372">
        <v>0.5</v>
      </c>
      <c r="CM108" s="358"/>
      <c r="CN108" s="372">
        <v>0.5</v>
      </c>
      <c r="CO108" s="358"/>
      <c r="CP108" s="372">
        <v>0.5</v>
      </c>
      <c r="CQ108" s="358"/>
      <c r="CR108" s="359"/>
      <c r="CS108" s="373">
        <v>1</v>
      </c>
      <c r="CT108" s="351" t="e">
        <f>IF('Inhaltliche Bewertung - GI'!RechtsformGI=CJ$13,CJ108*CS108,IF('Inhaltliche Bewertung - GI'!RechtsformGI=CL$13,CL108*CS108,IF('Inhaltliche Bewertung - GI'!RechtsformGI=CN$13,CN108*CS108,IF('Inhaltliche Bewertung - GI'!RechtsformGI=CP$13,CP108*CS108,IF('Inhaltliche Bewertung - GI'!RechtsformGI=CH$13,CH108*CS108,"")))))</f>
        <v>#N/A</v>
      </c>
      <c r="CU108" s="351" t="e">
        <f>IF('Inhaltliche Bewertung - GI'!RechtsformAngebot=CJ$13,CJ108*CS108,IF('Inhaltliche Bewertung - GI'!RechtsformAngebot=CL$13,CL108*CS108,IF('Inhaltliche Bewertung - GI'!RechtsformAngebot=CN$13,CN108*CS108,IF('Inhaltliche Bewertung - GI'!RechtsformAngebot=CP$13,CP108*CS108,IF('Inhaltliche Bewertung - GI'!RechtsformAngebot=CH$13,CH108*CS108,"")))))</f>
        <v>#N/A</v>
      </c>
      <c r="CV108" s="351"/>
      <c r="CW108" s="361" t="s">
        <v>3564</v>
      </c>
      <c r="CX108" s="372">
        <v>0.5</v>
      </c>
      <c r="CY108" s="358"/>
      <c r="CZ108" s="372">
        <v>0.5</v>
      </c>
      <c r="DA108" s="358"/>
      <c r="DB108" s="372">
        <v>0.5</v>
      </c>
      <c r="DC108" s="358"/>
      <c r="DD108" s="372">
        <v>0.5</v>
      </c>
      <c r="DE108" s="358"/>
      <c r="DF108" s="372">
        <v>0.5</v>
      </c>
      <c r="DG108" s="358"/>
      <c r="DH108" s="359"/>
      <c r="DI108" s="373">
        <v>1</v>
      </c>
      <c r="DJ108" s="351" t="e">
        <f>IF('Inhaltliche Bewertung - GI'!RechtsformGI=CZ$13,CZ108*DI108,IF('Inhaltliche Bewertung - GI'!RechtsformGI=DB$13,DB108*DI108,IF('Inhaltliche Bewertung - GI'!RechtsformGI=DD$13,DD108*DI108,IF('Inhaltliche Bewertung - GI'!RechtsformGI=DF$13,DF108*DI108,IF('Inhaltliche Bewertung - GI'!RechtsformGI=CX$13,CX108*DI108,"")))))</f>
        <v>#N/A</v>
      </c>
      <c r="DK108" s="351" t="e">
        <f>IF('Inhaltliche Bewertung - GI'!RechtsformAngebot=CZ$13,CZ108*DI108,IF('Inhaltliche Bewertung - GI'!RechtsformAngebot=DB$13,DB108*DI108,IF('Inhaltliche Bewertung - GI'!RechtsformAngebot=DD$13,DD108*DI108,IF('Inhaltliche Bewertung - GI'!RechtsformAngebot=DF$13,DF108*DI108,IF('Inhaltliche Bewertung - GI'!RechtsformAngebot=CX$13,CX108*DI108,"")))))</f>
        <v>#N/A</v>
      </c>
      <c r="DL108" s="351"/>
      <c r="DM108" s="361" t="s">
        <v>3566</v>
      </c>
      <c r="DN108" s="372">
        <v>0.5</v>
      </c>
      <c r="DO108" s="358"/>
      <c r="DP108" s="372">
        <v>0.5</v>
      </c>
      <c r="DQ108" s="358"/>
      <c r="DR108" s="372">
        <v>0.5</v>
      </c>
      <c r="DS108" s="358"/>
      <c r="DT108" s="372">
        <v>0.5</v>
      </c>
      <c r="DU108" s="358"/>
      <c r="DV108" s="372">
        <v>0.5</v>
      </c>
      <c r="DW108" s="358"/>
      <c r="DX108" s="359"/>
      <c r="DY108" s="373">
        <v>1</v>
      </c>
      <c r="DZ108" s="351" t="e">
        <f>IF('Inhaltliche Bewertung - GI'!RechtsformGI=DP$13,DP108*DY108,IF('Inhaltliche Bewertung - GI'!RechtsformGI=DR$13,DR108*DY108,IF('Inhaltliche Bewertung - GI'!RechtsformGI=DT$13,DT108*DY108,IF('Inhaltliche Bewertung - GI'!RechtsformGI=DV$13,DV108*DY108,IF('Inhaltliche Bewertung - GI'!RechtsformGI=DN$13,DN108*DY108,"")))))</f>
        <v>#N/A</v>
      </c>
      <c r="EA108" s="351" t="e">
        <f>IF('Inhaltliche Bewertung - GI'!RechtsformAngebot=DP$13,DP108*DY108,IF('Inhaltliche Bewertung - GI'!RechtsformAngebot=DR$13,DR108*DY108,IF('Inhaltliche Bewertung - GI'!RechtsformAngebot=DT$13,DT108*DY108,IF('Inhaltliche Bewertung - GI'!RechtsformAngebot=DV$13,DV108*DY108,IF('Inhaltliche Bewertung - GI'!RechtsformAngebot=DN$13,DN108*DY108,"")))))</f>
        <v>#N/A</v>
      </c>
      <c r="EB108" s="351"/>
      <c r="EC108" s="157">
        <f t="shared" si="1"/>
        <v>0</v>
      </c>
      <c r="ED108" s="157">
        <f t="shared" si="2"/>
        <v>0.5</v>
      </c>
      <c r="EE108" s="157">
        <f t="shared" si="3"/>
        <v>0.375</v>
      </c>
      <c r="EF108" s="157">
        <f t="shared" si="4"/>
        <v>0.5</v>
      </c>
    </row>
    <row r="109" spans="1:136" ht="14.25" customHeight="1">
      <c r="A109" s="395"/>
      <c r="B109" s="337" t="s">
        <v>3567</v>
      </c>
      <c r="C109" s="395"/>
      <c r="D109" s="396"/>
      <c r="E109" s="397"/>
      <c r="F109" s="398"/>
      <c r="G109" s="399"/>
      <c r="H109" s="398"/>
      <c r="I109" s="399"/>
      <c r="J109" s="398"/>
      <c r="K109" s="399"/>
      <c r="L109" s="398"/>
      <c r="M109" s="399"/>
      <c r="N109" s="398"/>
      <c r="O109" s="399"/>
      <c r="P109" s="400"/>
      <c r="Q109" s="401"/>
      <c r="R109" s="351" t="e">
        <f>IF('Inhaltliche Bewertung - GI'!RechtsformGI=H$13,H109*Q109,IF('Inhaltliche Bewertung - GI'!RechtsformGI=J$13,J109*Q109,IF('Inhaltliche Bewertung - GI'!RechtsformGI=L$13,L109*Q109,IF('Inhaltliche Bewertung - GI'!RechtsformGI=N$13,N109*Q109,IF('Inhaltliche Bewertung - GI'!RechtsformGI=F$13,F109*Q109,"")))))</f>
        <v>#N/A</v>
      </c>
      <c r="S109" s="351" t="e">
        <f>IF('Inhaltliche Bewertung - GI'!RechtsformAngebot=H$13,H109*Q109,IF('Inhaltliche Bewertung - GI'!RechtsformAngebot=J$13,J109*Q109,IF('Inhaltliche Bewertung - GI'!RechtsformAngebot=L$13,L109*Q109,IF('Inhaltliche Bewertung - GI'!RechtsformAngebot=N$13,N109*Q109,IF('Inhaltliche Bewertung - GI'!RechtsformAngebot=F$13,F109*Q109,"")))))</f>
        <v>#N/A</v>
      </c>
      <c r="T109" s="351"/>
      <c r="U109" s="397"/>
      <c r="V109" s="398"/>
      <c r="W109" s="402"/>
      <c r="X109" s="403"/>
      <c r="Y109" s="402"/>
      <c r="Z109" s="403"/>
      <c r="AA109" s="402"/>
      <c r="AB109" s="403"/>
      <c r="AC109" s="402"/>
      <c r="AD109" s="403"/>
      <c r="AE109" s="402"/>
      <c r="AF109" s="402"/>
      <c r="AG109" s="401"/>
      <c r="AH109" s="351" t="e">
        <f>IF('Inhaltliche Bewertung - GI'!RechtsformGI=X$13,X109*AG109,IF('Inhaltliche Bewertung - GI'!RechtsformGI=Z$13,Z109*AG109,IF('Inhaltliche Bewertung - GI'!RechtsformGI=AB$13,AB109*AG109,IF('Inhaltliche Bewertung - GI'!RechtsformGI=AD$13,AD109*AG109,IF('Inhaltliche Bewertung - GI'!RechtsformGI=V$13,V109*AG109,"")))))</f>
        <v>#N/A</v>
      </c>
      <c r="AI109" s="351" t="e">
        <f>IF('Inhaltliche Bewertung - GI'!RechtsformAngebot=X$13,X109*AG109,IF('Inhaltliche Bewertung - GI'!RechtsformAngebot=Z$13,Z109*AG109,IF('Inhaltliche Bewertung - GI'!RechtsformAngebot=AB$13,AB109*AG109,IF('Inhaltliche Bewertung - GI'!RechtsformAngebot=AD$13,AD109*AG109,IF('Inhaltliche Bewertung - GI'!RechtsformAngebot=V$13,V109*AG109,"")))))</f>
        <v>#N/A</v>
      </c>
      <c r="AJ109" s="351"/>
      <c r="AK109" s="397"/>
      <c r="AL109" s="398"/>
      <c r="AM109" s="399"/>
      <c r="AN109" s="398"/>
      <c r="AO109" s="399"/>
      <c r="AP109" s="398"/>
      <c r="AQ109" s="399"/>
      <c r="AR109" s="398"/>
      <c r="AS109" s="399"/>
      <c r="AT109" s="398"/>
      <c r="AU109" s="399"/>
      <c r="AV109" s="399"/>
      <c r="AW109" s="401"/>
      <c r="AX109" s="351" t="e">
        <f>IF('Inhaltliche Bewertung - GI'!RechtsformGI=AN$13,AN109*AW109,IF('Inhaltliche Bewertung - GI'!RechtsformGI=AP$13,AP109*AW109,IF('Inhaltliche Bewertung - GI'!RechtsformGI=AR$13,AR109*AW109,IF('Inhaltliche Bewertung - GI'!RechtsformGI=AT$13,AT109*AW109,IF('Inhaltliche Bewertung - GI'!RechtsformGI=AL$13,AL109*AW109,"")))))</f>
        <v>#N/A</v>
      </c>
      <c r="AY109" s="351" t="e">
        <f>IF('Inhaltliche Bewertung - GI'!RechtsformAngebot=AN$13,AN109*AW109,IF('Inhaltliche Bewertung - GI'!RechtsformAngebot=AP$13,AP109*AW109,IF('Inhaltliche Bewertung - GI'!RechtsformAngebot=AR$13,AR109*AW109,IF('Inhaltliche Bewertung - GI'!RechtsformAngebot=AT$13,AT109*AW109,IF('Inhaltliche Bewertung - GI'!RechtsformAngebot=AL$13,AL109*AW109,"")))))</f>
        <v>#N/A</v>
      </c>
      <c r="AZ109" s="351"/>
      <c r="BA109" s="397"/>
      <c r="BB109" s="404"/>
      <c r="BC109" s="399"/>
      <c r="BD109" s="404"/>
      <c r="BE109" s="399"/>
      <c r="BF109" s="404"/>
      <c r="BG109" s="399"/>
      <c r="BH109" s="404"/>
      <c r="BI109" s="399"/>
      <c r="BJ109" s="404"/>
      <c r="BK109" s="399"/>
      <c r="BL109" s="399"/>
      <c r="BM109" s="401"/>
      <c r="BN109" s="351" t="e">
        <f>IF('Inhaltliche Bewertung - GI'!RechtsformGI=BD$13,BD109*BM109,IF('Inhaltliche Bewertung - GI'!RechtsformGI=BF$13,BF109*BM109,IF('Inhaltliche Bewertung - GI'!RechtsformGI=BH$13,BH109*BM109,IF('Inhaltliche Bewertung - GI'!RechtsformGI=BJ$13,BJ109*BM109,IF('Inhaltliche Bewertung - GI'!RechtsformGI=BB$13,BB109*BM109,"")))))</f>
        <v>#N/A</v>
      </c>
      <c r="BO109" s="351" t="e">
        <f>IF('Inhaltliche Bewertung - GI'!RechtsformAngebot=BD$13,BD109*BM109,IF('Inhaltliche Bewertung - GI'!RechtsformAngebot=BF$13,BF109*BM109,IF('Inhaltliche Bewertung - GI'!RechtsformAngebot=BH$13,BH109*BM109,IF('Inhaltliche Bewertung - GI'!RechtsformAngebot=BJ$13,BJ109*BM109,IF('Inhaltliche Bewertung - GI'!RechtsformAngebot=BB$13,BB109*BM109,"")))))</f>
        <v>#N/A</v>
      </c>
      <c r="BP109" s="351"/>
      <c r="BQ109" s="397"/>
      <c r="BR109" s="405"/>
      <c r="BS109" s="406"/>
      <c r="BT109" s="405"/>
      <c r="BU109" s="406"/>
      <c r="BV109" s="405"/>
      <c r="BW109" s="406"/>
      <c r="BX109" s="405"/>
      <c r="BY109" s="406"/>
      <c r="BZ109" s="405"/>
      <c r="CA109" s="406"/>
      <c r="CB109" s="406"/>
      <c r="CC109" s="401"/>
      <c r="CD109" s="351" t="e">
        <f>IF('Inhaltliche Bewertung - GI'!RechtsformGI=BT$13,BT109*CC109,IF('Inhaltliche Bewertung - GI'!RechtsformGI=BV$13,BV109*CC109,IF('Inhaltliche Bewertung - GI'!RechtsformGI=BX$13,BX109*CC109,IF('Inhaltliche Bewertung - GI'!RechtsformGI=BZ$13,BZ109*CC109,IF('Inhaltliche Bewertung - GI'!RechtsformGI=BR$13,BR109*CC109,"")))))</f>
        <v>#N/A</v>
      </c>
      <c r="CE109" s="351" t="e">
        <f>IF('Inhaltliche Bewertung - GI'!RechtsformAngebot=BT$13,BT109*CC109,IF('Inhaltliche Bewertung - GI'!RechtsformAngebot=BV$13,BV109*CC109,IF('Inhaltliche Bewertung - GI'!RechtsformAngebot=BX$13,BX109*CC109,IF('Inhaltliche Bewertung - GI'!RechtsformAngebot=BZ$13,BZ109*CC109,IF('Inhaltliche Bewertung - GI'!RechtsformAngebot=BR$13,BR109*CC109,"")))))</f>
        <v>#N/A</v>
      </c>
      <c r="CF109" s="351"/>
      <c r="CG109" s="397"/>
      <c r="CH109" s="405"/>
      <c r="CI109" s="407"/>
      <c r="CJ109" s="405"/>
      <c r="CK109" s="407"/>
      <c r="CL109" s="405"/>
      <c r="CM109" s="407"/>
      <c r="CN109" s="405"/>
      <c r="CO109" s="407"/>
      <c r="CP109" s="405"/>
      <c r="CQ109" s="407"/>
      <c r="CR109" s="407"/>
      <c r="CS109" s="401"/>
      <c r="CT109" s="351" t="e">
        <f>IF('Inhaltliche Bewertung - GI'!RechtsformGI=CJ$13,CJ109*CS109,IF('Inhaltliche Bewertung - GI'!RechtsformGI=CL$13,CL109*CS109,IF('Inhaltliche Bewertung - GI'!RechtsformGI=CN$13,CN109*CS109,IF('Inhaltliche Bewertung - GI'!RechtsformGI=CP$13,CP109*CS109,IF('Inhaltliche Bewertung - GI'!RechtsformGI=CH$13,CH109*CS109,"")))))</f>
        <v>#N/A</v>
      </c>
      <c r="CU109" s="351" t="e">
        <f>IF('Inhaltliche Bewertung - GI'!RechtsformAngebot=CJ$13,CJ109*CS109,IF('Inhaltliche Bewertung - GI'!RechtsformAngebot=CL$13,CL109*CS109,IF('Inhaltliche Bewertung - GI'!RechtsformAngebot=CN$13,CN109*CS109,IF('Inhaltliche Bewertung - GI'!RechtsformAngebot=CP$13,CP109*CS109,IF('Inhaltliche Bewertung - GI'!RechtsformAngebot=CH$13,CH109*CS109,"")))))</f>
        <v>#N/A</v>
      </c>
      <c r="CV109" s="351"/>
      <c r="CW109" s="397"/>
      <c r="CX109" s="405"/>
      <c r="CY109" s="407"/>
      <c r="CZ109" s="408"/>
      <c r="DA109" s="409"/>
      <c r="DB109" s="405"/>
      <c r="DC109" s="407"/>
      <c r="DD109" s="405"/>
      <c r="DE109" s="407"/>
      <c r="DF109" s="405"/>
      <c r="DG109" s="407"/>
      <c r="DH109" s="407"/>
      <c r="DI109" s="401"/>
      <c r="DJ109" s="351" t="e">
        <f>IF('Inhaltliche Bewertung - GI'!RechtsformGI=CZ$13,CZ109*DI109,IF('Inhaltliche Bewertung - GI'!RechtsformGI=DB$13,DB109*DI109,IF('Inhaltliche Bewertung - GI'!RechtsformGI=DD$13,DD109*DI109,IF('Inhaltliche Bewertung - GI'!RechtsformGI=DF$13,DF109*DI109,IF('Inhaltliche Bewertung - GI'!RechtsformGI=CX$13,CX109*DI109,"")))))</f>
        <v>#N/A</v>
      </c>
      <c r="DK109" s="351" t="e">
        <f>IF('Inhaltliche Bewertung - GI'!RechtsformAngebot=CZ$13,CZ109*DI109,IF('Inhaltliche Bewertung - GI'!RechtsformAngebot=DB$13,DB109*DI109,IF('Inhaltliche Bewertung - GI'!RechtsformAngebot=DD$13,DD109*DI109,IF('Inhaltliche Bewertung - GI'!RechtsformAngebot=DF$13,DF109*DI109,IF('Inhaltliche Bewertung - GI'!RechtsformAngebot=CX$13,CX109*DI109,"")))))</f>
        <v>#N/A</v>
      </c>
      <c r="DL109" s="351"/>
      <c r="DM109" s="397"/>
      <c r="DN109" s="405"/>
      <c r="DO109" s="407"/>
      <c r="DP109" s="405"/>
      <c r="DQ109" s="407"/>
      <c r="DR109" s="405"/>
      <c r="DS109" s="407"/>
      <c r="DT109" s="405"/>
      <c r="DU109" s="407"/>
      <c r="DV109" s="405"/>
      <c r="DW109" s="407"/>
      <c r="DX109" s="407"/>
      <c r="DY109" s="401"/>
      <c r="DZ109" s="351" t="e">
        <f>IF('Inhaltliche Bewertung - GI'!RechtsformGI=DP$13,DP109*DY109,IF('Inhaltliche Bewertung - GI'!RechtsformGI=DR$13,DR109*DY109,IF('Inhaltliche Bewertung - GI'!RechtsformGI=DT$13,DT109*DY109,IF('Inhaltliche Bewertung - GI'!RechtsformGI=DV$13,DV109*DY109,IF('Inhaltliche Bewertung - GI'!RechtsformGI=DN$13,DN109*DY109,"")))))</f>
        <v>#N/A</v>
      </c>
      <c r="EA109" s="351" t="e">
        <f>IF('Inhaltliche Bewertung - GI'!RechtsformAngebot=DP$13,DP109*DY109,IF('Inhaltliche Bewertung - GI'!RechtsformAngebot=DR$13,DR109*DY109,IF('Inhaltliche Bewertung - GI'!RechtsformAngebot=DT$13,DT109*DY109,IF('Inhaltliche Bewertung - GI'!RechtsformAngebot=DV$13,DV109*DY109,IF('Inhaltliche Bewertung - GI'!RechtsformAngebot=DN$13,DN109*DY109,"")))))</f>
        <v>#N/A</v>
      </c>
      <c r="EB109" s="351"/>
      <c r="EC109" s="157">
        <f t="shared" si="1"/>
        <v>0</v>
      </c>
      <c r="ED109" s="157">
        <f t="shared" si="2"/>
        <v>0</v>
      </c>
      <c r="EE109" s="157" t="e">
        <f t="shared" si="3"/>
        <v>#DIV/0!</v>
      </c>
      <c r="EF109" s="157" t="e">
        <f t="shared" si="4"/>
        <v>#NUM!</v>
      </c>
    </row>
    <row r="110" spans="1:136" ht="14.25" customHeight="1">
      <c r="A110" s="444" t="b">
        <f t="shared" ref="A110:A115" si="8">EXACT(MAX(F110,H110,J110,L110,N110,V110,X110,Z110,AB110,AD110,AL110,AN110,AP110,AR110,AT110,BB110,BD110,BF110,BH110,BJ110,BR110,BT110,BV110,BX110,BZ110,CH110,CJ110,CL110,CN110,CP110,CX110,CZ110,DB110,DD110,DF110),MIN(F110,H110,J110,L110,N110,V110,X110,Z110,AB110,AD110,AL110,AN110,AP110,AR110,AT110,BB110,BD110,BF110,BH110,BJ110,BR110,BT110,BV110,BX110,BZ110,CH110,CJ110,CL110,CN110,CP110,CX110,CZ110,DB110,DD110,DF110))</f>
        <v>0</v>
      </c>
      <c r="B110" s="292"/>
      <c r="C110" s="355" t="s">
        <v>3568</v>
      </c>
      <c r="D110" s="345"/>
      <c r="E110" s="361" t="s">
        <v>3569</v>
      </c>
      <c r="F110" s="362">
        <v>1</v>
      </c>
      <c r="G110" s="365"/>
      <c r="H110" s="362">
        <v>1</v>
      </c>
      <c r="I110" s="365"/>
      <c r="J110" s="362">
        <v>1</v>
      </c>
      <c r="K110" s="365"/>
      <c r="L110" s="362">
        <v>1</v>
      </c>
      <c r="M110" s="365"/>
      <c r="N110" s="362">
        <v>1</v>
      </c>
      <c r="O110" s="365"/>
      <c r="P110" s="370"/>
      <c r="Q110" s="360">
        <v>1</v>
      </c>
      <c r="R110" s="351" t="e">
        <f>IF('Inhaltliche Bewertung - GI'!RechtsformGI=H$13,H110*Q110,IF('Inhaltliche Bewertung - GI'!RechtsformGI=J$13,J110*Q110,IF('Inhaltliche Bewertung - GI'!RechtsformGI=L$13,L110*Q110,IF('Inhaltliche Bewertung - GI'!RechtsformGI=N$13,N110*Q110,IF('Inhaltliche Bewertung - GI'!RechtsformGI=F$13,F110*Q110,"")))))</f>
        <v>#N/A</v>
      </c>
      <c r="S110" s="351" t="e">
        <f>IF('Inhaltliche Bewertung - GI'!RechtsformAngebot=H$13,H110*Q110,IF('Inhaltliche Bewertung - GI'!RechtsformAngebot=J$13,J110*Q110,IF('Inhaltliche Bewertung - GI'!RechtsformAngebot=L$13,L110*Q110,IF('Inhaltliche Bewertung - GI'!RechtsformAngebot=N$13,N110*Q110,IF('Inhaltliche Bewertung - GI'!RechtsformAngebot=F$13,F110*Q110,"")))))</f>
        <v>#N/A</v>
      </c>
      <c r="T110" s="351"/>
      <c r="U110" s="361" t="s">
        <v>3570</v>
      </c>
      <c r="V110" s="362">
        <v>1</v>
      </c>
      <c r="W110" s="365"/>
      <c r="X110" s="362">
        <v>1</v>
      </c>
      <c r="Y110" s="365"/>
      <c r="Z110" s="362">
        <v>1</v>
      </c>
      <c r="AA110" s="365"/>
      <c r="AB110" s="362">
        <v>1</v>
      </c>
      <c r="AC110" s="365"/>
      <c r="AD110" s="362">
        <v>1</v>
      </c>
      <c r="AE110" s="365"/>
      <c r="AF110" s="370"/>
      <c r="AG110" s="360">
        <v>1</v>
      </c>
      <c r="AH110" s="351" t="e">
        <f>IF('Inhaltliche Bewertung - GI'!RechtsformGI=X$13,X110*AG110,IF('Inhaltliche Bewertung - GI'!RechtsformGI=Z$13,Z110*AG110,IF('Inhaltliche Bewertung - GI'!RechtsformGI=AB$13,AB110*AG110,IF('Inhaltliche Bewertung - GI'!RechtsformGI=AD$13,AD110*AG110,IF('Inhaltliche Bewertung - GI'!RechtsformGI=V$13,V110*AG110,"")))))</f>
        <v>#N/A</v>
      </c>
      <c r="AI110" s="351" t="e">
        <f>IF('Inhaltliche Bewertung - GI'!RechtsformAngebot=X$13,X110*AG110,IF('Inhaltliche Bewertung - GI'!RechtsformAngebot=Z$13,Z110*AG110,IF('Inhaltliche Bewertung - GI'!RechtsformAngebot=AB$13,AB110*AG110,IF('Inhaltliche Bewertung - GI'!RechtsformAngebot=AD$13,AD110*AG110,IF('Inhaltliche Bewertung - GI'!RechtsformAngebot=V$13,V110*AG110,"")))))</f>
        <v>#N/A</v>
      </c>
      <c r="AJ110" s="351"/>
      <c r="AK110" s="361" t="s">
        <v>3571</v>
      </c>
      <c r="AL110" s="362">
        <v>1</v>
      </c>
      <c r="AM110" s="365"/>
      <c r="AN110" s="362">
        <v>1</v>
      </c>
      <c r="AO110" s="365"/>
      <c r="AP110" s="362">
        <v>1</v>
      </c>
      <c r="AQ110" s="365"/>
      <c r="AR110" s="362">
        <v>1</v>
      </c>
      <c r="AS110" s="365"/>
      <c r="AT110" s="362">
        <v>1</v>
      </c>
      <c r="AU110" s="365"/>
      <c r="AV110" s="370"/>
      <c r="AW110" s="360">
        <v>1</v>
      </c>
      <c r="AX110" s="351" t="e">
        <f>IF('Inhaltliche Bewertung - GI'!RechtsformGI=AN$13,AN110*AW110,IF('Inhaltliche Bewertung - GI'!RechtsformGI=AP$13,AP110*AW110,IF('Inhaltliche Bewertung - GI'!RechtsformGI=AR$13,AR110*AW110,IF('Inhaltliche Bewertung - GI'!RechtsformGI=AT$13,AT110*AW110,IF('Inhaltliche Bewertung - GI'!RechtsformGI=AL$13,AL110*AW110,"")))))</f>
        <v>#N/A</v>
      </c>
      <c r="AY110" s="351" t="e">
        <f>IF('Inhaltliche Bewertung - GI'!RechtsformAngebot=AN$13,AN110*AW110,IF('Inhaltliche Bewertung - GI'!RechtsformAngebot=AP$13,AP110*AW110,IF('Inhaltliche Bewertung - GI'!RechtsformAngebot=AR$13,AR110*AW110,IF('Inhaltliche Bewertung - GI'!RechtsformAngebot=AT$13,AT110*AW110,IF('Inhaltliche Bewertung - GI'!RechtsformAngebot=AL$13,AL110*AW110,"")))))</f>
        <v>#N/A</v>
      </c>
      <c r="AZ110" s="351"/>
      <c r="BA110" s="361" t="s">
        <v>3571</v>
      </c>
      <c r="BB110" s="362">
        <v>1</v>
      </c>
      <c r="BC110" s="365"/>
      <c r="BD110" s="362">
        <v>1</v>
      </c>
      <c r="BE110" s="365"/>
      <c r="BF110" s="362">
        <v>1</v>
      </c>
      <c r="BG110" s="365"/>
      <c r="BH110" s="362">
        <v>1</v>
      </c>
      <c r="BI110" s="365"/>
      <c r="BJ110" s="362">
        <v>1</v>
      </c>
      <c r="BK110" s="365"/>
      <c r="BL110" s="370"/>
      <c r="BM110" s="360">
        <v>1</v>
      </c>
      <c r="BN110" s="351" t="e">
        <f>IF('Inhaltliche Bewertung - GI'!RechtsformGI=BD$13,BD110*BM110,IF('Inhaltliche Bewertung - GI'!RechtsformGI=BF$13,BF110*BM110,IF('Inhaltliche Bewertung - GI'!RechtsformGI=BH$13,BH110*BM110,IF('Inhaltliche Bewertung - GI'!RechtsformGI=BJ$13,BJ110*BM110,IF('Inhaltliche Bewertung - GI'!RechtsformGI=BB$13,BB110*BM110,"")))))</f>
        <v>#N/A</v>
      </c>
      <c r="BO110" s="351" t="e">
        <f>IF('Inhaltliche Bewertung - GI'!RechtsformAngebot=BD$13,BD110*BM110,IF('Inhaltliche Bewertung - GI'!RechtsformAngebot=BF$13,BF110*BM110,IF('Inhaltliche Bewertung - GI'!RechtsformAngebot=BH$13,BH110*BM110,IF('Inhaltliche Bewertung - GI'!RechtsformAngebot=BJ$13,BJ110*BM110,IF('Inhaltliche Bewertung - GI'!RechtsformAngebot=BB$13,BB110*BM110,"")))))</f>
        <v>#N/A</v>
      </c>
      <c r="BP110" s="351"/>
      <c r="BQ110" s="361" t="s">
        <v>3570</v>
      </c>
      <c r="BR110" s="362">
        <v>1</v>
      </c>
      <c r="BS110" s="365"/>
      <c r="BT110" s="362">
        <v>1</v>
      </c>
      <c r="BU110" s="365"/>
      <c r="BV110" s="362">
        <v>1</v>
      </c>
      <c r="BW110" s="365"/>
      <c r="BX110" s="362">
        <v>1</v>
      </c>
      <c r="BY110" s="365"/>
      <c r="BZ110" s="362">
        <v>1</v>
      </c>
      <c r="CA110" s="365"/>
      <c r="CB110" s="370"/>
      <c r="CC110" s="360">
        <v>1</v>
      </c>
      <c r="CD110" s="351" t="e">
        <f>IF('Inhaltliche Bewertung - GI'!RechtsformGI=BT$13,BT110*CC110,IF('Inhaltliche Bewertung - GI'!RechtsformGI=BV$13,BV110*CC110,IF('Inhaltliche Bewertung - GI'!RechtsformGI=BX$13,BX110*CC110,IF('Inhaltliche Bewertung - GI'!RechtsformGI=BZ$13,BZ110*CC110,IF('Inhaltliche Bewertung - GI'!RechtsformGI=BR$13,BR110*CC110,"")))))</f>
        <v>#N/A</v>
      </c>
      <c r="CE110" s="351" t="e">
        <f>IF('Inhaltliche Bewertung - GI'!RechtsformAngebot=BT$13,BT110*CC110,IF('Inhaltliche Bewertung - GI'!RechtsformAngebot=BV$13,BV110*CC110,IF('Inhaltliche Bewertung - GI'!RechtsformAngebot=BX$13,BX110*CC110,IF('Inhaltliche Bewertung - GI'!RechtsformAngebot=BZ$13,BZ110*CC110,IF('Inhaltliche Bewertung - GI'!RechtsformAngebot=BR$13,BR110*CC110,"")))))</f>
        <v>#N/A</v>
      </c>
      <c r="CF110" s="351"/>
      <c r="CG110" s="361" t="s">
        <v>3571</v>
      </c>
      <c r="CH110" s="362">
        <v>0.9</v>
      </c>
      <c r="CI110" s="365"/>
      <c r="CJ110" s="362">
        <v>0.9</v>
      </c>
      <c r="CK110" s="365"/>
      <c r="CL110" s="362">
        <v>0.9</v>
      </c>
      <c r="CM110" s="365"/>
      <c r="CN110" s="362">
        <v>0.9</v>
      </c>
      <c r="CO110" s="365"/>
      <c r="CP110" s="362">
        <v>0.9</v>
      </c>
      <c r="CQ110" s="365"/>
      <c r="CR110" s="370"/>
      <c r="CS110" s="360">
        <v>1</v>
      </c>
      <c r="CT110" s="351" t="e">
        <f>IF('Inhaltliche Bewertung - GI'!RechtsformGI=CJ$13,CJ110*CS110,IF('Inhaltliche Bewertung - GI'!RechtsformGI=CL$13,CL110*CS110,IF('Inhaltliche Bewertung - GI'!RechtsformGI=CN$13,CN110*CS110,IF('Inhaltliche Bewertung - GI'!RechtsformGI=CP$13,CP110*CS110,IF('Inhaltliche Bewertung - GI'!RechtsformGI=CH$13,CH110*CS110,"")))))</f>
        <v>#N/A</v>
      </c>
      <c r="CU110" s="351" t="e">
        <f>IF('Inhaltliche Bewertung - GI'!RechtsformAngebot=CJ$13,CJ110*CS110,IF('Inhaltliche Bewertung - GI'!RechtsformAngebot=CL$13,CL110*CS110,IF('Inhaltliche Bewertung - GI'!RechtsformAngebot=CN$13,CN110*CS110,IF('Inhaltliche Bewertung - GI'!RechtsformAngebot=CP$13,CP110*CS110,IF('Inhaltliche Bewertung - GI'!RechtsformAngebot=CH$13,CH110*CS110,"")))))</f>
        <v>#N/A</v>
      </c>
      <c r="CV110" s="351"/>
      <c r="CW110" s="361" t="s">
        <v>3571</v>
      </c>
      <c r="CX110" s="362">
        <v>1</v>
      </c>
      <c r="CY110" s="365"/>
      <c r="CZ110" s="362">
        <v>1</v>
      </c>
      <c r="DA110" s="365"/>
      <c r="DB110" s="362">
        <v>1</v>
      </c>
      <c r="DC110" s="365"/>
      <c r="DD110" s="362">
        <v>1</v>
      </c>
      <c r="DE110" s="365"/>
      <c r="DF110" s="362">
        <v>1</v>
      </c>
      <c r="DG110" s="365"/>
      <c r="DH110" s="370"/>
      <c r="DI110" s="360">
        <v>1</v>
      </c>
      <c r="DJ110" s="351" t="e">
        <f>IF('Inhaltliche Bewertung - GI'!RechtsformGI=CZ$13,CZ110*DI110,IF('Inhaltliche Bewertung - GI'!RechtsformGI=DB$13,DB110*DI110,IF('Inhaltliche Bewertung - GI'!RechtsformGI=DD$13,DD110*DI110,IF('Inhaltliche Bewertung - GI'!RechtsformGI=DF$13,DF110*DI110,IF('Inhaltliche Bewertung - GI'!RechtsformGI=CX$13,CX110*DI110,"")))))</f>
        <v>#N/A</v>
      </c>
      <c r="DK110" s="351" t="e">
        <f>IF('Inhaltliche Bewertung - GI'!RechtsformAngebot=CZ$13,CZ110*DI110,IF('Inhaltliche Bewertung - GI'!RechtsformAngebot=DB$13,DB110*DI110,IF('Inhaltliche Bewertung - GI'!RechtsformAngebot=DD$13,DD110*DI110,IF('Inhaltliche Bewertung - GI'!RechtsformAngebot=DF$13,DF110*DI110,IF('Inhaltliche Bewertung - GI'!RechtsformAngebot=CX$13,CX110*DI110,"")))))</f>
        <v>#N/A</v>
      </c>
      <c r="DL110" s="351"/>
      <c r="DM110" s="361" t="s">
        <v>3571</v>
      </c>
      <c r="DN110" s="362">
        <v>1</v>
      </c>
      <c r="DO110" s="365"/>
      <c r="DP110" s="362">
        <v>1</v>
      </c>
      <c r="DQ110" s="365"/>
      <c r="DR110" s="362">
        <v>1</v>
      </c>
      <c r="DS110" s="365"/>
      <c r="DT110" s="362">
        <v>1</v>
      </c>
      <c r="DU110" s="365"/>
      <c r="DV110" s="362">
        <v>1</v>
      </c>
      <c r="DW110" s="365"/>
      <c r="DX110" s="370"/>
      <c r="DY110" s="360">
        <v>1</v>
      </c>
      <c r="DZ110" s="351" t="e">
        <f>IF('Inhaltliche Bewertung - GI'!RechtsformGI=DP$13,DP110*DY110,IF('Inhaltliche Bewertung - GI'!RechtsformGI=DR$13,DR110*DY110,IF('Inhaltliche Bewertung - GI'!RechtsformGI=DT$13,DT110*DY110,IF('Inhaltliche Bewertung - GI'!RechtsformGI=DV$13,DV110*DY110,IF('Inhaltliche Bewertung - GI'!RechtsformGI=DN$13,DN110*DY110,"")))))</f>
        <v>#N/A</v>
      </c>
      <c r="EA110" s="351" t="e">
        <f>IF('Inhaltliche Bewertung - GI'!RechtsformAngebot=DP$13,DP110*DY110,IF('Inhaltliche Bewertung - GI'!RechtsformAngebot=DR$13,DR110*DY110,IF('Inhaltliche Bewertung - GI'!RechtsformAngebot=DT$13,DT110*DY110,IF('Inhaltliche Bewertung - GI'!RechtsformAngebot=DV$13,DV110*DY110,IF('Inhaltliche Bewertung - GI'!RechtsformAngebot=DN$13,DN110*DY110,"")))))</f>
        <v>#N/A</v>
      </c>
      <c r="EB110" s="351"/>
      <c r="EC110" s="157">
        <f t="shared" si="1"/>
        <v>0.9</v>
      </c>
      <c r="ED110" s="157">
        <f t="shared" si="2"/>
        <v>1</v>
      </c>
      <c r="EE110" s="157">
        <f t="shared" si="3"/>
        <v>0.98749999999999982</v>
      </c>
      <c r="EF110" s="157">
        <f t="shared" si="4"/>
        <v>1</v>
      </c>
    </row>
    <row r="111" spans="1:136" ht="14.25" customHeight="1">
      <c r="A111" s="444" t="b">
        <f t="shared" si="8"/>
        <v>0</v>
      </c>
      <c r="B111" s="292"/>
      <c r="C111" s="355" t="s">
        <v>3572</v>
      </c>
      <c r="D111" s="345"/>
      <c r="E111" s="371" t="s">
        <v>3573</v>
      </c>
      <c r="F111" s="372">
        <v>1</v>
      </c>
      <c r="G111" s="358"/>
      <c r="H111" s="372">
        <v>1</v>
      </c>
      <c r="I111" s="358"/>
      <c r="J111" s="372">
        <v>1</v>
      </c>
      <c r="K111" s="358"/>
      <c r="L111" s="372">
        <v>1</v>
      </c>
      <c r="M111" s="358"/>
      <c r="N111" s="372">
        <v>1</v>
      </c>
      <c r="O111" s="358"/>
      <c r="P111" s="359"/>
      <c r="Q111" s="360">
        <v>1</v>
      </c>
      <c r="R111" s="351" t="e">
        <f>IF('Inhaltliche Bewertung - GI'!RechtsformGI=H$13,H111*Q111,IF('Inhaltliche Bewertung - GI'!RechtsformGI=J$13,J111*Q111,IF('Inhaltliche Bewertung - GI'!RechtsformGI=L$13,L111*Q111,IF('Inhaltliche Bewertung - GI'!RechtsformGI=N$13,N111*Q111,IF('Inhaltliche Bewertung - GI'!RechtsformGI=F$13,F111*Q111,"")))))</f>
        <v>#N/A</v>
      </c>
      <c r="S111" s="351" t="e">
        <f>IF('Inhaltliche Bewertung - GI'!RechtsformAngebot=H$13,H111*Q111,IF('Inhaltliche Bewertung - GI'!RechtsformAngebot=J$13,J111*Q111,IF('Inhaltliche Bewertung - GI'!RechtsformAngebot=L$13,L111*Q111,IF('Inhaltliche Bewertung - GI'!RechtsformAngebot=N$13,N111*Q111,IF('Inhaltliche Bewertung - GI'!RechtsformAngebot=F$13,F111*Q111,"")))))</f>
        <v>#N/A</v>
      </c>
      <c r="T111" s="351"/>
      <c r="U111" s="371" t="s">
        <v>3573</v>
      </c>
      <c r="V111" s="372">
        <v>1</v>
      </c>
      <c r="W111" s="358"/>
      <c r="X111" s="372">
        <v>1</v>
      </c>
      <c r="Y111" s="358"/>
      <c r="Z111" s="372">
        <v>1</v>
      </c>
      <c r="AA111" s="358"/>
      <c r="AB111" s="372">
        <v>1</v>
      </c>
      <c r="AC111" s="358"/>
      <c r="AD111" s="372">
        <v>1</v>
      </c>
      <c r="AE111" s="358"/>
      <c r="AF111" s="359"/>
      <c r="AG111" s="360">
        <v>1</v>
      </c>
      <c r="AH111" s="351" t="e">
        <f>IF('Inhaltliche Bewertung - GI'!RechtsformGI=X$13,X111*AG111,IF('Inhaltliche Bewertung - GI'!RechtsformGI=Z$13,Z111*AG111,IF('Inhaltliche Bewertung - GI'!RechtsformGI=AB$13,AB111*AG111,IF('Inhaltliche Bewertung - GI'!RechtsformGI=AD$13,AD111*AG111,IF('Inhaltliche Bewertung - GI'!RechtsformGI=V$13,V111*AG111,"")))))</f>
        <v>#N/A</v>
      </c>
      <c r="AI111" s="351" t="e">
        <f>IF('Inhaltliche Bewertung - GI'!RechtsformAngebot=X$13,X111*AG111,IF('Inhaltliche Bewertung - GI'!RechtsformAngebot=Z$13,Z111*AG111,IF('Inhaltliche Bewertung - GI'!RechtsformAngebot=AB$13,AB111*AG111,IF('Inhaltliche Bewertung - GI'!RechtsformAngebot=AD$13,AD111*AG111,IF('Inhaltliche Bewertung - GI'!RechtsformAngebot=V$13,V111*AG111,"")))))</f>
        <v>#N/A</v>
      </c>
      <c r="AJ111" s="351"/>
      <c r="AK111" s="371" t="s">
        <v>3573</v>
      </c>
      <c r="AL111" s="372">
        <v>1</v>
      </c>
      <c r="AM111" s="358"/>
      <c r="AN111" s="372">
        <v>1</v>
      </c>
      <c r="AO111" s="358"/>
      <c r="AP111" s="372">
        <v>1</v>
      </c>
      <c r="AQ111" s="358"/>
      <c r="AR111" s="372">
        <v>1</v>
      </c>
      <c r="AS111" s="358"/>
      <c r="AT111" s="372">
        <v>1</v>
      </c>
      <c r="AU111" s="358"/>
      <c r="AV111" s="359"/>
      <c r="AW111" s="360">
        <v>1</v>
      </c>
      <c r="AX111" s="351" t="e">
        <f>IF('Inhaltliche Bewertung - GI'!RechtsformGI=AN$13,AN111*AW111,IF('Inhaltliche Bewertung - GI'!RechtsformGI=AP$13,AP111*AW111,IF('Inhaltliche Bewertung - GI'!RechtsformGI=AR$13,AR111*AW111,IF('Inhaltliche Bewertung - GI'!RechtsformGI=AT$13,AT111*AW111,IF('Inhaltliche Bewertung - GI'!RechtsformGI=AL$13,AL111*AW111,"")))))</f>
        <v>#N/A</v>
      </c>
      <c r="AY111" s="351" t="e">
        <f>IF('Inhaltliche Bewertung - GI'!RechtsformAngebot=AN$13,AN111*AW111,IF('Inhaltliche Bewertung - GI'!RechtsformAngebot=AP$13,AP111*AW111,IF('Inhaltliche Bewertung - GI'!RechtsformAngebot=AR$13,AR111*AW111,IF('Inhaltliche Bewertung - GI'!RechtsformAngebot=AT$13,AT111*AW111,IF('Inhaltliche Bewertung - GI'!RechtsformAngebot=AL$13,AL111*AW111,"")))))</f>
        <v>#N/A</v>
      </c>
      <c r="AZ111" s="351"/>
      <c r="BA111" s="371" t="s">
        <v>3573</v>
      </c>
      <c r="BB111" s="372">
        <v>1</v>
      </c>
      <c r="BC111" s="358"/>
      <c r="BD111" s="372">
        <v>1</v>
      </c>
      <c r="BE111" s="358"/>
      <c r="BF111" s="372">
        <v>1</v>
      </c>
      <c r="BG111" s="358"/>
      <c r="BH111" s="372">
        <v>1</v>
      </c>
      <c r="BI111" s="358"/>
      <c r="BJ111" s="372">
        <v>1</v>
      </c>
      <c r="BK111" s="358"/>
      <c r="BL111" s="359"/>
      <c r="BM111" s="360">
        <v>1</v>
      </c>
      <c r="BN111" s="351" t="e">
        <f>IF('Inhaltliche Bewertung - GI'!RechtsformGI=BD$13,BD111*BM111,IF('Inhaltliche Bewertung - GI'!RechtsformGI=BF$13,BF111*BM111,IF('Inhaltliche Bewertung - GI'!RechtsformGI=BH$13,BH111*BM111,IF('Inhaltliche Bewertung - GI'!RechtsformGI=BJ$13,BJ111*BM111,IF('Inhaltliche Bewertung - GI'!RechtsformGI=BB$13,BB111*BM111,"")))))</f>
        <v>#N/A</v>
      </c>
      <c r="BO111" s="351" t="e">
        <f>IF('Inhaltliche Bewertung - GI'!RechtsformAngebot=BD$13,BD111*BM111,IF('Inhaltliche Bewertung - GI'!RechtsformAngebot=BF$13,BF111*BM111,IF('Inhaltliche Bewertung - GI'!RechtsformAngebot=BH$13,BH111*BM111,IF('Inhaltliche Bewertung - GI'!RechtsformAngebot=BJ$13,BJ111*BM111,IF('Inhaltliche Bewertung - GI'!RechtsformAngebot=BB$13,BB111*BM111,"")))))</f>
        <v>#N/A</v>
      </c>
      <c r="BP111" s="351"/>
      <c r="BQ111" s="371" t="s">
        <v>3573</v>
      </c>
      <c r="BR111" s="372">
        <v>1</v>
      </c>
      <c r="BS111" s="358"/>
      <c r="BT111" s="372">
        <v>1</v>
      </c>
      <c r="BU111" s="358"/>
      <c r="BV111" s="372">
        <v>1</v>
      </c>
      <c r="BW111" s="358"/>
      <c r="BX111" s="372">
        <v>1</v>
      </c>
      <c r="BY111" s="358"/>
      <c r="BZ111" s="372">
        <v>1</v>
      </c>
      <c r="CA111" s="358"/>
      <c r="CB111" s="359"/>
      <c r="CC111" s="360">
        <v>1</v>
      </c>
      <c r="CD111" s="351" t="e">
        <f>IF('Inhaltliche Bewertung - GI'!RechtsformGI=BT$13,BT111*CC111,IF('Inhaltliche Bewertung - GI'!RechtsformGI=BV$13,BV111*CC111,IF('Inhaltliche Bewertung - GI'!RechtsformGI=BX$13,BX111*CC111,IF('Inhaltliche Bewertung - GI'!RechtsformGI=BZ$13,BZ111*CC111,IF('Inhaltliche Bewertung - GI'!RechtsformGI=BR$13,BR111*CC111,"")))))</f>
        <v>#N/A</v>
      </c>
      <c r="CE111" s="351" t="e">
        <f>IF('Inhaltliche Bewertung - GI'!RechtsformAngebot=BT$13,BT111*CC111,IF('Inhaltliche Bewertung - GI'!RechtsformAngebot=BV$13,BV111*CC111,IF('Inhaltliche Bewertung - GI'!RechtsformAngebot=BX$13,BX111*CC111,IF('Inhaltliche Bewertung - GI'!RechtsformAngebot=BZ$13,BZ111*CC111,IF('Inhaltliche Bewertung - GI'!RechtsformAngebot=BR$13,BR111*CC111,"")))))</f>
        <v>#N/A</v>
      </c>
      <c r="CF111" s="351"/>
      <c r="CG111" s="371" t="s">
        <v>3573</v>
      </c>
      <c r="CH111" s="372">
        <v>0.9</v>
      </c>
      <c r="CI111" s="358"/>
      <c r="CJ111" s="372">
        <v>0.9</v>
      </c>
      <c r="CK111" s="358"/>
      <c r="CL111" s="372">
        <v>0.9</v>
      </c>
      <c r="CM111" s="358"/>
      <c r="CN111" s="372">
        <v>0.9</v>
      </c>
      <c r="CO111" s="358"/>
      <c r="CP111" s="372">
        <v>0.9</v>
      </c>
      <c r="CQ111" s="358"/>
      <c r="CR111" s="359"/>
      <c r="CS111" s="360">
        <v>1</v>
      </c>
      <c r="CT111" s="351" t="e">
        <f>IF('Inhaltliche Bewertung - GI'!RechtsformGI=CJ$13,CJ111*CS111,IF('Inhaltliche Bewertung - GI'!RechtsformGI=CL$13,CL111*CS111,IF('Inhaltliche Bewertung - GI'!RechtsformGI=CN$13,CN111*CS111,IF('Inhaltliche Bewertung - GI'!RechtsformGI=CP$13,CP111*CS111,IF('Inhaltliche Bewertung - GI'!RechtsformGI=CH$13,CH111*CS111,"")))))</f>
        <v>#N/A</v>
      </c>
      <c r="CU111" s="351" t="e">
        <f>IF('Inhaltliche Bewertung - GI'!RechtsformAngebot=CJ$13,CJ111*CS111,IF('Inhaltliche Bewertung - GI'!RechtsformAngebot=CL$13,CL111*CS111,IF('Inhaltliche Bewertung - GI'!RechtsformAngebot=CN$13,CN111*CS111,IF('Inhaltliche Bewertung - GI'!RechtsformAngebot=CP$13,CP111*CS111,IF('Inhaltliche Bewertung - GI'!RechtsformAngebot=CH$13,CH111*CS111,"")))))</f>
        <v>#N/A</v>
      </c>
      <c r="CV111" s="351"/>
      <c r="CW111" s="371" t="s">
        <v>3574</v>
      </c>
      <c r="CX111" s="372">
        <v>1</v>
      </c>
      <c r="CY111" s="358"/>
      <c r="CZ111" s="372">
        <v>1</v>
      </c>
      <c r="DA111" s="358"/>
      <c r="DB111" s="372">
        <v>1</v>
      </c>
      <c r="DC111" s="358"/>
      <c r="DD111" s="372">
        <v>1</v>
      </c>
      <c r="DE111" s="358"/>
      <c r="DF111" s="372">
        <v>1</v>
      </c>
      <c r="DG111" s="358"/>
      <c r="DH111" s="359"/>
      <c r="DI111" s="360">
        <v>1</v>
      </c>
      <c r="DJ111" s="351" t="e">
        <f>IF('Inhaltliche Bewertung - GI'!RechtsformGI=CZ$13,CZ111*DI111,IF('Inhaltliche Bewertung - GI'!RechtsformGI=DB$13,DB111*DI111,IF('Inhaltliche Bewertung - GI'!RechtsformGI=DD$13,DD111*DI111,IF('Inhaltliche Bewertung - GI'!RechtsformGI=DF$13,DF111*DI111,IF('Inhaltliche Bewertung - GI'!RechtsformGI=CX$13,CX111*DI111,"")))))</f>
        <v>#N/A</v>
      </c>
      <c r="DK111" s="351" t="e">
        <f>IF('Inhaltliche Bewertung - GI'!RechtsformAngebot=CZ$13,CZ111*DI111,IF('Inhaltliche Bewertung - GI'!RechtsformAngebot=DB$13,DB111*DI111,IF('Inhaltliche Bewertung - GI'!RechtsformAngebot=DD$13,DD111*DI111,IF('Inhaltliche Bewertung - GI'!RechtsformAngebot=DF$13,DF111*DI111,IF('Inhaltliche Bewertung - GI'!RechtsformAngebot=CX$13,CX111*DI111,"")))))</f>
        <v>#N/A</v>
      </c>
      <c r="DL111" s="351"/>
      <c r="DM111" s="371" t="s">
        <v>3573</v>
      </c>
      <c r="DN111" s="372">
        <v>1</v>
      </c>
      <c r="DO111" s="358"/>
      <c r="DP111" s="372">
        <v>1</v>
      </c>
      <c r="DQ111" s="358"/>
      <c r="DR111" s="372">
        <v>1</v>
      </c>
      <c r="DS111" s="358"/>
      <c r="DT111" s="372">
        <v>1</v>
      </c>
      <c r="DU111" s="358"/>
      <c r="DV111" s="372">
        <v>1</v>
      </c>
      <c r="DW111" s="358"/>
      <c r="DX111" s="359"/>
      <c r="DY111" s="360">
        <v>1</v>
      </c>
      <c r="DZ111" s="351" t="e">
        <f>IF('Inhaltliche Bewertung - GI'!RechtsformGI=DP$13,DP111*DY111,IF('Inhaltliche Bewertung - GI'!RechtsformGI=DR$13,DR111*DY111,IF('Inhaltliche Bewertung - GI'!RechtsformGI=DT$13,DT111*DY111,IF('Inhaltliche Bewertung - GI'!RechtsformGI=DV$13,DV111*DY111,IF('Inhaltliche Bewertung - GI'!RechtsformGI=DN$13,DN111*DY111,"")))))</f>
        <v>#N/A</v>
      </c>
      <c r="EA111" s="351" t="e">
        <f>IF('Inhaltliche Bewertung - GI'!RechtsformAngebot=DP$13,DP111*DY111,IF('Inhaltliche Bewertung - GI'!RechtsformAngebot=DR$13,DR111*DY111,IF('Inhaltliche Bewertung - GI'!RechtsformAngebot=DT$13,DT111*DY111,IF('Inhaltliche Bewertung - GI'!RechtsformAngebot=DV$13,DV111*DY111,IF('Inhaltliche Bewertung - GI'!RechtsformAngebot=DN$13,DN111*DY111,"")))))</f>
        <v>#N/A</v>
      </c>
      <c r="EB111" s="351"/>
      <c r="EC111" s="157">
        <f t="shared" si="1"/>
        <v>0.9</v>
      </c>
      <c r="ED111" s="157">
        <f t="shared" si="2"/>
        <v>1</v>
      </c>
      <c r="EE111" s="157">
        <f t="shared" si="3"/>
        <v>0.98749999999999982</v>
      </c>
      <c r="EF111" s="157">
        <f t="shared" si="4"/>
        <v>1</v>
      </c>
    </row>
    <row r="112" spans="1:136" ht="14.25" customHeight="1">
      <c r="A112" s="444" t="b">
        <f t="shared" si="8"/>
        <v>0</v>
      </c>
      <c r="B112" s="292"/>
      <c r="C112" s="355" t="s">
        <v>3575</v>
      </c>
      <c r="D112" s="345"/>
      <c r="E112" s="361" t="s">
        <v>3576</v>
      </c>
      <c r="F112" s="362">
        <v>0.7</v>
      </c>
      <c r="G112" s="365"/>
      <c r="H112" s="362">
        <v>0.7</v>
      </c>
      <c r="I112" s="365"/>
      <c r="J112" s="362">
        <v>0.7</v>
      </c>
      <c r="K112" s="365"/>
      <c r="L112" s="362">
        <v>0.7</v>
      </c>
      <c r="M112" s="365"/>
      <c r="N112" s="362">
        <v>0.7</v>
      </c>
      <c r="O112" s="365"/>
      <c r="P112" s="370"/>
      <c r="Q112" s="360">
        <v>1</v>
      </c>
      <c r="R112" s="351" t="e">
        <f>IF('Inhaltliche Bewertung - GI'!RechtsformGI=H$13,H112*Q112,IF('Inhaltliche Bewertung - GI'!RechtsformGI=J$13,J112*Q112,IF('Inhaltliche Bewertung - GI'!RechtsformGI=L$13,L112*Q112,IF('Inhaltliche Bewertung - GI'!RechtsformGI=N$13,N112*Q112,IF('Inhaltliche Bewertung - GI'!RechtsformGI=F$13,F112*Q112,"")))))</f>
        <v>#N/A</v>
      </c>
      <c r="S112" s="351" t="e">
        <f>IF('Inhaltliche Bewertung - GI'!RechtsformAngebot=H$13,H112*Q112,IF('Inhaltliche Bewertung - GI'!RechtsformAngebot=J$13,J112*Q112,IF('Inhaltliche Bewertung - GI'!RechtsformAngebot=L$13,L112*Q112,IF('Inhaltliche Bewertung - GI'!RechtsformAngebot=N$13,N112*Q112,IF('Inhaltliche Bewertung - GI'!RechtsformAngebot=F$13,F112*Q112,"")))))</f>
        <v>#N/A</v>
      </c>
      <c r="T112" s="351"/>
      <c r="U112" s="361" t="s">
        <v>3577</v>
      </c>
      <c r="V112" s="362">
        <v>0.8</v>
      </c>
      <c r="W112" s="365"/>
      <c r="X112" s="362">
        <v>0.8</v>
      </c>
      <c r="Y112" s="365"/>
      <c r="Z112" s="362">
        <v>0.8</v>
      </c>
      <c r="AA112" s="365"/>
      <c r="AB112" s="362">
        <v>0.8</v>
      </c>
      <c r="AC112" s="365"/>
      <c r="AD112" s="362">
        <v>0.8</v>
      </c>
      <c r="AE112" s="365"/>
      <c r="AF112" s="370"/>
      <c r="AG112" s="360">
        <v>1</v>
      </c>
      <c r="AH112" s="351" t="e">
        <f>IF('Inhaltliche Bewertung - GI'!RechtsformGI=X$13,X112*AG112,IF('Inhaltliche Bewertung - GI'!RechtsformGI=Z$13,Z112*AG112,IF('Inhaltliche Bewertung - GI'!RechtsformGI=AB$13,AB112*AG112,IF('Inhaltliche Bewertung - GI'!RechtsformGI=AD$13,AD112*AG112,IF('Inhaltliche Bewertung - GI'!RechtsformGI=V$13,V112*AG112,"")))))</f>
        <v>#N/A</v>
      </c>
      <c r="AI112" s="351" t="e">
        <f>IF('Inhaltliche Bewertung - GI'!RechtsformAngebot=X$13,X112*AG112,IF('Inhaltliche Bewertung - GI'!RechtsformAngebot=Z$13,Z112*AG112,IF('Inhaltliche Bewertung - GI'!RechtsformAngebot=AB$13,AB112*AG112,IF('Inhaltliche Bewertung - GI'!RechtsformAngebot=AD$13,AD112*AG112,IF('Inhaltliche Bewertung - GI'!RechtsformAngebot=V$13,V112*AG112,"")))))</f>
        <v>#N/A</v>
      </c>
      <c r="AJ112" s="351"/>
      <c r="AK112" s="361" t="s">
        <v>3577</v>
      </c>
      <c r="AL112" s="362">
        <v>0.8</v>
      </c>
      <c r="AM112" s="365"/>
      <c r="AN112" s="362">
        <v>0.8</v>
      </c>
      <c r="AO112" s="365"/>
      <c r="AP112" s="362">
        <v>0.8</v>
      </c>
      <c r="AQ112" s="365"/>
      <c r="AR112" s="362">
        <v>0.8</v>
      </c>
      <c r="AS112" s="365"/>
      <c r="AT112" s="362">
        <v>0.8</v>
      </c>
      <c r="AU112" s="365"/>
      <c r="AV112" s="370"/>
      <c r="AW112" s="360">
        <v>1</v>
      </c>
      <c r="AX112" s="351" t="e">
        <f>IF('Inhaltliche Bewertung - GI'!RechtsformGI=AN$13,AN112*AW112,IF('Inhaltliche Bewertung - GI'!RechtsformGI=AP$13,AP112*AW112,IF('Inhaltliche Bewertung - GI'!RechtsformGI=AR$13,AR112*AW112,IF('Inhaltliche Bewertung - GI'!RechtsformGI=AT$13,AT112*AW112,IF('Inhaltliche Bewertung - GI'!RechtsformGI=AL$13,AL112*AW112,"")))))</f>
        <v>#N/A</v>
      </c>
      <c r="AY112" s="351" t="e">
        <f>IF('Inhaltliche Bewertung - GI'!RechtsformAngebot=AN$13,AN112*AW112,IF('Inhaltliche Bewertung - GI'!RechtsformAngebot=AP$13,AP112*AW112,IF('Inhaltliche Bewertung - GI'!RechtsformAngebot=AR$13,AR112*AW112,IF('Inhaltliche Bewertung - GI'!RechtsformAngebot=AT$13,AT112*AW112,IF('Inhaltliche Bewertung - GI'!RechtsformAngebot=AL$13,AL112*AW112,"")))))</f>
        <v>#N/A</v>
      </c>
      <c r="AZ112" s="351"/>
      <c r="BA112" s="361" t="s">
        <v>3577</v>
      </c>
      <c r="BB112" s="362">
        <v>0.8</v>
      </c>
      <c r="BC112" s="365"/>
      <c r="BD112" s="362">
        <v>0.8</v>
      </c>
      <c r="BE112" s="365"/>
      <c r="BF112" s="362">
        <v>0.8</v>
      </c>
      <c r="BG112" s="365"/>
      <c r="BH112" s="362">
        <v>0.8</v>
      </c>
      <c r="BI112" s="365"/>
      <c r="BJ112" s="362">
        <v>0.8</v>
      </c>
      <c r="BK112" s="365"/>
      <c r="BL112" s="370"/>
      <c r="BM112" s="360">
        <v>1</v>
      </c>
      <c r="BN112" s="351" t="e">
        <f>IF('Inhaltliche Bewertung - GI'!RechtsformGI=BD$13,BD112*BM112,IF('Inhaltliche Bewertung - GI'!RechtsformGI=BF$13,BF112*BM112,IF('Inhaltliche Bewertung - GI'!RechtsformGI=BH$13,BH112*BM112,IF('Inhaltliche Bewertung - GI'!RechtsformGI=BJ$13,BJ112*BM112,IF('Inhaltliche Bewertung - GI'!RechtsformGI=BB$13,BB112*BM112,"")))))</f>
        <v>#N/A</v>
      </c>
      <c r="BO112" s="351" t="e">
        <f>IF('Inhaltliche Bewertung - GI'!RechtsformAngebot=BD$13,BD112*BM112,IF('Inhaltliche Bewertung - GI'!RechtsformAngebot=BF$13,BF112*BM112,IF('Inhaltliche Bewertung - GI'!RechtsformAngebot=BH$13,BH112*BM112,IF('Inhaltliche Bewertung - GI'!RechtsformAngebot=BJ$13,BJ112*BM112,IF('Inhaltliche Bewertung - GI'!RechtsformAngebot=BB$13,BB112*BM112,"")))))</f>
        <v>#N/A</v>
      </c>
      <c r="BP112" s="351"/>
      <c r="BQ112" s="361" t="s">
        <v>3577</v>
      </c>
      <c r="BR112" s="362">
        <v>0.8</v>
      </c>
      <c r="BS112" s="365"/>
      <c r="BT112" s="362">
        <v>0.8</v>
      </c>
      <c r="BU112" s="365"/>
      <c r="BV112" s="362">
        <v>0.8</v>
      </c>
      <c r="BW112" s="365"/>
      <c r="BX112" s="362">
        <v>0.8</v>
      </c>
      <c r="BY112" s="365"/>
      <c r="BZ112" s="362">
        <v>0.8</v>
      </c>
      <c r="CA112" s="365"/>
      <c r="CB112" s="370"/>
      <c r="CC112" s="360">
        <v>1</v>
      </c>
      <c r="CD112" s="351" t="e">
        <f>IF('Inhaltliche Bewertung - GI'!RechtsformGI=BT$13,BT112*CC112,IF('Inhaltliche Bewertung - GI'!RechtsformGI=BV$13,BV112*CC112,IF('Inhaltliche Bewertung - GI'!RechtsformGI=BX$13,BX112*CC112,IF('Inhaltliche Bewertung - GI'!RechtsformGI=BZ$13,BZ112*CC112,IF('Inhaltliche Bewertung - GI'!RechtsformGI=BR$13,BR112*CC112,"")))))</f>
        <v>#N/A</v>
      </c>
      <c r="CE112" s="351" t="e">
        <f>IF('Inhaltliche Bewertung - GI'!RechtsformAngebot=BT$13,BT112*CC112,IF('Inhaltliche Bewertung - GI'!RechtsformAngebot=BV$13,BV112*CC112,IF('Inhaltliche Bewertung - GI'!RechtsformAngebot=BX$13,BX112*CC112,IF('Inhaltliche Bewertung - GI'!RechtsformAngebot=BZ$13,BZ112*CC112,IF('Inhaltliche Bewertung - GI'!RechtsformAngebot=BR$13,BR112*CC112,"")))))</f>
        <v>#N/A</v>
      </c>
      <c r="CF112" s="351"/>
      <c r="CG112" s="371" t="s">
        <v>3578</v>
      </c>
      <c r="CH112" s="362">
        <v>0.7</v>
      </c>
      <c r="CI112" s="365"/>
      <c r="CJ112" s="362">
        <v>0.7</v>
      </c>
      <c r="CK112" s="365"/>
      <c r="CL112" s="362">
        <v>0.7</v>
      </c>
      <c r="CM112" s="365"/>
      <c r="CN112" s="362">
        <v>0.7</v>
      </c>
      <c r="CO112" s="365"/>
      <c r="CP112" s="362">
        <v>0.7</v>
      </c>
      <c r="CQ112" s="365"/>
      <c r="CR112" s="370"/>
      <c r="CS112" s="360">
        <v>1</v>
      </c>
      <c r="CT112" s="351" t="e">
        <f>IF('Inhaltliche Bewertung - GI'!RechtsformGI=CJ$13,CJ112*CS112,IF('Inhaltliche Bewertung - GI'!RechtsformGI=CL$13,CL112*CS112,IF('Inhaltliche Bewertung - GI'!RechtsformGI=CN$13,CN112*CS112,IF('Inhaltliche Bewertung - GI'!RechtsformGI=CP$13,CP112*CS112,IF('Inhaltliche Bewertung - GI'!RechtsformGI=CH$13,CH112*CS112,"")))))</f>
        <v>#N/A</v>
      </c>
      <c r="CU112" s="351" t="e">
        <f>IF('Inhaltliche Bewertung - GI'!RechtsformAngebot=CJ$13,CJ112*CS112,IF('Inhaltliche Bewertung - GI'!RechtsformAngebot=CL$13,CL112*CS112,IF('Inhaltliche Bewertung - GI'!RechtsformAngebot=CN$13,CN112*CS112,IF('Inhaltliche Bewertung - GI'!RechtsformAngebot=CP$13,CP112*CS112,IF('Inhaltliche Bewertung - GI'!RechtsformAngebot=CH$13,CH112*CS112,"")))))</f>
        <v>#N/A</v>
      </c>
      <c r="CV112" s="351"/>
      <c r="CW112" s="371" t="s">
        <v>3578</v>
      </c>
      <c r="CX112" s="362">
        <v>0.8</v>
      </c>
      <c r="CY112" s="365"/>
      <c r="CZ112" s="362">
        <v>0.8</v>
      </c>
      <c r="DA112" s="365"/>
      <c r="DB112" s="362">
        <v>0.8</v>
      </c>
      <c r="DC112" s="365"/>
      <c r="DD112" s="362">
        <v>0.8</v>
      </c>
      <c r="DE112" s="365"/>
      <c r="DF112" s="362">
        <v>0.8</v>
      </c>
      <c r="DG112" s="365"/>
      <c r="DH112" s="370"/>
      <c r="DI112" s="360">
        <v>1</v>
      </c>
      <c r="DJ112" s="351" t="e">
        <f>IF('Inhaltliche Bewertung - GI'!RechtsformGI=CZ$13,CZ112*DI112,IF('Inhaltliche Bewertung - GI'!RechtsformGI=DB$13,DB112*DI112,IF('Inhaltliche Bewertung - GI'!RechtsformGI=DD$13,DD112*DI112,IF('Inhaltliche Bewertung - GI'!RechtsformGI=DF$13,DF112*DI112,IF('Inhaltliche Bewertung - GI'!RechtsformGI=CX$13,CX112*DI112,"")))))</f>
        <v>#N/A</v>
      </c>
      <c r="DK112" s="351" t="e">
        <f>IF('Inhaltliche Bewertung - GI'!RechtsformAngebot=CZ$13,CZ112*DI112,IF('Inhaltliche Bewertung - GI'!RechtsformAngebot=DB$13,DB112*DI112,IF('Inhaltliche Bewertung - GI'!RechtsformAngebot=DD$13,DD112*DI112,IF('Inhaltliche Bewertung - GI'!RechtsformAngebot=DF$13,DF112*DI112,IF('Inhaltliche Bewertung - GI'!RechtsformAngebot=CX$13,CX112*DI112,"")))))</f>
        <v>#N/A</v>
      </c>
      <c r="DL112" s="351"/>
      <c r="DM112" s="361" t="s">
        <v>3577</v>
      </c>
      <c r="DN112" s="362">
        <v>0.8</v>
      </c>
      <c r="DO112" s="365"/>
      <c r="DP112" s="362">
        <v>0.8</v>
      </c>
      <c r="DQ112" s="365"/>
      <c r="DR112" s="362">
        <v>0.8</v>
      </c>
      <c r="DS112" s="365"/>
      <c r="DT112" s="362">
        <v>0.8</v>
      </c>
      <c r="DU112" s="365"/>
      <c r="DV112" s="362">
        <v>0.8</v>
      </c>
      <c r="DW112" s="365"/>
      <c r="DX112" s="370"/>
      <c r="DY112" s="360">
        <v>1</v>
      </c>
      <c r="DZ112" s="351" t="e">
        <f>IF('Inhaltliche Bewertung - GI'!RechtsformGI=DP$13,DP112*DY112,IF('Inhaltliche Bewertung - GI'!RechtsformGI=DR$13,DR112*DY112,IF('Inhaltliche Bewertung - GI'!RechtsformGI=DT$13,DT112*DY112,IF('Inhaltliche Bewertung - GI'!RechtsformGI=DV$13,DV112*DY112,IF('Inhaltliche Bewertung - GI'!RechtsformGI=DN$13,DN112*DY112,"")))))</f>
        <v>#N/A</v>
      </c>
      <c r="EA112" s="351" t="e">
        <f>IF('Inhaltliche Bewertung - GI'!RechtsformAngebot=DP$13,DP112*DY112,IF('Inhaltliche Bewertung - GI'!RechtsformAngebot=DR$13,DR112*DY112,IF('Inhaltliche Bewertung - GI'!RechtsformAngebot=DT$13,DT112*DY112,IF('Inhaltliche Bewertung - GI'!RechtsformAngebot=DV$13,DV112*DY112,IF('Inhaltliche Bewertung - GI'!RechtsformAngebot=DN$13,DN112*DY112,"")))))</f>
        <v>#N/A</v>
      </c>
      <c r="EB112" s="351"/>
      <c r="EC112" s="157">
        <f t="shared" si="1"/>
        <v>0.7</v>
      </c>
      <c r="ED112" s="157">
        <f t="shared" si="2"/>
        <v>0.8</v>
      </c>
      <c r="EE112" s="157">
        <f t="shared" si="3"/>
        <v>0.77500000000000024</v>
      </c>
      <c r="EF112" s="157">
        <f t="shared" si="4"/>
        <v>0.8</v>
      </c>
    </row>
    <row r="113" spans="1:136" ht="14.25" customHeight="1">
      <c r="A113" s="444" t="b">
        <f t="shared" si="8"/>
        <v>0</v>
      </c>
      <c r="B113" s="292"/>
      <c r="C113" s="355" t="s">
        <v>3579</v>
      </c>
      <c r="D113" s="345"/>
      <c r="E113" s="371" t="s">
        <v>3580</v>
      </c>
      <c r="F113" s="372">
        <v>0</v>
      </c>
      <c r="G113" s="358"/>
      <c r="H113" s="372">
        <v>0</v>
      </c>
      <c r="I113" s="358"/>
      <c r="J113" s="372">
        <v>0</v>
      </c>
      <c r="K113" s="358"/>
      <c r="L113" s="372">
        <v>0</v>
      </c>
      <c r="M113" s="358"/>
      <c r="N113" s="372">
        <v>0</v>
      </c>
      <c r="O113" s="358"/>
      <c r="P113" s="359"/>
      <c r="Q113" s="360">
        <v>1</v>
      </c>
      <c r="R113" s="351" t="e">
        <f>IF('Inhaltliche Bewertung - GI'!RechtsformGI=H$13,H113*Q113,IF('Inhaltliche Bewertung - GI'!RechtsformGI=J$13,J113*Q113,IF('Inhaltliche Bewertung - GI'!RechtsformGI=L$13,L113*Q113,IF('Inhaltliche Bewertung - GI'!RechtsformGI=N$13,N113*Q113,IF('Inhaltliche Bewertung - GI'!RechtsformGI=F$13,F113*Q113,"")))))</f>
        <v>#N/A</v>
      </c>
      <c r="S113" s="351" t="e">
        <f>IF('Inhaltliche Bewertung - GI'!RechtsformAngebot=H$13,H113*Q113,IF('Inhaltliche Bewertung - GI'!RechtsformAngebot=J$13,J113*Q113,IF('Inhaltliche Bewertung - GI'!RechtsformAngebot=L$13,L113*Q113,IF('Inhaltliche Bewertung - GI'!RechtsformAngebot=N$13,N113*Q113,IF('Inhaltliche Bewertung - GI'!RechtsformAngebot=F$13,F113*Q113,"")))))</f>
        <v>#N/A</v>
      </c>
      <c r="T113" s="351"/>
      <c r="U113" s="371" t="s">
        <v>3580</v>
      </c>
      <c r="V113" s="372">
        <v>0</v>
      </c>
      <c r="W113" s="358"/>
      <c r="X113" s="372">
        <v>0</v>
      </c>
      <c r="Y113" s="358"/>
      <c r="Z113" s="372">
        <v>0</v>
      </c>
      <c r="AA113" s="358"/>
      <c r="AB113" s="372">
        <v>0</v>
      </c>
      <c r="AC113" s="358"/>
      <c r="AD113" s="372">
        <v>0</v>
      </c>
      <c r="AE113" s="358"/>
      <c r="AF113" s="359"/>
      <c r="AG113" s="360">
        <v>1</v>
      </c>
      <c r="AH113" s="351" t="e">
        <f>IF('Inhaltliche Bewertung - GI'!RechtsformGI=X$13,X113*AG113,IF('Inhaltliche Bewertung - GI'!RechtsformGI=Z$13,Z113*AG113,IF('Inhaltliche Bewertung - GI'!RechtsformGI=AB$13,AB113*AG113,IF('Inhaltliche Bewertung - GI'!RechtsformGI=AD$13,AD113*AG113,IF('Inhaltliche Bewertung - GI'!RechtsformGI=V$13,V113*AG113,"")))))</f>
        <v>#N/A</v>
      </c>
      <c r="AI113" s="351" t="e">
        <f>IF('Inhaltliche Bewertung - GI'!RechtsformAngebot=X$13,X113*AG113,IF('Inhaltliche Bewertung - GI'!RechtsformAngebot=Z$13,Z113*AG113,IF('Inhaltliche Bewertung - GI'!RechtsformAngebot=AB$13,AB113*AG113,IF('Inhaltliche Bewertung - GI'!RechtsformAngebot=AD$13,AD113*AG113,IF('Inhaltliche Bewertung - GI'!RechtsformAngebot=V$13,V113*AG113,"")))))</f>
        <v>#N/A</v>
      </c>
      <c r="AJ113" s="351"/>
      <c r="AK113" s="371" t="s">
        <v>3580</v>
      </c>
      <c r="AL113" s="372">
        <v>0</v>
      </c>
      <c r="AM113" s="358"/>
      <c r="AN113" s="372">
        <v>0</v>
      </c>
      <c r="AO113" s="358"/>
      <c r="AP113" s="372">
        <v>0</v>
      </c>
      <c r="AQ113" s="358"/>
      <c r="AR113" s="372">
        <v>0</v>
      </c>
      <c r="AS113" s="358"/>
      <c r="AT113" s="372">
        <v>0</v>
      </c>
      <c r="AU113" s="358"/>
      <c r="AV113" s="359"/>
      <c r="AW113" s="360">
        <v>1</v>
      </c>
      <c r="AX113" s="351" t="e">
        <f>IF('Inhaltliche Bewertung - GI'!RechtsformGI=AN$13,AN113*AW113,IF('Inhaltliche Bewertung - GI'!RechtsformGI=AP$13,AP113*AW113,IF('Inhaltliche Bewertung - GI'!RechtsformGI=AR$13,AR113*AW113,IF('Inhaltliche Bewertung - GI'!RechtsformGI=AT$13,AT113*AW113,IF('Inhaltliche Bewertung - GI'!RechtsformGI=AL$13,AL113*AW113,"")))))</f>
        <v>#N/A</v>
      </c>
      <c r="AY113" s="351" t="e">
        <f>IF('Inhaltliche Bewertung - GI'!RechtsformAngebot=AN$13,AN113*AW113,IF('Inhaltliche Bewertung - GI'!RechtsformAngebot=AP$13,AP113*AW113,IF('Inhaltliche Bewertung - GI'!RechtsformAngebot=AR$13,AR113*AW113,IF('Inhaltliche Bewertung - GI'!RechtsformAngebot=AT$13,AT113*AW113,IF('Inhaltliche Bewertung - GI'!RechtsformAngebot=AL$13,AL113*AW113,"")))))</f>
        <v>#N/A</v>
      </c>
      <c r="AZ113" s="351"/>
      <c r="BA113" s="361" t="s">
        <v>3581</v>
      </c>
      <c r="BB113" s="366">
        <v>0.7</v>
      </c>
      <c r="BC113" s="365"/>
      <c r="BD113" s="366">
        <v>0.7</v>
      </c>
      <c r="BE113" s="365"/>
      <c r="BF113" s="366">
        <v>0.7</v>
      </c>
      <c r="BG113" s="365"/>
      <c r="BH113" s="366">
        <v>0.7</v>
      </c>
      <c r="BI113" s="365"/>
      <c r="BJ113" s="366">
        <v>0.7</v>
      </c>
      <c r="BK113" s="365"/>
      <c r="BL113" s="365"/>
      <c r="BM113" s="360">
        <v>1</v>
      </c>
      <c r="BN113" s="351" t="e">
        <f>IF('Inhaltliche Bewertung - GI'!RechtsformGI=BD$13,BD113*BM113,IF('Inhaltliche Bewertung - GI'!RechtsformGI=BF$13,BF113*BM113,IF('Inhaltliche Bewertung - GI'!RechtsformGI=BH$13,BH113*BM113,IF('Inhaltliche Bewertung - GI'!RechtsformGI=BJ$13,BJ113*BM113,IF('Inhaltliche Bewertung - GI'!RechtsformGI=BB$13,BB113*BM113,"")))))</f>
        <v>#N/A</v>
      </c>
      <c r="BO113" s="351" t="e">
        <f>IF('Inhaltliche Bewertung - GI'!RechtsformAngebot=BD$13,BD113*BM113,IF('Inhaltliche Bewertung - GI'!RechtsformAngebot=BF$13,BF113*BM113,IF('Inhaltliche Bewertung - GI'!RechtsformAngebot=BH$13,BH113*BM113,IF('Inhaltliche Bewertung - GI'!RechtsformAngebot=BJ$13,BJ113*BM113,IF('Inhaltliche Bewertung - GI'!RechtsformAngebot=BB$13,BB113*BM113,"")))))</f>
        <v>#N/A</v>
      </c>
      <c r="BP113" s="351"/>
      <c r="BQ113" s="361" t="s">
        <v>3581</v>
      </c>
      <c r="BR113" s="367">
        <v>0.7</v>
      </c>
      <c r="BS113" s="368"/>
      <c r="BT113" s="367">
        <v>0.7</v>
      </c>
      <c r="BU113" s="368"/>
      <c r="BV113" s="367">
        <v>0.7</v>
      </c>
      <c r="BW113" s="368"/>
      <c r="BX113" s="367">
        <v>0.7</v>
      </c>
      <c r="BY113" s="368"/>
      <c r="BZ113" s="367">
        <v>0.7</v>
      </c>
      <c r="CA113" s="368"/>
      <c r="CB113" s="368"/>
      <c r="CC113" s="360">
        <v>1</v>
      </c>
      <c r="CD113" s="351" t="e">
        <f>IF('Inhaltliche Bewertung - GI'!RechtsformGI=BT$13,BT113*CC113,IF('Inhaltliche Bewertung - GI'!RechtsformGI=BV$13,BV113*CC113,IF('Inhaltliche Bewertung - GI'!RechtsformGI=BX$13,BX113*CC113,IF('Inhaltliche Bewertung - GI'!RechtsformGI=BZ$13,BZ113*CC113,IF('Inhaltliche Bewertung - GI'!RechtsformGI=BR$13,BR113*CC113,"")))))</f>
        <v>#N/A</v>
      </c>
      <c r="CE113" s="351" t="e">
        <f>IF('Inhaltliche Bewertung - GI'!RechtsformAngebot=BT$13,BT113*CC113,IF('Inhaltliche Bewertung - GI'!RechtsformAngebot=BV$13,BV113*CC113,IF('Inhaltliche Bewertung - GI'!RechtsformAngebot=BX$13,BX113*CC113,IF('Inhaltliche Bewertung - GI'!RechtsformAngebot=BZ$13,BZ113*CC113,IF('Inhaltliche Bewertung - GI'!RechtsformAngebot=BR$13,BR113*CC113,"")))))</f>
        <v>#N/A</v>
      </c>
      <c r="CF113" s="351"/>
      <c r="CG113" s="371" t="s">
        <v>3580</v>
      </c>
      <c r="CH113" s="372">
        <v>0</v>
      </c>
      <c r="CI113" s="358"/>
      <c r="CJ113" s="372">
        <v>0</v>
      </c>
      <c r="CK113" s="358"/>
      <c r="CL113" s="372">
        <v>0</v>
      </c>
      <c r="CM113" s="358"/>
      <c r="CN113" s="372">
        <v>0</v>
      </c>
      <c r="CO113" s="358"/>
      <c r="CP113" s="372">
        <v>0</v>
      </c>
      <c r="CQ113" s="358"/>
      <c r="CR113" s="359"/>
      <c r="CS113" s="360">
        <v>1</v>
      </c>
      <c r="CT113" s="351" t="e">
        <f>IF('Inhaltliche Bewertung - GI'!RechtsformGI=CJ$13,CJ113*CS113,IF('Inhaltliche Bewertung - GI'!RechtsformGI=CL$13,CL113*CS113,IF('Inhaltliche Bewertung - GI'!RechtsformGI=CN$13,CN113*CS113,IF('Inhaltliche Bewertung - GI'!RechtsformGI=CP$13,CP113*CS113,IF('Inhaltliche Bewertung - GI'!RechtsformGI=CH$13,CH113*CS113,"")))))</f>
        <v>#N/A</v>
      </c>
      <c r="CU113" s="351" t="e">
        <f>IF('Inhaltliche Bewertung - GI'!RechtsformAngebot=CJ$13,CJ113*CS113,IF('Inhaltliche Bewertung - GI'!RechtsformAngebot=CL$13,CL113*CS113,IF('Inhaltliche Bewertung - GI'!RechtsformAngebot=CN$13,CN113*CS113,IF('Inhaltliche Bewertung - GI'!RechtsformAngebot=CP$13,CP113*CS113,IF('Inhaltliche Bewertung - GI'!RechtsformAngebot=CH$13,CH113*CS113,"")))))</f>
        <v>#N/A</v>
      </c>
      <c r="CV113" s="351"/>
      <c r="CW113" s="371" t="s">
        <v>3580</v>
      </c>
      <c r="CX113" s="372">
        <v>0</v>
      </c>
      <c r="CY113" s="358"/>
      <c r="CZ113" s="372">
        <v>0</v>
      </c>
      <c r="DA113" s="358"/>
      <c r="DB113" s="372">
        <v>0</v>
      </c>
      <c r="DC113" s="358"/>
      <c r="DD113" s="372">
        <v>0</v>
      </c>
      <c r="DE113" s="358"/>
      <c r="DF113" s="372">
        <v>0</v>
      </c>
      <c r="DG113" s="358"/>
      <c r="DH113" s="359"/>
      <c r="DI113" s="360">
        <v>1</v>
      </c>
      <c r="DJ113" s="351" t="e">
        <f>IF('Inhaltliche Bewertung - GI'!RechtsformGI=CZ$13,CZ113*DI113,IF('Inhaltliche Bewertung - GI'!RechtsformGI=DB$13,DB113*DI113,IF('Inhaltliche Bewertung - GI'!RechtsformGI=DD$13,DD113*DI113,IF('Inhaltliche Bewertung - GI'!RechtsformGI=DF$13,DF113*DI113,IF('Inhaltliche Bewertung - GI'!RechtsformGI=CX$13,CX113*DI113,"")))))</f>
        <v>#N/A</v>
      </c>
      <c r="DK113" s="351" t="e">
        <f>IF('Inhaltliche Bewertung - GI'!RechtsformAngebot=CZ$13,CZ113*DI113,IF('Inhaltliche Bewertung - GI'!RechtsformAngebot=DB$13,DB113*DI113,IF('Inhaltliche Bewertung - GI'!RechtsformAngebot=DD$13,DD113*DI113,IF('Inhaltliche Bewertung - GI'!RechtsformAngebot=DF$13,DF113*DI113,IF('Inhaltliche Bewertung - GI'!RechtsformAngebot=CX$13,CX113*DI113,"")))))</f>
        <v>#N/A</v>
      </c>
      <c r="DL113" s="351"/>
      <c r="DM113" s="361" t="s">
        <v>3581</v>
      </c>
      <c r="DN113" s="367">
        <v>0.7</v>
      </c>
      <c r="DO113" s="368"/>
      <c r="DP113" s="367">
        <v>0.7</v>
      </c>
      <c r="DQ113" s="368"/>
      <c r="DR113" s="367">
        <v>0.7</v>
      </c>
      <c r="DS113" s="368"/>
      <c r="DT113" s="367">
        <v>0.7</v>
      </c>
      <c r="DU113" s="368"/>
      <c r="DV113" s="367">
        <v>0.7</v>
      </c>
      <c r="DW113" s="368"/>
      <c r="DX113" s="368"/>
      <c r="DY113" s="360">
        <v>1</v>
      </c>
      <c r="DZ113" s="351" t="e">
        <f>IF('Inhaltliche Bewertung - GI'!RechtsformGI=DP$13,DP113*DY113,IF('Inhaltliche Bewertung - GI'!RechtsformGI=DR$13,DR113*DY113,IF('Inhaltliche Bewertung - GI'!RechtsformGI=DT$13,DT113*DY113,IF('Inhaltliche Bewertung - GI'!RechtsformGI=DV$13,DV113*DY113,IF('Inhaltliche Bewertung - GI'!RechtsformGI=DN$13,DN113*DY113,"")))))</f>
        <v>#N/A</v>
      </c>
      <c r="EA113" s="351" t="e">
        <f>IF('Inhaltliche Bewertung - GI'!RechtsformAngebot=DP$13,DP113*DY113,IF('Inhaltliche Bewertung - GI'!RechtsformAngebot=DR$13,DR113*DY113,IF('Inhaltliche Bewertung - GI'!RechtsformAngebot=DT$13,DT113*DY113,IF('Inhaltliche Bewertung - GI'!RechtsformAngebot=DV$13,DV113*DY113,IF('Inhaltliche Bewertung - GI'!RechtsformAngebot=DN$13,DN113*DY113,"")))))</f>
        <v>#N/A</v>
      </c>
      <c r="EB113" s="351"/>
      <c r="EC113" s="157">
        <f t="shared" si="1"/>
        <v>0</v>
      </c>
      <c r="ED113" s="157">
        <f t="shared" si="2"/>
        <v>0.7</v>
      </c>
      <c r="EE113" s="157">
        <f t="shared" si="3"/>
        <v>0.26249999999999996</v>
      </c>
      <c r="EF113" s="157">
        <f t="shared" si="4"/>
        <v>0</v>
      </c>
    </row>
    <row r="114" spans="1:136" ht="14.25" customHeight="1">
      <c r="A114" s="444" t="b">
        <f t="shared" si="8"/>
        <v>0</v>
      </c>
      <c r="B114" s="292"/>
      <c r="C114" s="355" t="s">
        <v>3582</v>
      </c>
      <c r="D114" s="345"/>
      <c r="E114" s="361" t="s">
        <v>3583</v>
      </c>
      <c r="F114" s="362">
        <v>0</v>
      </c>
      <c r="G114" s="365"/>
      <c r="H114" s="362">
        <v>0</v>
      </c>
      <c r="I114" s="365"/>
      <c r="J114" s="362">
        <v>0</v>
      </c>
      <c r="K114" s="365"/>
      <c r="L114" s="362">
        <v>0</v>
      </c>
      <c r="M114" s="365"/>
      <c r="N114" s="362">
        <v>0</v>
      </c>
      <c r="O114" s="365"/>
      <c r="P114" s="370"/>
      <c r="Q114" s="373">
        <v>1</v>
      </c>
      <c r="R114" s="351" t="e">
        <f>IF('Inhaltliche Bewertung - GI'!RechtsformGI=H$13,H114*Q114,IF('Inhaltliche Bewertung - GI'!RechtsformGI=J$13,J114*Q114,IF('Inhaltliche Bewertung - GI'!RechtsformGI=L$13,L114*Q114,IF('Inhaltliche Bewertung - GI'!RechtsformGI=N$13,N114*Q114,IF('Inhaltliche Bewertung - GI'!RechtsformGI=F$13,F114*Q114,"")))))</f>
        <v>#N/A</v>
      </c>
      <c r="S114" s="351" t="e">
        <f>IF('Inhaltliche Bewertung - GI'!RechtsformAngebot=H$13,H114*Q114,IF('Inhaltliche Bewertung - GI'!RechtsformAngebot=J$13,J114*Q114,IF('Inhaltliche Bewertung - GI'!RechtsformAngebot=L$13,L114*Q114,IF('Inhaltliche Bewertung - GI'!RechtsformAngebot=N$13,N114*Q114,IF('Inhaltliche Bewertung - GI'!RechtsformAngebot=F$13,F114*Q114,"")))))</f>
        <v>#N/A</v>
      </c>
      <c r="T114" s="351"/>
      <c r="U114" s="356" t="s">
        <v>3489</v>
      </c>
      <c r="V114" s="357">
        <v>0</v>
      </c>
      <c r="W114" s="374"/>
      <c r="X114" s="375">
        <v>0</v>
      </c>
      <c r="Y114" s="374"/>
      <c r="Z114" s="375">
        <v>0</v>
      </c>
      <c r="AA114" s="374"/>
      <c r="AB114" s="375">
        <v>0</v>
      </c>
      <c r="AC114" s="374"/>
      <c r="AD114" s="375">
        <v>0</v>
      </c>
      <c r="AE114" s="374"/>
      <c r="AF114" s="374"/>
      <c r="AG114" s="373">
        <v>1</v>
      </c>
      <c r="AH114" s="351" t="e">
        <f>IF('Inhaltliche Bewertung - GI'!RechtsformGI=X$13,X114*AG114,IF('Inhaltliche Bewertung - GI'!RechtsformGI=Z$13,Z114*AG114,IF('Inhaltliche Bewertung - GI'!RechtsformGI=AB$13,AB114*AG114,IF('Inhaltliche Bewertung - GI'!RechtsformGI=AD$13,AD114*AG114,IF('Inhaltliche Bewertung - GI'!RechtsformGI=V$13,V114*AG114,"")))))</f>
        <v>#N/A</v>
      </c>
      <c r="AI114" s="351" t="e">
        <f>IF('Inhaltliche Bewertung - GI'!RechtsformAngebot=X$13,X114*AG114,IF('Inhaltliche Bewertung - GI'!RechtsformAngebot=Z$13,Z114*AG114,IF('Inhaltliche Bewertung - GI'!RechtsformAngebot=AB$13,AB114*AG114,IF('Inhaltliche Bewertung - GI'!RechtsformAngebot=AD$13,AD114*AG114,IF('Inhaltliche Bewertung - GI'!RechtsformAngebot=V$13,V114*AG114,"")))))</f>
        <v>#N/A</v>
      </c>
      <c r="AJ114" s="351"/>
      <c r="AK114" s="361" t="s">
        <v>3584</v>
      </c>
      <c r="AL114" s="362">
        <v>1</v>
      </c>
      <c r="AM114" s="365"/>
      <c r="AN114" s="362">
        <v>1</v>
      </c>
      <c r="AO114" s="365"/>
      <c r="AP114" s="362">
        <v>1</v>
      </c>
      <c r="AQ114" s="365"/>
      <c r="AR114" s="362">
        <v>1</v>
      </c>
      <c r="AS114" s="365"/>
      <c r="AT114" s="362">
        <v>1</v>
      </c>
      <c r="AU114" s="365"/>
      <c r="AV114" s="365"/>
      <c r="AW114" s="373">
        <v>1</v>
      </c>
      <c r="AX114" s="351" t="e">
        <f>IF('Inhaltliche Bewertung - GI'!RechtsformGI=AN$13,AN114*AW114,IF('Inhaltliche Bewertung - GI'!RechtsformGI=AP$13,AP114*AW114,IF('Inhaltliche Bewertung - GI'!RechtsformGI=AR$13,AR114*AW114,IF('Inhaltliche Bewertung - GI'!RechtsformGI=AT$13,AT114*AW114,IF('Inhaltliche Bewertung - GI'!RechtsformGI=AL$13,AL114*AW114,"")))))</f>
        <v>#N/A</v>
      </c>
      <c r="AY114" s="351" t="e">
        <f>IF('Inhaltliche Bewertung - GI'!RechtsformAngebot=AN$13,AN114*AW114,IF('Inhaltliche Bewertung - GI'!RechtsformAngebot=AP$13,AP114*AW114,IF('Inhaltliche Bewertung - GI'!RechtsformAngebot=AR$13,AR114*AW114,IF('Inhaltliche Bewertung - GI'!RechtsformAngebot=AT$13,AT114*AW114,IF('Inhaltliche Bewertung - GI'!RechtsformAngebot=AL$13,AL114*AW114,"")))))</f>
        <v>#N/A</v>
      </c>
      <c r="AZ114" s="351"/>
      <c r="BA114" s="361" t="s">
        <v>3584</v>
      </c>
      <c r="BB114" s="366">
        <v>1</v>
      </c>
      <c r="BC114" s="365"/>
      <c r="BD114" s="366">
        <v>1</v>
      </c>
      <c r="BE114" s="365"/>
      <c r="BF114" s="366">
        <v>1</v>
      </c>
      <c r="BG114" s="365"/>
      <c r="BH114" s="366">
        <v>1</v>
      </c>
      <c r="BI114" s="365"/>
      <c r="BJ114" s="366">
        <v>1</v>
      </c>
      <c r="BK114" s="365"/>
      <c r="BL114" s="365"/>
      <c r="BM114" s="373">
        <v>1</v>
      </c>
      <c r="BN114" s="351" t="e">
        <f>IF('Inhaltliche Bewertung - GI'!RechtsformGI=BD$13,BD114*BM114,IF('Inhaltliche Bewertung - GI'!RechtsformGI=BF$13,BF114*BM114,IF('Inhaltliche Bewertung - GI'!RechtsformGI=BH$13,BH114*BM114,IF('Inhaltliche Bewertung - GI'!RechtsformGI=BJ$13,BJ114*BM114,IF('Inhaltliche Bewertung - GI'!RechtsformGI=BB$13,BB114*BM114,"")))))</f>
        <v>#N/A</v>
      </c>
      <c r="BO114" s="351" t="e">
        <f>IF('Inhaltliche Bewertung - GI'!RechtsformAngebot=BD$13,BD114*BM114,IF('Inhaltliche Bewertung - GI'!RechtsformAngebot=BF$13,BF114*BM114,IF('Inhaltliche Bewertung - GI'!RechtsformAngebot=BH$13,BH114*BM114,IF('Inhaltliche Bewertung - GI'!RechtsformAngebot=BJ$13,BJ114*BM114,IF('Inhaltliche Bewertung - GI'!RechtsformAngebot=BB$13,BB114*BM114,"")))))</f>
        <v>#N/A</v>
      </c>
      <c r="BP114" s="351"/>
      <c r="BQ114" s="361" t="s">
        <v>3584</v>
      </c>
      <c r="BR114" s="367">
        <v>1</v>
      </c>
      <c r="BS114" s="368"/>
      <c r="BT114" s="367">
        <v>1</v>
      </c>
      <c r="BU114" s="368"/>
      <c r="BV114" s="367">
        <v>1</v>
      </c>
      <c r="BW114" s="368"/>
      <c r="BX114" s="367">
        <v>1</v>
      </c>
      <c r="BY114" s="368"/>
      <c r="BZ114" s="367">
        <v>1</v>
      </c>
      <c r="CA114" s="368"/>
      <c r="CB114" s="368"/>
      <c r="CC114" s="373">
        <v>1</v>
      </c>
      <c r="CD114" s="351" t="e">
        <f>IF('Inhaltliche Bewertung - GI'!RechtsformGI=BT$13,BT114*CC114,IF('Inhaltliche Bewertung - GI'!RechtsformGI=BV$13,BV114*CC114,IF('Inhaltliche Bewertung - GI'!RechtsformGI=BX$13,BX114*CC114,IF('Inhaltliche Bewertung - GI'!RechtsformGI=BZ$13,BZ114*CC114,IF('Inhaltliche Bewertung - GI'!RechtsformGI=BR$13,BR114*CC114,"")))))</f>
        <v>#N/A</v>
      </c>
      <c r="CE114" s="351" t="e">
        <f>IF('Inhaltliche Bewertung - GI'!RechtsformAngebot=BT$13,BT114*CC114,IF('Inhaltliche Bewertung - GI'!RechtsformAngebot=BV$13,BV114*CC114,IF('Inhaltliche Bewertung - GI'!RechtsformAngebot=BX$13,BX114*CC114,IF('Inhaltliche Bewertung - GI'!RechtsformAngebot=BZ$13,BZ114*CC114,IF('Inhaltliche Bewertung - GI'!RechtsformAngebot=BR$13,BR114*CC114,"")))))</f>
        <v>#N/A</v>
      </c>
      <c r="CF114" s="351"/>
      <c r="CG114" s="361" t="s">
        <v>3584</v>
      </c>
      <c r="CH114" s="367">
        <v>0.9</v>
      </c>
      <c r="CI114" s="368"/>
      <c r="CJ114" s="367">
        <v>0.9</v>
      </c>
      <c r="CK114" s="368"/>
      <c r="CL114" s="367">
        <v>0.9</v>
      </c>
      <c r="CM114" s="368"/>
      <c r="CN114" s="367">
        <v>0.9</v>
      </c>
      <c r="CO114" s="368"/>
      <c r="CP114" s="367">
        <v>0.9</v>
      </c>
      <c r="CQ114" s="368"/>
      <c r="CR114" s="368"/>
      <c r="CS114" s="373">
        <v>1</v>
      </c>
      <c r="CT114" s="351" t="e">
        <f>IF('Inhaltliche Bewertung - GI'!RechtsformGI=CJ$13,CJ114*CS114,IF('Inhaltliche Bewertung - GI'!RechtsformGI=CL$13,CL114*CS114,IF('Inhaltliche Bewertung - GI'!RechtsformGI=CN$13,CN114*CS114,IF('Inhaltliche Bewertung - GI'!RechtsformGI=CP$13,CP114*CS114,IF('Inhaltliche Bewertung - GI'!RechtsformGI=CH$13,CH114*CS114,"")))))</f>
        <v>#N/A</v>
      </c>
      <c r="CU114" s="351" t="e">
        <f>IF('Inhaltliche Bewertung - GI'!RechtsformAngebot=CJ$13,CJ114*CS114,IF('Inhaltliche Bewertung - GI'!RechtsformAngebot=CL$13,CL114*CS114,IF('Inhaltliche Bewertung - GI'!RechtsformAngebot=CN$13,CN114*CS114,IF('Inhaltliche Bewertung - GI'!RechtsformAngebot=CP$13,CP114*CS114,IF('Inhaltliche Bewertung - GI'!RechtsformAngebot=CH$13,CH114*CS114,"")))))</f>
        <v>#N/A</v>
      </c>
      <c r="CV114" s="351"/>
      <c r="CW114" s="356" t="s">
        <v>3489</v>
      </c>
      <c r="CX114" s="376">
        <v>0</v>
      </c>
      <c r="CY114" s="377"/>
      <c r="CZ114" s="376">
        <v>0</v>
      </c>
      <c r="DA114" s="379"/>
      <c r="DB114" s="376">
        <v>0</v>
      </c>
      <c r="DC114" s="377"/>
      <c r="DD114" s="376">
        <v>0</v>
      </c>
      <c r="DE114" s="377"/>
      <c r="DF114" s="376">
        <v>0</v>
      </c>
      <c r="DG114" s="377"/>
      <c r="DH114" s="377"/>
      <c r="DI114" s="373">
        <v>1</v>
      </c>
      <c r="DJ114" s="351" t="e">
        <f>IF('Inhaltliche Bewertung - GI'!RechtsformGI=CZ$13,CZ114*DI114,IF('Inhaltliche Bewertung - GI'!RechtsformGI=DB$13,DB114*DI114,IF('Inhaltliche Bewertung - GI'!RechtsformGI=DD$13,DD114*DI114,IF('Inhaltliche Bewertung - GI'!RechtsformGI=DF$13,DF114*DI114,IF('Inhaltliche Bewertung - GI'!RechtsformGI=CX$13,CX114*DI114,"")))))</f>
        <v>#N/A</v>
      </c>
      <c r="DK114" s="351" t="e">
        <f>IF('Inhaltliche Bewertung - GI'!RechtsformAngebot=CZ$13,CZ114*DI114,IF('Inhaltliche Bewertung - GI'!RechtsformAngebot=DB$13,DB114*DI114,IF('Inhaltliche Bewertung - GI'!RechtsformAngebot=DD$13,DD114*DI114,IF('Inhaltliche Bewertung - GI'!RechtsformAngebot=DF$13,DF114*DI114,IF('Inhaltliche Bewertung - GI'!RechtsformAngebot=CX$13,CX114*DI114,"")))))</f>
        <v>#N/A</v>
      </c>
      <c r="DL114" s="351"/>
      <c r="DM114" s="361" t="s">
        <v>3584</v>
      </c>
      <c r="DN114" s="367">
        <v>1</v>
      </c>
      <c r="DO114" s="368"/>
      <c r="DP114" s="367">
        <v>1</v>
      </c>
      <c r="DQ114" s="368"/>
      <c r="DR114" s="367">
        <v>1</v>
      </c>
      <c r="DS114" s="368"/>
      <c r="DT114" s="367">
        <v>1</v>
      </c>
      <c r="DU114" s="368"/>
      <c r="DV114" s="367">
        <v>1</v>
      </c>
      <c r="DW114" s="368"/>
      <c r="DX114" s="368"/>
      <c r="DY114" s="373">
        <v>1</v>
      </c>
      <c r="DZ114" s="351" t="e">
        <f>IF('Inhaltliche Bewertung - GI'!RechtsformGI=DP$13,DP114*DY114,IF('Inhaltliche Bewertung - GI'!RechtsformGI=DR$13,DR114*DY114,IF('Inhaltliche Bewertung - GI'!RechtsformGI=DT$13,DT114*DY114,IF('Inhaltliche Bewertung - GI'!RechtsformGI=DV$13,DV114*DY114,IF('Inhaltliche Bewertung - GI'!RechtsformGI=DN$13,DN114*DY114,"")))))</f>
        <v>#N/A</v>
      </c>
      <c r="EA114" s="351" t="e">
        <f>IF('Inhaltliche Bewertung - GI'!RechtsformAngebot=DP$13,DP114*DY114,IF('Inhaltliche Bewertung - GI'!RechtsformAngebot=DR$13,DR114*DY114,IF('Inhaltliche Bewertung - GI'!RechtsformAngebot=DT$13,DT114*DY114,IF('Inhaltliche Bewertung - GI'!RechtsformAngebot=DV$13,DV114*DY114,IF('Inhaltliche Bewertung - GI'!RechtsformAngebot=DN$13,DN114*DY114,"")))))</f>
        <v>#N/A</v>
      </c>
      <c r="EB114" s="351"/>
      <c r="EC114" s="157">
        <f t="shared" si="1"/>
        <v>0</v>
      </c>
      <c r="ED114" s="157">
        <f t="shared" si="2"/>
        <v>1</v>
      </c>
      <c r="EE114" s="157">
        <f t="shared" si="3"/>
        <v>0.61249999999999993</v>
      </c>
      <c r="EF114" s="157">
        <f t="shared" si="4"/>
        <v>0.95</v>
      </c>
    </row>
    <row r="115" spans="1:136" ht="14.25" customHeight="1">
      <c r="A115" s="444" t="b">
        <f t="shared" si="8"/>
        <v>0</v>
      </c>
      <c r="B115" s="292"/>
      <c r="C115" s="355" t="s">
        <v>3585</v>
      </c>
      <c r="D115" s="345"/>
      <c r="E115" s="361" t="s">
        <v>3586</v>
      </c>
      <c r="F115" s="362">
        <v>1</v>
      </c>
      <c r="G115" s="365"/>
      <c r="H115" s="362">
        <v>1</v>
      </c>
      <c r="I115" s="365"/>
      <c r="J115" s="362">
        <v>1</v>
      </c>
      <c r="K115" s="365"/>
      <c r="L115" s="362">
        <v>1</v>
      </c>
      <c r="M115" s="365"/>
      <c r="N115" s="362">
        <v>1</v>
      </c>
      <c r="O115" s="365"/>
      <c r="P115" s="370"/>
      <c r="Q115" s="360">
        <v>1</v>
      </c>
      <c r="R115" s="351" t="e">
        <f>IF('Inhaltliche Bewertung - GI'!RechtsformGI=H$13,H115*Q115,IF('Inhaltliche Bewertung - GI'!RechtsformGI=J$13,J115*Q115,IF('Inhaltliche Bewertung - GI'!RechtsformGI=L$13,L115*Q115,IF('Inhaltliche Bewertung - GI'!RechtsformGI=N$13,N115*Q115,IF('Inhaltliche Bewertung - GI'!RechtsformGI=F$13,F115*Q115,"")))))</f>
        <v>#N/A</v>
      </c>
      <c r="S115" s="351" t="e">
        <f>IF('Inhaltliche Bewertung - GI'!RechtsformAngebot=H$13,H115*Q115,IF('Inhaltliche Bewertung - GI'!RechtsformAngebot=J$13,J115*Q115,IF('Inhaltliche Bewertung - GI'!RechtsformAngebot=L$13,L115*Q115,IF('Inhaltliche Bewertung - GI'!RechtsformAngebot=N$13,N115*Q115,IF('Inhaltliche Bewertung - GI'!RechtsformAngebot=F$13,F115*Q115,"")))))</f>
        <v>#N/A</v>
      </c>
      <c r="T115" s="351"/>
      <c r="U115" s="371" t="s">
        <v>3587</v>
      </c>
      <c r="V115" s="362">
        <v>1</v>
      </c>
      <c r="W115" s="365"/>
      <c r="X115" s="362">
        <v>1</v>
      </c>
      <c r="Y115" s="365"/>
      <c r="Z115" s="362">
        <v>1</v>
      </c>
      <c r="AA115" s="365"/>
      <c r="AB115" s="362">
        <v>1</v>
      </c>
      <c r="AC115" s="365"/>
      <c r="AD115" s="362">
        <v>1</v>
      </c>
      <c r="AE115" s="365"/>
      <c r="AF115" s="370"/>
      <c r="AG115" s="360">
        <v>1</v>
      </c>
      <c r="AH115" s="351" t="e">
        <f>IF('Inhaltliche Bewertung - GI'!RechtsformGI=X$13,X115*AG115,IF('Inhaltliche Bewertung - GI'!RechtsformGI=Z$13,Z115*AG115,IF('Inhaltliche Bewertung - GI'!RechtsformGI=AB$13,AB115*AG115,IF('Inhaltliche Bewertung - GI'!RechtsformGI=AD$13,AD115*AG115,IF('Inhaltliche Bewertung - GI'!RechtsformGI=V$13,V115*AG115,"")))))</f>
        <v>#N/A</v>
      </c>
      <c r="AI115" s="351" t="e">
        <f>IF('Inhaltliche Bewertung - GI'!RechtsformAngebot=X$13,X115*AG115,IF('Inhaltliche Bewertung - GI'!RechtsformAngebot=Z$13,Z115*AG115,IF('Inhaltliche Bewertung - GI'!RechtsformAngebot=AB$13,AB115*AG115,IF('Inhaltliche Bewertung - GI'!RechtsformAngebot=AD$13,AD115*AG115,IF('Inhaltliche Bewertung - GI'!RechtsformAngebot=V$13,V115*AG115,"")))))</f>
        <v>#N/A</v>
      </c>
      <c r="AJ115" s="351"/>
      <c r="AK115" s="361" t="s">
        <v>3586</v>
      </c>
      <c r="AL115" s="362">
        <v>1</v>
      </c>
      <c r="AM115" s="365"/>
      <c r="AN115" s="362">
        <v>1</v>
      </c>
      <c r="AO115" s="365"/>
      <c r="AP115" s="362">
        <v>1</v>
      </c>
      <c r="AQ115" s="365"/>
      <c r="AR115" s="362">
        <v>1</v>
      </c>
      <c r="AS115" s="365"/>
      <c r="AT115" s="362">
        <v>1</v>
      </c>
      <c r="AU115" s="365"/>
      <c r="AV115" s="370"/>
      <c r="AW115" s="360">
        <v>1</v>
      </c>
      <c r="AX115" s="351" t="e">
        <f>IF('Inhaltliche Bewertung - GI'!RechtsformGI=AN$13,AN115*AW115,IF('Inhaltliche Bewertung - GI'!RechtsformGI=AP$13,AP115*AW115,IF('Inhaltliche Bewertung - GI'!RechtsformGI=AR$13,AR115*AW115,IF('Inhaltliche Bewertung - GI'!RechtsformGI=AT$13,AT115*AW115,IF('Inhaltliche Bewertung - GI'!RechtsformGI=AL$13,AL115*AW115,"")))))</f>
        <v>#N/A</v>
      </c>
      <c r="AY115" s="351" t="e">
        <f>IF('Inhaltliche Bewertung - GI'!RechtsformAngebot=AN$13,AN115*AW115,IF('Inhaltliche Bewertung - GI'!RechtsformAngebot=AP$13,AP115*AW115,IF('Inhaltliche Bewertung - GI'!RechtsformAngebot=AR$13,AR115*AW115,IF('Inhaltliche Bewertung - GI'!RechtsformAngebot=AT$13,AT115*AW115,IF('Inhaltliche Bewertung - GI'!RechtsformAngebot=AL$13,AL115*AW115,"")))))</f>
        <v>#N/A</v>
      </c>
      <c r="AZ115" s="351"/>
      <c r="BA115" s="361" t="s">
        <v>3586</v>
      </c>
      <c r="BB115" s="362">
        <v>1</v>
      </c>
      <c r="BC115" s="365"/>
      <c r="BD115" s="362">
        <v>1</v>
      </c>
      <c r="BE115" s="365"/>
      <c r="BF115" s="362">
        <v>1</v>
      </c>
      <c r="BG115" s="365"/>
      <c r="BH115" s="362">
        <v>1</v>
      </c>
      <c r="BI115" s="365"/>
      <c r="BJ115" s="362">
        <v>1</v>
      </c>
      <c r="BK115" s="365"/>
      <c r="BL115" s="370"/>
      <c r="BM115" s="360">
        <v>1</v>
      </c>
      <c r="BN115" s="351" t="e">
        <f>IF('Inhaltliche Bewertung - GI'!RechtsformGI=BD$13,BD115*BM115,IF('Inhaltliche Bewertung - GI'!RechtsformGI=BF$13,BF115*BM115,IF('Inhaltliche Bewertung - GI'!RechtsformGI=BH$13,BH115*BM115,IF('Inhaltliche Bewertung - GI'!RechtsformGI=BJ$13,BJ115*BM115,IF('Inhaltliche Bewertung - GI'!RechtsformGI=BB$13,BB115*BM115,"")))))</f>
        <v>#N/A</v>
      </c>
      <c r="BO115" s="351" t="e">
        <f>IF('Inhaltliche Bewertung - GI'!RechtsformAngebot=BD$13,BD115*BM115,IF('Inhaltliche Bewertung - GI'!RechtsformAngebot=BF$13,BF115*BM115,IF('Inhaltliche Bewertung - GI'!RechtsformAngebot=BH$13,BH115*BM115,IF('Inhaltliche Bewertung - GI'!RechtsformAngebot=BJ$13,BJ115*BM115,IF('Inhaltliche Bewertung - GI'!RechtsformAngebot=BB$13,BB115*BM115,"")))))</f>
        <v>#N/A</v>
      </c>
      <c r="BP115" s="351"/>
      <c r="BQ115" s="361" t="s">
        <v>3586</v>
      </c>
      <c r="BR115" s="362">
        <v>1</v>
      </c>
      <c r="BS115" s="365"/>
      <c r="BT115" s="362">
        <v>1</v>
      </c>
      <c r="BU115" s="365"/>
      <c r="BV115" s="362">
        <v>1</v>
      </c>
      <c r="BW115" s="365"/>
      <c r="BX115" s="362">
        <v>1</v>
      </c>
      <c r="BY115" s="365"/>
      <c r="BZ115" s="362">
        <v>1</v>
      </c>
      <c r="CA115" s="365"/>
      <c r="CB115" s="370"/>
      <c r="CC115" s="360">
        <v>1</v>
      </c>
      <c r="CD115" s="351" t="e">
        <f>IF('Inhaltliche Bewertung - GI'!RechtsformGI=BT$13,BT115*CC115,IF('Inhaltliche Bewertung - GI'!RechtsformGI=BV$13,BV115*CC115,IF('Inhaltliche Bewertung - GI'!RechtsformGI=BX$13,BX115*CC115,IF('Inhaltliche Bewertung - GI'!RechtsformGI=BZ$13,BZ115*CC115,IF('Inhaltliche Bewertung - GI'!RechtsformGI=BR$13,BR115*CC115,"")))))</f>
        <v>#N/A</v>
      </c>
      <c r="CE115" s="351" t="e">
        <f>IF('Inhaltliche Bewertung - GI'!RechtsformAngebot=BT$13,BT115*CC115,IF('Inhaltliche Bewertung - GI'!RechtsformAngebot=BV$13,BV115*CC115,IF('Inhaltliche Bewertung - GI'!RechtsformAngebot=BX$13,BX115*CC115,IF('Inhaltliche Bewertung - GI'!RechtsformAngebot=BZ$13,BZ115*CC115,IF('Inhaltliche Bewertung - GI'!RechtsformAngebot=BR$13,BR115*CC115,"")))))</f>
        <v>#N/A</v>
      </c>
      <c r="CF115" s="351"/>
      <c r="CG115" s="361" t="s">
        <v>3586</v>
      </c>
      <c r="CH115" s="362">
        <v>0.9</v>
      </c>
      <c r="CI115" s="365"/>
      <c r="CJ115" s="362">
        <v>0.9</v>
      </c>
      <c r="CK115" s="365"/>
      <c r="CL115" s="362">
        <v>0.9</v>
      </c>
      <c r="CM115" s="365"/>
      <c r="CN115" s="362">
        <v>0.9</v>
      </c>
      <c r="CO115" s="365"/>
      <c r="CP115" s="362">
        <v>0.9</v>
      </c>
      <c r="CQ115" s="365"/>
      <c r="CR115" s="370"/>
      <c r="CS115" s="360">
        <v>1</v>
      </c>
      <c r="CT115" s="351" t="e">
        <f>IF('Inhaltliche Bewertung - GI'!RechtsformGI=CJ$13,CJ115*CS115,IF('Inhaltliche Bewertung - GI'!RechtsformGI=CL$13,CL115*CS115,IF('Inhaltliche Bewertung - GI'!RechtsformGI=CN$13,CN115*CS115,IF('Inhaltliche Bewertung - GI'!RechtsformGI=CP$13,CP115*CS115,IF('Inhaltliche Bewertung - GI'!RechtsformGI=CH$13,CH115*CS115,"")))))</f>
        <v>#N/A</v>
      </c>
      <c r="CU115" s="351" t="e">
        <f>IF('Inhaltliche Bewertung - GI'!RechtsformAngebot=CJ$13,CJ115*CS115,IF('Inhaltliche Bewertung - GI'!RechtsformAngebot=CL$13,CL115*CS115,IF('Inhaltliche Bewertung - GI'!RechtsformAngebot=CN$13,CN115*CS115,IF('Inhaltliche Bewertung - GI'!RechtsformAngebot=CP$13,CP115*CS115,IF('Inhaltliche Bewertung - GI'!RechtsformAngebot=CH$13,CH115*CS115,"")))))</f>
        <v>#N/A</v>
      </c>
      <c r="CV115" s="351"/>
      <c r="CW115" s="361" t="s">
        <v>3586</v>
      </c>
      <c r="CX115" s="362">
        <v>1</v>
      </c>
      <c r="CY115" s="365"/>
      <c r="CZ115" s="362">
        <v>1</v>
      </c>
      <c r="DA115" s="365"/>
      <c r="DB115" s="362">
        <v>1</v>
      </c>
      <c r="DC115" s="365"/>
      <c r="DD115" s="362">
        <v>1</v>
      </c>
      <c r="DE115" s="365"/>
      <c r="DF115" s="362">
        <v>1</v>
      </c>
      <c r="DG115" s="365"/>
      <c r="DH115" s="370"/>
      <c r="DI115" s="360">
        <v>1</v>
      </c>
      <c r="DJ115" s="351" t="e">
        <f>IF('Inhaltliche Bewertung - GI'!RechtsformGI=CZ$13,CZ115*DI115,IF('Inhaltliche Bewertung - GI'!RechtsformGI=DB$13,DB115*DI115,IF('Inhaltliche Bewertung - GI'!RechtsformGI=DD$13,DD115*DI115,IF('Inhaltliche Bewertung - GI'!RechtsformGI=DF$13,DF115*DI115,IF('Inhaltliche Bewertung - GI'!RechtsformGI=CX$13,CX115*DI115,"")))))</f>
        <v>#N/A</v>
      </c>
      <c r="DK115" s="351" t="e">
        <f>IF('Inhaltliche Bewertung - GI'!RechtsformAngebot=CZ$13,CZ115*DI115,IF('Inhaltliche Bewertung - GI'!RechtsformAngebot=DB$13,DB115*DI115,IF('Inhaltliche Bewertung - GI'!RechtsformAngebot=DD$13,DD115*DI115,IF('Inhaltliche Bewertung - GI'!RechtsformAngebot=DF$13,DF115*DI115,IF('Inhaltliche Bewertung - GI'!RechtsformAngebot=CX$13,CX115*DI115,"")))))</f>
        <v>#N/A</v>
      </c>
      <c r="DL115" s="351"/>
      <c r="DM115" s="361" t="s">
        <v>3586</v>
      </c>
      <c r="DN115" s="362">
        <v>1</v>
      </c>
      <c r="DO115" s="365"/>
      <c r="DP115" s="362">
        <v>1</v>
      </c>
      <c r="DQ115" s="365"/>
      <c r="DR115" s="362">
        <v>1</v>
      </c>
      <c r="DS115" s="365"/>
      <c r="DT115" s="362">
        <v>1</v>
      </c>
      <c r="DU115" s="365"/>
      <c r="DV115" s="362">
        <v>1</v>
      </c>
      <c r="DW115" s="365"/>
      <c r="DX115" s="370"/>
      <c r="DY115" s="360">
        <v>1</v>
      </c>
      <c r="DZ115" s="351" t="e">
        <f>IF('Inhaltliche Bewertung - GI'!RechtsformGI=DP$13,DP115*DY115,IF('Inhaltliche Bewertung - GI'!RechtsformGI=DR$13,DR115*DY115,IF('Inhaltliche Bewertung - GI'!RechtsformGI=DT$13,DT115*DY115,IF('Inhaltliche Bewertung - GI'!RechtsformGI=DV$13,DV115*DY115,IF('Inhaltliche Bewertung - GI'!RechtsformGI=DN$13,DN115*DY115,"")))))</f>
        <v>#N/A</v>
      </c>
      <c r="EA115" s="351" t="e">
        <f>IF('Inhaltliche Bewertung - GI'!RechtsformAngebot=DP$13,DP115*DY115,IF('Inhaltliche Bewertung - GI'!RechtsformAngebot=DR$13,DR115*DY115,IF('Inhaltliche Bewertung - GI'!RechtsformAngebot=DT$13,DT115*DY115,IF('Inhaltliche Bewertung - GI'!RechtsformAngebot=DV$13,DV115*DY115,IF('Inhaltliche Bewertung - GI'!RechtsformAngebot=DN$13,DN115*DY115,"")))))</f>
        <v>#N/A</v>
      </c>
      <c r="EB115" s="351"/>
      <c r="EC115" s="157">
        <f t="shared" si="1"/>
        <v>0.9</v>
      </c>
      <c r="ED115" s="157">
        <f t="shared" si="2"/>
        <v>1</v>
      </c>
      <c r="EE115" s="157">
        <f t="shared" si="3"/>
        <v>0.98749999999999982</v>
      </c>
      <c r="EF115" s="157">
        <f t="shared" si="4"/>
        <v>1</v>
      </c>
    </row>
    <row r="116" spans="1:136" ht="14.25" customHeight="1">
      <c r="A116" s="395"/>
      <c r="B116" s="337" t="s">
        <v>3588</v>
      </c>
      <c r="C116" s="395"/>
      <c r="D116" s="396"/>
      <c r="E116" s="397"/>
      <c r="F116" s="398"/>
      <c r="G116" s="399"/>
      <c r="H116" s="398"/>
      <c r="I116" s="399"/>
      <c r="J116" s="398"/>
      <c r="K116" s="399"/>
      <c r="L116" s="398"/>
      <c r="M116" s="399"/>
      <c r="N116" s="398"/>
      <c r="O116" s="399"/>
      <c r="P116" s="400"/>
      <c r="Q116" s="401"/>
      <c r="R116" s="351" t="e">
        <f>IF('Inhaltliche Bewertung - GI'!RechtsformGI=H$13,H116*Q116,IF('Inhaltliche Bewertung - GI'!RechtsformGI=J$13,J116*Q116,IF('Inhaltliche Bewertung - GI'!RechtsformGI=L$13,L116*Q116,IF('Inhaltliche Bewertung - GI'!RechtsformGI=N$13,N116*Q116,IF('Inhaltliche Bewertung - GI'!RechtsformGI=F$13,F116*Q116,"")))))</f>
        <v>#N/A</v>
      </c>
      <c r="S116" s="351" t="e">
        <f>IF('Inhaltliche Bewertung - GI'!RechtsformAngebot=H$13,H116*Q116,IF('Inhaltliche Bewertung - GI'!RechtsformAngebot=J$13,J116*Q116,IF('Inhaltliche Bewertung - GI'!RechtsformAngebot=L$13,L116*Q116,IF('Inhaltliche Bewertung - GI'!RechtsformAngebot=N$13,N116*Q116,IF('Inhaltliche Bewertung - GI'!RechtsformAngebot=F$13,F116*Q116,"")))))</f>
        <v>#N/A</v>
      </c>
      <c r="T116" s="351"/>
      <c r="U116" s="397"/>
      <c r="V116" s="398"/>
      <c r="W116" s="402"/>
      <c r="X116" s="403"/>
      <c r="Y116" s="402"/>
      <c r="Z116" s="403"/>
      <c r="AA116" s="402"/>
      <c r="AB116" s="403"/>
      <c r="AC116" s="402"/>
      <c r="AD116" s="403"/>
      <c r="AE116" s="402"/>
      <c r="AF116" s="402"/>
      <c r="AG116" s="401"/>
      <c r="AH116" s="351" t="e">
        <f>IF('Inhaltliche Bewertung - GI'!RechtsformGI=X$13,X116*AG116,IF('Inhaltliche Bewertung - GI'!RechtsformGI=Z$13,Z116*AG116,IF('Inhaltliche Bewertung - GI'!RechtsformGI=AB$13,AB116*AG116,IF('Inhaltliche Bewertung - GI'!RechtsformGI=AD$13,AD116*AG116,IF('Inhaltliche Bewertung - GI'!RechtsformGI=V$13,V116*AG116,"")))))</f>
        <v>#N/A</v>
      </c>
      <c r="AI116" s="351" t="e">
        <f>IF('Inhaltliche Bewertung - GI'!RechtsformAngebot=X$13,X116*AG116,IF('Inhaltliche Bewertung - GI'!RechtsformAngebot=Z$13,Z116*AG116,IF('Inhaltliche Bewertung - GI'!RechtsformAngebot=AB$13,AB116*AG116,IF('Inhaltliche Bewertung - GI'!RechtsformAngebot=AD$13,AD116*AG116,IF('Inhaltliche Bewertung - GI'!RechtsformAngebot=V$13,V116*AG116,"")))))</f>
        <v>#N/A</v>
      </c>
      <c r="AJ116" s="351"/>
      <c r="AK116" s="397"/>
      <c r="AL116" s="398"/>
      <c r="AM116" s="399"/>
      <c r="AN116" s="398"/>
      <c r="AO116" s="399"/>
      <c r="AP116" s="398"/>
      <c r="AQ116" s="399"/>
      <c r="AR116" s="398"/>
      <c r="AS116" s="399"/>
      <c r="AT116" s="398"/>
      <c r="AU116" s="399"/>
      <c r="AV116" s="399"/>
      <c r="AW116" s="401"/>
      <c r="AX116" s="351" t="e">
        <f>IF('Inhaltliche Bewertung - GI'!RechtsformGI=AN$13,AN116*AW116,IF('Inhaltliche Bewertung - GI'!RechtsformGI=AP$13,AP116*AW116,IF('Inhaltliche Bewertung - GI'!RechtsformGI=AR$13,AR116*AW116,IF('Inhaltliche Bewertung - GI'!RechtsformGI=AT$13,AT116*AW116,IF('Inhaltliche Bewertung - GI'!RechtsformGI=AL$13,AL116*AW116,"")))))</f>
        <v>#N/A</v>
      </c>
      <c r="AY116" s="351" t="e">
        <f>IF('Inhaltliche Bewertung - GI'!RechtsformAngebot=AN$13,AN116*AW116,IF('Inhaltliche Bewertung - GI'!RechtsformAngebot=AP$13,AP116*AW116,IF('Inhaltliche Bewertung - GI'!RechtsformAngebot=AR$13,AR116*AW116,IF('Inhaltliche Bewertung - GI'!RechtsformAngebot=AT$13,AT116*AW116,IF('Inhaltliche Bewertung - GI'!RechtsformAngebot=AL$13,AL116*AW116,"")))))</f>
        <v>#N/A</v>
      </c>
      <c r="AZ116" s="351"/>
      <c r="BA116" s="397"/>
      <c r="BB116" s="404"/>
      <c r="BC116" s="399"/>
      <c r="BD116" s="404"/>
      <c r="BE116" s="399"/>
      <c r="BF116" s="404"/>
      <c r="BG116" s="399"/>
      <c r="BH116" s="404"/>
      <c r="BI116" s="399"/>
      <c r="BJ116" s="404"/>
      <c r="BK116" s="399"/>
      <c r="BL116" s="399"/>
      <c r="BM116" s="401"/>
      <c r="BN116" s="351" t="e">
        <f>IF('Inhaltliche Bewertung - GI'!RechtsformGI=BD$13,BD116*BM116,IF('Inhaltliche Bewertung - GI'!RechtsformGI=BF$13,BF116*BM116,IF('Inhaltliche Bewertung - GI'!RechtsformGI=BH$13,BH116*BM116,IF('Inhaltliche Bewertung - GI'!RechtsformGI=BJ$13,BJ116*BM116,IF('Inhaltliche Bewertung - GI'!RechtsformGI=BB$13,BB116*BM116,"")))))</f>
        <v>#N/A</v>
      </c>
      <c r="BO116" s="351" t="e">
        <f>IF('Inhaltliche Bewertung - GI'!RechtsformAngebot=BD$13,BD116*BM116,IF('Inhaltliche Bewertung - GI'!RechtsformAngebot=BF$13,BF116*BM116,IF('Inhaltliche Bewertung - GI'!RechtsformAngebot=BH$13,BH116*BM116,IF('Inhaltliche Bewertung - GI'!RechtsformAngebot=BJ$13,BJ116*BM116,IF('Inhaltliche Bewertung - GI'!RechtsformAngebot=BB$13,BB116*BM116,"")))))</f>
        <v>#N/A</v>
      </c>
      <c r="BP116" s="351"/>
      <c r="BQ116" s="397"/>
      <c r="BR116" s="405"/>
      <c r="BS116" s="406"/>
      <c r="BT116" s="405"/>
      <c r="BU116" s="406"/>
      <c r="BV116" s="405"/>
      <c r="BW116" s="406"/>
      <c r="BX116" s="405"/>
      <c r="BY116" s="406"/>
      <c r="BZ116" s="405"/>
      <c r="CA116" s="406"/>
      <c r="CB116" s="406"/>
      <c r="CC116" s="401"/>
      <c r="CD116" s="351" t="e">
        <f>IF('Inhaltliche Bewertung - GI'!RechtsformGI=BT$13,BT116*CC116,IF('Inhaltliche Bewertung - GI'!RechtsformGI=BV$13,BV116*CC116,IF('Inhaltliche Bewertung - GI'!RechtsformGI=BX$13,BX116*CC116,IF('Inhaltliche Bewertung - GI'!RechtsformGI=BZ$13,BZ116*CC116,IF('Inhaltliche Bewertung - GI'!RechtsformGI=BR$13,BR116*CC116,"")))))</f>
        <v>#N/A</v>
      </c>
      <c r="CE116" s="351" t="e">
        <f>IF('Inhaltliche Bewertung - GI'!RechtsformAngebot=BT$13,BT116*CC116,IF('Inhaltliche Bewertung - GI'!RechtsformAngebot=BV$13,BV116*CC116,IF('Inhaltliche Bewertung - GI'!RechtsformAngebot=BX$13,BX116*CC116,IF('Inhaltliche Bewertung - GI'!RechtsformAngebot=BZ$13,BZ116*CC116,IF('Inhaltliche Bewertung - GI'!RechtsformAngebot=BR$13,BR116*CC116,"")))))</f>
        <v>#N/A</v>
      </c>
      <c r="CF116" s="351"/>
      <c r="CG116" s="397"/>
      <c r="CH116" s="405"/>
      <c r="CI116" s="407"/>
      <c r="CJ116" s="405"/>
      <c r="CK116" s="407"/>
      <c r="CL116" s="405"/>
      <c r="CM116" s="407"/>
      <c r="CN116" s="405"/>
      <c r="CO116" s="407"/>
      <c r="CP116" s="405"/>
      <c r="CQ116" s="407"/>
      <c r="CR116" s="407"/>
      <c r="CS116" s="401"/>
      <c r="CT116" s="351" t="e">
        <f>IF('Inhaltliche Bewertung - GI'!RechtsformGI=CJ$13,CJ116*CS116,IF('Inhaltliche Bewertung - GI'!RechtsformGI=CL$13,CL116*CS116,IF('Inhaltliche Bewertung - GI'!RechtsformGI=CN$13,CN116*CS116,IF('Inhaltliche Bewertung - GI'!RechtsformGI=CP$13,CP116*CS116,IF('Inhaltliche Bewertung - GI'!RechtsformGI=CH$13,CH116*CS116,"")))))</f>
        <v>#N/A</v>
      </c>
      <c r="CU116" s="351" t="e">
        <f>IF('Inhaltliche Bewertung - GI'!RechtsformAngebot=CJ$13,CJ116*CS116,IF('Inhaltliche Bewertung - GI'!RechtsformAngebot=CL$13,CL116*CS116,IF('Inhaltliche Bewertung - GI'!RechtsformAngebot=CN$13,CN116*CS116,IF('Inhaltliche Bewertung - GI'!RechtsformAngebot=CP$13,CP116*CS116,IF('Inhaltliche Bewertung - GI'!RechtsformAngebot=CH$13,CH116*CS116,"")))))</f>
        <v>#N/A</v>
      </c>
      <c r="CV116" s="351"/>
      <c r="CW116" s="397"/>
      <c r="CX116" s="405"/>
      <c r="CY116" s="407"/>
      <c r="CZ116" s="408"/>
      <c r="DA116" s="409"/>
      <c r="DB116" s="405"/>
      <c r="DC116" s="407"/>
      <c r="DD116" s="405"/>
      <c r="DE116" s="407"/>
      <c r="DF116" s="405"/>
      <c r="DG116" s="407"/>
      <c r="DH116" s="407"/>
      <c r="DI116" s="401"/>
      <c r="DJ116" s="351" t="e">
        <f>IF('Inhaltliche Bewertung - GI'!RechtsformGI=CZ$13,CZ116*DI116,IF('Inhaltliche Bewertung - GI'!RechtsformGI=DB$13,DB116*DI116,IF('Inhaltliche Bewertung - GI'!RechtsformGI=DD$13,DD116*DI116,IF('Inhaltliche Bewertung - GI'!RechtsformGI=DF$13,DF116*DI116,IF('Inhaltliche Bewertung - GI'!RechtsformGI=CX$13,CX116*DI116,"")))))</f>
        <v>#N/A</v>
      </c>
      <c r="DK116" s="351" t="e">
        <f>IF('Inhaltliche Bewertung - GI'!RechtsformAngebot=CZ$13,CZ116*DI116,IF('Inhaltliche Bewertung - GI'!RechtsformAngebot=DB$13,DB116*DI116,IF('Inhaltliche Bewertung - GI'!RechtsformAngebot=DD$13,DD116*DI116,IF('Inhaltliche Bewertung - GI'!RechtsformAngebot=DF$13,DF116*DI116,IF('Inhaltliche Bewertung - GI'!RechtsformAngebot=CX$13,CX116*DI116,"")))))</f>
        <v>#N/A</v>
      </c>
      <c r="DL116" s="351"/>
      <c r="DM116" s="397"/>
      <c r="DN116" s="405"/>
      <c r="DO116" s="407"/>
      <c r="DP116" s="405"/>
      <c r="DQ116" s="407"/>
      <c r="DR116" s="405"/>
      <c r="DS116" s="407"/>
      <c r="DT116" s="405"/>
      <c r="DU116" s="407"/>
      <c r="DV116" s="405"/>
      <c r="DW116" s="407"/>
      <c r="DX116" s="407"/>
      <c r="DY116" s="401"/>
      <c r="DZ116" s="351" t="e">
        <f>IF('Inhaltliche Bewertung - GI'!RechtsformGI=DP$13,DP116*DY116,IF('Inhaltliche Bewertung - GI'!RechtsformGI=DR$13,DR116*DY116,IF('Inhaltliche Bewertung - GI'!RechtsformGI=DT$13,DT116*DY116,IF('Inhaltliche Bewertung - GI'!RechtsformGI=DV$13,DV116*DY116,IF('Inhaltliche Bewertung - GI'!RechtsformGI=DN$13,DN116*DY116,"")))))</f>
        <v>#N/A</v>
      </c>
      <c r="EA116" s="351" t="e">
        <f>IF('Inhaltliche Bewertung - GI'!RechtsformAngebot=DP$13,DP116*DY116,IF('Inhaltliche Bewertung - GI'!RechtsformAngebot=DR$13,DR116*DY116,IF('Inhaltliche Bewertung - GI'!RechtsformAngebot=DT$13,DT116*DY116,IF('Inhaltliche Bewertung - GI'!RechtsformAngebot=DV$13,DV116*DY116,IF('Inhaltliche Bewertung - GI'!RechtsformAngebot=DN$13,DN116*DY116,"")))))</f>
        <v>#N/A</v>
      </c>
      <c r="EB116" s="351"/>
      <c r="EC116" s="157">
        <f t="shared" si="1"/>
        <v>0</v>
      </c>
      <c r="ED116" s="157">
        <f t="shared" si="2"/>
        <v>0</v>
      </c>
      <c r="EE116" s="157" t="e">
        <f t="shared" si="3"/>
        <v>#DIV/0!</v>
      </c>
      <c r="EF116" s="157" t="e">
        <f t="shared" si="4"/>
        <v>#NUM!</v>
      </c>
    </row>
    <row r="117" spans="1:136" ht="14.25" customHeight="1">
      <c r="A117" s="444" t="b">
        <f>EXACT(MAX(F117,H117,J117,L117,N117,V117,X117,Z117,AB117,AD117,AL117,AN117,AP117,AR117,AT117,BB117,BD117,BF117,BH117,BJ117,BR117,BT117,BV117,BX117,BZ117,CH117,CJ117,CL117,CN117,CP117,CX117,CZ117,DB117,DD117,DF117),MIN(F117,H117,J117,L117,N117,V117,X117,Z117,AB117,AD117,AL117,AN117,AP117,AR117,AT117,BB117,BD117,BF117,BH117,BJ117,BR117,BT117,BV117,BX117,BZ117,CH117,CJ117,CL117,CN117,CP117,CX117,CZ117,DB117,DD117,DF117))</f>
        <v>0</v>
      </c>
      <c r="B117" s="292"/>
      <c r="C117" s="355" t="s">
        <v>3589</v>
      </c>
      <c r="D117" s="345"/>
      <c r="E117" s="361" t="s">
        <v>3590</v>
      </c>
      <c r="F117" s="362">
        <v>1</v>
      </c>
      <c r="G117" s="365"/>
      <c r="H117" s="362">
        <v>1</v>
      </c>
      <c r="I117" s="365"/>
      <c r="J117" s="362">
        <v>1</v>
      </c>
      <c r="K117" s="365"/>
      <c r="L117" s="362">
        <v>1</v>
      </c>
      <c r="M117" s="365"/>
      <c r="N117" s="362">
        <v>1</v>
      </c>
      <c r="O117" s="365"/>
      <c r="P117" s="370"/>
      <c r="Q117" s="360">
        <v>1</v>
      </c>
      <c r="R117" s="351" t="e">
        <f>IF('Inhaltliche Bewertung - GI'!RechtsformGI=H$13,H117*Q117,IF('Inhaltliche Bewertung - GI'!RechtsformGI=J$13,J117*Q117,IF('Inhaltliche Bewertung - GI'!RechtsformGI=L$13,L117*Q117,IF('Inhaltliche Bewertung - GI'!RechtsformGI=N$13,N117*Q117,IF('Inhaltliche Bewertung - GI'!RechtsformGI=F$13,F117*Q117,"")))))</f>
        <v>#N/A</v>
      </c>
      <c r="S117" s="351" t="e">
        <f>IF('Inhaltliche Bewertung - GI'!RechtsformAngebot=H$13,H117*Q117,IF('Inhaltliche Bewertung - GI'!RechtsformAngebot=J$13,J117*Q117,IF('Inhaltliche Bewertung - GI'!RechtsformAngebot=L$13,L117*Q117,IF('Inhaltliche Bewertung - GI'!RechtsformAngebot=N$13,N117*Q117,IF('Inhaltliche Bewertung - GI'!RechtsformAngebot=F$13,F117*Q117,"")))))</f>
        <v>#N/A</v>
      </c>
      <c r="T117" s="351"/>
      <c r="U117" s="361" t="s">
        <v>3590</v>
      </c>
      <c r="V117" s="362">
        <v>1</v>
      </c>
      <c r="W117" s="365"/>
      <c r="X117" s="362">
        <v>1</v>
      </c>
      <c r="Y117" s="365"/>
      <c r="Z117" s="362">
        <v>1</v>
      </c>
      <c r="AA117" s="365"/>
      <c r="AB117" s="362">
        <v>1</v>
      </c>
      <c r="AC117" s="365"/>
      <c r="AD117" s="362">
        <v>1</v>
      </c>
      <c r="AE117" s="365"/>
      <c r="AF117" s="370"/>
      <c r="AG117" s="360">
        <v>1</v>
      </c>
      <c r="AH117" s="351" t="e">
        <f>IF('Inhaltliche Bewertung - GI'!RechtsformGI=X$13,X117*AG117,IF('Inhaltliche Bewertung - GI'!RechtsformGI=Z$13,Z117*AG117,IF('Inhaltliche Bewertung - GI'!RechtsformGI=AB$13,AB117*AG117,IF('Inhaltliche Bewertung - GI'!RechtsformGI=AD$13,AD117*AG117,IF('Inhaltliche Bewertung - GI'!RechtsformGI=V$13,V117*AG117,"")))))</f>
        <v>#N/A</v>
      </c>
      <c r="AI117" s="351" t="e">
        <f>IF('Inhaltliche Bewertung - GI'!RechtsformAngebot=X$13,X117*AG117,IF('Inhaltliche Bewertung - GI'!RechtsformAngebot=Z$13,Z117*AG117,IF('Inhaltliche Bewertung - GI'!RechtsformAngebot=AB$13,AB117*AG117,IF('Inhaltliche Bewertung - GI'!RechtsformAngebot=AD$13,AD117*AG117,IF('Inhaltliche Bewertung - GI'!RechtsformAngebot=V$13,V117*AG117,"")))))</f>
        <v>#N/A</v>
      </c>
      <c r="AJ117" s="351"/>
      <c r="AK117" s="361" t="s">
        <v>3590</v>
      </c>
      <c r="AL117" s="362">
        <v>1</v>
      </c>
      <c r="AM117" s="365"/>
      <c r="AN117" s="362">
        <v>1</v>
      </c>
      <c r="AO117" s="365"/>
      <c r="AP117" s="362">
        <v>1</v>
      </c>
      <c r="AQ117" s="365"/>
      <c r="AR117" s="362">
        <v>1</v>
      </c>
      <c r="AS117" s="365"/>
      <c r="AT117" s="362">
        <v>1</v>
      </c>
      <c r="AU117" s="365"/>
      <c r="AV117" s="370"/>
      <c r="AW117" s="360">
        <v>1</v>
      </c>
      <c r="AX117" s="351" t="e">
        <f>IF('Inhaltliche Bewertung - GI'!RechtsformGI=AN$13,AN117*AW117,IF('Inhaltliche Bewertung - GI'!RechtsformGI=AP$13,AP117*AW117,IF('Inhaltliche Bewertung - GI'!RechtsformGI=AR$13,AR117*AW117,IF('Inhaltliche Bewertung - GI'!RechtsformGI=AT$13,AT117*AW117,IF('Inhaltliche Bewertung - GI'!RechtsformGI=AL$13,AL117*AW117,"")))))</f>
        <v>#N/A</v>
      </c>
      <c r="AY117" s="351" t="e">
        <f>IF('Inhaltliche Bewertung - GI'!RechtsformAngebot=AN$13,AN117*AW117,IF('Inhaltliche Bewertung - GI'!RechtsformAngebot=AP$13,AP117*AW117,IF('Inhaltliche Bewertung - GI'!RechtsformAngebot=AR$13,AR117*AW117,IF('Inhaltliche Bewertung - GI'!RechtsformAngebot=AT$13,AT117*AW117,IF('Inhaltliche Bewertung - GI'!RechtsformAngebot=AL$13,AL117*AW117,"")))))</f>
        <v>#N/A</v>
      </c>
      <c r="AZ117" s="351"/>
      <c r="BA117" s="361" t="s">
        <v>3590</v>
      </c>
      <c r="BB117" s="362">
        <v>1</v>
      </c>
      <c r="BC117" s="365"/>
      <c r="BD117" s="362">
        <v>1</v>
      </c>
      <c r="BE117" s="365"/>
      <c r="BF117" s="362">
        <v>1</v>
      </c>
      <c r="BG117" s="365"/>
      <c r="BH117" s="362">
        <v>1</v>
      </c>
      <c r="BI117" s="365"/>
      <c r="BJ117" s="362">
        <v>1</v>
      </c>
      <c r="BK117" s="365"/>
      <c r="BL117" s="370"/>
      <c r="BM117" s="360">
        <v>1</v>
      </c>
      <c r="BN117" s="351" t="e">
        <f>IF('Inhaltliche Bewertung - GI'!RechtsformGI=BD$13,BD117*BM117,IF('Inhaltliche Bewertung - GI'!RechtsformGI=BF$13,BF117*BM117,IF('Inhaltliche Bewertung - GI'!RechtsformGI=BH$13,BH117*BM117,IF('Inhaltliche Bewertung - GI'!RechtsformGI=BJ$13,BJ117*BM117,IF('Inhaltliche Bewertung - GI'!RechtsformGI=BB$13,BB117*BM117,"")))))</f>
        <v>#N/A</v>
      </c>
      <c r="BO117" s="351" t="e">
        <f>IF('Inhaltliche Bewertung - GI'!RechtsformAngebot=BD$13,BD117*BM117,IF('Inhaltliche Bewertung - GI'!RechtsformAngebot=BF$13,BF117*BM117,IF('Inhaltliche Bewertung - GI'!RechtsformAngebot=BH$13,BH117*BM117,IF('Inhaltliche Bewertung - GI'!RechtsformAngebot=BJ$13,BJ117*BM117,IF('Inhaltliche Bewertung - GI'!RechtsformAngebot=BB$13,BB117*BM117,"")))))</f>
        <v>#N/A</v>
      </c>
      <c r="BP117" s="351"/>
      <c r="BQ117" s="361" t="s">
        <v>3590</v>
      </c>
      <c r="BR117" s="362">
        <v>1</v>
      </c>
      <c r="BS117" s="365"/>
      <c r="BT117" s="362">
        <v>1</v>
      </c>
      <c r="BU117" s="365"/>
      <c r="BV117" s="362">
        <v>1</v>
      </c>
      <c r="BW117" s="365"/>
      <c r="BX117" s="362">
        <v>1</v>
      </c>
      <c r="BY117" s="365"/>
      <c r="BZ117" s="362">
        <v>1</v>
      </c>
      <c r="CA117" s="365"/>
      <c r="CB117" s="370"/>
      <c r="CC117" s="360">
        <v>1</v>
      </c>
      <c r="CD117" s="351" t="e">
        <f>IF('Inhaltliche Bewertung - GI'!RechtsformGI=BT$13,BT117*CC117,IF('Inhaltliche Bewertung - GI'!RechtsformGI=BV$13,BV117*CC117,IF('Inhaltliche Bewertung - GI'!RechtsformGI=BX$13,BX117*CC117,IF('Inhaltliche Bewertung - GI'!RechtsformGI=BZ$13,BZ117*CC117,IF('Inhaltliche Bewertung - GI'!RechtsformGI=BR$13,BR117*CC117,"")))))</f>
        <v>#N/A</v>
      </c>
      <c r="CE117" s="351" t="e">
        <f>IF('Inhaltliche Bewertung - GI'!RechtsformAngebot=BT$13,BT117*CC117,IF('Inhaltliche Bewertung - GI'!RechtsformAngebot=BV$13,BV117*CC117,IF('Inhaltliche Bewertung - GI'!RechtsformAngebot=BX$13,BX117*CC117,IF('Inhaltliche Bewertung - GI'!RechtsformAngebot=BZ$13,BZ117*CC117,IF('Inhaltliche Bewertung - GI'!RechtsformAngebot=BR$13,BR117*CC117,"")))))</f>
        <v>#N/A</v>
      </c>
      <c r="CF117" s="351"/>
      <c r="CG117" s="361" t="s">
        <v>3590</v>
      </c>
      <c r="CH117" s="362">
        <v>0.9</v>
      </c>
      <c r="CI117" s="365"/>
      <c r="CJ117" s="362">
        <v>0.9</v>
      </c>
      <c r="CK117" s="365"/>
      <c r="CL117" s="362">
        <v>0.9</v>
      </c>
      <c r="CM117" s="365"/>
      <c r="CN117" s="362">
        <v>0.9</v>
      </c>
      <c r="CO117" s="365"/>
      <c r="CP117" s="362">
        <v>0.9</v>
      </c>
      <c r="CQ117" s="365"/>
      <c r="CR117" s="370"/>
      <c r="CS117" s="360">
        <v>1</v>
      </c>
      <c r="CT117" s="351" t="e">
        <f>IF('Inhaltliche Bewertung - GI'!RechtsformGI=CJ$13,CJ117*CS117,IF('Inhaltliche Bewertung - GI'!RechtsformGI=CL$13,CL117*CS117,IF('Inhaltliche Bewertung - GI'!RechtsformGI=CN$13,CN117*CS117,IF('Inhaltliche Bewertung - GI'!RechtsformGI=CP$13,CP117*CS117,IF('Inhaltliche Bewertung - GI'!RechtsformGI=CH$13,CH117*CS117,"")))))</f>
        <v>#N/A</v>
      </c>
      <c r="CU117" s="351" t="e">
        <f>IF('Inhaltliche Bewertung - GI'!RechtsformAngebot=CJ$13,CJ117*CS117,IF('Inhaltliche Bewertung - GI'!RechtsformAngebot=CL$13,CL117*CS117,IF('Inhaltliche Bewertung - GI'!RechtsformAngebot=CN$13,CN117*CS117,IF('Inhaltliche Bewertung - GI'!RechtsformAngebot=CP$13,CP117*CS117,IF('Inhaltliche Bewertung - GI'!RechtsformAngebot=CH$13,CH117*CS117,"")))))</f>
        <v>#N/A</v>
      </c>
      <c r="CV117" s="351"/>
      <c r="CW117" s="361" t="s">
        <v>3590</v>
      </c>
      <c r="CX117" s="362">
        <v>1</v>
      </c>
      <c r="CY117" s="365"/>
      <c r="CZ117" s="362">
        <v>1</v>
      </c>
      <c r="DA117" s="365"/>
      <c r="DB117" s="362">
        <v>1</v>
      </c>
      <c r="DC117" s="365"/>
      <c r="DD117" s="362">
        <v>1</v>
      </c>
      <c r="DE117" s="365"/>
      <c r="DF117" s="362">
        <v>1</v>
      </c>
      <c r="DG117" s="365"/>
      <c r="DH117" s="370"/>
      <c r="DI117" s="360">
        <v>1</v>
      </c>
      <c r="DJ117" s="351" t="e">
        <f>IF('Inhaltliche Bewertung - GI'!RechtsformGI=CZ$13,CZ117*DI117,IF('Inhaltliche Bewertung - GI'!RechtsformGI=DB$13,DB117*DI117,IF('Inhaltliche Bewertung - GI'!RechtsformGI=DD$13,DD117*DI117,IF('Inhaltliche Bewertung - GI'!RechtsformGI=DF$13,DF117*DI117,IF('Inhaltliche Bewertung - GI'!RechtsformGI=CX$13,CX117*DI117,"")))))</f>
        <v>#N/A</v>
      </c>
      <c r="DK117" s="351" t="e">
        <f>IF('Inhaltliche Bewertung - GI'!RechtsformAngebot=CZ$13,CZ117*DI117,IF('Inhaltliche Bewertung - GI'!RechtsformAngebot=DB$13,DB117*DI117,IF('Inhaltliche Bewertung - GI'!RechtsformAngebot=DD$13,DD117*DI117,IF('Inhaltliche Bewertung - GI'!RechtsformAngebot=DF$13,DF117*DI117,IF('Inhaltliche Bewertung - GI'!RechtsformAngebot=CX$13,CX117*DI117,"")))))</f>
        <v>#N/A</v>
      </c>
      <c r="DL117" s="351"/>
      <c r="DM117" s="361" t="s">
        <v>3590</v>
      </c>
      <c r="DN117" s="362">
        <v>1</v>
      </c>
      <c r="DO117" s="365"/>
      <c r="DP117" s="362">
        <v>1</v>
      </c>
      <c r="DQ117" s="365"/>
      <c r="DR117" s="362">
        <v>1</v>
      </c>
      <c r="DS117" s="365"/>
      <c r="DT117" s="362">
        <v>1</v>
      </c>
      <c r="DU117" s="365"/>
      <c r="DV117" s="362">
        <v>1</v>
      </c>
      <c r="DW117" s="365"/>
      <c r="DX117" s="370"/>
      <c r="DY117" s="360">
        <v>1</v>
      </c>
      <c r="DZ117" s="351" t="e">
        <f>IF('Inhaltliche Bewertung - GI'!RechtsformGI=DP$13,DP117*DY117,IF('Inhaltliche Bewertung - GI'!RechtsformGI=DR$13,DR117*DY117,IF('Inhaltliche Bewertung - GI'!RechtsformGI=DT$13,DT117*DY117,IF('Inhaltliche Bewertung - GI'!RechtsformGI=DV$13,DV117*DY117,IF('Inhaltliche Bewertung - GI'!RechtsformGI=DN$13,DN117*DY117,"")))))</f>
        <v>#N/A</v>
      </c>
      <c r="EA117" s="351" t="e">
        <f>IF('Inhaltliche Bewertung - GI'!RechtsformAngebot=DP$13,DP117*DY117,IF('Inhaltliche Bewertung - GI'!RechtsformAngebot=DR$13,DR117*DY117,IF('Inhaltliche Bewertung - GI'!RechtsformAngebot=DT$13,DT117*DY117,IF('Inhaltliche Bewertung - GI'!RechtsformAngebot=DV$13,DV117*DY117,IF('Inhaltliche Bewertung - GI'!RechtsformAngebot=DN$13,DN117*DY117,"")))))</f>
        <v>#N/A</v>
      </c>
      <c r="EB117" s="351"/>
      <c r="EC117" s="157">
        <f t="shared" si="1"/>
        <v>0.9</v>
      </c>
      <c r="ED117" s="157">
        <f t="shared" si="2"/>
        <v>1</v>
      </c>
      <c r="EE117" s="157">
        <f t="shared" si="3"/>
        <v>0.98749999999999982</v>
      </c>
      <c r="EF117" s="157">
        <f t="shared" si="4"/>
        <v>1</v>
      </c>
    </row>
    <row r="118" spans="1:136" ht="14.25" customHeight="1">
      <c r="A118" s="444" t="b">
        <f>EXACT(MAX(F118,H118,J118,L118,N118,V118,X118,Z118,AB118,AD118,AL118,AN118,AP118,AR118,AT118,BB118,BD118,BF118,BH118,BJ118,BR118,BT118,BV118,BX118,BZ118,CH118,CJ118,CL118,CN118,CP118,CX118,CZ118,DB118,DD118,DF118),MIN(F118,H118,J118,L118,N118,V118,X118,Z118,AB118,AD118,AL118,AN118,AP118,AR118,AT118,BB118,BD118,BF118,BH118,BJ118,BR118,BT118,BV118,BX118,BZ118,CH118,CJ118,CL118,CN118,CP118,CX118,CZ118,DB118,DD118,DF118))</f>
        <v>0</v>
      </c>
      <c r="B118" s="292"/>
      <c r="C118" s="355" t="s">
        <v>3591</v>
      </c>
      <c r="D118" s="345"/>
      <c r="E118" s="356" t="s">
        <v>3234</v>
      </c>
      <c r="F118" s="357">
        <v>0</v>
      </c>
      <c r="G118" s="358"/>
      <c r="H118" s="357">
        <v>0</v>
      </c>
      <c r="I118" s="358"/>
      <c r="J118" s="357">
        <v>0</v>
      </c>
      <c r="K118" s="358"/>
      <c r="L118" s="357">
        <v>0</v>
      </c>
      <c r="M118" s="358"/>
      <c r="N118" s="357">
        <v>0</v>
      </c>
      <c r="O118" s="358"/>
      <c r="P118" s="359"/>
      <c r="Q118" s="360">
        <v>1</v>
      </c>
      <c r="R118" s="351" t="e">
        <f>IF('Inhaltliche Bewertung - GI'!RechtsformGI=H$13,H118*Q118,IF('Inhaltliche Bewertung - GI'!RechtsformGI=J$13,J118*Q118,IF('Inhaltliche Bewertung - GI'!RechtsformGI=L$13,L118*Q118,IF('Inhaltliche Bewertung - GI'!RechtsformGI=N$13,N118*Q118,IF('Inhaltliche Bewertung - GI'!RechtsformGI=F$13,F118*Q118,"")))))</f>
        <v>#N/A</v>
      </c>
      <c r="S118" s="351" t="e">
        <f>IF('Inhaltliche Bewertung - GI'!RechtsformAngebot=H$13,H118*Q118,IF('Inhaltliche Bewertung - GI'!RechtsformAngebot=J$13,J118*Q118,IF('Inhaltliche Bewertung - GI'!RechtsformAngebot=L$13,L118*Q118,IF('Inhaltliche Bewertung - GI'!RechtsformAngebot=N$13,N118*Q118,IF('Inhaltliche Bewertung - GI'!RechtsformAngebot=F$13,F118*Q118,"")))))</f>
        <v>#N/A</v>
      </c>
      <c r="T118" s="351"/>
      <c r="U118" s="361" t="s">
        <v>3590</v>
      </c>
      <c r="V118" s="362">
        <v>1</v>
      </c>
      <c r="W118" s="363"/>
      <c r="X118" s="364">
        <v>1</v>
      </c>
      <c r="Y118" s="363"/>
      <c r="Z118" s="364">
        <v>1</v>
      </c>
      <c r="AA118" s="363"/>
      <c r="AB118" s="364">
        <v>1</v>
      </c>
      <c r="AC118" s="363"/>
      <c r="AD118" s="364">
        <v>1</v>
      </c>
      <c r="AE118" s="363"/>
      <c r="AF118" s="363"/>
      <c r="AG118" s="360">
        <v>1</v>
      </c>
      <c r="AH118" s="351" t="e">
        <f>IF('Inhaltliche Bewertung - GI'!RechtsformGI=X$13,X118*AG118,IF('Inhaltliche Bewertung - GI'!RechtsformGI=Z$13,Z118*AG118,IF('Inhaltliche Bewertung - GI'!RechtsformGI=AB$13,AB118*AG118,IF('Inhaltliche Bewertung - GI'!RechtsformGI=AD$13,AD118*AG118,IF('Inhaltliche Bewertung - GI'!RechtsformGI=V$13,V118*AG118,"")))))</f>
        <v>#N/A</v>
      </c>
      <c r="AI118" s="351" t="e">
        <f>IF('Inhaltliche Bewertung - GI'!RechtsformAngebot=X$13,X118*AG118,IF('Inhaltliche Bewertung - GI'!RechtsformAngebot=Z$13,Z118*AG118,IF('Inhaltliche Bewertung - GI'!RechtsformAngebot=AB$13,AB118*AG118,IF('Inhaltliche Bewertung - GI'!RechtsformAngebot=AD$13,AD118*AG118,IF('Inhaltliche Bewertung - GI'!RechtsformAngebot=V$13,V118*AG118,"")))))</f>
        <v>#N/A</v>
      </c>
      <c r="AJ118" s="351"/>
      <c r="AK118" s="361" t="s">
        <v>3590</v>
      </c>
      <c r="AL118" s="362">
        <v>1</v>
      </c>
      <c r="AM118" s="365"/>
      <c r="AN118" s="362">
        <v>1</v>
      </c>
      <c r="AO118" s="365"/>
      <c r="AP118" s="362">
        <v>1</v>
      </c>
      <c r="AQ118" s="365"/>
      <c r="AR118" s="362">
        <v>1</v>
      </c>
      <c r="AS118" s="365"/>
      <c r="AT118" s="362">
        <v>1</v>
      </c>
      <c r="AU118" s="365"/>
      <c r="AV118" s="365"/>
      <c r="AW118" s="360">
        <v>1</v>
      </c>
      <c r="AX118" s="351" t="e">
        <f>IF('Inhaltliche Bewertung - GI'!RechtsformGI=AN$13,AN118*AW118,IF('Inhaltliche Bewertung - GI'!RechtsformGI=AP$13,AP118*AW118,IF('Inhaltliche Bewertung - GI'!RechtsformGI=AR$13,AR118*AW118,IF('Inhaltliche Bewertung - GI'!RechtsformGI=AT$13,AT118*AW118,IF('Inhaltliche Bewertung - GI'!RechtsformGI=AL$13,AL118*AW118,"")))))</f>
        <v>#N/A</v>
      </c>
      <c r="AY118" s="351" t="e">
        <f>IF('Inhaltliche Bewertung - GI'!RechtsformAngebot=AN$13,AN118*AW118,IF('Inhaltliche Bewertung - GI'!RechtsformAngebot=AP$13,AP118*AW118,IF('Inhaltliche Bewertung - GI'!RechtsformAngebot=AR$13,AR118*AW118,IF('Inhaltliche Bewertung - GI'!RechtsformAngebot=AT$13,AT118*AW118,IF('Inhaltliche Bewertung - GI'!RechtsformAngebot=AL$13,AL118*AW118,"")))))</f>
        <v>#N/A</v>
      </c>
      <c r="AZ118" s="351"/>
      <c r="BA118" s="361" t="s">
        <v>3590</v>
      </c>
      <c r="BB118" s="366">
        <v>0.8</v>
      </c>
      <c r="BC118" s="365"/>
      <c r="BD118" s="366">
        <v>0.8</v>
      </c>
      <c r="BE118" s="365"/>
      <c r="BF118" s="366">
        <v>0.8</v>
      </c>
      <c r="BG118" s="365"/>
      <c r="BH118" s="366">
        <v>0.8</v>
      </c>
      <c r="BI118" s="365"/>
      <c r="BJ118" s="366">
        <v>0.8</v>
      </c>
      <c r="BK118" s="365"/>
      <c r="BL118" s="365" t="s">
        <v>3592</v>
      </c>
      <c r="BM118" s="360">
        <v>1</v>
      </c>
      <c r="BN118" s="351" t="e">
        <f>IF('Inhaltliche Bewertung - GI'!RechtsformGI=BD$13,BD118*BM118,IF('Inhaltliche Bewertung - GI'!RechtsformGI=BF$13,BF118*BM118,IF('Inhaltliche Bewertung - GI'!RechtsformGI=BH$13,BH118*BM118,IF('Inhaltliche Bewertung - GI'!RechtsformGI=BJ$13,BJ118*BM118,IF('Inhaltliche Bewertung - GI'!RechtsformGI=BB$13,BB118*BM118,"")))))</f>
        <v>#N/A</v>
      </c>
      <c r="BO118" s="351" t="e">
        <f>IF('Inhaltliche Bewertung - GI'!RechtsformAngebot=BD$13,BD118*BM118,IF('Inhaltliche Bewertung - GI'!RechtsformAngebot=BF$13,BF118*BM118,IF('Inhaltliche Bewertung - GI'!RechtsformAngebot=BH$13,BH118*BM118,IF('Inhaltliche Bewertung - GI'!RechtsformAngebot=BJ$13,BJ118*BM118,IF('Inhaltliche Bewertung - GI'!RechtsformAngebot=BB$13,BB118*BM118,"")))))</f>
        <v>#N/A</v>
      </c>
      <c r="BP118" s="351"/>
      <c r="BQ118" s="361" t="s">
        <v>3590</v>
      </c>
      <c r="BR118" s="367">
        <v>0.8</v>
      </c>
      <c r="BS118" s="368"/>
      <c r="BT118" s="367">
        <v>0.8</v>
      </c>
      <c r="BU118" s="368"/>
      <c r="BV118" s="367">
        <v>0.8</v>
      </c>
      <c r="BW118" s="368"/>
      <c r="BX118" s="367">
        <v>0.8</v>
      </c>
      <c r="BY118" s="368"/>
      <c r="BZ118" s="367">
        <v>0.8</v>
      </c>
      <c r="CA118" s="368"/>
      <c r="CB118" s="368"/>
      <c r="CC118" s="360">
        <v>1</v>
      </c>
      <c r="CD118" s="351" t="e">
        <f>IF('Inhaltliche Bewertung - GI'!RechtsformGI=BT$13,BT118*CC118,IF('Inhaltliche Bewertung - GI'!RechtsformGI=BV$13,BV118*CC118,IF('Inhaltliche Bewertung - GI'!RechtsformGI=BX$13,BX118*CC118,IF('Inhaltliche Bewertung - GI'!RechtsformGI=BZ$13,BZ118*CC118,IF('Inhaltliche Bewertung - GI'!RechtsformGI=BR$13,BR118*CC118,"")))))</f>
        <v>#N/A</v>
      </c>
      <c r="CE118" s="351" t="e">
        <f>IF('Inhaltliche Bewertung - GI'!RechtsformAngebot=BT$13,BT118*CC118,IF('Inhaltliche Bewertung - GI'!RechtsformAngebot=BV$13,BV118*CC118,IF('Inhaltliche Bewertung - GI'!RechtsformAngebot=BX$13,BX118*CC118,IF('Inhaltliche Bewertung - GI'!RechtsformAngebot=BZ$13,BZ118*CC118,IF('Inhaltliche Bewertung - GI'!RechtsformAngebot=BR$13,BR118*CC118,"")))))</f>
        <v>#N/A</v>
      </c>
      <c r="CF118" s="351"/>
      <c r="CG118" s="356" t="s">
        <v>3234</v>
      </c>
      <c r="CH118" s="376">
        <v>0</v>
      </c>
      <c r="CI118" s="377"/>
      <c r="CJ118" s="376">
        <v>0</v>
      </c>
      <c r="CK118" s="377"/>
      <c r="CL118" s="376">
        <v>0</v>
      </c>
      <c r="CM118" s="377"/>
      <c r="CN118" s="376">
        <v>0</v>
      </c>
      <c r="CO118" s="377"/>
      <c r="CP118" s="376">
        <v>0</v>
      </c>
      <c r="CQ118" s="377"/>
      <c r="CR118" s="377"/>
      <c r="CS118" s="360">
        <v>1</v>
      </c>
      <c r="CT118" s="351" t="e">
        <f>IF('Inhaltliche Bewertung - GI'!RechtsformGI=CJ$13,CJ118*CS118,IF('Inhaltliche Bewertung - GI'!RechtsformGI=CL$13,CL118*CS118,IF('Inhaltliche Bewertung - GI'!RechtsformGI=CN$13,CN118*CS118,IF('Inhaltliche Bewertung - GI'!RechtsformGI=CP$13,CP118*CS118,IF('Inhaltliche Bewertung - GI'!RechtsformGI=CH$13,CH118*CS118,"")))))</f>
        <v>#N/A</v>
      </c>
      <c r="CU118" s="351" t="e">
        <f>IF('Inhaltliche Bewertung - GI'!RechtsformAngebot=CJ$13,CJ118*CS118,IF('Inhaltliche Bewertung - GI'!RechtsformAngebot=CL$13,CL118*CS118,IF('Inhaltliche Bewertung - GI'!RechtsformAngebot=CN$13,CN118*CS118,IF('Inhaltliche Bewertung - GI'!RechtsformAngebot=CP$13,CP118*CS118,IF('Inhaltliche Bewertung - GI'!RechtsformAngebot=CH$13,CH118*CS118,"")))))</f>
        <v>#N/A</v>
      </c>
      <c r="CV118" s="351"/>
      <c r="CW118" s="361" t="s">
        <v>3590</v>
      </c>
      <c r="CX118" s="367">
        <v>1</v>
      </c>
      <c r="CY118" s="368"/>
      <c r="CZ118" s="367">
        <v>1</v>
      </c>
      <c r="DA118" s="369"/>
      <c r="DB118" s="367">
        <v>1</v>
      </c>
      <c r="DC118" s="368"/>
      <c r="DD118" s="367">
        <v>1</v>
      </c>
      <c r="DE118" s="368"/>
      <c r="DF118" s="367">
        <v>1</v>
      </c>
      <c r="DG118" s="368"/>
      <c r="DH118" s="368"/>
      <c r="DI118" s="360">
        <v>1</v>
      </c>
      <c r="DJ118" s="351" t="e">
        <f>IF('Inhaltliche Bewertung - GI'!RechtsformGI=CZ$13,CZ118*DI118,IF('Inhaltliche Bewertung - GI'!RechtsformGI=DB$13,DB118*DI118,IF('Inhaltliche Bewertung - GI'!RechtsformGI=DD$13,DD118*DI118,IF('Inhaltliche Bewertung - GI'!RechtsformGI=DF$13,DF118*DI118,IF('Inhaltliche Bewertung - GI'!RechtsformGI=CX$13,CX118*DI118,"")))))</f>
        <v>#N/A</v>
      </c>
      <c r="DK118" s="351" t="e">
        <f>IF('Inhaltliche Bewertung - GI'!RechtsformAngebot=CZ$13,CZ118*DI118,IF('Inhaltliche Bewertung - GI'!RechtsformAngebot=DB$13,DB118*DI118,IF('Inhaltliche Bewertung - GI'!RechtsformAngebot=DD$13,DD118*DI118,IF('Inhaltliche Bewertung - GI'!RechtsformAngebot=DF$13,DF118*DI118,IF('Inhaltliche Bewertung - GI'!RechtsformAngebot=CX$13,CX118*DI118,"")))))</f>
        <v>#N/A</v>
      </c>
      <c r="DL118" s="351"/>
      <c r="DM118" s="361" t="s">
        <v>3590</v>
      </c>
      <c r="DN118" s="367">
        <v>1</v>
      </c>
      <c r="DO118" s="368"/>
      <c r="DP118" s="367">
        <v>1</v>
      </c>
      <c r="DQ118" s="368"/>
      <c r="DR118" s="367">
        <v>1</v>
      </c>
      <c r="DS118" s="368"/>
      <c r="DT118" s="367">
        <v>1</v>
      </c>
      <c r="DU118" s="368"/>
      <c r="DV118" s="367">
        <v>1</v>
      </c>
      <c r="DW118" s="368"/>
      <c r="DX118" s="368"/>
      <c r="DY118" s="360">
        <v>1</v>
      </c>
      <c r="DZ118" s="351" t="e">
        <f>IF('Inhaltliche Bewertung - GI'!RechtsformGI=DP$13,DP118*DY118,IF('Inhaltliche Bewertung - GI'!RechtsformGI=DR$13,DR118*DY118,IF('Inhaltliche Bewertung - GI'!RechtsformGI=DT$13,DT118*DY118,IF('Inhaltliche Bewertung - GI'!RechtsformGI=DV$13,DV118*DY118,IF('Inhaltliche Bewertung - GI'!RechtsformGI=DN$13,DN118*DY118,"")))))</f>
        <v>#N/A</v>
      </c>
      <c r="EA118" s="351" t="e">
        <f>IF('Inhaltliche Bewertung - GI'!RechtsformAngebot=DP$13,DP118*DY118,IF('Inhaltliche Bewertung - GI'!RechtsformAngebot=DR$13,DR118*DY118,IF('Inhaltliche Bewertung - GI'!RechtsformAngebot=DT$13,DT118*DY118,IF('Inhaltliche Bewertung - GI'!RechtsformAngebot=DV$13,DV118*DY118,IF('Inhaltliche Bewertung - GI'!RechtsformAngebot=DN$13,DN118*DY118,"")))))</f>
        <v>#N/A</v>
      </c>
      <c r="EB118" s="351"/>
      <c r="EC118" s="157">
        <f t="shared" si="1"/>
        <v>0</v>
      </c>
      <c r="ED118" s="157">
        <f t="shared" si="2"/>
        <v>1</v>
      </c>
      <c r="EE118" s="157">
        <f t="shared" si="3"/>
        <v>0.70000000000000018</v>
      </c>
      <c r="EF118" s="157">
        <f t="shared" si="4"/>
        <v>0.9</v>
      </c>
    </row>
    <row r="119" spans="1:136" ht="14.25" customHeight="1">
      <c r="A119" s="395"/>
      <c r="B119" s="396" t="s">
        <v>3593</v>
      </c>
      <c r="C119" s="395"/>
      <c r="D119" s="396"/>
      <c r="E119" s="397"/>
      <c r="F119" s="398"/>
      <c r="G119" s="399"/>
      <c r="H119" s="398"/>
      <c r="I119" s="399"/>
      <c r="J119" s="398"/>
      <c r="K119" s="399"/>
      <c r="L119" s="398"/>
      <c r="M119" s="399"/>
      <c r="N119" s="398"/>
      <c r="O119" s="399"/>
      <c r="P119" s="400"/>
      <c r="Q119" s="401"/>
      <c r="R119" s="351" t="e">
        <f>IF('Inhaltliche Bewertung - GI'!RechtsformGI=H$13,H119*Q119,IF('Inhaltliche Bewertung - GI'!RechtsformGI=J$13,J119*Q119,IF('Inhaltliche Bewertung - GI'!RechtsformGI=L$13,L119*Q119,IF('Inhaltliche Bewertung - GI'!RechtsformGI=N$13,N119*Q119,IF('Inhaltliche Bewertung - GI'!RechtsformGI=F$13,F119*Q119,"")))))</f>
        <v>#N/A</v>
      </c>
      <c r="S119" s="351" t="e">
        <f>IF('Inhaltliche Bewertung - GI'!RechtsformAngebot=H$13,H119*Q119,IF('Inhaltliche Bewertung - GI'!RechtsformAngebot=J$13,J119*Q119,IF('Inhaltliche Bewertung - GI'!RechtsformAngebot=L$13,L119*Q119,IF('Inhaltliche Bewertung - GI'!RechtsformAngebot=N$13,N119*Q119,IF('Inhaltliche Bewertung - GI'!RechtsformAngebot=F$13,F119*Q119,"")))))</f>
        <v>#N/A</v>
      </c>
      <c r="T119" s="351"/>
      <c r="U119" s="397"/>
      <c r="V119" s="398"/>
      <c r="W119" s="402"/>
      <c r="X119" s="403"/>
      <c r="Y119" s="402"/>
      <c r="Z119" s="403"/>
      <c r="AA119" s="402"/>
      <c r="AB119" s="403"/>
      <c r="AC119" s="402"/>
      <c r="AD119" s="403"/>
      <c r="AE119" s="402"/>
      <c r="AF119" s="402"/>
      <c r="AG119" s="401"/>
      <c r="AH119" s="351" t="e">
        <f>IF('Inhaltliche Bewertung - GI'!RechtsformGI=X$13,X119*AG119,IF('Inhaltliche Bewertung - GI'!RechtsformGI=Z$13,Z119*AG119,IF('Inhaltliche Bewertung - GI'!RechtsformGI=AB$13,AB119*AG119,IF('Inhaltliche Bewertung - GI'!RechtsformGI=AD$13,AD119*AG119,IF('Inhaltliche Bewertung - GI'!RechtsformGI=V$13,V119*AG119,"")))))</f>
        <v>#N/A</v>
      </c>
      <c r="AI119" s="351" t="e">
        <f>IF('Inhaltliche Bewertung - GI'!RechtsformAngebot=X$13,X119*AG119,IF('Inhaltliche Bewertung - GI'!RechtsformAngebot=Z$13,Z119*AG119,IF('Inhaltliche Bewertung - GI'!RechtsformAngebot=AB$13,AB119*AG119,IF('Inhaltliche Bewertung - GI'!RechtsformAngebot=AD$13,AD119*AG119,IF('Inhaltliche Bewertung - GI'!RechtsformAngebot=V$13,V119*AG119,"")))))</f>
        <v>#N/A</v>
      </c>
      <c r="AJ119" s="351"/>
      <c r="AK119" s="397"/>
      <c r="AL119" s="398"/>
      <c r="AM119" s="399"/>
      <c r="AN119" s="398"/>
      <c r="AO119" s="399"/>
      <c r="AP119" s="398"/>
      <c r="AQ119" s="399"/>
      <c r="AR119" s="398"/>
      <c r="AS119" s="399"/>
      <c r="AT119" s="398"/>
      <c r="AU119" s="399"/>
      <c r="AV119" s="399"/>
      <c r="AW119" s="401"/>
      <c r="AX119" s="351" t="e">
        <f>IF('Inhaltliche Bewertung - GI'!RechtsformGI=AN$13,AN119*AW119,IF('Inhaltliche Bewertung - GI'!RechtsformGI=AP$13,AP119*AW119,IF('Inhaltliche Bewertung - GI'!RechtsformGI=AR$13,AR119*AW119,IF('Inhaltliche Bewertung - GI'!RechtsformGI=AT$13,AT119*AW119,IF('Inhaltliche Bewertung - GI'!RechtsformGI=AL$13,AL119*AW119,"")))))</f>
        <v>#N/A</v>
      </c>
      <c r="AY119" s="351" t="e">
        <f>IF('Inhaltliche Bewertung - GI'!RechtsformAngebot=AN$13,AN119*AW119,IF('Inhaltliche Bewertung - GI'!RechtsformAngebot=AP$13,AP119*AW119,IF('Inhaltliche Bewertung - GI'!RechtsformAngebot=AR$13,AR119*AW119,IF('Inhaltliche Bewertung - GI'!RechtsformAngebot=AT$13,AT119*AW119,IF('Inhaltliche Bewertung - GI'!RechtsformAngebot=AL$13,AL119*AW119,"")))))</f>
        <v>#N/A</v>
      </c>
      <c r="AZ119" s="351"/>
      <c r="BA119" s="397"/>
      <c r="BB119" s="404"/>
      <c r="BC119" s="399"/>
      <c r="BD119" s="404"/>
      <c r="BE119" s="399"/>
      <c r="BF119" s="404"/>
      <c r="BG119" s="399"/>
      <c r="BH119" s="404"/>
      <c r="BI119" s="399"/>
      <c r="BJ119" s="404"/>
      <c r="BK119" s="399"/>
      <c r="BL119" s="399"/>
      <c r="BM119" s="401"/>
      <c r="BN119" s="351" t="e">
        <f>IF('Inhaltliche Bewertung - GI'!RechtsformGI=BD$13,BD119*BM119,IF('Inhaltliche Bewertung - GI'!RechtsformGI=BF$13,BF119*BM119,IF('Inhaltliche Bewertung - GI'!RechtsformGI=BH$13,BH119*BM119,IF('Inhaltliche Bewertung - GI'!RechtsformGI=BJ$13,BJ119*BM119,IF('Inhaltliche Bewertung - GI'!RechtsformGI=BB$13,BB119*BM119,"")))))</f>
        <v>#N/A</v>
      </c>
      <c r="BO119" s="351" t="e">
        <f>IF('Inhaltliche Bewertung - GI'!RechtsformAngebot=BD$13,BD119*BM119,IF('Inhaltliche Bewertung - GI'!RechtsformAngebot=BF$13,BF119*BM119,IF('Inhaltliche Bewertung - GI'!RechtsformAngebot=BH$13,BH119*BM119,IF('Inhaltliche Bewertung - GI'!RechtsformAngebot=BJ$13,BJ119*BM119,IF('Inhaltliche Bewertung - GI'!RechtsformAngebot=BB$13,BB119*BM119,"")))))</f>
        <v>#N/A</v>
      </c>
      <c r="BP119" s="351"/>
      <c r="BQ119" s="397"/>
      <c r="BR119" s="405"/>
      <c r="BS119" s="406"/>
      <c r="BT119" s="405"/>
      <c r="BU119" s="406"/>
      <c r="BV119" s="405"/>
      <c r="BW119" s="406"/>
      <c r="BX119" s="405"/>
      <c r="BY119" s="406"/>
      <c r="BZ119" s="405"/>
      <c r="CA119" s="406"/>
      <c r="CB119" s="406"/>
      <c r="CC119" s="401"/>
      <c r="CD119" s="351" t="e">
        <f>IF('Inhaltliche Bewertung - GI'!RechtsformGI=BT$13,BT119*CC119,IF('Inhaltliche Bewertung - GI'!RechtsformGI=BV$13,BV119*CC119,IF('Inhaltliche Bewertung - GI'!RechtsformGI=BX$13,BX119*CC119,IF('Inhaltliche Bewertung - GI'!RechtsformGI=BZ$13,BZ119*CC119,IF('Inhaltliche Bewertung - GI'!RechtsformGI=BR$13,BR119*CC119,"")))))</f>
        <v>#N/A</v>
      </c>
      <c r="CE119" s="351" t="e">
        <f>IF('Inhaltliche Bewertung - GI'!RechtsformAngebot=BT$13,BT119*CC119,IF('Inhaltliche Bewertung - GI'!RechtsformAngebot=BV$13,BV119*CC119,IF('Inhaltliche Bewertung - GI'!RechtsformAngebot=BX$13,BX119*CC119,IF('Inhaltliche Bewertung - GI'!RechtsformAngebot=BZ$13,BZ119*CC119,IF('Inhaltliche Bewertung - GI'!RechtsformAngebot=BR$13,BR119*CC119,"")))))</f>
        <v>#N/A</v>
      </c>
      <c r="CF119" s="351"/>
      <c r="CG119" s="397"/>
      <c r="CH119" s="405"/>
      <c r="CI119" s="407"/>
      <c r="CJ119" s="405"/>
      <c r="CK119" s="407"/>
      <c r="CL119" s="405"/>
      <c r="CM119" s="407"/>
      <c r="CN119" s="405"/>
      <c r="CO119" s="407"/>
      <c r="CP119" s="405"/>
      <c r="CQ119" s="407"/>
      <c r="CR119" s="407"/>
      <c r="CS119" s="401"/>
      <c r="CT119" s="351" t="e">
        <f>IF('Inhaltliche Bewertung - GI'!RechtsformGI=CJ$13,CJ119*CS119,IF('Inhaltliche Bewertung - GI'!RechtsformGI=CL$13,CL119*CS119,IF('Inhaltliche Bewertung - GI'!RechtsformGI=CN$13,CN119*CS119,IF('Inhaltliche Bewertung - GI'!RechtsformGI=CP$13,CP119*CS119,IF('Inhaltliche Bewertung - GI'!RechtsformGI=CH$13,CH119*CS119,"")))))</f>
        <v>#N/A</v>
      </c>
      <c r="CU119" s="351" t="e">
        <f>IF('Inhaltliche Bewertung - GI'!RechtsformAngebot=CJ$13,CJ119*CS119,IF('Inhaltliche Bewertung - GI'!RechtsformAngebot=CL$13,CL119*CS119,IF('Inhaltliche Bewertung - GI'!RechtsformAngebot=CN$13,CN119*CS119,IF('Inhaltliche Bewertung - GI'!RechtsformAngebot=CP$13,CP119*CS119,IF('Inhaltliche Bewertung - GI'!RechtsformAngebot=CH$13,CH119*CS119,"")))))</f>
        <v>#N/A</v>
      </c>
      <c r="CV119" s="351"/>
      <c r="CW119" s="397"/>
      <c r="CX119" s="405"/>
      <c r="CY119" s="407"/>
      <c r="CZ119" s="408"/>
      <c r="DA119" s="409"/>
      <c r="DB119" s="405"/>
      <c r="DC119" s="407"/>
      <c r="DD119" s="405"/>
      <c r="DE119" s="407"/>
      <c r="DF119" s="405"/>
      <c r="DG119" s="407"/>
      <c r="DH119" s="407"/>
      <c r="DI119" s="401"/>
      <c r="DJ119" s="351" t="e">
        <f>IF('Inhaltliche Bewertung - GI'!RechtsformGI=CZ$13,CZ119*DI119,IF('Inhaltliche Bewertung - GI'!RechtsformGI=DB$13,DB119*DI119,IF('Inhaltliche Bewertung - GI'!RechtsformGI=DD$13,DD119*DI119,IF('Inhaltliche Bewertung - GI'!RechtsformGI=DF$13,DF119*DI119,IF('Inhaltliche Bewertung - GI'!RechtsformGI=CX$13,CX119*DI119,"")))))</f>
        <v>#N/A</v>
      </c>
      <c r="DK119" s="351" t="e">
        <f>IF('Inhaltliche Bewertung - GI'!RechtsformAngebot=CZ$13,CZ119*DI119,IF('Inhaltliche Bewertung - GI'!RechtsformAngebot=DB$13,DB119*DI119,IF('Inhaltliche Bewertung - GI'!RechtsformAngebot=DD$13,DD119*DI119,IF('Inhaltliche Bewertung - GI'!RechtsformAngebot=DF$13,DF119*DI119,IF('Inhaltliche Bewertung - GI'!RechtsformAngebot=CX$13,CX119*DI119,"")))))</f>
        <v>#N/A</v>
      </c>
      <c r="DL119" s="351"/>
      <c r="DM119" s="397"/>
      <c r="DN119" s="405"/>
      <c r="DO119" s="407"/>
      <c r="DP119" s="405"/>
      <c r="DQ119" s="407"/>
      <c r="DR119" s="405"/>
      <c r="DS119" s="407"/>
      <c r="DT119" s="405"/>
      <c r="DU119" s="407"/>
      <c r="DV119" s="405"/>
      <c r="DW119" s="407"/>
      <c r="DX119" s="407"/>
      <c r="DY119" s="401"/>
      <c r="DZ119" s="351" t="e">
        <f>IF('Inhaltliche Bewertung - GI'!RechtsformGI=DP$13,DP119*DY119,IF('Inhaltliche Bewertung - GI'!RechtsformGI=DR$13,DR119*DY119,IF('Inhaltliche Bewertung - GI'!RechtsformGI=DT$13,DT119*DY119,IF('Inhaltliche Bewertung - GI'!RechtsformGI=DV$13,DV119*DY119,IF('Inhaltliche Bewertung - GI'!RechtsformGI=DN$13,DN119*DY119,"")))))</f>
        <v>#N/A</v>
      </c>
      <c r="EA119" s="351" t="e">
        <f>IF('Inhaltliche Bewertung - GI'!RechtsformAngebot=DP$13,DP119*DY119,IF('Inhaltliche Bewertung - GI'!RechtsformAngebot=DR$13,DR119*DY119,IF('Inhaltliche Bewertung - GI'!RechtsformAngebot=DT$13,DT119*DY119,IF('Inhaltliche Bewertung - GI'!RechtsformAngebot=DV$13,DV119*DY119,IF('Inhaltliche Bewertung - GI'!RechtsformAngebot=DN$13,DN119*DY119,"")))))</f>
        <v>#N/A</v>
      </c>
      <c r="EB119" s="351"/>
      <c r="EC119" s="157">
        <f t="shared" si="1"/>
        <v>0</v>
      </c>
      <c r="ED119" s="157">
        <f t="shared" si="2"/>
        <v>0</v>
      </c>
      <c r="EE119" s="157" t="e">
        <f t="shared" si="3"/>
        <v>#DIV/0!</v>
      </c>
      <c r="EF119" s="157" t="e">
        <f t="shared" si="4"/>
        <v>#NUM!</v>
      </c>
    </row>
    <row r="120" spans="1:136" ht="14.25" customHeight="1">
      <c r="A120" s="444" t="b">
        <f>EXACT(MAX(F120,H120,J120,L120,N120,V120,X120,Z120,AB120,AD120,AL120,AN120,AP120,AR120,AT120,BB120,BD120,BF120,BH120,BJ120,BR120,BT120,BV120,BX120,BZ120,CH120,CJ120,CL120,CN120,CP120,CX120,CZ120,DB120,DD120,DF120),MIN(F120,H120,J120,L120,N120,V120,X120,Z120,AB120,AD120,AL120,AN120,AP120,AR120,AT120,BB120,BD120,BF120,BH120,BJ120,BR120,BT120,BV120,BX120,BZ120,CH120,CJ120,CL120,CN120,CP120,CX120,CZ120,DB120,DD120,DF120))</f>
        <v>0</v>
      </c>
      <c r="B120" s="292"/>
      <c r="C120" s="355" t="s">
        <v>3594</v>
      </c>
      <c r="D120" s="345"/>
      <c r="E120" s="361" t="s">
        <v>3595</v>
      </c>
      <c r="F120" s="362">
        <v>0.5</v>
      </c>
      <c r="G120" s="365"/>
      <c r="H120" s="362">
        <v>0.5</v>
      </c>
      <c r="I120" s="365"/>
      <c r="J120" s="362">
        <v>0.4</v>
      </c>
      <c r="K120" s="365"/>
      <c r="L120" s="362">
        <v>0</v>
      </c>
      <c r="M120" s="365"/>
      <c r="N120" s="362">
        <v>0</v>
      </c>
      <c r="O120" s="365"/>
      <c r="P120" s="368" t="s">
        <v>3479</v>
      </c>
      <c r="Q120" s="360">
        <v>1</v>
      </c>
      <c r="R120" s="351" t="e">
        <f>IF('Inhaltliche Bewertung - GI'!RechtsformGI=H$13,H120*Q120,IF('Inhaltliche Bewertung - GI'!RechtsformGI=J$13,J120*Q120,IF('Inhaltliche Bewertung - GI'!RechtsformGI=L$13,L120*Q120,IF('Inhaltliche Bewertung - GI'!RechtsformGI=N$13,N120*Q120,IF('Inhaltliche Bewertung - GI'!RechtsformGI=F$13,F120*Q120,"")))))</f>
        <v>#N/A</v>
      </c>
      <c r="S120" s="351" t="e">
        <f>IF('Inhaltliche Bewertung - GI'!RechtsformAngebot=H$13,H120*Q120,IF('Inhaltliche Bewertung - GI'!RechtsformAngebot=J$13,J120*Q120,IF('Inhaltliche Bewertung - GI'!RechtsformAngebot=L$13,L120*Q120,IF('Inhaltliche Bewertung - GI'!RechtsformAngebot=N$13,N120*Q120,IF('Inhaltliche Bewertung - GI'!RechtsformAngebot=F$13,F120*Q120,"")))))</f>
        <v>#N/A</v>
      </c>
      <c r="T120" s="351"/>
      <c r="U120" s="371" t="s">
        <v>3596</v>
      </c>
      <c r="V120" s="362">
        <v>0.5</v>
      </c>
      <c r="W120" s="365"/>
      <c r="X120" s="362">
        <v>0.5</v>
      </c>
      <c r="Y120" s="365"/>
      <c r="Z120" s="362">
        <v>0.4</v>
      </c>
      <c r="AA120" s="365"/>
      <c r="AB120" s="362">
        <v>0</v>
      </c>
      <c r="AC120" s="365"/>
      <c r="AD120" s="362">
        <v>0</v>
      </c>
      <c r="AE120" s="365"/>
      <c r="AF120" s="368" t="s">
        <v>3479</v>
      </c>
      <c r="AG120" s="360">
        <v>1</v>
      </c>
      <c r="AH120" s="351" t="e">
        <f>IF('Inhaltliche Bewertung - GI'!RechtsformGI=X$13,X120*AG120,IF('Inhaltliche Bewertung - GI'!RechtsformGI=Z$13,Z120*AG120,IF('Inhaltliche Bewertung - GI'!RechtsformGI=AB$13,AB120*AG120,IF('Inhaltliche Bewertung - GI'!RechtsformGI=AD$13,AD120*AG120,IF('Inhaltliche Bewertung - GI'!RechtsformGI=V$13,V120*AG120,"")))))</f>
        <v>#N/A</v>
      </c>
      <c r="AI120" s="351" t="e">
        <f>IF('Inhaltliche Bewertung - GI'!RechtsformAngebot=X$13,X120*AG120,IF('Inhaltliche Bewertung - GI'!RechtsformAngebot=Z$13,Z120*AG120,IF('Inhaltliche Bewertung - GI'!RechtsformAngebot=AB$13,AB120*AG120,IF('Inhaltliche Bewertung - GI'!RechtsformAngebot=AD$13,AD120*AG120,IF('Inhaltliche Bewertung - GI'!RechtsformAngebot=V$13,V120*AG120,"")))))</f>
        <v>#N/A</v>
      </c>
      <c r="AJ120" s="351"/>
      <c r="AK120" s="361" t="s">
        <v>3595</v>
      </c>
      <c r="AL120" s="362">
        <v>0.5</v>
      </c>
      <c r="AM120" s="365"/>
      <c r="AN120" s="362">
        <v>0.5</v>
      </c>
      <c r="AO120" s="365"/>
      <c r="AP120" s="362">
        <v>0.4</v>
      </c>
      <c r="AQ120" s="365"/>
      <c r="AR120" s="362">
        <v>0</v>
      </c>
      <c r="AS120" s="365"/>
      <c r="AT120" s="362">
        <v>0</v>
      </c>
      <c r="AU120" s="365"/>
      <c r="AV120" s="368" t="s">
        <v>3479</v>
      </c>
      <c r="AW120" s="360">
        <v>1</v>
      </c>
      <c r="AX120" s="351" t="e">
        <f>IF('Inhaltliche Bewertung - GI'!RechtsformGI=AN$13,AN120*AW120,IF('Inhaltliche Bewertung - GI'!RechtsformGI=AP$13,AP120*AW120,IF('Inhaltliche Bewertung - GI'!RechtsformGI=AR$13,AR120*AW120,IF('Inhaltliche Bewertung - GI'!RechtsformGI=AT$13,AT120*AW120,IF('Inhaltliche Bewertung - GI'!RechtsformGI=AL$13,AL120*AW120,"")))))</f>
        <v>#N/A</v>
      </c>
      <c r="AY120" s="351" t="e">
        <f>IF('Inhaltliche Bewertung - GI'!RechtsformAngebot=AN$13,AN120*AW120,IF('Inhaltliche Bewertung - GI'!RechtsformAngebot=AP$13,AP120*AW120,IF('Inhaltliche Bewertung - GI'!RechtsformAngebot=AR$13,AR120*AW120,IF('Inhaltliche Bewertung - GI'!RechtsformAngebot=AT$13,AT120*AW120,IF('Inhaltliche Bewertung - GI'!RechtsformAngebot=AL$13,AL120*AW120,"")))))</f>
        <v>#N/A</v>
      </c>
      <c r="AZ120" s="351"/>
      <c r="BA120" s="361" t="s">
        <v>3595</v>
      </c>
      <c r="BB120" s="362">
        <v>0.5</v>
      </c>
      <c r="BC120" s="365"/>
      <c r="BD120" s="362">
        <v>0.5</v>
      </c>
      <c r="BE120" s="365"/>
      <c r="BF120" s="362">
        <v>0.4</v>
      </c>
      <c r="BG120" s="365"/>
      <c r="BH120" s="362">
        <v>0</v>
      </c>
      <c r="BI120" s="365"/>
      <c r="BJ120" s="362">
        <v>0</v>
      </c>
      <c r="BK120" s="365"/>
      <c r="BL120" s="368" t="s">
        <v>3479</v>
      </c>
      <c r="BM120" s="360">
        <v>1</v>
      </c>
      <c r="BN120" s="351" t="e">
        <f>IF('Inhaltliche Bewertung - GI'!RechtsformGI=BD$13,BD120*BM120,IF('Inhaltliche Bewertung - GI'!RechtsformGI=BF$13,BF120*BM120,IF('Inhaltliche Bewertung - GI'!RechtsformGI=BH$13,BH120*BM120,IF('Inhaltliche Bewertung - GI'!RechtsformGI=BJ$13,BJ120*BM120,IF('Inhaltliche Bewertung - GI'!RechtsformGI=BB$13,BB120*BM120,"")))))</f>
        <v>#N/A</v>
      </c>
      <c r="BO120" s="351" t="e">
        <f>IF('Inhaltliche Bewertung - GI'!RechtsformAngebot=BD$13,BD120*BM120,IF('Inhaltliche Bewertung - GI'!RechtsformAngebot=BF$13,BF120*BM120,IF('Inhaltliche Bewertung - GI'!RechtsformAngebot=BH$13,BH120*BM120,IF('Inhaltliche Bewertung - GI'!RechtsformAngebot=BJ$13,BJ120*BM120,IF('Inhaltliche Bewertung - GI'!RechtsformAngebot=BB$13,BB120*BM120,"")))))</f>
        <v>#N/A</v>
      </c>
      <c r="BP120" s="351"/>
      <c r="BQ120" s="361" t="s">
        <v>3595</v>
      </c>
      <c r="BR120" s="362">
        <v>0.5</v>
      </c>
      <c r="BS120" s="365"/>
      <c r="BT120" s="362">
        <v>0.5</v>
      </c>
      <c r="BU120" s="365"/>
      <c r="BV120" s="362">
        <v>0.4</v>
      </c>
      <c r="BW120" s="365"/>
      <c r="BX120" s="362">
        <v>0</v>
      </c>
      <c r="BY120" s="365"/>
      <c r="BZ120" s="362">
        <v>0</v>
      </c>
      <c r="CA120" s="365"/>
      <c r="CB120" s="368" t="s">
        <v>3479</v>
      </c>
      <c r="CC120" s="360">
        <v>1</v>
      </c>
      <c r="CD120" s="351" t="e">
        <f>IF('Inhaltliche Bewertung - GI'!RechtsformGI=BT$13,BT120*CC120,IF('Inhaltliche Bewertung - GI'!RechtsformGI=BV$13,BV120*CC120,IF('Inhaltliche Bewertung - GI'!RechtsformGI=BX$13,BX120*CC120,IF('Inhaltliche Bewertung - GI'!RechtsformGI=BZ$13,BZ120*CC120,IF('Inhaltliche Bewertung - GI'!RechtsformGI=BR$13,BR120*CC120,"")))))</f>
        <v>#N/A</v>
      </c>
      <c r="CE120" s="351" t="e">
        <f>IF('Inhaltliche Bewertung - GI'!RechtsformAngebot=BT$13,BT120*CC120,IF('Inhaltliche Bewertung - GI'!RechtsformAngebot=BV$13,BV120*CC120,IF('Inhaltliche Bewertung - GI'!RechtsformAngebot=BX$13,BX120*CC120,IF('Inhaltliche Bewertung - GI'!RechtsformAngebot=BZ$13,BZ120*CC120,IF('Inhaltliche Bewertung - GI'!RechtsformAngebot=BR$13,BR120*CC120,"")))))</f>
        <v>#N/A</v>
      </c>
      <c r="CF120" s="351"/>
      <c r="CG120" s="361" t="s">
        <v>3595</v>
      </c>
      <c r="CH120" s="362">
        <v>0</v>
      </c>
      <c r="CI120" s="365"/>
      <c r="CJ120" s="362">
        <v>0</v>
      </c>
      <c r="CK120" s="365"/>
      <c r="CL120" s="362">
        <v>0</v>
      </c>
      <c r="CM120" s="365"/>
      <c r="CN120" s="362">
        <v>0</v>
      </c>
      <c r="CO120" s="365"/>
      <c r="CP120" s="362">
        <v>0</v>
      </c>
      <c r="CQ120" s="365"/>
      <c r="CR120" s="368" t="s">
        <v>3479</v>
      </c>
      <c r="CS120" s="360">
        <v>1</v>
      </c>
      <c r="CT120" s="351" t="e">
        <f>IF('Inhaltliche Bewertung - GI'!RechtsformGI=CJ$13,CJ120*CS120,IF('Inhaltliche Bewertung - GI'!RechtsformGI=CL$13,CL120*CS120,IF('Inhaltliche Bewertung - GI'!RechtsformGI=CN$13,CN120*CS120,IF('Inhaltliche Bewertung - GI'!RechtsformGI=CP$13,CP120*CS120,IF('Inhaltliche Bewertung - GI'!RechtsformGI=CH$13,CH120*CS120,"")))))</f>
        <v>#N/A</v>
      </c>
      <c r="CU120" s="351" t="e">
        <f>IF('Inhaltliche Bewertung - GI'!RechtsformAngebot=CJ$13,CJ120*CS120,IF('Inhaltliche Bewertung - GI'!RechtsformAngebot=CL$13,CL120*CS120,IF('Inhaltliche Bewertung - GI'!RechtsformAngebot=CN$13,CN120*CS120,IF('Inhaltliche Bewertung - GI'!RechtsformAngebot=CP$13,CP120*CS120,IF('Inhaltliche Bewertung - GI'!RechtsformAngebot=CH$13,CH120*CS120,"")))))</f>
        <v>#N/A</v>
      </c>
      <c r="CV120" s="351"/>
      <c r="CW120" s="361" t="s">
        <v>3595</v>
      </c>
      <c r="CX120" s="362">
        <v>0.5</v>
      </c>
      <c r="CY120" s="365"/>
      <c r="CZ120" s="362">
        <v>0.5</v>
      </c>
      <c r="DA120" s="365"/>
      <c r="DB120" s="362">
        <v>0.4</v>
      </c>
      <c r="DC120" s="365"/>
      <c r="DD120" s="362">
        <v>0</v>
      </c>
      <c r="DE120" s="365"/>
      <c r="DF120" s="362">
        <v>0</v>
      </c>
      <c r="DG120" s="365"/>
      <c r="DH120" s="368" t="s">
        <v>3479</v>
      </c>
      <c r="DI120" s="360">
        <v>1</v>
      </c>
      <c r="DJ120" s="351" t="e">
        <f>IF('Inhaltliche Bewertung - GI'!RechtsformGI=CZ$13,CZ120*DI120,IF('Inhaltliche Bewertung - GI'!RechtsformGI=DB$13,DB120*DI120,IF('Inhaltliche Bewertung - GI'!RechtsformGI=DD$13,DD120*DI120,IF('Inhaltliche Bewertung - GI'!RechtsformGI=DF$13,DF120*DI120,IF('Inhaltliche Bewertung - GI'!RechtsformGI=CX$13,CX120*DI120,"")))))</f>
        <v>#N/A</v>
      </c>
      <c r="DK120" s="351" t="e">
        <f>IF('Inhaltliche Bewertung - GI'!RechtsformAngebot=CZ$13,CZ120*DI120,IF('Inhaltliche Bewertung - GI'!RechtsformAngebot=DB$13,DB120*DI120,IF('Inhaltliche Bewertung - GI'!RechtsformAngebot=DD$13,DD120*DI120,IF('Inhaltliche Bewertung - GI'!RechtsformAngebot=DF$13,DF120*DI120,IF('Inhaltliche Bewertung - GI'!RechtsformAngebot=CX$13,CX120*DI120,"")))))</f>
        <v>#N/A</v>
      </c>
      <c r="DL120" s="351"/>
      <c r="DM120" s="361" t="s">
        <v>3595</v>
      </c>
      <c r="DN120" s="362">
        <v>0.5</v>
      </c>
      <c r="DO120" s="365"/>
      <c r="DP120" s="362">
        <v>0.5</v>
      </c>
      <c r="DQ120" s="365"/>
      <c r="DR120" s="362">
        <v>0.4</v>
      </c>
      <c r="DS120" s="365"/>
      <c r="DT120" s="362">
        <v>0</v>
      </c>
      <c r="DU120" s="365"/>
      <c r="DV120" s="362">
        <v>0</v>
      </c>
      <c r="DW120" s="365"/>
      <c r="DX120" s="368" t="s">
        <v>3479</v>
      </c>
      <c r="DY120" s="360">
        <v>1</v>
      </c>
      <c r="DZ120" s="351" t="e">
        <f>IF('Inhaltliche Bewertung - GI'!RechtsformGI=DP$13,DP120*DY120,IF('Inhaltliche Bewertung - GI'!RechtsformGI=DR$13,DR120*DY120,IF('Inhaltliche Bewertung - GI'!RechtsformGI=DT$13,DT120*DY120,IF('Inhaltliche Bewertung - GI'!RechtsformGI=DV$13,DV120*DY120,IF('Inhaltliche Bewertung - GI'!RechtsformGI=DN$13,DN120*DY120,"")))))</f>
        <v>#N/A</v>
      </c>
      <c r="EA120" s="351" t="e">
        <f>IF('Inhaltliche Bewertung - GI'!RechtsformAngebot=DP$13,DP120*DY120,IF('Inhaltliche Bewertung - GI'!RechtsformAngebot=DR$13,DR120*DY120,IF('Inhaltliche Bewertung - GI'!RechtsformAngebot=DT$13,DT120*DY120,IF('Inhaltliche Bewertung - GI'!RechtsformAngebot=DV$13,DV120*DY120,IF('Inhaltliche Bewertung - GI'!RechtsformAngebot=DN$13,DN120*DY120,"")))))</f>
        <v>#N/A</v>
      </c>
      <c r="EB120" s="351"/>
      <c r="EC120" s="157">
        <f t="shared" si="1"/>
        <v>0</v>
      </c>
      <c r="ED120" s="157">
        <f t="shared" si="2"/>
        <v>0.5</v>
      </c>
      <c r="EE120" s="157">
        <f t="shared" si="3"/>
        <v>0.24500000000000002</v>
      </c>
      <c r="EF120" s="157">
        <f t="shared" si="4"/>
        <v>0.4</v>
      </c>
    </row>
    <row r="121" spans="1:136" ht="14.25" customHeight="1">
      <c r="A121" s="445"/>
      <c r="B121" s="418" t="s">
        <v>3111</v>
      </c>
      <c r="C121" s="395"/>
      <c r="D121" s="396"/>
      <c r="E121" s="397"/>
      <c r="F121" s="398"/>
      <c r="G121" s="399"/>
      <c r="H121" s="398"/>
      <c r="I121" s="399"/>
      <c r="J121" s="398"/>
      <c r="K121" s="399"/>
      <c r="L121" s="398"/>
      <c r="M121" s="399"/>
      <c r="N121" s="398"/>
      <c r="O121" s="399"/>
      <c r="P121" s="400"/>
      <c r="Q121" s="401"/>
      <c r="R121" s="351" t="e">
        <f>IF('Inhaltliche Bewertung - GI'!RechtsformGI=H$13,H121*Q121,IF('Inhaltliche Bewertung - GI'!RechtsformGI=J$13,J121*Q121,IF('Inhaltliche Bewertung - GI'!RechtsformGI=L$13,L121*Q121,IF('Inhaltliche Bewertung - GI'!RechtsformGI=N$13,N121*Q121,IF('Inhaltliche Bewertung - GI'!RechtsformGI=F$13,F121*Q121,"")))))</f>
        <v>#N/A</v>
      </c>
      <c r="S121" s="351" t="e">
        <f>IF('Inhaltliche Bewertung - GI'!RechtsformAngebot=H$13,H121*Q121,IF('Inhaltliche Bewertung - GI'!RechtsformAngebot=J$13,J121*Q121,IF('Inhaltliche Bewertung - GI'!RechtsformAngebot=L$13,L121*Q121,IF('Inhaltliche Bewertung - GI'!RechtsformAngebot=N$13,N121*Q121,IF('Inhaltliche Bewertung - GI'!RechtsformAngebot=F$13,F121*Q121,"")))))</f>
        <v>#N/A</v>
      </c>
      <c r="T121" s="351"/>
      <c r="U121" s="397"/>
      <c r="V121" s="398"/>
      <c r="W121" s="402"/>
      <c r="X121" s="403"/>
      <c r="Y121" s="402"/>
      <c r="Z121" s="403"/>
      <c r="AA121" s="402"/>
      <c r="AB121" s="403"/>
      <c r="AC121" s="402"/>
      <c r="AD121" s="403"/>
      <c r="AE121" s="402"/>
      <c r="AF121" s="402"/>
      <c r="AG121" s="401"/>
      <c r="AH121" s="351" t="e">
        <f>IF('Inhaltliche Bewertung - GI'!RechtsformGI=X$13,X121*AG121,IF('Inhaltliche Bewertung - GI'!RechtsformGI=Z$13,Z121*AG121,IF('Inhaltliche Bewertung - GI'!RechtsformGI=AB$13,AB121*AG121,IF('Inhaltliche Bewertung - GI'!RechtsformGI=AD$13,AD121*AG121,IF('Inhaltliche Bewertung - GI'!RechtsformGI=V$13,V121*AG121,"")))))</f>
        <v>#N/A</v>
      </c>
      <c r="AI121" s="351" t="e">
        <f>IF('Inhaltliche Bewertung - GI'!RechtsformAngebot=X$13,X121*AG121,IF('Inhaltliche Bewertung - GI'!RechtsformAngebot=Z$13,Z121*AG121,IF('Inhaltliche Bewertung - GI'!RechtsformAngebot=AB$13,AB121*AG121,IF('Inhaltliche Bewertung - GI'!RechtsformAngebot=AD$13,AD121*AG121,IF('Inhaltliche Bewertung - GI'!RechtsformAngebot=V$13,V121*AG121,"")))))</f>
        <v>#N/A</v>
      </c>
      <c r="AJ121" s="351"/>
      <c r="AK121" s="397"/>
      <c r="AL121" s="398"/>
      <c r="AM121" s="399"/>
      <c r="AN121" s="398"/>
      <c r="AO121" s="399"/>
      <c r="AP121" s="398"/>
      <c r="AQ121" s="399"/>
      <c r="AR121" s="398"/>
      <c r="AS121" s="399"/>
      <c r="AT121" s="398"/>
      <c r="AU121" s="399"/>
      <c r="AV121" s="399"/>
      <c r="AW121" s="401"/>
      <c r="AX121" s="351" t="e">
        <f>IF('Inhaltliche Bewertung - GI'!RechtsformGI=AN$13,AN121*AW121,IF('Inhaltliche Bewertung - GI'!RechtsformGI=AP$13,AP121*AW121,IF('Inhaltliche Bewertung - GI'!RechtsformGI=AR$13,AR121*AW121,IF('Inhaltliche Bewertung - GI'!RechtsformGI=AT$13,AT121*AW121,IF('Inhaltliche Bewertung - GI'!RechtsformGI=AL$13,AL121*AW121,"")))))</f>
        <v>#N/A</v>
      </c>
      <c r="AY121" s="351" t="e">
        <f>IF('Inhaltliche Bewertung - GI'!RechtsformAngebot=AN$13,AN121*AW121,IF('Inhaltliche Bewertung - GI'!RechtsformAngebot=AP$13,AP121*AW121,IF('Inhaltliche Bewertung - GI'!RechtsformAngebot=AR$13,AR121*AW121,IF('Inhaltliche Bewertung - GI'!RechtsformAngebot=AT$13,AT121*AW121,IF('Inhaltliche Bewertung - GI'!RechtsformAngebot=AL$13,AL121*AW121,"")))))</f>
        <v>#N/A</v>
      </c>
      <c r="AZ121" s="351"/>
      <c r="BA121" s="397"/>
      <c r="BB121" s="404"/>
      <c r="BC121" s="399"/>
      <c r="BD121" s="404"/>
      <c r="BE121" s="399"/>
      <c r="BF121" s="404"/>
      <c r="BG121" s="399"/>
      <c r="BH121" s="404"/>
      <c r="BI121" s="399"/>
      <c r="BJ121" s="404"/>
      <c r="BK121" s="399"/>
      <c r="BL121" s="399"/>
      <c r="BM121" s="401"/>
      <c r="BN121" s="351" t="e">
        <f>IF('Inhaltliche Bewertung - GI'!RechtsformGI=BD$13,BD121*BM121,IF('Inhaltliche Bewertung - GI'!RechtsformGI=BF$13,BF121*BM121,IF('Inhaltliche Bewertung - GI'!RechtsformGI=BH$13,BH121*BM121,IF('Inhaltliche Bewertung - GI'!RechtsformGI=BJ$13,BJ121*BM121,IF('Inhaltliche Bewertung - GI'!RechtsformGI=BB$13,BB121*BM121,"")))))</f>
        <v>#N/A</v>
      </c>
      <c r="BO121" s="351" t="e">
        <f>IF('Inhaltliche Bewertung - GI'!RechtsformAngebot=BD$13,BD121*BM121,IF('Inhaltliche Bewertung - GI'!RechtsformAngebot=BF$13,BF121*BM121,IF('Inhaltliche Bewertung - GI'!RechtsformAngebot=BH$13,BH121*BM121,IF('Inhaltliche Bewertung - GI'!RechtsformAngebot=BJ$13,BJ121*BM121,IF('Inhaltliche Bewertung - GI'!RechtsformAngebot=BB$13,BB121*BM121,"")))))</f>
        <v>#N/A</v>
      </c>
      <c r="BP121" s="351"/>
      <c r="BQ121" s="397"/>
      <c r="BR121" s="405"/>
      <c r="BS121" s="406"/>
      <c r="BT121" s="405"/>
      <c r="BU121" s="406"/>
      <c r="BV121" s="405"/>
      <c r="BW121" s="406"/>
      <c r="BX121" s="405"/>
      <c r="BY121" s="406"/>
      <c r="BZ121" s="405"/>
      <c r="CA121" s="406"/>
      <c r="CB121" s="406"/>
      <c r="CC121" s="401"/>
      <c r="CD121" s="351" t="e">
        <f>IF('Inhaltliche Bewertung - GI'!RechtsformGI=BT$13,BT121*CC121,IF('Inhaltliche Bewertung - GI'!RechtsformGI=BV$13,BV121*CC121,IF('Inhaltliche Bewertung - GI'!RechtsformGI=BX$13,BX121*CC121,IF('Inhaltliche Bewertung - GI'!RechtsformGI=BZ$13,BZ121*CC121,IF('Inhaltliche Bewertung - GI'!RechtsformGI=BR$13,BR121*CC121,"")))))</f>
        <v>#N/A</v>
      </c>
      <c r="CE121" s="351" t="e">
        <f>IF('Inhaltliche Bewertung - GI'!RechtsformAngebot=BT$13,BT121*CC121,IF('Inhaltliche Bewertung - GI'!RechtsformAngebot=BV$13,BV121*CC121,IF('Inhaltliche Bewertung - GI'!RechtsformAngebot=BX$13,BX121*CC121,IF('Inhaltliche Bewertung - GI'!RechtsformAngebot=BZ$13,BZ121*CC121,IF('Inhaltliche Bewertung - GI'!RechtsformAngebot=BR$13,BR121*CC121,"")))))</f>
        <v>#N/A</v>
      </c>
      <c r="CF121" s="351"/>
      <c r="CG121" s="397"/>
      <c r="CH121" s="405"/>
      <c r="CI121" s="407"/>
      <c r="CJ121" s="405"/>
      <c r="CK121" s="407"/>
      <c r="CL121" s="405"/>
      <c r="CM121" s="407"/>
      <c r="CN121" s="405"/>
      <c r="CO121" s="407"/>
      <c r="CP121" s="405"/>
      <c r="CQ121" s="407"/>
      <c r="CR121" s="407"/>
      <c r="CS121" s="401"/>
      <c r="CT121" s="351" t="e">
        <f>IF('Inhaltliche Bewertung - GI'!RechtsformGI=CJ$13,CJ121*CS121,IF('Inhaltliche Bewertung - GI'!RechtsformGI=CL$13,CL121*CS121,IF('Inhaltliche Bewertung - GI'!RechtsformGI=CN$13,CN121*CS121,IF('Inhaltliche Bewertung - GI'!RechtsformGI=CP$13,CP121*CS121,IF('Inhaltliche Bewertung - GI'!RechtsformGI=CH$13,CH121*CS121,"")))))</f>
        <v>#N/A</v>
      </c>
      <c r="CU121" s="351" t="e">
        <f>IF('Inhaltliche Bewertung - GI'!RechtsformAngebot=CJ$13,CJ121*CS121,IF('Inhaltliche Bewertung - GI'!RechtsformAngebot=CL$13,CL121*CS121,IF('Inhaltliche Bewertung - GI'!RechtsformAngebot=CN$13,CN121*CS121,IF('Inhaltliche Bewertung - GI'!RechtsformAngebot=CP$13,CP121*CS121,IF('Inhaltliche Bewertung - GI'!RechtsformAngebot=CH$13,CH121*CS121,"")))))</f>
        <v>#N/A</v>
      </c>
      <c r="CV121" s="351"/>
      <c r="CW121" s="397"/>
      <c r="CX121" s="405"/>
      <c r="CY121" s="407"/>
      <c r="CZ121" s="408"/>
      <c r="DA121" s="409"/>
      <c r="DB121" s="405"/>
      <c r="DC121" s="407"/>
      <c r="DD121" s="405"/>
      <c r="DE121" s="407"/>
      <c r="DF121" s="405"/>
      <c r="DG121" s="407"/>
      <c r="DH121" s="407"/>
      <c r="DI121" s="401"/>
      <c r="DJ121" s="351" t="e">
        <f>IF('Inhaltliche Bewertung - GI'!RechtsformGI=CZ$13,CZ121*DI121,IF('Inhaltliche Bewertung - GI'!RechtsformGI=DB$13,DB121*DI121,IF('Inhaltliche Bewertung - GI'!RechtsformGI=DD$13,DD121*DI121,IF('Inhaltliche Bewertung - GI'!RechtsformGI=DF$13,DF121*DI121,IF('Inhaltliche Bewertung - GI'!RechtsformGI=CX$13,CX121*DI121,"")))))</f>
        <v>#N/A</v>
      </c>
      <c r="DK121" s="351" t="e">
        <f>IF('Inhaltliche Bewertung - GI'!RechtsformAngebot=CZ$13,CZ121*DI121,IF('Inhaltliche Bewertung - GI'!RechtsformAngebot=DB$13,DB121*DI121,IF('Inhaltliche Bewertung - GI'!RechtsformAngebot=DD$13,DD121*DI121,IF('Inhaltliche Bewertung - GI'!RechtsformAngebot=DF$13,DF121*DI121,IF('Inhaltliche Bewertung - GI'!RechtsformAngebot=CX$13,CX121*DI121,"")))))</f>
        <v>#N/A</v>
      </c>
      <c r="DL121" s="351"/>
      <c r="DM121" s="397"/>
      <c r="DN121" s="405"/>
      <c r="DO121" s="407"/>
      <c r="DP121" s="405"/>
      <c r="DQ121" s="407"/>
      <c r="DR121" s="405"/>
      <c r="DS121" s="407"/>
      <c r="DT121" s="405"/>
      <c r="DU121" s="407"/>
      <c r="DV121" s="405"/>
      <c r="DW121" s="407"/>
      <c r="DX121" s="407"/>
      <c r="DY121" s="401"/>
      <c r="DZ121" s="351" t="e">
        <f>IF('Inhaltliche Bewertung - GI'!RechtsformGI=DP$13,DP121*DY121,IF('Inhaltliche Bewertung - GI'!RechtsformGI=DR$13,DR121*DY121,IF('Inhaltliche Bewertung - GI'!RechtsformGI=DT$13,DT121*DY121,IF('Inhaltliche Bewertung - GI'!RechtsformGI=DV$13,DV121*DY121,IF('Inhaltliche Bewertung - GI'!RechtsformGI=DN$13,DN121*DY121,"")))))</f>
        <v>#N/A</v>
      </c>
      <c r="EA121" s="351" t="e">
        <f>IF('Inhaltliche Bewertung - GI'!RechtsformAngebot=DP$13,DP121*DY121,IF('Inhaltliche Bewertung - GI'!RechtsformAngebot=DR$13,DR121*DY121,IF('Inhaltliche Bewertung - GI'!RechtsformAngebot=DT$13,DT121*DY121,IF('Inhaltliche Bewertung - GI'!RechtsformAngebot=DV$13,DV121*DY121,IF('Inhaltliche Bewertung - GI'!RechtsformAngebot=DN$13,DN121*DY121,"")))))</f>
        <v>#N/A</v>
      </c>
      <c r="EB121" s="351"/>
      <c r="EC121" s="157">
        <f t="shared" si="1"/>
        <v>0</v>
      </c>
      <c r="ED121" s="157">
        <f t="shared" si="2"/>
        <v>0</v>
      </c>
      <c r="EE121" s="157" t="e">
        <f t="shared" si="3"/>
        <v>#DIV/0!</v>
      </c>
      <c r="EF121" s="157" t="e">
        <f t="shared" si="4"/>
        <v>#NUM!</v>
      </c>
    </row>
    <row r="122" spans="1:136" ht="14.25" customHeight="1">
      <c r="A122" s="291"/>
      <c r="B122" s="292"/>
      <c r="C122" s="355" t="s">
        <v>3597</v>
      </c>
      <c r="D122" s="345"/>
      <c r="E122" s="419"/>
      <c r="F122" s="420"/>
      <c r="G122" s="421"/>
      <c r="H122" s="420"/>
      <c r="I122" s="421"/>
      <c r="J122" s="420"/>
      <c r="K122" s="421"/>
      <c r="L122" s="420"/>
      <c r="M122" s="421"/>
      <c r="N122" s="420"/>
      <c r="O122" s="421"/>
      <c r="P122" s="422"/>
      <c r="Q122" s="373"/>
      <c r="R122" s="351" t="e">
        <f>IF('Inhaltliche Bewertung - GI'!RechtsformGI=H$13,H122*Q122,IF('Inhaltliche Bewertung - GI'!RechtsformGI=J$13,J122*Q122,IF('Inhaltliche Bewertung - GI'!RechtsformGI=L$13,L122*Q122,IF('Inhaltliche Bewertung - GI'!RechtsformGI=N$13,N122*Q122,IF('Inhaltliche Bewertung - GI'!RechtsformGI=F$13,F122*Q122,"")))))</f>
        <v>#N/A</v>
      </c>
      <c r="S122" s="351" t="e">
        <f>IF('Inhaltliche Bewertung - GI'!RechtsformAngebot=H$13,H122*Q122,IF('Inhaltliche Bewertung - GI'!RechtsformAngebot=J$13,J122*Q122,IF('Inhaltliche Bewertung - GI'!RechtsformAngebot=L$13,L122*Q122,IF('Inhaltliche Bewertung - GI'!RechtsformAngebot=N$13,N122*Q122,IF('Inhaltliche Bewertung - GI'!RechtsformAngebot=F$13,F122*Q122,"")))))</f>
        <v>#N/A</v>
      </c>
      <c r="T122" s="351"/>
      <c r="U122" s="419"/>
      <c r="V122" s="420"/>
      <c r="W122" s="423"/>
      <c r="X122" s="424"/>
      <c r="Y122" s="423"/>
      <c r="Z122" s="424"/>
      <c r="AA122" s="423"/>
      <c r="AB122" s="424"/>
      <c r="AC122" s="423"/>
      <c r="AD122" s="424"/>
      <c r="AE122" s="423"/>
      <c r="AF122" s="423"/>
      <c r="AG122" s="373"/>
      <c r="AH122" s="351" t="e">
        <f>IF('Inhaltliche Bewertung - GI'!RechtsformGI=X$13,X122*AG122,IF('Inhaltliche Bewertung - GI'!RechtsformGI=Z$13,Z122*AG122,IF('Inhaltliche Bewertung - GI'!RechtsformGI=AB$13,AB122*AG122,IF('Inhaltliche Bewertung - GI'!RechtsformGI=AD$13,AD122*AG122,IF('Inhaltliche Bewertung - GI'!RechtsformGI=V$13,V122*AG122,"")))))</f>
        <v>#N/A</v>
      </c>
      <c r="AI122" s="351" t="e">
        <f>IF('Inhaltliche Bewertung - GI'!RechtsformAngebot=X$13,X122*AG122,IF('Inhaltliche Bewertung - GI'!RechtsformAngebot=Z$13,Z122*AG122,IF('Inhaltliche Bewertung - GI'!RechtsformAngebot=AB$13,AB122*AG122,IF('Inhaltliche Bewertung - GI'!RechtsformAngebot=AD$13,AD122*AG122,IF('Inhaltliche Bewertung - GI'!RechtsformAngebot=V$13,V122*AG122,"")))))</f>
        <v>#N/A</v>
      </c>
      <c r="AJ122" s="351"/>
      <c r="AK122" s="419"/>
      <c r="AL122" s="420"/>
      <c r="AM122" s="421"/>
      <c r="AN122" s="420"/>
      <c r="AO122" s="421"/>
      <c r="AP122" s="420"/>
      <c r="AQ122" s="421"/>
      <c r="AR122" s="420"/>
      <c r="AS122" s="421"/>
      <c r="AT122" s="420"/>
      <c r="AU122" s="421"/>
      <c r="AV122" s="421"/>
      <c r="AW122" s="373"/>
      <c r="AX122" s="351" t="e">
        <f>IF('Inhaltliche Bewertung - GI'!RechtsformGI=AN$13,AN122*AW122,IF('Inhaltliche Bewertung - GI'!RechtsformGI=AP$13,AP122*AW122,IF('Inhaltliche Bewertung - GI'!RechtsformGI=AR$13,AR122*AW122,IF('Inhaltliche Bewertung - GI'!RechtsformGI=AT$13,AT122*AW122,IF('Inhaltliche Bewertung - GI'!RechtsformGI=AL$13,AL122*AW122,"")))))</f>
        <v>#N/A</v>
      </c>
      <c r="AY122" s="351" t="e">
        <f>IF('Inhaltliche Bewertung - GI'!RechtsformAngebot=AN$13,AN122*AW122,IF('Inhaltliche Bewertung - GI'!RechtsformAngebot=AP$13,AP122*AW122,IF('Inhaltliche Bewertung - GI'!RechtsformAngebot=AR$13,AR122*AW122,IF('Inhaltliche Bewertung - GI'!RechtsformAngebot=AT$13,AT122*AW122,IF('Inhaltliche Bewertung - GI'!RechtsformAngebot=AL$13,AL122*AW122,"")))))</f>
        <v>#N/A</v>
      </c>
      <c r="AZ122" s="351"/>
      <c r="BA122" s="419"/>
      <c r="BB122" s="425"/>
      <c r="BC122" s="421"/>
      <c r="BD122" s="425"/>
      <c r="BE122" s="421"/>
      <c r="BF122" s="425"/>
      <c r="BG122" s="421"/>
      <c r="BH122" s="425"/>
      <c r="BI122" s="421"/>
      <c r="BJ122" s="425"/>
      <c r="BK122" s="421"/>
      <c r="BL122" s="421"/>
      <c r="BM122" s="373"/>
      <c r="BN122" s="351" t="e">
        <f>IF('Inhaltliche Bewertung - GI'!RechtsformGI=BD$13,BD122*BM122,IF('Inhaltliche Bewertung - GI'!RechtsformGI=BF$13,BF122*BM122,IF('Inhaltliche Bewertung - GI'!RechtsformGI=BH$13,BH122*BM122,IF('Inhaltliche Bewertung - GI'!RechtsformGI=BJ$13,BJ122*BM122,IF('Inhaltliche Bewertung - GI'!RechtsformGI=BB$13,BB122*BM122,"")))))</f>
        <v>#N/A</v>
      </c>
      <c r="BO122" s="351" t="e">
        <f>IF('Inhaltliche Bewertung - GI'!RechtsformAngebot=BD$13,BD122*BM122,IF('Inhaltliche Bewertung - GI'!RechtsformAngebot=BF$13,BF122*BM122,IF('Inhaltliche Bewertung - GI'!RechtsformAngebot=BH$13,BH122*BM122,IF('Inhaltliche Bewertung - GI'!RechtsformAngebot=BJ$13,BJ122*BM122,IF('Inhaltliche Bewertung - GI'!RechtsformAngebot=BB$13,BB122*BM122,"")))))</f>
        <v>#N/A</v>
      </c>
      <c r="BP122" s="351"/>
      <c r="BQ122" s="419"/>
      <c r="BR122" s="426"/>
      <c r="BS122" s="427"/>
      <c r="BT122" s="426"/>
      <c r="BU122" s="427"/>
      <c r="BV122" s="426"/>
      <c r="BW122" s="427"/>
      <c r="BX122" s="426"/>
      <c r="BY122" s="427"/>
      <c r="BZ122" s="426"/>
      <c r="CA122" s="427"/>
      <c r="CB122" s="427"/>
      <c r="CC122" s="373"/>
      <c r="CD122" s="351" t="e">
        <f>IF('Inhaltliche Bewertung - GI'!RechtsformGI=BT$13,BT122*CC122,IF('Inhaltliche Bewertung - GI'!RechtsformGI=BV$13,BV122*CC122,IF('Inhaltliche Bewertung - GI'!RechtsformGI=BX$13,BX122*CC122,IF('Inhaltliche Bewertung - GI'!RechtsformGI=BZ$13,BZ122*CC122,IF('Inhaltliche Bewertung - GI'!RechtsformGI=BR$13,BR122*CC122,"")))))</f>
        <v>#N/A</v>
      </c>
      <c r="CE122" s="351" t="e">
        <f>IF('Inhaltliche Bewertung - GI'!RechtsformAngebot=BT$13,BT122*CC122,IF('Inhaltliche Bewertung - GI'!RechtsformAngebot=BV$13,BV122*CC122,IF('Inhaltliche Bewertung - GI'!RechtsformAngebot=BX$13,BX122*CC122,IF('Inhaltliche Bewertung - GI'!RechtsformAngebot=BZ$13,BZ122*CC122,IF('Inhaltliche Bewertung - GI'!RechtsformAngebot=BR$13,BR122*CC122,"")))))</f>
        <v>#N/A</v>
      </c>
      <c r="CF122" s="351"/>
      <c r="CG122" s="419"/>
      <c r="CH122" s="426"/>
      <c r="CI122" s="428"/>
      <c r="CJ122" s="426"/>
      <c r="CK122" s="428"/>
      <c r="CL122" s="426"/>
      <c r="CM122" s="428"/>
      <c r="CN122" s="426"/>
      <c r="CO122" s="428"/>
      <c r="CP122" s="426"/>
      <c r="CQ122" s="428"/>
      <c r="CR122" s="428"/>
      <c r="CS122" s="373"/>
      <c r="CT122" s="351" t="e">
        <f>IF('Inhaltliche Bewertung - GI'!RechtsformGI=CJ$13,CJ122*CS122,IF('Inhaltliche Bewertung - GI'!RechtsformGI=CL$13,CL122*CS122,IF('Inhaltliche Bewertung - GI'!RechtsformGI=CN$13,CN122*CS122,IF('Inhaltliche Bewertung - GI'!RechtsformGI=CP$13,CP122*CS122,IF('Inhaltliche Bewertung - GI'!RechtsformGI=CH$13,CH122*CS122,"")))))</f>
        <v>#N/A</v>
      </c>
      <c r="CU122" s="351" t="e">
        <f>IF('Inhaltliche Bewertung - GI'!RechtsformAngebot=CJ$13,CJ122*CS122,IF('Inhaltliche Bewertung - GI'!RechtsformAngebot=CL$13,CL122*CS122,IF('Inhaltliche Bewertung - GI'!RechtsformAngebot=CN$13,CN122*CS122,IF('Inhaltliche Bewertung - GI'!RechtsformAngebot=CP$13,CP122*CS122,IF('Inhaltliche Bewertung - GI'!RechtsformAngebot=CH$13,CH122*CS122,"")))))</f>
        <v>#N/A</v>
      </c>
      <c r="CV122" s="351"/>
      <c r="CW122" s="419"/>
      <c r="CX122" s="426"/>
      <c r="CY122" s="428"/>
      <c r="CZ122" s="429"/>
      <c r="DA122" s="430"/>
      <c r="DB122" s="426"/>
      <c r="DC122" s="428"/>
      <c r="DD122" s="426"/>
      <c r="DE122" s="428"/>
      <c r="DF122" s="426"/>
      <c r="DG122" s="428"/>
      <c r="DH122" s="428"/>
      <c r="DI122" s="373"/>
      <c r="DJ122" s="351" t="e">
        <f>IF('Inhaltliche Bewertung - GI'!RechtsformGI=CZ$13,CZ122*DI122,IF('Inhaltliche Bewertung - GI'!RechtsformGI=DB$13,DB122*DI122,IF('Inhaltliche Bewertung - GI'!RechtsformGI=DD$13,DD122*DI122,IF('Inhaltliche Bewertung - GI'!RechtsformGI=DF$13,DF122*DI122,IF('Inhaltliche Bewertung - GI'!RechtsformGI=CX$13,CX122*DI122,"")))))</f>
        <v>#N/A</v>
      </c>
      <c r="DK122" s="351" t="e">
        <f>IF('Inhaltliche Bewertung - GI'!RechtsformAngebot=CZ$13,CZ122*DI122,IF('Inhaltliche Bewertung - GI'!RechtsformAngebot=DB$13,DB122*DI122,IF('Inhaltliche Bewertung - GI'!RechtsformAngebot=DD$13,DD122*DI122,IF('Inhaltliche Bewertung - GI'!RechtsformAngebot=DF$13,DF122*DI122,IF('Inhaltliche Bewertung - GI'!RechtsformAngebot=CX$13,CX122*DI122,"")))))</f>
        <v>#N/A</v>
      </c>
      <c r="DL122" s="351"/>
      <c r="DM122" s="419"/>
      <c r="DN122" s="426"/>
      <c r="DO122" s="428"/>
      <c r="DP122" s="426"/>
      <c r="DQ122" s="428"/>
      <c r="DR122" s="426"/>
      <c r="DS122" s="428"/>
      <c r="DT122" s="426"/>
      <c r="DU122" s="428"/>
      <c r="DV122" s="426"/>
      <c r="DW122" s="428"/>
      <c r="DX122" s="428"/>
      <c r="DY122" s="373"/>
      <c r="DZ122" s="351" t="e">
        <f>IF('Inhaltliche Bewertung - GI'!RechtsformGI=DP$13,DP122*DY122,IF('Inhaltliche Bewertung - GI'!RechtsformGI=DR$13,DR122*DY122,IF('Inhaltliche Bewertung - GI'!RechtsformGI=DT$13,DT122*DY122,IF('Inhaltliche Bewertung - GI'!RechtsformGI=DV$13,DV122*DY122,IF('Inhaltliche Bewertung - GI'!RechtsformGI=DN$13,DN122*DY122,"")))))</f>
        <v>#N/A</v>
      </c>
      <c r="EA122" s="351" t="e">
        <f>IF('Inhaltliche Bewertung - GI'!RechtsformAngebot=DP$13,DP122*DY122,IF('Inhaltliche Bewertung - GI'!RechtsformAngebot=DR$13,DR122*DY122,IF('Inhaltliche Bewertung - GI'!RechtsformAngebot=DT$13,DT122*DY122,IF('Inhaltliche Bewertung - GI'!RechtsformAngebot=DV$13,DV122*DY122,IF('Inhaltliche Bewertung - GI'!RechtsformAngebot=DN$13,DN122*DY122,"")))))</f>
        <v>#N/A</v>
      </c>
      <c r="EB122" s="351"/>
      <c r="EC122" s="157">
        <f t="shared" si="1"/>
        <v>0</v>
      </c>
      <c r="ED122" s="157">
        <f t="shared" si="2"/>
        <v>0</v>
      </c>
      <c r="EE122" s="157" t="e">
        <f t="shared" si="3"/>
        <v>#DIV/0!</v>
      </c>
      <c r="EF122" s="157" t="e">
        <f t="shared" si="4"/>
        <v>#NUM!</v>
      </c>
    </row>
    <row r="123" spans="1:136" ht="14.25" customHeight="1">
      <c r="A123" s="291"/>
      <c r="B123" s="292"/>
      <c r="C123" s="355" t="s">
        <v>3598</v>
      </c>
      <c r="D123" s="345"/>
      <c r="E123" s="419"/>
      <c r="F123" s="431"/>
      <c r="G123" s="421"/>
      <c r="H123" s="431"/>
      <c r="I123" s="421"/>
      <c r="J123" s="431"/>
      <c r="K123" s="421"/>
      <c r="L123" s="431"/>
      <c r="M123" s="421"/>
      <c r="N123" s="431"/>
      <c r="O123" s="421"/>
      <c r="P123" s="422"/>
      <c r="Q123" s="373"/>
      <c r="R123" s="351" t="e">
        <f>IF('Inhaltliche Bewertung - GI'!RechtsformGI=H$13,H123*Q123,IF('Inhaltliche Bewertung - GI'!RechtsformGI=J$13,J123*Q123,IF('Inhaltliche Bewertung - GI'!RechtsformGI=L$13,L123*Q123,IF('Inhaltliche Bewertung - GI'!RechtsformGI=N$13,N123*Q123,IF('Inhaltliche Bewertung - GI'!RechtsformGI=F$13,F123*Q123,"")))))</f>
        <v>#N/A</v>
      </c>
      <c r="S123" s="351" t="e">
        <f>IF('Inhaltliche Bewertung - GI'!RechtsformAngebot=H$13,H123*Q123,IF('Inhaltliche Bewertung - GI'!RechtsformAngebot=J$13,J123*Q123,IF('Inhaltliche Bewertung - GI'!RechtsformAngebot=L$13,L123*Q123,IF('Inhaltliche Bewertung - GI'!RechtsformAngebot=N$13,N123*Q123,IF('Inhaltliche Bewertung - GI'!RechtsformAngebot=F$13,F123*Q123,"")))))</f>
        <v>#N/A</v>
      </c>
      <c r="T123" s="351"/>
      <c r="U123" s="419"/>
      <c r="V123" s="420"/>
      <c r="W123" s="423"/>
      <c r="X123" s="424"/>
      <c r="Y123" s="423"/>
      <c r="Z123" s="424"/>
      <c r="AA123" s="423"/>
      <c r="AB123" s="424"/>
      <c r="AC123" s="423"/>
      <c r="AD123" s="424"/>
      <c r="AE123" s="423"/>
      <c r="AF123" s="423"/>
      <c r="AG123" s="373"/>
      <c r="AH123" s="351" t="e">
        <f>IF('Inhaltliche Bewertung - GI'!RechtsformGI=X$13,X123*AG123,IF('Inhaltliche Bewertung - GI'!RechtsformGI=Z$13,Z123*AG123,IF('Inhaltliche Bewertung - GI'!RechtsformGI=AB$13,AB123*AG123,IF('Inhaltliche Bewertung - GI'!RechtsformGI=AD$13,AD123*AG123,IF('Inhaltliche Bewertung - GI'!RechtsformGI=V$13,V123*AG123,"")))))</f>
        <v>#N/A</v>
      </c>
      <c r="AI123" s="351" t="e">
        <f>IF('Inhaltliche Bewertung - GI'!RechtsformAngebot=X$13,X123*AG123,IF('Inhaltliche Bewertung - GI'!RechtsformAngebot=Z$13,Z123*AG123,IF('Inhaltliche Bewertung - GI'!RechtsformAngebot=AB$13,AB123*AG123,IF('Inhaltliche Bewertung - GI'!RechtsformAngebot=AD$13,AD123*AG123,IF('Inhaltliche Bewertung - GI'!RechtsformAngebot=V$13,V123*AG123,"")))))</f>
        <v>#N/A</v>
      </c>
      <c r="AJ123" s="351"/>
      <c r="AK123" s="419"/>
      <c r="AL123" s="420"/>
      <c r="AM123" s="421"/>
      <c r="AN123" s="420"/>
      <c r="AO123" s="421"/>
      <c r="AP123" s="420"/>
      <c r="AQ123" s="421"/>
      <c r="AR123" s="420"/>
      <c r="AS123" s="421"/>
      <c r="AT123" s="420"/>
      <c r="AU123" s="421"/>
      <c r="AV123" s="421"/>
      <c r="AW123" s="373"/>
      <c r="AX123" s="351" t="e">
        <f>IF('Inhaltliche Bewertung - GI'!RechtsformGI=AN$13,AN123*AW123,IF('Inhaltliche Bewertung - GI'!RechtsformGI=AP$13,AP123*AW123,IF('Inhaltliche Bewertung - GI'!RechtsformGI=AR$13,AR123*AW123,IF('Inhaltliche Bewertung - GI'!RechtsformGI=AT$13,AT123*AW123,IF('Inhaltliche Bewertung - GI'!RechtsformGI=AL$13,AL123*AW123,"")))))</f>
        <v>#N/A</v>
      </c>
      <c r="AY123" s="351" t="e">
        <f>IF('Inhaltliche Bewertung - GI'!RechtsformAngebot=AN$13,AN123*AW123,IF('Inhaltliche Bewertung - GI'!RechtsformAngebot=AP$13,AP123*AW123,IF('Inhaltliche Bewertung - GI'!RechtsformAngebot=AR$13,AR123*AW123,IF('Inhaltliche Bewertung - GI'!RechtsformAngebot=AT$13,AT123*AW123,IF('Inhaltliche Bewertung - GI'!RechtsformAngebot=AL$13,AL123*AW123,"")))))</f>
        <v>#N/A</v>
      </c>
      <c r="AZ123" s="351"/>
      <c r="BA123" s="419"/>
      <c r="BB123" s="425"/>
      <c r="BC123" s="421"/>
      <c r="BD123" s="425"/>
      <c r="BE123" s="421"/>
      <c r="BF123" s="425"/>
      <c r="BG123" s="421"/>
      <c r="BH123" s="425"/>
      <c r="BI123" s="421"/>
      <c r="BJ123" s="425"/>
      <c r="BK123" s="421"/>
      <c r="BL123" s="421"/>
      <c r="BM123" s="373"/>
      <c r="BN123" s="351" t="e">
        <f>IF('Inhaltliche Bewertung - GI'!RechtsformGI=BD$13,BD123*BM123,IF('Inhaltliche Bewertung - GI'!RechtsformGI=BF$13,BF123*BM123,IF('Inhaltliche Bewertung - GI'!RechtsformGI=BH$13,BH123*BM123,IF('Inhaltliche Bewertung - GI'!RechtsformGI=BJ$13,BJ123*BM123,IF('Inhaltliche Bewertung - GI'!RechtsformGI=BB$13,BB123*BM123,"")))))</f>
        <v>#N/A</v>
      </c>
      <c r="BO123" s="351" t="e">
        <f>IF('Inhaltliche Bewertung - GI'!RechtsformAngebot=BD$13,BD123*BM123,IF('Inhaltliche Bewertung - GI'!RechtsformAngebot=BF$13,BF123*BM123,IF('Inhaltliche Bewertung - GI'!RechtsformAngebot=BH$13,BH123*BM123,IF('Inhaltliche Bewertung - GI'!RechtsformAngebot=BJ$13,BJ123*BM123,IF('Inhaltliche Bewertung - GI'!RechtsformAngebot=BB$13,BB123*BM123,"")))))</f>
        <v>#N/A</v>
      </c>
      <c r="BP123" s="351"/>
      <c r="BQ123" s="419"/>
      <c r="BR123" s="426"/>
      <c r="BS123" s="427"/>
      <c r="BT123" s="426"/>
      <c r="BU123" s="427"/>
      <c r="BV123" s="426"/>
      <c r="BW123" s="427"/>
      <c r="BX123" s="426"/>
      <c r="BY123" s="427"/>
      <c r="BZ123" s="426"/>
      <c r="CA123" s="427"/>
      <c r="CB123" s="427"/>
      <c r="CC123" s="373"/>
      <c r="CD123" s="351" t="e">
        <f>IF('Inhaltliche Bewertung - GI'!RechtsformGI=BT$13,BT123*CC123,IF('Inhaltliche Bewertung - GI'!RechtsformGI=BV$13,BV123*CC123,IF('Inhaltliche Bewertung - GI'!RechtsformGI=BX$13,BX123*CC123,IF('Inhaltliche Bewertung - GI'!RechtsformGI=BZ$13,BZ123*CC123,IF('Inhaltliche Bewertung - GI'!RechtsformGI=BR$13,BR123*CC123,"")))))</f>
        <v>#N/A</v>
      </c>
      <c r="CE123" s="351" t="e">
        <f>IF('Inhaltliche Bewertung - GI'!RechtsformAngebot=BT$13,BT123*CC123,IF('Inhaltliche Bewertung - GI'!RechtsformAngebot=BV$13,BV123*CC123,IF('Inhaltliche Bewertung - GI'!RechtsformAngebot=BX$13,BX123*CC123,IF('Inhaltliche Bewertung - GI'!RechtsformAngebot=BZ$13,BZ123*CC123,IF('Inhaltliche Bewertung - GI'!RechtsformAngebot=BR$13,BR123*CC123,"")))))</f>
        <v>#N/A</v>
      </c>
      <c r="CF123" s="351"/>
      <c r="CG123" s="419"/>
      <c r="CH123" s="426"/>
      <c r="CI123" s="428"/>
      <c r="CJ123" s="426"/>
      <c r="CK123" s="428"/>
      <c r="CL123" s="426"/>
      <c r="CM123" s="428"/>
      <c r="CN123" s="426"/>
      <c r="CO123" s="428"/>
      <c r="CP123" s="426"/>
      <c r="CQ123" s="428"/>
      <c r="CR123" s="428"/>
      <c r="CS123" s="373"/>
      <c r="CT123" s="351" t="e">
        <f>IF('Inhaltliche Bewertung - GI'!RechtsformGI=CJ$13,CJ123*CS123,IF('Inhaltliche Bewertung - GI'!RechtsformGI=CL$13,CL123*CS123,IF('Inhaltliche Bewertung - GI'!RechtsformGI=CN$13,CN123*CS123,IF('Inhaltliche Bewertung - GI'!RechtsformGI=CP$13,CP123*CS123,IF('Inhaltliche Bewertung - GI'!RechtsformGI=CH$13,CH123*CS123,"")))))</f>
        <v>#N/A</v>
      </c>
      <c r="CU123" s="351" t="e">
        <f>IF('Inhaltliche Bewertung - GI'!RechtsformAngebot=CJ$13,CJ123*CS123,IF('Inhaltliche Bewertung - GI'!RechtsformAngebot=CL$13,CL123*CS123,IF('Inhaltliche Bewertung - GI'!RechtsformAngebot=CN$13,CN123*CS123,IF('Inhaltliche Bewertung - GI'!RechtsformAngebot=CP$13,CP123*CS123,IF('Inhaltliche Bewertung - GI'!RechtsformAngebot=CH$13,CH123*CS123,"")))))</f>
        <v>#N/A</v>
      </c>
      <c r="CV123" s="351"/>
      <c r="CW123" s="419"/>
      <c r="CX123" s="426"/>
      <c r="CY123" s="428"/>
      <c r="CZ123" s="429"/>
      <c r="DA123" s="430"/>
      <c r="DB123" s="426"/>
      <c r="DC123" s="428"/>
      <c r="DD123" s="426"/>
      <c r="DE123" s="428"/>
      <c r="DF123" s="426"/>
      <c r="DG123" s="428"/>
      <c r="DH123" s="428"/>
      <c r="DI123" s="373"/>
      <c r="DJ123" s="351" t="e">
        <f>IF('Inhaltliche Bewertung - GI'!RechtsformGI=CZ$13,CZ123*DI123,IF('Inhaltliche Bewertung - GI'!RechtsformGI=DB$13,DB123*DI123,IF('Inhaltliche Bewertung - GI'!RechtsformGI=DD$13,DD123*DI123,IF('Inhaltliche Bewertung - GI'!RechtsformGI=DF$13,DF123*DI123,IF('Inhaltliche Bewertung - GI'!RechtsformGI=CX$13,CX123*DI123,"")))))</f>
        <v>#N/A</v>
      </c>
      <c r="DK123" s="351" t="e">
        <f>IF('Inhaltliche Bewertung - GI'!RechtsformAngebot=CZ$13,CZ123*DI123,IF('Inhaltliche Bewertung - GI'!RechtsformAngebot=DB$13,DB123*DI123,IF('Inhaltliche Bewertung - GI'!RechtsformAngebot=DD$13,DD123*DI123,IF('Inhaltliche Bewertung - GI'!RechtsformAngebot=DF$13,DF123*DI123,IF('Inhaltliche Bewertung - GI'!RechtsformAngebot=CX$13,CX123*DI123,"")))))</f>
        <v>#N/A</v>
      </c>
      <c r="DL123" s="351"/>
      <c r="DM123" s="419"/>
      <c r="DN123" s="426"/>
      <c r="DO123" s="428"/>
      <c r="DP123" s="426"/>
      <c r="DQ123" s="428"/>
      <c r="DR123" s="426"/>
      <c r="DS123" s="428"/>
      <c r="DT123" s="426"/>
      <c r="DU123" s="428"/>
      <c r="DV123" s="426"/>
      <c r="DW123" s="428"/>
      <c r="DX123" s="428"/>
      <c r="DY123" s="373"/>
      <c r="DZ123" s="351" t="e">
        <f>IF('Inhaltliche Bewertung - GI'!RechtsformGI=DP$13,DP123*DY123,IF('Inhaltliche Bewertung - GI'!RechtsformGI=DR$13,DR123*DY123,IF('Inhaltliche Bewertung - GI'!RechtsformGI=DT$13,DT123*DY123,IF('Inhaltliche Bewertung - GI'!RechtsformGI=DV$13,DV123*DY123,IF('Inhaltliche Bewertung - GI'!RechtsformGI=DN$13,DN123*DY123,"")))))</f>
        <v>#N/A</v>
      </c>
      <c r="EA123" s="351" t="e">
        <f>IF('Inhaltliche Bewertung - GI'!RechtsformAngebot=DP$13,DP123*DY123,IF('Inhaltliche Bewertung - GI'!RechtsformAngebot=DR$13,DR123*DY123,IF('Inhaltliche Bewertung - GI'!RechtsformAngebot=DT$13,DT123*DY123,IF('Inhaltliche Bewertung - GI'!RechtsformAngebot=DV$13,DV123*DY123,IF('Inhaltliche Bewertung - GI'!RechtsformAngebot=DN$13,DN123*DY123,"")))))</f>
        <v>#N/A</v>
      </c>
      <c r="EB123" s="351"/>
      <c r="EC123" s="157">
        <f t="shared" si="1"/>
        <v>0</v>
      </c>
      <c r="ED123" s="157">
        <f t="shared" si="2"/>
        <v>0</v>
      </c>
      <c r="EE123" s="157" t="e">
        <f t="shared" si="3"/>
        <v>#DIV/0!</v>
      </c>
      <c r="EF123" s="157" t="e">
        <f t="shared" si="4"/>
        <v>#NUM!</v>
      </c>
    </row>
    <row r="124" spans="1:136" ht="14.25" customHeight="1">
      <c r="A124" s="291"/>
      <c r="B124" s="292"/>
      <c r="C124" s="355" t="s">
        <v>3599</v>
      </c>
      <c r="D124" s="345"/>
      <c r="E124" s="419"/>
      <c r="F124" s="431"/>
      <c r="G124" s="421"/>
      <c r="H124" s="431"/>
      <c r="I124" s="421"/>
      <c r="J124" s="431"/>
      <c r="K124" s="421"/>
      <c r="L124" s="431"/>
      <c r="M124" s="421"/>
      <c r="N124" s="431"/>
      <c r="O124" s="421"/>
      <c r="P124" s="422"/>
      <c r="Q124" s="373"/>
      <c r="R124" s="351" t="e">
        <f>IF('Inhaltliche Bewertung - GI'!RechtsformGI=H$13,H124*Q124,IF('Inhaltliche Bewertung - GI'!RechtsformGI=J$13,J124*Q124,IF('Inhaltliche Bewertung - GI'!RechtsformGI=L$13,L124*Q124,IF('Inhaltliche Bewertung - GI'!RechtsformGI=N$13,N124*Q124,IF('Inhaltliche Bewertung - GI'!RechtsformGI=F$13,F124*Q124,"")))))</f>
        <v>#N/A</v>
      </c>
      <c r="S124" s="351" t="e">
        <f>IF('Inhaltliche Bewertung - GI'!RechtsformAngebot=H$13,H124*Q124,IF('Inhaltliche Bewertung - GI'!RechtsformAngebot=J$13,J124*Q124,IF('Inhaltliche Bewertung - GI'!RechtsformAngebot=L$13,L124*Q124,IF('Inhaltliche Bewertung - GI'!RechtsformAngebot=N$13,N124*Q124,IF('Inhaltliche Bewertung - GI'!RechtsformAngebot=F$13,F124*Q124,"")))))</f>
        <v>#N/A</v>
      </c>
      <c r="T124" s="351"/>
      <c r="U124" s="419"/>
      <c r="V124" s="420"/>
      <c r="W124" s="423"/>
      <c r="X124" s="424"/>
      <c r="Y124" s="423"/>
      <c r="Z124" s="424"/>
      <c r="AA124" s="423"/>
      <c r="AB124" s="424"/>
      <c r="AC124" s="423"/>
      <c r="AD124" s="424"/>
      <c r="AE124" s="423"/>
      <c r="AF124" s="423"/>
      <c r="AG124" s="373"/>
      <c r="AH124" s="351" t="e">
        <f>IF('Inhaltliche Bewertung - GI'!RechtsformGI=X$13,X124*AG124,IF('Inhaltliche Bewertung - GI'!RechtsformGI=Z$13,Z124*AG124,IF('Inhaltliche Bewertung - GI'!RechtsformGI=AB$13,AB124*AG124,IF('Inhaltliche Bewertung - GI'!RechtsformGI=AD$13,AD124*AG124,IF('Inhaltliche Bewertung - GI'!RechtsformGI=V$13,V124*AG124,"")))))</f>
        <v>#N/A</v>
      </c>
      <c r="AI124" s="351" t="e">
        <f>IF('Inhaltliche Bewertung - GI'!RechtsformAngebot=X$13,X124*AG124,IF('Inhaltliche Bewertung - GI'!RechtsformAngebot=Z$13,Z124*AG124,IF('Inhaltliche Bewertung - GI'!RechtsformAngebot=AB$13,AB124*AG124,IF('Inhaltliche Bewertung - GI'!RechtsformAngebot=AD$13,AD124*AG124,IF('Inhaltliche Bewertung - GI'!RechtsformAngebot=V$13,V124*AG124,"")))))</f>
        <v>#N/A</v>
      </c>
      <c r="AJ124" s="351"/>
      <c r="AK124" s="419"/>
      <c r="AL124" s="420"/>
      <c r="AM124" s="421"/>
      <c r="AN124" s="420"/>
      <c r="AO124" s="421"/>
      <c r="AP124" s="420"/>
      <c r="AQ124" s="421"/>
      <c r="AR124" s="420"/>
      <c r="AS124" s="421"/>
      <c r="AT124" s="420"/>
      <c r="AU124" s="421"/>
      <c r="AV124" s="421"/>
      <c r="AW124" s="373"/>
      <c r="AX124" s="351" t="e">
        <f>IF('Inhaltliche Bewertung - GI'!RechtsformGI=AN$13,AN124*AW124,IF('Inhaltliche Bewertung - GI'!RechtsformGI=AP$13,AP124*AW124,IF('Inhaltliche Bewertung - GI'!RechtsformGI=AR$13,AR124*AW124,IF('Inhaltliche Bewertung - GI'!RechtsformGI=AT$13,AT124*AW124,IF('Inhaltliche Bewertung - GI'!RechtsformGI=AL$13,AL124*AW124,"")))))</f>
        <v>#N/A</v>
      </c>
      <c r="AY124" s="351" t="e">
        <f>IF('Inhaltliche Bewertung - GI'!RechtsformAngebot=AN$13,AN124*AW124,IF('Inhaltliche Bewertung - GI'!RechtsformAngebot=AP$13,AP124*AW124,IF('Inhaltliche Bewertung - GI'!RechtsformAngebot=AR$13,AR124*AW124,IF('Inhaltliche Bewertung - GI'!RechtsformAngebot=AT$13,AT124*AW124,IF('Inhaltliche Bewertung - GI'!RechtsformAngebot=AL$13,AL124*AW124,"")))))</f>
        <v>#N/A</v>
      </c>
      <c r="AZ124" s="351"/>
      <c r="BA124" s="419"/>
      <c r="BB124" s="425"/>
      <c r="BC124" s="421"/>
      <c r="BD124" s="425"/>
      <c r="BE124" s="421"/>
      <c r="BF124" s="425"/>
      <c r="BG124" s="421"/>
      <c r="BH124" s="425"/>
      <c r="BI124" s="421"/>
      <c r="BJ124" s="425"/>
      <c r="BK124" s="421"/>
      <c r="BL124" s="421"/>
      <c r="BM124" s="373"/>
      <c r="BN124" s="351" t="e">
        <f>IF('Inhaltliche Bewertung - GI'!RechtsformGI=BD$13,BD124*BM124,IF('Inhaltliche Bewertung - GI'!RechtsformGI=BF$13,BF124*BM124,IF('Inhaltliche Bewertung - GI'!RechtsformGI=BH$13,BH124*BM124,IF('Inhaltliche Bewertung - GI'!RechtsformGI=BJ$13,BJ124*BM124,IF('Inhaltliche Bewertung - GI'!RechtsformGI=BB$13,BB124*BM124,"")))))</f>
        <v>#N/A</v>
      </c>
      <c r="BO124" s="351" t="e">
        <f>IF('Inhaltliche Bewertung - GI'!RechtsformAngebot=BD$13,BD124*BM124,IF('Inhaltliche Bewertung - GI'!RechtsformAngebot=BF$13,BF124*BM124,IF('Inhaltliche Bewertung - GI'!RechtsformAngebot=BH$13,BH124*BM124,IF('Inhaltliche Bewertung - GI'!RechtsformAngebot=BJ$13,BJ124*BM124,IF('Inhaltliche Bewertung - GI'!RechtsformAngebot=BB$13,BB124*BM124,"")))))</f>
        <v>#N/A</v>
      </c>
      <c r="BP124" s="351"/>
      <c r="BQ124" s="419"/>
      <c r="BR124" s="426"/>
      <c r="BS124" s="427"/>
      <c r="BT124" s="426"/>
      <c r="BU124" s="427"/>
      <c r="BV124" s="426"/>
      <c r="BW124" s="427"/>
      <c r="BX124" s="426"/>
      <c r="BY124" s="427"/>
      <c r="BZ124" s="426"/>
      <c r="CA124" s="427"/>
      <c r="CB124" s="427"/>
      <c r="CC124" s="373"/>
      <c r="CD124" s="351" t="e">
        <f>IF('Inhaltliche Bewertung - GI'!RechtsformGI=BT$13,BT124*CC124,IF('Inhaltliche Bewertung - GI'!RechtsformGI=BV$13,BV124*CC124,IF('Inhaltliche Bewertung - GI'!RechtsformGI=BX$13,BX124*CC124,IF('Inhaltliche Bewertung - GI'!RechtsformGI=BZ$13,BZ124*CC124,IF('Inhaltliche Bewertung - GI'!RechtsformGI=BR$13,BR124*CC124,"")))))</f>
        <v>#N/A</v>
      </c>
      <c r="CE124" s="351" t="e">
        <f>IF('Inhaltliche Bewertung - GI'!RechtsformAngebot=BT$13,BT124*CC124,IF('Inhaltliche Bewertung - GI'!RechtsformAngebot=BV$13,BV124*CC124,IF('Inhaltliche Bewertung - GI'!RechtsformAngebot=BX$13,BX124*CC124,IF('Inhaltliche Bewertung - GI'!RechtsformAngebot=BZ$13,BZ124*CC124,IF('Inhaltliche Bewertung - GI'!RechtsformAngebot=BR$13,BR124*CC124,"")))))</f>
        <v>#N/A</v>
      </c>
      <c r="CF124" s="351"/>
      <c r="CG124" s="419"/>
      <c r="CH124" s="426"/>
      <c r="CI124" s="428"/>
      <c r="CJ124" s="426"/>
      <c r="CK124" s="428"/>
      <c r="CL124" s="426"/>
      <c r="CM124" s="428"/>
      <c r="CN124" s="426"/>
      <c r="CO124" s="428"/>
      <c r="CP124" s="426"/>
      <c r="CQ124" s="428"/>
      <c r="CR124" s="428"/>
      <c r="CS124" s="373"/>
      <c r="CT124" s="351" t="e">
        <f>IF('Inhaltliche Bewertung - GI'!RechtsformGI=CJ$13,CJ124*CS124,IF('Inhaltliche Bewertung - GI'!RechtsformGI=CL$13,CL124*CS124,IF('Inhaltliche Bewertung - GI'!RechtsformGI=CN$13,CN124*CS124,IF('Inhaltliche Bewertung - GI'!RechtsformGI=CP$13,CP124*CS124,IF('Inhaltliche Bewertung - GI'!RechtsformGI=CH$13,CH124*CS124,"")))))</f>
        <v>#N/A</v>
      </c>
      <c r="CU124" s="351" t="e">
        <f>IF('Inhaltliche Bewertung - GI'!RechtsformAngebot=CJ$13,CJ124*CS124,IF('Inhaltliche Bewertung - GI'!RechtsformAngebot=CL$13,CL124*CS124,IF('Inhaltliche Bewertung - GI'!RechtsformAngebot=CN$13,CN124*CS124,IF('Inhaltliche Bewertung - GI'!RechtsformAngebot=CP$13,CP124*CS124,IF('Inhaltliche Bewertung - GI'!RechtsformAngebot=CH$13,CH124*CS124,"")))))</f>
        <v>#N/A</v>
      </c>
      <c r="CV124" s="351"/>
      <c r="CW124" s="419"/>
      <c r="CX124" s="426"/>
      <c r="CY124" s="428"/>
      <c r="CZ124" s="429"/>
      <c r="DA124" s="430"/>
      <c r="DB124" s="426"/>
      <c r="DC124" s="428"/>
      <c r="DD124" s="426"/>
      <c r="DE124" s="428"/>
      <c r="DF124" s="426"/>
      <c r="DG124" s="428"/>
      <c r="DH124" s="428"/>
      <c r="DI124" s="373"/>
      <c r="DJ124" s="351" t="e">
        <f>IF('Inhaltliche Bewertung - GI'!RechtsformGI=CZ$13,CZ124*DI124,IF('Inhaltliche Bewertung - GI'!RechtsformGI=DB$13,DB124*DI124,IF('Inhaltliche Bewertung - GI'!RechtsformGI=DD$13,DD124*DI124,IF('Inhaltliche Bewertung - GI'!RechtsformGI=DF$13,DF124*DI124,IF('Inhaltliche Bewertung - GI'!RechtsformGI=CX$13,CX124*DI124,"")))))</f>
        <v>#N/A</v>
      </c>
      <c r="DK124" s="351" t="e">
        <f>IF('Inhaltliche Bewertung - GI'!RechtsformAngebot=CZ$13,CZ124*DI124,IF('Inhaltliche Bewertung - GI'!RechtsformAngebot=DB$13,DB124*DI124,IF('Inhaltliche Bewertung - GI'!RechtsformAngebot=DD$13,DD124*DI124,IF('Inhaltliche Bewertung - GI'!RechtsformAngebot=DF$13,DF124*DI124,IF('Inhaltliche Bewertung - GI'!RechtsformAngebot=CX$13,CX124*DI124,"")))))</f>
        <v>#N/A</v>
      </c>
      <c r="DL124" s="351"/>
      <c r="DM124" s="419"/>
      <c r="DN124" s="426"/>
      <c r="DO124" s="428"/>
      <c r="DP124" s="426"/>
      <c r="DQ124" s="428"/>
      <c r="DR124" s="426"/>
      <c r="DS124" s="428"/>
      <c r="DT124" s="426"/>
      <c r="DU124" s="428"/>
      <c r="DV124" s="426"/>
      <c r="DW124" s="428"/>
      <c r="DX124" s="428"/>
      <c r="DY124" s="373"/>
      <c r="DZ124" s="351" t="e">
        <f>IF('Inhaltliche Bewertung - GI'!RechtsformGI=DP$13,DP124*DY124,IF('Inhaltliche Bewertung - GI'!RechtsformGI=DR$13,DR124*DY124,IF('Inhaltliche Bewertung - GI'!RechtsformGI=DT$13,DT124*DY124,IF('Inhaltliche Bewertung - GI'!RechtsformGI=DV$13,DV124*DY124,IF('Inhaltliche Bewertung - GI'!RechtsformGI=DN$13,DN124*DY124,"")))))</f>
        <v>#N/A</v>
      </c>
      <c r="EA124" s="351" t="e">
        <f>IF('Inhaltliche Bewertung - GI'!RechtsformAngebot=DP$13,DP124*DY124,IF('Inhaltliche Bewertung - GI'!RechtsformAngebot=DR$13,DR124*DY124,IF('Inhaltliche Bewertung - GI'!RechtsformAngebot=DT$13,DT124*DY124,IF('Inhaltliche Bewertung - GI'!RechtsformAngebot=DV$13,DV124*DY124,IF('Inhaltliche Bewertung - GI'!RechtsformAngebot=DN$13,DN124*DY124,"")))))</f>
        <v>#N/A</v>
      </c>
      <c r="EB124" s="351"/>
      <c r="EC124" s="157">
        <f t="shared" si="1"/>
        <v>0</v>
      </c>
      <c r="ED124" s="157">
        <f t="shared" si="2"/>
        <v>0</v>
      </c>
      <c r="EE124" s="157" t="e">
        <f t="shared" si="3"/>
        <v>#DIV/0!</v>
      </c>
      <c r="EF124" s="157" t="e">
        <f t="shared" si="4"/>
        <v>#NUM!</v>
      </c>
    </row>
    <row r="125" spans="1:136" ht="14.25" customHeight="1">
      <c r="A125" s="291"/>
      <c r="B125" s="292"/>
      <c r="C125" s="432"/>
      <c r="D125" s="293"/>
      <c r="E125" s="419"/>
      <c r="F125" s="431"/>
      <c r="G125" s="421"/>
      <c r="H125" s="431"/>
      <c r="I125" s="421"/>
      <c r="J125" s="431"/>
      <c r="K125" s="421"/>
      <c r="L125" s="431"/>
      <c r="M125" s="421"/>
      <c r="N125" s="431"/>
      <c r="O125" s="421"/>
      <c r="P125" s="422"/>
      <c r="Q125" s="373"/>
      <c r="R125" s="433"/>
      <c r="S125" s="433"/>
      <c r="T125" s="433"/>
      <c r="U125" s="419"/>
      <c r="V125" s="420"/>
      <c r="W125" s="423"/>
      <c r="X125" s="424"/>
      <c r="Y125" s="423"/>
      <c r="Z125" s="424"/>
      <c r="AA125" s="423"/>
      <c r="AB125" s="424"/>
      <c r="AC125" s="423"/>
      <c r="AD125" s="424"/>
      <c r="AE125" s="423"/>
      <c r="AF125" s="423"/>
      <c r="AG125" s="373"/>
      <c r="AH125" s="433"/>
      <c r="AI125" s="433"/>
      <c r="AJ125" s="433"/>
      <c r="AK125" s="419"/>
      <c r="AL125" s="434"/>
      <c r="AM125" s="422"/>
      <c r="AN125" s="435"/>
      <c r="AO125" s="435"/>
      <c r="AP125" s="435"/>
      <c r="AQ125" s="435"/>
      <c r="AR125" s="435"/>
      <c r="AS125" s="435"/>
      <c r="AT125" s="435"/>
      <c r="AU125" s="435"/>
      <c r="AV125" s="434"/>
      <c r="AW125" s="373"/>
      <c r="AX125" s="433"/>
      <c r="AY125" s="433"/>
      <c r="AZ125" s="433"/>
      <c r="BA125" s="419"/>
      <c r="BB125" s="434"/>
      <c r="BC125" s="435"/>
      <c r="BD125" s="435"/>
      <c r="BE125" s="435"/>
      <c r="BF125" s="435"/>
      <c r="BG125" s="435"/>
      <c r="BH125" s="435"/>
      <c r="BI125" s="435"/>
      <c r="BJ125" s="435"/>
      <c r="BK125" s="435"/>
      <c r="BL125" s="434"/>
      <c r="BM125" s="373"/>
      <c r="BN125" s="433"/>
      <c r="BO125" s="433"/>
      <c r="BP125" s="433"/>
      <c r="BQ125" s="419"/>
      <c r="BR125" s="434"/>
      <c r="BS125" s="435"/>
      <c r="BT125" s="435"/>
      <c r="BU125" s="435"/>
      <c r="BV125" s="435"/>
      <c r="BW125" s="435"/>
      <c r="BX125" s="435"/>
      <c r="BY125" s="435"/>
      <c r="BZ125" s="435"/>
      <c r="CA125" s="435"/>
      <c r="CB125" s="434"/>
      <c r="CC125" s="373"/>
      <c r="CD125" s="433"/>
      <c r="CE125" s="433"/>
      <c r="CF125" s="433"/>
      <c r="CG125" s="419"/>
      <c r="CH125" s="434"/>
      <c r="CI125" s="435"/>
      <c r="CJ125" s="435"/>
      <c r="CK125" s="435"/>
      <c r="CL125" s="435"/>
      <c r="CM125" s="435"/>
      <c r="CN125" s="435"/>
      <c r="CO125" s="435"/>
      <c r="CP125" s="435"/>
      <c r="CQ125" s="435"/>
      <c r="CR125" s="434"/>
      <c r="CS125" s="373"/>
      <c r="CT125" s="433"/>
      <c r="CU125" s="433"/>
      <c r="CV125" s="433"/>
      <c r="CW125" s="419"/>
      <c r="CX125" s="434"/>
      <c r="CY125" s="435"/>
      <c r="CZ125" s="435"/>
      <c r="DA125" s="435"/>
      <c r="DB125" s="435"/>
      <c r="DC125" s="435"/>
      <c r="DD125" s="435"/>
      <c r="DE125" s="435"/>
      <c r="DF125" s="435"/>
      <c r="DG125" s="435"/>
      <c r="DH125" s="434"/>
      <c r="DI125" s="373"/>
      <c r="DJ125" s="433"/>
      <c r="DK125" s="433"/>
      <c r="DL125" s="433"/>
      <c r="DM125" s="419"/>
      <c r="DN125" s="434"/>
      <c r="DO125" s="435"/>
      <c r="DP125" s="435"/>
      <c r="DQ125" s="435"/>
      <c r="DR125" s="435"/>
      <c r="DS125" s="435"/>
      <c r="DT125" s="435"/>
      <c r="DU125" s="435"/>
      <c r="DV125" s="435"/>
      <c r="DW125" s="435"/>
      <c r="DX125" s="435"/>
      <c r="DY125" s="373"/>
      <c r="DZ125" s="433"/>
      <c r="EA125" s="433"/>
      <c r="EB125" s="433"/>
    </row>
    <row r="126" spans="1:136" ht="14.25" customHeight="1">
      <c r="A126" s="291"/>
      <c r="B126" s="292"/>
      <c r="C126" s="432"/>
      <c r="D126" s="293"/>
      <c r="E126" s="419"/>
      <c r="F126" s="435"/>
      <c r="G126" s="435"/>
      <c r="H126" s="435"/>
      <c r="I126" s="435"/>
      <c r="J126" s="435"/>
      <c r="K126" s="435"/>
      <c r="L126" s="435"/>
      <c r="M126" s="434"/>
      <c r="N126" s="435"/>
      <c r="O126" s="435"/>
      <c r="P126" s="434"/>
      <c r="Q126" s="373"/>
      <c r="R126" s="433"/>
      <c r="S126" s="433"/>
      <c r="T126" s="433"/>
      <c r="U126" s="419"/>
      <c r="V126" s="434"/>
      <c r="W126" s="435"/>
      <c r="X126" s="435"/>
      <c r="Y126" s="435"/>
      <c r="Z126" s="435"/>
      <c r="AA126" s="435"/>
      <c r="AB126" s="435"/>
      <c r="AC126" s="435"/>
      <c r="AD126" s="435"/>
      <c r="AE126" s="435"/>
      <c r="AF126" s="434"/>
      <c r="AG126" s="373"/>
      <c r="AH126" s="433"/>
      <c r="AI126" s="433"/>
      <c r="AJ126" s="433"/>
      <c r="AK126" s="419"/>
      <c r="AL126" s="434"/>
      <c r="AM126" s="435"/>
      <c r="AN126" s="435"/>
      <c r="AO126" s="435"/>
      <c r="AP126" s="435"/>
      <c r="AQ126" s="435"/>
      <c r="AR126" s="435"/>
      <c r="AS126" s="435"/>
      <c r="AT126" s="435"/>
      <c r="AU126" s="435"/>
      <c r="AV126" s="434"/>
      <c r="AW126" s="373"/>
      <c r="AX126" s="433"/>
      <c r="AY126" s="433"/>
      <c r="AZ126" s="433"/>
      <c r="BA126" s="419"/>
      <c r="BB126" s="434"/>
      <c r="BC126" s="435"/>
      <c r="BD126" s="435"/>
      <c r="BE126" s="435"/>
      <c r="BF126" s="435"/>
      <c r="BG126" s="435"/>
      <c r="BH126" s="435"/>
      <c r="BI126" s="435"/>
      <c r="BJ126" s="435"/>
      <c r="BK126" s="435"/>
      <c r="BL126" s="434"/>
      <c r="BM126" s="373"/>
      <c r="BN126" s="433"/>
      <c r="BO126" s="433"/>
      <c r="BP126" s="433"/>
      <c r="BQ126" s="419"/>
      <c r="BR126" s="434"/>
      <c r="BS126" s="435"/>
      <c r="BT126" s="435"/>
      <c r="BU126" s="435"/>
      <c r="BV126" s="435"/>
      <c r="BW126" s="435"/>
      <c r="BX126" s="435"/>
      <c r="BY126" s="435"/>
      <c r="BZ126" s="435"/>
      <c r="CA126" s="435"/>
      <c r="CB126" s="434"/>
      <c r="CC126" s="373"/>
      <c r="CD126" s="433"/>
      <c r="CE126" s="433"/>
      <c r="CF126" s="433"/>
      <c r="CG126" s="419"/>
      <c r="CH126" s="434"/>
      <c r="CI126" s="435"/>
      <c r="CJ126" s="435"/>
      <c r="CK126" s="435"/>
      <c r="CL126" s="435"/>
      <c r="CM126" s="435"/>
      <c r="CN126" s="435"/>
      <c r="CO126" s="435"/>
      <c r="CP126" s="435"/>
      <c r="CQ126" s="435"/>
      <c r="CR126" s="434"/>
      <c r="CS126" s="373"/>
      <c r="CT126" s="433"/>
      <c r="CU126" s="433"/>
      <c r="CV126" s="433"/>
      <c r="CW126" s="419"/>
      <c r="CX126" s="434"/>
      <c r="CY126" s="435"/>
      <c r="CZ126" s="435"/>
      <c r="DA126" s="435"/>
      <c r="DB126" s="435"/>
      <c r="DC126" s="435"/>
      <c r="DD126" s="435"/>
      <c r="DE126" s="435"/>
      <c r="DF126" s="435"/>
      <c r="DG126" s="435"/>
      <c r="DH126" s="434"/>
      <c r="DI126" s="373"/>
      <c r="DJ126" s="433"/>
      <c r="DK126" s="433"/>
      <c r="DL126" s="433"/>
      <c r="DM126" s="419"/>
      <c r="DN126" s="434"/>
      <c r="DO126" s="435"/>
      <c r="DP126" s="435"/>
      <c r="DQ126" s="435"/>
      <c r="DR126" s="435"/>
      <c r="DS126" s="435"/>
      <c r="DT126" s="435"/>
      <c r="DU126" s="435"/>
      <c r="DV126" s="435"/>
      <c r="DW126" s="435"/>
      <c r="DX126" s="434"/>
      <c r="DY126" s="373"/>
      <c r="DZ126" s="433"/>
      <c r="EA126" s="433"/>
      <c r="EB126" s="433"/>
    </row>
    <row r="127" spans="1:136" ht="14.25" customHeight="1">
      <c r="A127" s="291"/>
      <c r="B127" s="292"/>
      <c r="C127" s="432"/>
      <c r="D127" s="293"/>
      <c r="E127" s="419"/>
      <c r="F127" s="435"/>
      <c r="G127" s="435"/>
      <c r="H127" s="435"/>
      <c r="I127" s="435"/>
      <c r="J127" s="435"/>
      <c r="K127" s="435"/>
      <c r="L127" s="435"/>
      <c r="M127" s="434"/>
      <c r="N127" s="435"/>
      <c r="O127" s="435"/>
      <c r="P127" s="434"/>
      <c r="Q127" s="373"/>
      <c r="R127" s="433"/>
      <c r="S127" s="433"/>
      <c r="T127" s="433"/>
      <c r="U127" s="419"/>
      <c r="V127" s="434"/>
      <c r="W127" s="435"/>
      <c r="X127" s="435"/>
      <c r="Y127" s="435"/>
      <c r="Z127" s="435"/>
      <c r="AA127" s="435"/>
      <c r="AB127" s="435"/>
      <c r="AC127" s="435"/>
      <c r="AD127" s="435"/>
      <c r="AE127" s="435"/>
      <c r="AF127" s="434"/>
      <c r="AG127" s="373"/>
      <c r="AH127" s="433"/>
      <c r="AI127" s="433"/>
      <c r="AJ127" s="433"/>
      <c r="AK127" s="419"/>
      <c r="AL127" s="434"/>
      <c r="AM127" s="435"/>
      <c r="AN127" s="435"/>
      <c r="AO127" s="435"/>
      <c r="AP127" s="435"/>
      <c r="AQ127" s="435"/>
      <c r="AR127" s="435"/>
      <c r="AS127" s="435"/>
      <c r="AT127" s="435"/>
      <c r="AU127" s="435"/>
      <c r="AV127" s="434"/>
      <c r="AW127" s="373"/>
      <c r="AX127" s="433"/>
      <c r="AY127" s="433"/>
      <c r="AZ127" s="433"/>
      <c r="BA127" s="419"/>
      <c r="BB127" s="434"/>
      <c r="BC127" s="435"/>
      <c r="BD127" s="435"/>
      <c r="BE127" s="435"/>
      <c r="BF127" s="435"/>
      <c r="BG127" s="435"/>
      <c r="BH127" s="435"/>
      <c r="BI127" s="435"/>
      <c r="BJ127" s="435"/>
      <c r="BK127" s="435"/>
      <c r="BL127" s="434"/>
      <c r="BM127" s="373"/>
      <c r="BN127" s="433"/>
      <c r="BO127" s="433"/>
      <c r="BP127" s="433"/>
      <c r="BQ127" s="419"/>
      <c r="BR127" s="434"/>
      <c r="BS127" s="435"/>
      <c r="BT127" s="435"/>
      <c r="BU127" s="435"/>
      <c r="BV127" s="435"/>
      <c r="BW127" s="435"/>
      <c r="BX127" s="435"/>
      <c r="BY127" s="435"/>
      <c r="BZ127" s="435"/>
      <c r="CA127" s="435"/>
      <c r="CB127" s="434"/>
      <c r="CC127" s="373"/>
      <c r="CD127" s="433"/>
      <c r="CE127" s="433"/>
      <c r="CF127" s="433"/>
      <c r="CG127" s="419"/>
      <c r="CH127" s="434"/>
      <c r="CI127" s="435"/>
      <c r="CJ127" s="435"/>
      <c r="CK127" s="435"/>
      <c r="CL127" s="435"/>
      <c r="CM127" s="435"/>
      <c r="CN127" s="435"/>
      <c r="CO127" s="435"/>
      <c r="CP127" s="435"/>
      <c r="CQ127" s="435"/>
      <c r="CR127" s="434"/>
      <c r="CS127" s="373"/>
      <c r="CT127" s="433"/>
      <c r="CU127" s="433"/>
      <c r="CV127" s="433"/>
      <c r="CW127" s="419"/>
      <c r="CX127" s="434"/>
      <c r="CY127" s="435"/>
      <c r="CZ127" s="435"/>
      <c r="DA127" s="435"/>
      <c r="DB127" s="435"/>
      <c r="DC127" s="435"/>
      <c r="DD127" s="435"/>
      <c r="DE127" s="435"/>
      <c r="DF127" s="435"/>
      <c r="DG127" s="435"/>
      <c r="DH127" s="434"/>
      <c r="DI127" s="373"/>
      <c r="DJ127" s="433"/>
      <c r="DK127" s="433"/>
      <c r="DL127" s="433"/>
      <c r="DM127" s="419"/>
      <c r="DN127" s="434"/>
      <c r="DO127" s="435"/>
      <c r="DP127" s="435"/>
      <c r="DQ127" s="435"/>
      <c r="DR127" s="435"/>
      <c r="DS127" s="435"/>
      <c r="DT127" s="435"/>
      <c r="DU127" s="435"/>
      <c r="DV127" s="435"/>
      <c r="DW127" s="435"/>
      <c r="DX127" s="434"/>
      <c r="DY127" s="373"/>
      <c r="DZ127" s="433"/>
      <c r="EA127" s="433"/>
      <c r="EB127" s="433"/>
    </row>
    <row r="128" spans="1:136" ht="14.25" customHeight="1">
      <c r="A128" s="152"/>
      <c r="C128" s="289"/>
      <c r="D128" s="289"/>
      <c r="E128" s="189"/>
      <c r="P128" s="436"/>
      <c r="Q128" s="437"/>
      <c r="R128" s="108"/>
      <c r="S128" s="108"/>
      <c r="T128" s="108"/>
      <c r="U128" s="189"/>
      <c r="AF128" s="436"/>
      <c r="AG128" s="437"/>
      <c r="AH128" s="108"/>
      <c r="AI128" s="108"/>
      <c r="AJ128" s="108"/>
      <c r="AK128" s="189"/>
      <c r="AV128" s="436"/>
      <c r="AW128" s="437"/>
      <c r="AX128" s="108"/>
      <c r="AY128" s="108"/>
      <c r="AZ128" s="108"/>
      <c r="BA128" s="189"/>
      <c r="BL128" s="436"/>
      <c r="BM128" s="437"/>
      <c r="BN128" s="108"/>
      <c r="BO128" s="108"/>
      <c r="BP128" s="108"/>
      <c r="BQ128" s="189"/>
      <c r="CB128" s="436"/>
      <c r="CC128" s="437"/>
      <c r="CD128" s="108"/>
      <c r="CE128" s="108"/>
      <c r="CF128" s="108"/>
      <c r="CG128" s="189"/>
      <c r="CR128" s="436"/>
      <c r="CS128" s="437"/>
      <c r="CT128" s="108"/>
      <c r="CU128" s="108"/>
      <c r="CV128" s="108"/>
      <c r="CW128" s="189"/>
      <c r="DH128" s="436"/>
      <c r="DI128" s="437"/>
      <c r="DJ128" s="108"/>
      <c r="DK128" s="108"/>
      <c r="DL128" s="108"/>
      <c r="DM128" s="189"/>
      <c r="DN128" s="436"/>
      <c r="DX128" s="436"/>
      <c r="DY128" s="437"/>
      <c r="DZ128" s="108"/>
      <c r="EA128" s="108"/>
      <c r="EB128" s="108"/>
    </row>
    <row r="129" spans="1:132" ht="14.25" customHeight="1">
      <c r="A129" s="152"/>
      <c r="C129" s="289"/>
      <c r="D129" s="289"/>
      <c r="E129" s="189"/>
      <c r="P129" s="436"/>
      <c r="Q129" s="437"/>
      <c r="R129" s="108"/>
      <c r="S129" s="108"/>
      <c r="T129" s="108"/>
      <c r="U129" s="189"/>
      <c r="AF129" s="436"/>
      <c r="AG129" s="437"/>
      <c r="AH129" s="108"/>
      <c r="AI129" s="108"/>
      <c r="AJ129" s="108"/>
      <c r="AK129" s="189"/>
      <c r="AV129" s="436"/>
      <c r="AW129" s="437"/>
      <c r="AX129" s="108"/>
      <c r="AY129" s="108"/>
      <c r="AZ129" s="108"/>
      <c r="BA129" s="189"/>
      <c r="BL129" s="436"/>
      <c r="BM129" s="437"/>
      <c r="BN129" s="108"/>
      <c r="BO129" s="108"/>
      <c r="BP129" s="108"/>
      <c r="BQ129" s="189"/>
      <c r="CB129" s="436"/>
      <c r="CC129" s="437"/>
      <c r="CD129" s="108"/>
      <c r="CE129" s="108"/>
      <c r="CF129" s="108"/>
      <c r="CG129" s="189"/>
      <c r="CR129" s="436"/>
      <c r="CS129" s="437"/>
      <c r="CT129" s="108"/>
      <c r="CU129" s="108"/>
      <c r="CV129" s="108"/>
      <c r="CW129" s="189"/>
      <c r="DH129" s="436"/>
      <c r="DI129" s="437"/>
      <c r="DJ129" s="108"/>
      <c r="DK129" s="108"/>
      <c r="DL129" s="108"/>
      <c r="DM129" s="189"/>
      <c r="DN129" s="436"/>
      <c r="DX129" s="436"/>
      <c r="DY129" s="437"/>
      <c r="DZ129" s="108"/>
      <c r="EA129" s="108"/>
      <c r="EB129" s="108"/>
    </row>
    <row r="130" spans="1:132" ht="14.25" customHeight="1">
      <c r="A130" s="152"/>
      <c r="C130" s="289"/>
      <c r="D130" s="289"/>
      <c r="E130" s="189"/>
      <c r="P130" s="436"/>
      <c r="Q130" s="437"/>
      <c r="R130" s="108"/>
      <c r="S130" s="108"/>
      <c r="T130" s="108"/>
      <c r="U130" s="189"/>
      <c r="AF130" s="436"/>
      <c r="AG130" s="437"/>
      <c r="AH130" s="108"/>
      <c r="AI130" s="108"/>
      <c r="AJ130" s="108"/>
      <c r="AK130" s="189"/>
      <c r="AV130" s="436"/>
      <c r="AW130" s="437"/>
      <c r="AX130" s="108"/>
      <c r="AY130" s="108"/>
      <c r="AZ130" s="108"/>
      <c r="BA130" s="189"/>
      <c r="BL130" s="436"/>
      <c r="BM130" s="437"/>
      <c r="BN130" s="108"/>
      <c r="BO130" s="108"/>
      <c r="BP130" s="108"/>
      <c r="BQ130" s="189"/>
      <c r="CB130" s="436"/>
      <c r="CC130" s="437"/>
      <c r="CD130" s="108"/>
      <c r="CE130" s="108"/>
      <c r="CF130" s="108"/>
      <c r="CG130" s="189"/>
      <c r="CR130" s="436"/>
      <c r="CS130" s="437"/>
      <c r="CT130" s="108"/>
      <c r="CU130" s="108"/>
      <c r="CV130" s="108"/>
      <c r="CW130" s="189"/>
      <c r="DH130" s="436"/>
      <c r="DI130" s="437"/>
      <c r="DJ130" s="108"/>
      <c r="DK130" s="108"/>
      <c r="DL130" s="108"/>
      <c r="DM130" s="189"/>
      <c r="DN130" s="436"/>
      <c r="DX130" s="436"/>
      <c r="DY130" s="437"/>
      <c r="DZ130" s="108"/>
      <c r="EA130" s="108"/>
      <c r="EB130" s="108"/>
    </row>
    <row r="131" spans="1:132" ht="14.25" customHeight="1">
      <c r="A131" s="152"/>
      <c r="C131" s="289"/>
      <c r="D131" s="289"/>
      <c r="E131" s="189"/>
      <c r="P131" s="436"/>
      <c r="Q131" s="437"/>
      <c r="R131" s="108"/>
      <c r="S131" s="108"/>
      <c r="T131" s="108"/>
      <c r="U131" s="189"/>
      <c r="AF131" s="436"/>
      <c r="AG131" s="437"/>
      <c r="AH131" s="108"/>
      <c r="AI131" s="108"/>
      <c r="AJ131" s="108"/>
      <c r="AK131" s="189"/>
      <c r="AV131" s="436"/>
      <c r="AW131" s="437"/>
      <c r="AX131" s="108"/>
      <c r="AY131" s="108"/>
      <c r="AZ131" s="108"/>
      <c r="BA131" s="189"/>
      <c r="BL131" s="436"/>
      <c r="BM131" s="437"/>
      <c r="BN131" s="108"/>
      <c r="BO131" s="108"/>
      <c r="BP131" s="108"/>
      <c r="BQ131" s="189"/>
      <c r="CB131" s="436"/>
      <c r="CC131" s="437"/>
      <c r="CD131" s="108"/>
      <c r="CE131" s="108"/>
      <c r="CF131" s="108"/>
      <c r="CG131" s="189"/>
      <c r="CR131" s="436"/>
      <c r="CS131" s="437"/>
      <c r="CT131" s="108"/>
      <c r="CU131" s="108"/>
      <c r="CV131" s="108"/>
      <c r="CW131" s="189"/>
      <c r="DH131" s="436"/>
      <c r="DI131" s="437"/>
      <c r="DJ131" s="108"/>
      <c r="DK131" s="108"/>
      <c r="DL131" s="108"/>
      <c r="DM131" s="189"/>
      <c r="DN131" s="436"/>
      <c r="DX131" s="436"/>
      <c r="DY131" s="437"/>
      <c r="DZ131" s="108"/>
      <c r="EA131" s="108"/>
      <c r="EB131" s="108"/>
    </row>
    <row r="132" spans="1:132" ht="14.25" customHeight="1">
      <c r="A132" s="152"/>
      <c r="C132" s="289"/>
      <c r="D132" s="289"/>
      <c r="E132" s="189"/>
      <c r="P132" s="436"/>
      <c r="Q132" s="437"/>
      <c r="R132" s="108"/>
      <c r="S132" s="108"/>
      <c r="T132" s="108"/>
      <c r="U132" s="189"/>
      <c r="AF132" s="436"/>
      <c r="AG132" s="437"/>
      <c r="AH132" s="108"/>
      <c r="AI132" s="108"/>
      <c r="AJ132" s="108"/>
      <c r="AK132" s="189"/>
      <c r="AV132" s="436"/>
      <c r="AW132" s="437"/>
      <c r="AX132" s="108"/>
      <c r="AY132" s="108"/>
      <c r="AZ132" s="108"/>
      <c r="BA132" s="189"/>
      <c r="BL132" s="436"/>
      <c r="BM132" s="437"/>
      <c r="BN132" s="108"/>
      <c r="BO132" s="108"/>
      <c r="BP132" s="108"/>
      <c r="BQ132" s="189"/>
      <c r="CB132" s="436"/>
      <c r="CC132" s="437"/>
      <c r="CD132" s="108"/>
      <c r="CE132" s="108"/>
      <c r="CF132" s="108"/>
      <c r="CG132" s="189"/>
      <c r="CR132" s="436"/>
      <c r="CS132" s="437"/>
      <c r="CT132" s="108"/>
      <c r="CU132" s="108"/>
      <c r="CV132" s="108"/>
      <c r="CW132" s="189"/>
      <c r="DH132" s="436"/>
      <c r="DI132" s="437"/>
      <c r="DJ132" s="108"/>
      <c r="DK132" s="108"/>
      <c r="DL132" s="108"/>
      <c r="DM132" s="189"/>
      <c r="DN132" s="436"/>
      <c r="DX132" s="436"/>
      <c r="DY132" s="437"/>
      <c r="DZ132" s="108"/>
      <c r="EA132" s="108"/>
      <c r="EB132" s="108"/>
    </row>
    <row r="133" spans="1:132" ht="14.25" customHeight="1">
      <c r="A133" s="152"/>
      <c r="C133" s="289"/>
      <c r="D133" s="289"/>
      <c r="E133" s="189"/>
      <c r="P133" s="436"/>
      <c r="Q133" s="437"/>
      <c r="R133" s="108"/>
      <c r="S133" s="108"/>
      <c r="T133" s="108"/>
      <c r="U133" s="189"/>
      <c r="AF133" s="436"/>
      <c r="AG133" s="437"/>
      <c r="AH133" s="108"/>
      <c r="AI133" s="108"/>
      <c r="AJ133" s="108"/>
      <c r="AK133" s="189"/>
      <c r="AV133" s="436"/>
      <c r="AW133" s="437"/>
      <c r="AX133" s="108"/>
      <c r="AY133" s="108"/>
      <c r="AZ133" s="108"/>
      <c r="BA133" s="189"/>
      <c r="BL133" s="436"/>
      <c r="BM133" s="437"/>
      <c r="BN133" s="108"/>
      <c r="BO133" s="108"/>
      <c r="BP133" s="108"/>
      <c r="BQ133" s="189"/>
      <c r="CB133" s="436"/>
      <c r="CC133" s="437"/>
      <c r="CD133" s="108"/>
      <c r="CE133" s="108"/>
      <c r="CF133" s="108"/>
      <c r="CG133" s="189"/>
      <c r="CR133" s="436"/>
      <c r="CS133" s="437"/>
      <c r="CT133" s="108"/>
      <c r="CU133" s="108"/>
      <c r="CV133" s="108"/>
      <c r="CW133" s="189"/>
      <c r="DH133" s="436"/>
      <c r="DI133" s="437"/>
      <c r="DJ133" s="108"/>
      <c r="DK133" s="108"/>
      <c r="DL133" s="108"/>
      <c r="DM133" s="189"/>
      <c r="DN133" s="436"/>
      <c r="DX133" s="436"/>
      <c r="DY133" s="437"/>
      <c r="DZ133" s="108"/>
      <c r="EA133" s="108"/>
      <c r="EB133" s="108"/>
    </row>
    <row r="134" spans="1:132" ht="14.25" customHeight="1">
      <c r="A134" s="152"/>
      <c r="C134" s="289"/>
      <c r="D134" s="289"/>
      <c r="E134" s="189"/>
      <c r="P134" s="436"/>
      <c r="Q134" s="437"/>
      <c r="R134" s="108"/>
      <c r="S134" s="108"/>
      <c r="T134" s="108"/>
      <c r="U134" s="189"/>
      <c r="AF134" s="436"/>
      <c r="AG134" s="437"/>
      <c r="AH134" s="108"/>
      <c r="AI134" s="108"/>
      <c r="AJ134" s="108"/>
      <c r="AK134" s="189"/>
      <c r="AV134" s="436"/>
      <c r="AW134" s="437"/>
      <c r="AX134" s="108"/>
      <c r="AY134" s="108"/>
      <c r="AZ134" s="108"/>
      <c r="BA134" s="189"/>
      <c r="BL134" s="436"/>
      <c r="BM134" s="437"/>
      <c r="BN134" s="108"/>
      <c r="BO134" s="108"/>
      <c r="BP134" s="108"/>
      <c r="BQ134" s="189"/>
      <c r="CB134" s="436"/>
      <c r="CC134" s="437"/>
      <c r="CD134" s="108"/>
      <c r="CE134" s="108"/>
      <c r="CF134" s="108"/>
      <c r="CG134" s="189"/>
      <c r="CR134" s="436"/>
      <c r="CS134" s="437"/>
      <c r="CT134" s="108"/>
      <c r="CU134" s="108"/>
      <c r="CV134" s="108"/>
      <c r="CW134" s="189"/>
      <c r="DH134" s="436"/>
      <c r="DI134" s="437"/>
      <c r="DJ134" s="108"/>
      <c r="DK134" s="108"/>
      <c r="DL134" s="108"/>
      <c r="DM134" s="189"/>
      <c r="DN134" s="436"/>
      <c r="DX134" s="436"/>
      <c r="DY134" s="437"/>
      <c r="DZ134" s="108"/>
      <c r="EA134" s="108"/>
      <c r="EB134" s="108"/>
    </row>
    <row r="135" spans="1:132" ht="14.25" customHeight="1">
      <c r="A135" s="152"/>
      <c r="C135" s="289"/>
      <c r="D135" s="289"/>
      <c r="E135" s="189"/>
      <c r="P135" s="436"/>
      <c r="Q135" s="437"/>
      <c r="R135" s="108"/>
      <c r="S135" s="108"/>
      <c r="T135" s="108"/>
      <c r="U135" s="189"/>
      <c r="AF135" s="436"/>
      <c r="AG135" s="437"/>
      <c r="AH135" s="108"/>
      <c r="AI135" s="108"/>
      <c r="AJ135" s="108"/>
      <c r="AK135" s="189"/>
      <c r="AV135" s="436"/>
      <c r="AW135" s="437"/>
      <c r="AX135" s="108"/>
      <c r="AY135" s="108"/>
      <c r="AZ135" s="108"/>
      <c r="BA135" s="189"/>
      <c r="BL135" s="436"/>
      <c r="BM135" s="437"/>
      <c r="BN135" s="108"/>
      <c r="BO135" s="108"/>
      <c r="BP135" s="108"/>
      <c r="BQ135" s="189"/>
      <c r="CB135" s="436"/>
      <c r="CC135" s="437"/>
      <c r="CD135" s="108"/>
      <c r="CE135" s="108"/>
      <c r="CF135" s="108"/>
      <c r="CG135" s="189"/>
      <c r="CR135" s="436"/>
      <c r="CS135" s="437"/>
      <c r="CT135" s="108"/>
      <c r="CU135" s="108"/>
      <c r="CV135" s="108"/>
      <c r="CW135" s="189"/>
      <c r="DH135" s="436"/>
      <c r="DI135" s="437"/>
      <c r="DJ135" s="108"/>
      <c r="DK135" s="108"/>
      <c r="DL135" s="108"/>
      <c r="DM135" s="189"/>
      <c r="DN135" s="436"/>
      <c r="DX135" s="436"/>
      <c r="DY135" s="437"/>
      <c r="DZ135" s="108"/>
      <c r="EA135" s="108"/>
      <c r="EB135" s="108"/>
    </row>
    <row r="136" spans="1:132" ht="14.25" customHeight="1">
      <c r="A136" s="152"/>
      <c r="C136" s="289"/>
      <c r="D136" s="289"/>
      <c r="E136" s="189"/>
      <c r="P136" s="436"/>
      <c r="Q136" s="437"/>
      <c r="R136" s="108"/>
      <c r="S136" s="108"/>
      <c r="T136" s="108"/>
      <c r="U136" s="189"/>
      <c r="AF136" s="436"/>
      <c r="AG136" s="437"/>
      <c r="AH136" s="108"/>
      <c r="AI136" s="108"/>
      <c r="AJ136" s="108"/>
      <c r="AK136" s="189"/>
      <c r="AV136" s="436"/>
      <c r="AW136" s="437"/>
      <c r="AX136" s="108"/>
      <c r="AY136" s="108"/>
      <c r="AZ136" s="108"/>
      <c r="BA136" s="189"/>
      <c r="BL136" s="436"/>
      <c r="BM136" s="437"/>
      <c r="BN136" s="108"/>
      <c r="BO136" s="108"/>
      <c r="BP136" s="108"/>
      <c r="BQ136" s="189"/>
      <c r="CB136" s="436"/>
      <c r="CC136" s="437"/>
      <c r="CD136" s="108"/>
      <c r="CE136" s="108"/>
      <c r="CF136" s="108"/>
      <c r="CG136" s="189"/>
      <c r="CR136" s="436"/>
      <c r="CS136" s="437"/>
      <c r="CT136" s="108"/>
      <c r="CU136" s="108"/>
      <c r="CV136" s="108"/>
      <c r="CW136" s="189"/>
      <c r="DH136" s="436"/>
      <c r="DI136" s="437"/>
      <c r="DJ136" s="108"/>
      <c r="DK136" s="108"/>
      <c r="DL136" s="108"/>
      <c r="DM136" s="189"/>
      <c r="DN136" s="436"/>
      <c r="DX136" s="436"/>
      <c r="DY136" s="437"/>
      <c r="DZ136" s="108"/>
      <c r="EA136" s="108"/>
      <c r="EB136" s="108"/>
    </row>
    <row r="137" spans="1:132" ht="14.25" customHeight="1">
      <c r="A137" s="152"/>
      <c r="C137" s="289"/>
      <c r="D137" s="289"/>
      <c r="E137" s="189"/>
      <c r="P137" s="436"/>
      <c r="Q137" s="437"/>
      <c r="R137" s="108"/>
      <c r="S137" s="108"/>
      <c r="T137" s="108"/>
      <c r="U137" s="189"/>
      <c r="AF137" s="436"/>
      <c r="AG137" s="437"/>
      <c r="AH137" s="108"/>
      <c r="AI137" s="108"/>
      <c r="AJ137" s="108"/>
      <c r="AK137" s="189"/>
      <c r="AV137" s="436"/>
      <c r="AW137" s="437"/>
      <c r="AX137" s="108"/>
      <c r="AY137" s="108"/>
      <c r="AZ137" s="108"/>
      <c r="BA137" s="189"/>
      <c r="BL137" s="436"/>
      <c r="BM137" s="437"/>
      <c r="BN137" s="108"/>
      <c r="BO137" s="108"/>
      <c r="BP137" s="108"/>
      <c r="BQ137" s="189"/>
      <c r="CB137" s="436"/>
      <c r="CC137" s="437"/>
      <c r="CD137" s="108"/>
      <c r="CE137" s="108"/>
      <c r="CF137" s="108"/>
      <c r="CG137" s="189"/>
      <c r="CR137" s="436"/>
      <c r="CS137" s="437"/>
      <c r="CT137" s="108"/>
      <c r="CU137" s="108"/>
      <c r="CV137" s="108"/>
      <c r="CW137" s="189"/>
      <c r="DH137" s="436"/>
      <c r="DI137" s="437"/>
      <c r="DJ137" s="108"/>
      <c r="DK137" s="108"/>
      <c r="DL137" s="108"/>
      <c r="DM137" s="189"/>
      <c r="DN137" s="436"/>
      <c r="DX137" s="436"/>
      <c r="DY137" s="437"/>
      <c r="DZ137" s="108"/>
      <c r="EA137" s="108"/>
      <c r="EB137" s="108"/>
    </row>
    <row r="138" spans="1:132" ht="14.25" customHeight="1">
      <c r="A138" s="152"/>
      <c r="C138" s="289"/>
      <c r="D138" s="289"/>
      <c r="E138" s="189"/>
      <c r="P138" s="436"/>
      <c r="Q138" s="437"/>
      <c r="R138" s="108"/>
      <c r="S138" s="108"/>
      <c r="T138" s="108"/>
      <c r="U138" s="189"/>
      <c r="AF138" s="436"/>
      <c r="AG138" s="437"/>
      <c r="AH138" s="108"/>
      <c r="AI138" s="108"/>
      <c r="AJ138" s="108"/>
      <c r="AK138" s="189"/>
      <c r="AV138" s="436"/>
      <c r="AW138" s="437"/>
      <c r="AX138" s="108"/>
      <c r="AY138" s="108"/>
      <c r="AZ138" s="108"/>
      <c r="BA138" s="189"/>
      <c r="BL138" s="436"/>
      <c r="BM138" s="437"/>
      <c r="BN138" s="108"/>
      <c r="BO138" s="108"/>
      <c r="BP138" s="108"/>
      <c r="BQ138" s="189"/>
      <c r="CB138" s="436"/>
      <c r="CC138" s="437"/>
      <c r="CD138" s="108"/>
      <c r="CE138" s="108"/>
      <c r="CF138" s="108"/>
      <c r="CG138" s="189"/>
      <c r="CR138" s="436"/>
      <c r="CS138" s="437"/>
      <c r="CT138" s="108"/>
      <c r="CU138" s="108"/>
      <c r="CV138" s="108"/>
      <c r="CW138" s="189"/>
      <c r="DH138" s="436"/>
      <c r="DI138" s="437"/>
      <c r="DJ138" s="108"/>
      <c r="DK138" s="108"/>
      <c r="DL138" s="108"/>
      <c r="DM138" s="189"/>
      <c r="DN138" s="436"/>
      <c r="DX138" s="436"/>
      <c r="DY138" s="437"/>
      <c r="DZ138" s="108"/>
      <c r="EA138" s="108"/>
      <c r="EB138" s="108"/>
    </row>
    <row r="139" spans="1:132" ht="14.25" customHeight="1">
      <c r="A139" s="152"/>
      <c r="C139" s="289"/>
      <c r="D139" s="289"/>
      <c r="E139" s="189"/>
      <c r="P139" s="436"/>
      <c r="Q139" s="437"/>
      <c r="R139" s="108"/>
      <c r="S139" s="108"/>
      <c r="T139" s="108"/>
      <c r="U139" s="189"/>
      <c r="AF139" s="436"/>
      <c r="AG139" s="437"/>
      <c r="AH139" s="108"/>
      <c r="AI139" s="108"/>
      <c r="AJ139" s="108"/>
      <c r="AK139" s="189"/>
      <c r="AV139" s="436"/>
      <c r="AW139" s="437"/>
      <c r="AX139" s="108"/>
      <c r="AY139" s="108"/>
      <c r="AZ139" s="108"/>
      <c r="BA139" s="189"/>
      <c r="BL139" s="436"/>
      <c r="BM139" s="437"/>
      <c r="BN139" s="108"/>
      <c r="BO139" s="108"/>
      <c r="BP139" s="108"/>
      <c r="BQ139" s="189"/>
      <c r="CB139" s="436"/>
      <c r="CC139" s="437"/>
      <c r="CD139" s="108"/>
      <c r="CE139" s="108"/>
      <c r="CF139" s="108"/>
      <c r="CG139" s="189"/>
      <c r="CR139" s="436"/>
      <c r="CS139" s="437"/>
      <c r="CT139" s="108"/>
      <c r="CU139" s="108"/>
      <c r="CV139" s="108"/>
      <c r="CW139" s="189"/>
      <c r="DH139" s="436"/>
      <c r="DI139" s="437"/>
      <c r="DJ139" s="108"/>
      <c r="DK139" s="108"/>
      <c r="DL139" s="108"/>
      <c r="DM139" s="189"/>
      <c r="DN139" s="436"/>
      <c r="DX139" s="436"/>
      <c r="DY139" s="437"/>
      <c r="DZ139" s="108"/>
      <c r="EA139" s="108"/>
      <c r="EB139" s="108"/>
    </row>
    <row r="140" spans="1:132" ht="14.25" customHeight="1">
      <c r="A140" s="152"/>
      <c r="C140" s="289"/>
      <c r="D140" s="289"/>
      <c r="E140" s="189"/>
      <c r="P140" s="436"/>
      <c r="Q140" s="437"/>
      <c r="R140" s="108"/>
      <c r="S140" s="108"/>
      <c r="T140" s="108"/>
      <c r="U140" s="189"/>
      <c r="AF140" s="436"/>
      <c r="AG140" s="437"/>
      <c r="AH140" s="108"/>
      <c r="AI140" s="108"/>
      <c r="AJ140" s="108"/>
      <c r="AK140" s="189"/>
      <c r="AV140" s="436"/>
      <c r="AW140" s="437"/>
      <c r="AX140" s="108"/>
      <c r="AY140" s="108"/>
      <c r="AZ140" s="108"/>
      <c r="BA140" s="189"/>
      <c r="BL140" s="436"/>
      <c r="BM140" s="437"/>
      <c r="BN140" s="108"/>
      <c r="BO140" s="108"/>
      <c r="BP140" s="108"/>
      <c r="BQ140" s="189"/>
      <c r="CB140" s="436"/>
      <c r="CC140" s="437"/>
      <c r="CD140" s="108"/>
      <c r="CE140" s="108"/>
      <c r="CF140" s="108"/>
      <c r="CG140" s="189"/>
      <c r="CR140" s="436"/>
      <c r="CS140" s="437"/>
      <c r="CT140" s="108"/>
      <c r="CU140" s="108"/>
      <c r="CV140" s="108"/>
      <c r="CW140" s="189"/>
      <c r="DH140" s="436"/>
      <c r="DI140" s="437"/>
      <c r="DJ140" s="108"/>
      <c r="DK140" s="108"/>
      <c r="DL140" s="108"/>
      <c r="DM140" s="189"/>
      <c r="DN140" s="436"/>
      <c r="DX140" s="436"/>
      <c r="DY140" s="437"/>
      <c r="DZ140" s="108"/>
      <c r="EA140" s="108"/>
      <c r="EB140" s="108"/>
    </row>
    <row r="141" spans="1:132" ht="14.25" customHeight="1">
      <c r="A141" s="152"/>
      <c r="C141" s="289"/>
      <c r="D141" s="289"/>
      <c r="E141" s="189"/>
      <c r="P141" s="436"/>
      <c r="Q141" s="437"/>
      <c r="R141" s="108"/>
      <c r="S141" s="108"/>
      <c r="T141" s="108"/>
      <c r="U141" s="189"/>
      <c r="AF141" s="436"/>
      <c r="AG141" s="437"/>
      <c r="AH141" s="108"/>
      <c r="AI141" s="108"/>
      <c r="AJ141" s="108"/>
      <c r="AK141" s="189"/>
      <c r="AV141" s="436"/>
      <c r="AW141" s="437"/>
      <c r="AX141" s="108"/>
      <c r="AY141" s="108"/>
      <c r="AZ141" s="108"/>
      <c r="BA141" s="189"/>
      <c r="BL141" s="436"/>
      <c r="BM141" s="437"/>
      <c r="BN141" s="108"/>
      <c r="BO141" s="108"/>
      <c r="BP141" s="108"/>
      <c r="BQ141" s="189"/>
      <c r="CB141" s="436"/>
      <c r="CC141" s="437"/>
      <c r="CD141" s="108"/>
      <c r="CE141" s="108"/>
      <c r="CF141" s="108"/>
      <c r="CG141" s="189"/>
      <c r="CR141" s="436"/>
      <c r="CS141" s="437"/>
      <c r="CT141" s="108"/>
      <c r="CU141" s="108"/>
      <c r="CV141" s="108"/>
      <c r="CW141" s="189"/>
      <c r="DH141" s="436"/>
      <c r="DI141" s="437"/>
      <c r="DJ141" s="108"/>
      <c r="DK141" s="108"/>
      <c r="DL141" s="108"/>
      <c r="DM141" s="189"/>
      <c r="DN141" s="436"/>
      <c r="DX141" s="436"/>
      <c r="DY141" s="437"/>
      <c r="DZ141" s="108"/>
      <c r="EA141" s="108"/>
      <c r="EB141" s="108"/>
    </row>
    <row r="142" spans="1:132" ht="14.25" customHeight="1">
      <c r="A142" s="152"/>
      <c r="C142" s="289"/>
      <c r="D142" s="289"/>
      <c r="E142" s="189"/>
      <c r="P142" s="436"/>
      <c r="Q142" s="437"/>
      <c r="R142" s="108"/>
      <c r="S142" s="108"/>
      <c r="T142" s="108"/>
      <c r="U142" s="189"/>
      <c r="AF142" s="436"/>
      <c r="AG142" s="437"/>
      <c r="AH142" s="108"/>
      <c r="AI142" s="108"/>
      <c r="AJ142" s="108"/>
      <c r="AK142" s="189"/>
      <c r="AV142" s="436"/>
      <c r="AW142" s="437"/>
      <c r="AX142" s="108"/>
      <c r="AY142" s="108"/>
      <c r="AZ142" s="108"/>
      <c r="BA142" s="189"/>
      <c r="BL142" s="436"/>
      <c r="BM142" s="437"/>
      <c r="BN142" s="108"/>
      <c r="BO142" s="108"/>
      <c r="BP142" s="108"/>
      <c r="BQ142" s="189"/>
      <c r="CB142" s="436"/>
      <c r="CC142" s="437"/>
      <c r="CD142" s="108"/>
      <c r="CE142" s="108"/>
      <c r="CF142" s="108"/>
      <c r="CG142" s="189"/>
      <c r="CR142" s="436"/>
      <c r="CS142" s="437"/>
      <c r="CT142" s="108"/>
      <c r="CU142" s="108"/>
      <c r="CV142" s="108"/>
      <c r="CW142" s="189"/>
      <c r="DH142" s="436"/>
      <c r="DI142" s="437"/>
      <c r="DJ142" s="108"/>
      <c r="DK142" s="108"/>
      <c r="DL142" s="108"/>
      <c r="DM142" s="189"/>
      <c r="DN142" s="436"/>
      <c r="DX142" s="436"/>
      <c r="DY142" s="437"/>
      <c r="DZ142" s="108"/>
      <c r="EA142" s="108"/>
      <c r="EB142" s="108"/>
    </row>
    <row r="143" spans="1:132" ht="14.25" customHeight="1">
      <c r="A143" s="152"/>
      <c r="C143" s="289"/>
      <c r="D143" s="289"/>
      <c r="E143" s="189"/>
      <c r="P143" s="436"/>
      <c r="Q143" s="437"/>
      <c r="R143" s="108"/>
      <c r="S143" s="108"/>
      <c r="T143" s="108"/>
      <c r="U143" s="189"/>
      <c r="AF143" s="436"/>
      <c r="AG143" s="437"/>
      <c r="AH143" s="108"/>
      <c r="AI143" s="108"/>
      <c r="AJ143" s="108"/>
      <c r="AK143" s="189"/>
      <c r="AV143" s="436"/>
      <c r="AW143" s="437"/>
      <c r="AX143" s="108"/>
      <c r="AY143" s="108"/>
      <c r="AZ143" s="108"/>
      <c r="BA143" s="189"/>
      <c r="BL143" s="436"/>
      <c r="BM143" s="437"/>
      <c r="BN143" s="108"/>
      <c r="BO143" s="108"/>
      <c r="BP143" s="108"/>
      <c r="BQ143" s="189"/>
      <c r="CB143" s="436"/>
      <c r="CC143" s="437"/>
      <c r="CD143" s="108"/>
      <c r="CE143" s="108"/>
      <c r="CF143" s="108"/>
      <c r="CG143" s="189"/>
      <c r="CR143" s="436"/>
      <c r="CS143" s="437"/>
      <c r="CT143" s="108"/>
      <c r="CU143" s="108"/>
      <c r="CV143" s="108"/>
      <c r="CW143" s="189"/>
      <c r="DH143" s="436"/>
      <c r="DI143" s="437"/>
      <c r="DJ143" s="108"/>
      <c r="DK143" s="108"/>
      <c r="DL143" s="108"/>
      <c r="DM143" s="189"/>
      <c r="DN143" s="436"/>
      <c r="DX143" s="436"/>
      <c r="DY143" s="437"/>
      <c r="DZ143" s="108"/>
      <c r="EA143" s="108"/>
      <c r="EB143" s="108"/>
    </row>
    <row r="144" spans="1:132" ht="14.25" customHeight="1">
      <c r="A144" s="152"/>
      <c r="C144" s="289"/>
      <c r="D144" s="289"/>
      <c r="E144" s="189"/>
      <c r="P144" s="436"/>
      <c r="Q144" s="437"/>
      <c r="R144" s="108"/>
      <c r="S144" s="108"/>
      <c r="T144" s="108"/>
      <c r="U144" s="189"/>
      <c r="AF144" s="436"/>
      <c r="AG144" s="437"/>
      <c r="AH144" s="108"/>
      <c r="AI144" s="108"/>
      <c r="AJ144" s="108"/>
      <c r="AK144" s="189"/>
      <c r="AV144" s="436"/>
      <c r="AW144" s="437"/>
      <c r="AX144" s="108"/>
      <c r="AY144" s="108"/>
      <c r="AZ144" s="108"/>
      <c r="BA144" s="189"/>
      <c r="BL144" s="436"/>
      <c r="BM144" s="437"/>
      <c r="BN144" s="108"/>
      <c r="BO144" s="108"/>
      <c r="BP144" s="108"/>
      <c r="BQ144" s="189"/>
      <c r="CB144" s="436"/>
      <c r="CC144" s="437"/>
      <c r="CD144" s="108"/>
      <c r="CE144" s="108"/>
      <c r="CF144" s="108"/>
      <c r="CG144" s="189"/>
      <c r="CR144" s="436"/>
      <c r="CS144" s="437"/>
      <c r="CT144" s="108"/>
      <c r="CU144" s="108"/>
      <c r="CV144" s="108"/>
      <c r="CW144" s="189"/>
      <c r="DH144" s="436"/>
      <c r="DI144" s="437"/>
      <c r="DJ144" s="108"/>
      <c r="DK144" s="108"/>
      <c r="DL144" s="108"/>
      <c r="DM144" s="189"/>
      <c r="DN144" s="436"/>
      <c r="DX144" s="436"/>
      <c r="DY144" s="437"/>
      <c r="DZ144" s="108"/>
      <c r="EA144" s="108"/>
      <c r="EB144" s="108"/>
    </row>
    <row r="145" spans="1:132" ht="14.25" customHeight="1">
      <c r="A145" s="152"/>
      <c r="C145" s="289"/>
      <c r="D145" s="289"/>
      <c r="E145" s="189"/>
      <c r="P145" s="436"/>
      <c r="Q145" s="437"/>
      <c r="R145" s="108"/>
      <c r="S145" s="108"/>
      <c r="T145" s="108"/>
      <c r="U145" s="189"/>
      <c r="AF145" s="436"/>
      <c r="AG145" s="437"/>
      <c r="AH145" s="108"/>
      <c r="AI145" s="108"/>
      <c r="AJ145" s="108"/>
      <c r="AK145" s="189"/>
      <c r="AV145" s="436"/>
      <c r="AW145" s="437"/>
      <c r="AX145" s="108"/>
      <c r="AY145" s="108"/>
      <c r="AZ145" s="108"/>
      <c r="BA145" s="189"/>
      <c r="BL145" s="436"/>
      <c r="BM145" s="437"/>
      <c r="BN145" s="108"/>
      <c r="BO145" s="108"/>
      <c r="BP145" s="108"/>
      <c r="BQ145" s="189"/>
      <c r="CB145" s="436"/>
      <c r="CC145" s="437"/>
      <c r="CD145" s="108"/>
      <c r="CE145" s="108"/>
      <c r="CF145" s="108"/>
      <c r="CG145" s="189"/>
      <c r="CR145" s="436"/>
      <c r="CS145" s="437"/>
      <c r="CT145" s="108"/>
      <c r="CU145" s="108"/>
      <c r="CV145" s="108"/>
      <c r="CW145" s="189"/>
      <c r="DH145" s="436"/>
      <c r="DI145" s="437"/>
      <c r="DJ145" s="108"/>
      <c r="DK145" s="108"/>
      <c r="DL145" s="108"/>
      <c r="DM145" s="189"/>
      <c r="DN145" s="436"/>
      <c r="DX145" s="436"/>
      <c r="DY145" s="437"/>
      <c r="DZ145" s="108"/>
      <c r="EA145" s="108"/>
      <c r="EB145" s="108"/>
    </row>
    <row r="146" spans="1:132" ht="14.25" customHeight="1">
      <c r="A146" s="152"/>
      <c r="C146" s="289"/>
      <c r="D146" s="289"/>
      <c r="E146" s="189"/>
      <c r="P146" s="436"/>
      <c r="Q146" s="437"/>
      <c r="R146" s="108"/>
      <c r="S146" s="108"/>
      <c r="T146" s="108"/>
      <c r="U146" s="189"/>
      <c r="AF146" s="436"/>
      <c r="AG146" s="437"/>
      <c r="AH146" s="108"/>
      <c r="AI146" s="108"/>
      <c r="AJ146" s="108"/>
      <c r="AK146" s="189"/>
      <c r="AV146" s="436"/>
      <c r="AW146" s="437"/>
      <c r="AX146" s="108"/>
      <c r="AY146" s="108"/>
      <c r="AZ146" s="108"/>
      <c r="BA146" s="189"/>
      <c r="BL146" s="436"/>
      <c r="BM146" s="437"/>
      <c r="BN146" s="108"/>
      <c r="BO146" s="108"/>
      <c r="BP146" s="108"/>
      <c r="BQ146" s="189"/>
      <c r="CB146" s="436"/>
      <c r="CC146" s="437"/>
      <c r="CD146" s="108"/>
      <c r="CE146" s="108"/>
      <c r="CF146" s="108"/>
      <c r="CG146" s="189"/>
      <c r="CR146" s="436"/>
      <c r="CS146" s="437"/>
      <c r="CT146" s="108"/>
      <c r="CU146" s="108"/>
      <c r="CV146" s="108"/>
      <c r="CW146" s="189"/>
      <c r="DH146" s="436"/>
      <c r="DI146" s="437"/>
      <c r="DJ146" s="108"/>
      <c r="DK146" s="108"/>
      <c r="DL146" s="108"/>
      <c r="DM146" s="189"/>
      <c r="DN146" s="436"/>
      <c r="DX146" s="436"/>
      <c r="DY146" s="437"/>
      <c r="DZ146" s="108"/>
      <c r="EA146" s="108"/>
      <c r="EB146" s="108"/>
    </row>
    <row r="147" spans="1:132" ht="14.25" customHeight="1">
      <c r="A147" s="152"/>
      <c r="C147" s="289"/>
      <c r="D147" s="289"/>
      <c r="E147" s="189"/>
      <c r="P147" s="436"/>
      <c r="Q147" s="437"/>
      <c r="R147" s="108"/>
      <c r="S147" s="108"/>
      <c r="T147" s="108"/>
      <c r="U147" s="189"/>
      <c r="AF147" s="436"/>
      <c r="AG147" s="437"/>
      <c r="AH147" s="108"/>
      <c r="AI147" s="108"/>
      <c r="AJ147" s="108"/>
      <c r="AK147" s="189"/>
      <c r="AV147" s="436"/>
      <c r="AW147" s="437"/>
      <c r="AX147" s="108"/>
      <c r="AY147" s="108"/>
      <c r="AZ147" s="108"/>
      <c r="BA147" s="189"/>
      <c r="BL147" s="436"/>
      <c r="BM147" s="437"/>
      <c r="BN147" s="108"/>
      <c r="BO147" s="108"/>
      <c r="BP147" s="108"/>
      <c r="BQ147" s="189"/>
      <c r="CB147" s="436"/>
      <c r="CC147" s="437"/>
      <c r="CD147" s="108"/>
      <c r="CE147" s="108"/>
      <c r="CF147" s="108"/>
      <c r="CG147" s="189"/>
      <c r="CR147" s="436"/>
      <c r="CS147" s="437"/>
      <c r="CT147" s="108"/>
      <c r="CU147" s="108"/>
      <c r="CV147" s="108"/>
      <c r="CW147" s="189"/>
      <c r="DH147" s="436"/>
      <c r="DI147" s="437"/>
      <c r="DJ147" s="108"/>
      <c r="DK147" s="108"/>
      <c r="DL147" s="108"/>
      <c r="DM147" s="189"/>
      <c r="DN147" s="436"/>
      <c r="DX147" s="436"/>
      <c r="DY147" s="437"/>
      <c r="DZ147" s="108"/>
      <c r="EA147" s="108"/>
      <c r="EB147" s="108"/>
    </row>
    <row r="148" spans="1:132" ht="14.25" customHeight="1">
      <c r="A148" s="152"/>
      <c r="C148" s="289"/>
      <c r="D148" s="289"/>
      <c r="E148" s="189"/>
      <c r="P148" s="436"/>
      <c r="Q148" s="437"/>
      <c r="R148" s="108"/>
      <c r="S148" s="108"/>
      <c r="T148" s="108"/>
      <c r="U148" s="189"/>
      <c r="AF148" s="436"/>
      <c r="AG148" s="437"/>
      <c r="AH148" s="108"/>
      <c r="AI148" s="108"/>
      <c r="AJ148" s="108"/>
      <c r="AK148" s="189"/>
      <c r="AV148" s="436"/>
      <c r="AW148" s="437"/>
      <c r="AX148" s="108"/>
      <c r="AY148" s="108"/>
      <c r="AZ148" s="108"/>
      <c r="BA148" s="189"/>
      <c r="BL148" s="436"/>
      <c r="BM148" s="437"/>
      <c r="BN148" s="108"/>
      <c r="BO148" s="108"/>
      <c r="BP148" s="108"/>
      <c r="BQ148" s="189"/>
      <c r="CB148" s="436"/>
      <c r="CC148" s="437"/>
      <c r="CD148" s="108"/>
      <c r="CE148" s="108"/>
      <c r="CF148" s="108"/>
      <c r="CG148" s="189"/>
      <c r="CR148" s="436"/>
      <c r="CS148" s="437"/>
      <c r="CT148" s="108"/>
      <c r="CU148" s="108"/>
      <c r="CV148" s="108"/>
      <c r="CW148" s="189"/>
      <c r="DH148" s="436"/>
      <c r="DI148" s="437"/>
      <c r="DJ148" s="108"/>
      <c r="DK148" s="108"/>
      <c r="DL148" s="108"/>
      <c r="DM148" s="189"/>
      <c r="DN148" s="436"/>
      <c r="DX148" s="436"/>
      <c r="DY148" s="437"/>
      <c r="DZ148" s="108"/>
      <c r="EA148" s="108"/>
      <c r="EB148" s="108"/>
    </row>
    <row r="149" spans="1:132" ht="14.25" customHeight="1">
      <c r="A149" s="152"/>
      <c r="C149" s="289"/>
      <c r="D149" s="289"/>
      <c r="E149" s="189"/>
      <c r="P149" s="436"/>
      <c r="Q149" s="437"/>
      <c r="R149" s="108"/>
      <c r="S149" s="108"/>
      <c r="T149" s="108"/>
      <c r="U149" s="189"/>
      <c r="AF149" s="436"/>
      <c r="AG149" s="437"/>
      <c r="AH149" s="108"/>
      <c r="AI149" s="108"/>
      <c r="AJ149" s="108"/>
      <c r="AK149" s="189"/>
      <c r="AV149" s="436"/>
      <c r="AW149" s="437"/>
      <c r="AX149" s="108"/>
      <c r="AY149" s="108"/>
      <c r="AZ149" s="108"/>
      <c r="BA149" s="189"/>
      <c r="BL149" s="436"/>
      <c r="BM149" s="437"/>
      <c r="BN149" s="108"/>
      <c r="BO149" s="108"/>
      <c r="BP149" s="108"/>
      <c r="BQ149" s="189"/>
      <c r="CB149" s="436"/>
      <c r="CC149" s="437"/>
      <c r="CD149" s="108"/>
      <c r="CE149" s="108"/>
      <c r="CF149" s="108"/>
      <c r="CG149" s="189"/>
      <c r="CR149" s="436"/>
      <c r="CS149" s="437"/>
      <c r="CT149" s="108"/>
      <c r="CU149" s="108"/>
      <c r="CV149" s="108"/>
      <c r="CW149" s="189"/>
      <c r="DH149" s="436"/>
      <c r="DI149" s="437"/>
      <c r="DJ149" s="108"/>
      <c r="DK149" s="108"/>
      <c r="DL149" s="108"/>
      <c r="DM149" s="189"/>
      <c r="DN149" s="436"/>
      <c r="DX149" s="436"/>
      <c r="DY149" s="437"/>
      <c r="DZ149" s="108"/>
      <c r="EA149" s="108"/>
      <c r="EB149" s="108"/>
    </row>
    <row r="150" spans="1:132" ht="14.25" customHeight="1">
      <c r="A150" s="152"/>
      <c r="C150" s="289"/>
      <c r="D150" s="289"/>
      <c r="E150" s="189"/>
      <c r="P150" s="436"/>
      <c r="Q150" s="437"/>
      <c r="R150" s="108"/>
      <c r="S150" s="108"/>
      <c r="T150" s="108"/>
      <c r="U150" s="189"/>
      <c r="AF150" s="436"/>
      <c r="AG150" s="437"/>
      <c r="AH150" s="108"/>
      <c r="AI150" s="108"/>
      <c r="AJ150" s="108"/>
      <c r="AK150" s="189"/>
      <c r="AV150" s="436"/>
      <c r="AW150" s="437"/>
      <c r="AX150" s="108"/>
      <c r="AY150" s="108"/>
      <c r="AZ150" s="108"/>
      <c r="BA150" s="189"/>
      <c r="BL150" s="436"/>
      <c r="BM150" s="437"/>
      <c r="BN150" s="108"/>
      <c r="BO150" s="108"/>
      <c r="BP150" s="108"/>
      <c r="BQ150" s="189"/>
      <c r="CB150" s="436"/>
      <c r="CC150" s="437"/>
      <c r="CD150" s="108"/>
      <c r="CE150" s="108"/>
      <c r="CF150" s="108"/>
      <c r="CG150" s="189"/>
      <c r="CR150" s="436"/>
      <c r="CS150" s="437"/>
      <c r="CT150" s="108"/>
      <c r="CU150" s="108"/>
      <c r="CV150" s="108"/>
      <c r="CW150" s="189"/>
      <c r="DH150" s="436"/>
      <c r="DI150" s="437"/>
      <c r="DJ150" s="108"/>
      <c r="DK150" s="108"/>
      <c r="DL150" s="108"/>
      <c r="DM150" s="189"/>
      <c r="DN150" s="436"/>
      <c r="DX150" s="436"/>
      <c r="DY150" s="437"/>
      <c r="DZ150" s="108"/>
      <c r="EA150" s="108"/>
      <c r="EB150" s="108"/>
    </row>
    <row r="151" spans="1:132" ht="14.25" customHeight="1">
      <c r="A151" s="152"/>
      <c r="C151" s="289"/>
      <c r="D151" s="289"/>
      <c r="E151" s="189"/>
      <c r="P151" s="436"/>
      <c r="Q151" s="437"/>
      <c r="R151" s="108"/>
      <c r="S151" s="108"/>
      <c r="T151" s="108"/>
      <c r="U151" s="189"/>
      <c r="AF151" s="436"/>
      <c r="AG151" s="437"/>
      <c r="AH151" s="108"/>
      <c r="AI151" s="108"/>
      <c r="AJ151" s="108"/>
      <c r="AK151" s="189"/>
      <c r="AV151" s="436"/>
      <c r="AW151" s="437"/>
      <c r="AX151" s="108"/>
      <c r="AY151" s="108"/>
      <c r="AZ151" s="108"/>
      <c r="BA151" s="189"/>
      <c r="BL151" s="436"/>
      <c r="BM151" s="437"/>
      <c r="BN151" s="108"/>
      <c r="BO151" s="108"/>
      <c r="BP151" s="108"/>
      <c r="BQ151" s="189"/>
      <c r="CB151" s="436"/>
      <c r="CC151" s="437"/>
      <c r="CD151" s="108"/>
      <c r="CE151" s="108"/>
      <c r="CF151" s="108"/>
      <c r="CG151" s="189"/>
      <c r="CR151" s="436"/>
      <c r="CS151" s="437"/>
      <c r="CT151" s="108"/>
      <c r="CU151" s="108"/>
      <c r="CV151" s="108"/>
      <c r="CW151" s="189"/>
      <c r="DH151" s="436"/>
      <c r="DI151" s="437"/>
      <c r="DJ151" s="108"/>
      <c r="DK151" s="108"/>
      <c r="DL151" s="108"/>
      <c r="DM151" s="189"/>
      <c r="DN151" s="436"/>
      <c r="DX151" s="436"/>
      <c r="DY151" s="437"/>
      <c r="DZ151" s="108"/>
      <c r="EA151" s="108"/>
      <c r="EB151" s="108"/>
    </row>
    <row r="152" spans="1:132" ht="14.25" customHeight="1">
      <c r="A152" s="152"/>
      <c r="C152" s="289"/>
      <c r="D152" s="289"/>
      <c r="E152" s="189"/>
      <c r="P152" s="436"/>
      <c r="Q152" s="437"/>
      <c r="R152" s="108"/>
      <c r="S152" s="108"/>
      <c r="T152" s="108"/>
      <c r="U152" s="189"/>
      <c r="AF152" s="436"/>
      <c r="AG152" s="437"/>
      <c r="AH152" s="108"/>
      <c r="AI152" s="108"/>
      <c r="AJ152" s="108"/>
      <c r="AK152" s="189"/>
      <c r="AV152" s="436"/>
      <c r="AW152" s="437"/>
      <c r="AX152" s="108"/>
      <c r="AY152" s="108"/>
      <c r="AZ152" s="108"/>
      <c r="BA152" s="189"/>
      <c r="BL152" s="436"/>
      <c r="BM152" s="437"/>
      <c r="BN152" s="108"/>
      <c r="BO152" s="108"/>
      <c r="BP152" s="108"/>
      <c r="BQ152" s="189"/>
      <c r="CB152" s="436"/>
      <c r="CC152" s="437"/>
      <c r="CD152" s="108"/>
      <c r="CE152" s="108"/>
      <c r="CF152" s="108"/>
      <c r="CG152" s="189"/>
      <c r="CR152" s="436"/>
      <c r="CS152" s="437"/>
      <c r="CT152" s="108"/>
      <c r="CU152" s="108"/>
      <c r="CV152" s="108"/>
      <c r="CW152" s="189"/>
      <c r="DH152" s="436"/>
      <c r="DI152" s="437"/>
      <c r="DJ152" s="108"/>
      <c r="DK152" s="108"/>
      <c r="DL152" s="108"/>
      <c r="DM152" s="189"/>
      <c r="DN152" s="436"/>
      <c r="DX152" s="436"/>
      <c r="DY152" s="437"/>
      <c r="DZ152" s="108"/>
      <c r="EA152" s="108"/>
      <c r="EB152" s="108"/>
    </row>
    <row r="153" spans="1:132" ht="14.25" customHeight="1">
      <c r="A153" s="152"/>
      <c r="C153" s="289"/>
      <c r="D153" s="289"/>
      <c r="E153" s="189"/>
      <c r="P153" s="436"/>
      <c r="Q153" s="437"/>
      <c r="R153" s="108"/>
      <c r="S153" s="108"/>
      <c r="T153" s="108"/>
      <c r="U153" s="189"/>
      <c r="AF153" s="436"/>
      <c r="AG153" s="437"/>
      <c r="AH153" s="108"/>
      <c r="AI153" s="108"/>
      <c r="AJ153" s="108"/>
      <c r="AK153" s="189"/>
      <c r="AV153" s="436"/>
      <c r="AW153" s="437"/>
      <c r="AX153" s="108"/>
      <c r="AY153" s="108"/>
      <c r="AZ153" s="108"/>
      <c r="BA153" s="189"/>
      <c r="BL153" s="436"/>
      <c r="BM153" s="437"/>
      <c r="BN153" s="108"/>
      <c r="BO153" s="108"/>
      <c r="BP153" s="108"/>
      <c r="BQ153" s="189"/>
      <c r="CB153" s="436"/>
      <c r="CC153" s="437"/>
      <c r="CD153" s="108"/>
      <c r="CE153" s="108"/>
      <c r="CF153" s="108"/>
      <c r="CG153" s="189"/>
      <c r="CR153" s="436"/>
      <c r="CS153" s="437"/>
      <c r="CT153" s="108"/>
      <c r="CU153" s="108"/>
      <c r="CV153" s="108"/>
      <c r="CW153" s="189"/>
      <c r="DH153" s="436"/>
      <c r="DI153" s="437"/>
      <c r="DJ153" s="108"/>
      <c r="DK153" s="108"/>
      <c r="DL153" s="108"/>
      <c r="DM153" s="189"/>
      <c r="DN153" s="436"/>
      <c r="DX153" s="436"/>
      <c r="DY153" s="437"/>
      <c r="DZ153" s="108"/>
      <c r="EA153" s="108"/>
      <c r="EB153" s="108"/>
    </row>
    <row r="154" spans="1:132" ht="14.25" customHeight="1">
      <c r="A154" s="152"/>
      <c r="C154" s="289"/>
      <c r="D154" s="289"/>
      <c r="E154" s="189"/>
      <c r="P154" s="436"/>
      <c r="Q154" s="437"/>
      <c r="R154" s="108"/>
      <c r="S154" s="108"/>
      <c r="T154" s="108"/>
      <c r="U154" s="189"/>
      <c r="AF154" s="436"/>
      <c r="AG154" s="437"/>
      <c r="AH154" s="108"/>
      <c r="AI154" s="108"/>
      <c r="AJ154" s="108"/>
      <c r="AK154" s="189"/>
      <c r="AV154" s="436"/>
      <c r="AW154" s="437"/>
      <c r="AX154" s="108"/>
      <c r="AY154" s="108"/>
      <c r="AZ154" s="108"/>
      <c r="BA154" s="189"/>
      <c r="BL154" s="436"/>
      <c r="BM154" s="437"/>
      <c r="BN154" s="108"/>
      <c r="BO154" s="108"/>
      <c r="BP154" s="108"/>
      <c r="BQ154" s="189"/>
      <c r="CB154" s="436"/>
      <c r="CC154" s="437"/>
      <c r="CD154" s="108"/>
      <c r="CE154" s="108"/>
      <c r="CF154" s="108"/>
      <c r="CG154" s="189"/>
      <c r="CR154" s="436"/>
      <c r="CS154" s="437"/>
      <c r="CT154" s="108"/>
      <c r="CU154" s="108"/>
      <c r="CV154" s="108"/>
      <c r="CW154" s="189"/>
      <c r="DH154" s="436"/>
      <c r="DI154" s="437"/>
      <c r="DJ154" s="108"/>
      <c r="DK154" s="108"/>
      <c r="DL154" s="108"/>
      <c r="DM154" s="189"/>
      <c r="DN154" s="436"/>
      <c r="DX154" s="436"/>
      <c r="DY154" s="437"/>
      <c r="DZ154" s="108"/>
      <c r="EA154" s="108"/>
      <c r="EB154" s="108"/>
    </row>
    <row r="155" spans="1:132" ht="14.25" customHeight="1">
      <c r="A155" s="152"/>
      <c r="C155" s="289"/>
      <c r="D155" s="289"/>
      <c r="E155" s="189"/>
      <c r="P155" s="436"/>
      <c r="Q155" s="437"/>
      <c r="R155" s="108"/>
      <c r="S155" s="108"/>
      <c r="T155" s="108"/>
      <c r="U155" s="189"/>
      <c r="AF155" s="436"/>
      <c r="AG155" s="437"/>
      <c r="AH155" s="108"/>
      <c r="AI155" s="108"/>
      <c r="AJ155" s="108"/>
      <c r="AK155" s="189"/>
      <c r="AV155" s="436"/>
      <c r="AW155" s="437"/>
      <c r="AX155" s="108"/>
      <c r="AY155" s="108"/>
      <c r="AZ155" s="108"/>
      <c r="BA155" s="189"/>
      <c r="BL155" s="436"/>
      <c r="BM155" s="437"/>
      <c r="BN155" s="108"/>
      <c r="BO155" s="108"/>
      <c r="BP155" s="108"/>
      <c r="BQ155" s="189"/>
      <c r="CB155" s="436"/>
      <c r="CC155" s="437"/>
      <c r="CD155" s="108"/>
      <c r="CE155" s="108"/>
      <c r="CF155" s="108"/>
      <c r="CG155" s="189"/>
      <c r="CR155" s="436"/>
      <c r="CS155" s="437"/>
      <c r="CT155" s="108"/>
      <c r="CU155" s="108"/>
      <c r="CV155" s="108"/>
      <c r="CW155" s="189"/>
      <c r="DH155" s="436"/>
      <c r="DI155" s="437"/>
      <c r="DJ155" s="108"/>
      <c r="DK155" s="108"/>
      <c r="DL155" s="108"/>
      <c r="DM155" s="189"/>
      <c r="DN155" s="436"/>
      <c r="DX155" s="436"/>
      <c r="DY155" s="437"/>
      <c r="DZ155" s="108"/>
      <c r="EA155" s="108"/>
      <c r="EB155" s="108"/>
    </row>
    <row r="156" spans="1:132" ht="14.25" customHeight="1">
      <c r="A156" s="152"/>
      <c r="C156" s="289"/>
      <c r="D156" s="289"/>
      <c r="E156" s="189"/>
      <c r="P156" s="436"/>
      <c r="Q156" s="437"/>
      <c r="R156" s="108"/>
      <c r="S156" s="108"/>
      <c r="T156" s="108"/>
      <c r="U156" s="189"/>
      <c r="AF156" s="436"/>
      <c r="AG156" s="437"/>
      <c r="AH156" s="108"/>
      <c r="AI156" s="108"/>
      <c r="AJ156" s="108"/>
      <c r="AK156" s="189"/>
      <c r="AV156" s="436"/>
      <c r="AW156" s="437"/>
      <c r="AX156" s="108"/>
      <c r="AY156" s="108"/>
      <c r="AZ156" s="108"/>
      <c r="BA156" s="189"/>
      <c r="BL156" s="436"/>
      <c r="BM156" s="437"/>
      <c r="BN156" s="108"/>
      <c r="BO156" s="108"/>
      <c r="BP156" s="108"/>
      <c r="BQ156" s="189"/>
      <c r="CB156" s="436"/>
      <c r="CC156" s="437"/>
      <c r="CD156" s="108"/>
      <c r="CE156" s="108"/>
      <c r="CF156" s="108"/>
      <c r="CG156" s="189"/>
      <c r="CR156" s="436"/>
      <c r="CS156" s="437"/>
      <c r="CT156" s="108"/>
      <c r="CU156" s="108"/>
      <c r="CV156" s="108"/>
      <c r="CW156" s="189"/>
      <c r="DH156" s="436"/>
      <c r="DI156" s="437"/>
      <c r="DJ156" s="108"/>
      <c r="DK156" s="108"/>
      <c r="DL156" s="108"/>
      <c r="DM156" s="189"/>
      <c r="DN156" s="436"/>
      <c r="DX156" s="436"/>
      <c r="DY156" s="437"/>
      <c r="DZ156" s="108"/>
      <c r="EA156" s="108"/>
      <c r="EB156" s="108"/>
    </row>
    <row r="157" spans="1:132" ht="14.25" customHeight="1">
      <c r="A157" s="152"/>
      <c r="C157" s="289"/>
      <c r="D157" s="289"/>
      <c r="E157" s="189"/>
      <c r="P157" s="436"/>
      <c r="Q157" s="437"/>
      <c r="R157" s="108"/>
      <c r="S157" s="108"/>
      <c r="T157" s="108"/>
      <c r="U157" s="189"/>
      <c r="AF157" s="436"/>
      <c r="AG157" s="437"/>
      <c r="AH157" s="108"/>
      <c r="AI157" s="108"/>
      <c r="AJ157" s="108"/>
      <c r="AK157" s="189"/>
      <c r="AV157" s="436"/>
      <c r="AW157" s="437"/>
      <c r="AX157" s="108"/>
      <c r="AY157" s="108"/>
      <c r="AZ157" s="108"/>
      <c r="BA157" s="189"/>
      <c r="BL157" s="436"/>
      <c r="BM157" s="437"/>
      <c r="BN157" s="108"/>
      <c r="BO157" s="108"/>
      <c r="BP157" s="108"/>
      <c r="BQ157" s="189"/>
      <c r="CB157" s="436"/>
      <c r="CC157" s="437"/>
      <c r="CD157" s="108"/>
      <c r="CE157" s="108"/>
      <c r="CF157" s="108"/>
      <c r="CG157" s="189"/>
      <c r="CR157" s="436"/>
      <c r="CS157" s="437"/>
      <c r="CT157" s="108"/>
      <c r="CU157" s="108"/>
      <c r="CV157" s="108"/>
      <c r="CW157" s="189"/>
      <c r="DH157" s="436"/>
      <c r="DI157" s="437"/>
      <c r="DJ157" s="108"/>
      <c r="DK157" s="108"/>
      <c r="DL157" s="108"/>
      <c r="DM157" s="189"/>
      <c r="DN157" s="436"/>
      <c r="DX157" s="436"/>
      <c r="DY157" s="437"/>
      <c r="DZ157" s="108"/>
      <c r="EA157" s="108"/>
      <c r="EB157" s="108"/>
    </row>
    <row r="158" spans="1:132" ht="14.25" customHeight="1">
      <c r="A158" s="152"/>
      <c r="C158" s="289"/>
      <c r="D158" s="289"/>
      <c r="E158" s="189"/>
      <c r="P158" s="436"/>
      <c r="Q158" s="437"/>
      <c r="R158" s="108"/>
      <c r="S158" s="108"/>
      <c r="T158" s="108"/>
      <c r="U158" s="189"/>
      <c r="AF158" s="436"/>
      <c r="AG158" s="437"/>
      <c r="AH158" s="108"/>
      <c r="AI158" s="108"/>
      <c r="AJ158" s="108"/>
      <c r="AK158" s="189"/>
      <c r="AV158" s="436"/>
      <c r="AW158" s="437"/>
      <c r="AX158" s="108"/>
      <c r="AY158" s="108"/>
      <c r="AZ158" s="108"/>
      <c r="BA158" s="189"/>
      <c r="BL158" s="436"/>
      <c r="BM158" s="437"/>
      <c r="BN158" s="108"/>
      <c r="BO158" s="108"/>
      <c r="BP158" s="108"/>
      <c r="BQ158" s="189"/>
      <c r="CB158" s="436"/>
      <c r="CC158" s="437"/>
      <c r="CD158" s="108"/>
      <c r="CE158" s="108"/>
      <c r="CF158" s="108"/>
      <c r="CG158" s="189"/>
      <c r="CR158" s="436"/>
      <c r="CS158" s="437"/>
      <c r="CT158" s="108"/>
      <c r="CU158" s="108"/>
      <c r="CV158" s="108"/>
      <c r="CW158" s="189"/>
      <c r="DH158" s="436"/>
      <c r="DI158" s="437"/>
      <c r="DJ158" s="108"/>
      <c r="DK158" s="108"/>
      <c r="DL158" s="108"/>
      <c r="DM158" s="189"/>
      <c r="DN158" s="436"/>
      <c r="DX158" s="436"/>
      <c r="DY158" s="437"/>
      <c r="DZ158" s="108"/>
      <c r="EA158" s="108"/>
      <c r="EB158" s="108"/>
    </row>
    <row r="159" spans="1:132" ht="14.25" customHeight="1">
      <c r="A159" s="152"/>
      <c r="C159" s="289"/>
      <c r="D159" s="289"/>
      <c r="E159" s="189"/>
      <c r="P159" s="436"/>
      <c r="Q159" s="437"/>
      <c r="R159" s="108"/>
      <c r="S159" s="108"/>
      <c r="T159" s="108"/>
      <c r="U159" s="189"/>
      <c r="AF159" s="436"/>
      <c r="AG159" s="437"/>
      <c r="AH159" s="108"/>
      <c r="AI159" s="108"/>
      <c r="AJ159" s="108"/>
      <c r="AK159" s="189"/>
      <c r="AV159" s="436"/>
      <c r="AW159" s="437"/>
      <c r="AX159" s="108"/>
      <c r="AY159" s="108"/>
      <c r="AZ159" s="108"/>
      <c r="BA159" s="189"/>
      <c r="BL159" s="436"/>
      <c r="BM159" s="437"/>
      <c r="BN159" s="108"/>
      <c r="BO159" s="108"/>
      <c r="BP159" s="108"/>
      <c r="BQ159" s="189"/>
      <c r="CB159" s="436"/>
      <c r="CC159" s="437"/>
      <c r="CD159" s="108"/>
      <c r="CE159" s="108"/>
      <c r="CF159" s="108"/>
      <c r="CG159" s="189"/>
      <c r="CR159" s="436"/>
      <c r="CS159" s="437"/>
      <c r="CT159" s="108"/>
      <c r="CU159" s="108"/>
      <c r="CV159" s="108"/>
      <c r="CW159" s="189"/>
      <c r="DH159" s="436"/>
      <c r="DI159" s="437"/>
      <c r="DJ159" s="108"/>
      <c r="DK159" s="108"/>
      <c r="DL159" s="108"/>
      <c r="DM159" s="189"/>
      <c r="DN159" s="436"/>
      <c r="DX159" s="436"/>
      <c r="DY159" s="437"/>
      <c r="DZ159" s="108"/>
      <c r="EA159" s="108"/>
      <c r="EB159" s="108"/>
    </row>
    <row r="160" spans="1:132" ht="14.25" customHeight="1">
      <c r="A160" s="152"/>
      <c r="C160" s="289"/>
      <c r="D160" s="289"/>
      <c r="E160" s="189"/>
      <c r="P160" s="436"/>
      <c r="Q160" s="437"/>
      <c r="R160" s="108"/>
      <c r="S160" s="108"/>
      <c r="T160" s="108"/>
      <c r="U160" s="189"/>
      <c r="AF160" s="436"/>
      <c r="AG160" s="437"/>
      <c r="AH160" s="108"/>
      <c r="AI160" s="108"/>
      <c r="AJ160" s="108"/>
      <c r="AK160" s="189"/>
      <c r="AV160" s="436"/>
      <c r="AW160" s="437"/>
      <c r="AX160" s="108"/>
      <c r="AY160" s="108"/>
      <c r="AZ160" s="108"/>
      <c r="BA160" s="189"/>
      <c r="BL160" s="436"/>
      <c r="BM160" s="437"/>
      <c r="BN160" s="108"/>
      <c r="BO160" s="108"/>
      <c r="BP160" s="108"/>
      <c r="BQ160" s="189"/>
      <c r="CB160" s="436"/>
      <c r="CC160" s="437"/>
      <c r="CD160" s="108"/>
      <c r="CE160" s="108"/>
      <c r="CF160" s="108"/>
      <c r="CG160" s="189"/>
      <c r="CR160" s="436"/>
      <c r="CS160" s="437"/>
      <c r="CT160" s="108"/>
      <c r="CU160" s="108"/>
      <c r="CV160" s="108"/>
      <c r="CW160" s="189"/>
      <c r="DH160" s="436"/>
      <c r="DI160" s="437"/>
      <c r="DJ160" s="108"/>
      <c r="DK160" s="108"/>
      <c r="DL160" s="108"/>
      <c r="DM160" s="189"/>
      <c r="DN160" s="436"/>
      <c r="DX160" s="436"/>
      <c r="DY160" s="437"/>
      <c r="DZ160" s="108"/>
      <c r="EA160" s="108"/>
      <c r="EB160" s="108"/>
    </row>
    <row r="161" spans="1:132" ht="14.25" customHeight="1">
      <c r="A161" s="152"/>
      <c r="C161" s="289"/>
      <c r="D161" s="289"/>
      <c r="E161" s="189"/>
      <c r="P161" s="436"/>
      <c r="Q161" s="437"/>
      <c r="R161" s="108"/>
      <c r="S161" s="108"/>
      <c r="T161" s="108"/>
      <c r="U161" s="189"/>
      <c r="AF161" s="436"/>
      <c r="AG161" s="437"/>
      <c r="AH161" s="108"/>
      <c r="AI161" s="108"/>
      <c r="AJ161" s="108"/>
      <c r="AK161" s="189"/>
      <c r="AV161" s="436"/>
      <c r="AW161" s="437"/>
      <c r="AX161" s="108"/>
      <c r="AY161" s="108"/>
      <c r="AZ161" s="108"/>
      <c r="BA161" s="189"/>
      <c r="BL161" s="436"/>
      <c r="BM161" s="437"/>
      <c r="BN161" s="108"/>
      <c r="BO161" s="108"/>
      <c r="BP161" s="108"/>
      <c r="BQ161" s="189"/>
      <c r="CB161" s="436"/>
      <c r="CC161" s="437"/>
      <c r="CD161" s="108"/>
      <c r="CE161" s="108"/>
      <c r="CF161" s="108"/>
      <c r="CG161" s="189"/>
      <c r="CR161" s="436"/>
      <c r="CS161" s="437"/>
      <c r="CT161" s="108"/>
      <c r="CU161" s="108"/>
      <c r="CV161" s="108"/>
      <c r="CW161" s="189"/>
      <c r="DH161" s="436"/>
      <c r="DI161" s="437"/>
      <c r="DJ161" s="108"/>
      <c r="DK161" s="108"/>
      <c r="DL161" s="108"/>
      <c r="DM161" s="189"/>
      <c r="DN161" s="436"/>
      <c r="DX161" s="436"/>
      <c r="DY161" s="437"/>
      <c r="DZ161" s="108"/>
      <c r="EA161" s="108"/>
      <c r="EB161" s="108"/>
    </row>
    <row r="162" spans="1:132" ht="14.25" customHeight="1">
      <c r="A162" s="152"/>
      <c r="C162" s="289"/>
      <c r="D162" s="289"/>
      <c r="E162" s="189"/>
      <c r="P162" s="436"/>
      <c r="Q162" s="437"/>
      <c r="R162" s="108"/>
      <c r="S162" s="108"/>
      <c r="T162" s="108"/>
      <c r="U162" s="189"/>
      <c r="AF162" s="436"/>
      <c r="AG162" s="437"/>
      <c r="AH162" s="108"/>
      <c r="AI162" s="108"/>
      <c r="AJ162" s="108"/>
      <c r="AK162" s="189"/>
      <c r="AV162" s="436"/>
      <c r="AW162" s="437"/>
      <c r="AX162" s="108"/>
      <c r="AY162" s="108"/>
      <c r="AZ162" s="108"/>
      <c r="BA162" s="189"/>
      <c r="BL162" s="436"/>
      <c r="BM162" s="437"/>
      <c r="BN162" s="108"/>
      <c r="BO162" s="108"/>
      <c r="BP162" s="108"/>
      <c r="BQ162" s="189"/>
      <c r="CB162" s="436"/>
      <c r="CC162" s="437"/>
      <c r="CD162" s="108"/>
      <c r="CE162" s="108"/>
      <c r="CF162" s="108"/>
      <c r="CG162" s="189"/>
      <c r="CR162" s="436"/>
      <c r="CS162" s="437"/>
      <c r="CT162" s="108"/>
      <c r="CU162" s="108"/>
      <c r="CV162" s="108"/>
      <c r="CW162" s="189"/>
      <c r="DH162" s="436"/>
      <c r="DI162" s="437"/>
      <c r="DJ162" s="108"/>
      <c r="DK162" s="108"/>
      <c r="DL162" s="108"/>
      <c r="DM162" s="189"/>
      <c r="DN162" s="436"/>
      <c r="DX162" s="436"/>
      <c r="DY162" s="437"/>
      <c r="DZ162" s="108"/>
      <c r="EA162" s="108"/>
      <c r="EB162" s="108"/>
    </row>
    <row r="163" spans="1:132" ht="14.25" customHeight="1">
      <c r="A163" s="152"/>
      <c r="C163" s="289"/>
      <c r="D163" s="289"/>
      <c r="E163" s="189"/>
      <c r="P163" s="436"/>
      <c r="Q163" s="437"/>
      <c r="R163" s="108"/>
      <c r="S163" s="108"/>
      <c r="T163" s="108"/>
      <c r="U163" s="189"/>
      <c r="AF163" s="436"/>
      <c r="AG163" s="437"/>
      <c r="AH163" s="108"/>
      <c r="AI163" s="108"/>
      <c r="AJ163" s="108"/>
      <c r="AK163" s="189"/>
      <c r="AV163" s="436"/>
      <c r="AW163" s="437"/>
      <c r="AX163" s="108"/>
      <c r="AY163" s="108"/>
      <c r="AZ163" s="108"/>
      <c r="BA163" s="189"/>
      <c r="BL163" s="436"/>
      <c r="BM163" s="437"/>
      <c r="BN163" s="108"/>
      <c r="BO163" s="108"/>
      <c r="BP163" s="108"/>
      <c r="BQ163" s="189"/>
      <c r="CB163" s="436"/>
      <c r="CC163" s="437"/>
      <c r="CD163" s="108"/>
      <c r="CE163" s="108"/>
      <c r="CF163" s="108"/>
      <c r="CG163" s="189"/>
      <c r="CR163" s="436"/>
      <c r="CS163" s="437"/>
      <c r="CT163" s="108"/>
      <c r="CU163" s="108"/>
      <c r="CV163" s="108"/>
      <c r="CW163" s="189"/>
      <c r="DH163" s="436"/>
      <c r="DI163" s="437"/>
      <c r="DJ163" s="108"/>
      <c r="DK163" s="108"/>
      <c r="DL163" s="108"/>
      <c r="DM163" s="189"/>
      <c r="DN163" s="436"/>
      <c r="DX163" s="436"/>
      <c r="DY163" s="437"/>
      <c r="DZ163" s="108"/>
      <c r="EA163" s="108"/>
      <c r="EB163" s="108"/>
    </row>
    <row r="164" spans="1:132" ht="14.25" customHeight="1">
      <c r="A164" s="152"/>
      <c r="C164" s="289"/>
      <c r="D164" s="289"/>
      <c r="E164" s="189"/>
      <c r="P164" s="436"/>
      <c r="Q164" s="437"/>
      <c r="R164" s="108"/>
      <c r="S164" s="108"/>
      <c r="T164" s="108"/>
      <c r="U164" s="189"/>
      <c r="AF164" s="436"/>
      <c r="AG164" s="437"/>
      <c r="AH164" s="108"/>
      <c r="AI164" s="108"/>
      <c r="AJ164" s="108"/>
      <c r="AK164" s="189"/>
      <c r="AV164" s="436"/>
      <c r="AW164" s="437"/>
      <c r="AX164" s="108"/>
      <c r="AY164" s="108"/>
      <c r="AZ164" s="108"/>
      <c r="BA164" s="189"/>
      <c r="BL164" s="436"/>
      <c r="BM164" s="437"/>
      <c r="BN164" s="108"/>
      <c r="BO164" s="108"/>
      <c r="BP164" s="108"/>
      <c r="BQ164" s="189"/>
      <c r="CB164" s="436"/>
      <c r="CC164" s="437"/>
      <c r="CD164" s="108"/>
      <c r="CE164" s="108"/>
      <c r="CF164" s="108"/>
      <c r="CG164" s="189"/>
      <c r="CR164" s="436"/>
      <c r="CS164" s="437"/>
      <c r="CT164" s="108"/>
      <c r="CU164" s="108"/>
      <c r="CV164" s="108"/>
      <c r="CW164" s="189"/>
      <c r="DH164" s="436"/>
      <c r="DI164" s="437"/>
      <c r="DJ164" s="108"/>
      <c r="DK164" s="108"/>
      <c r="DL164" s="108"/>
      <c r="DM164" s="189"/>
      <c r="DN164" s="436"/>
      <c r="DX164" s="436"/>
      <c r="DY164" s="437"/>
      <c r="DZ164" s="108"/>
      <c r="EA164" s="108"/>
      <c r="EB164" s="108"/>
    </row>
    <row r="165" spans="1:132" ht="14.25" customHeight="1">
      <c r="A165" s="152"/>
      <c r="C165" s="289"/>
      <c r="D165" s="289"/>
      <c r="E165" s="189"/>
      <c r="P165" s="436"/>
      <c r="Q165" s="437"/>
      <c r="R165" s="108"/>
      <c r="S165" s="108"/>
      <c r="T165" s="108"/>
      <c r="U165" s="189"/>
      <c r="AF165" s="436"/>
      <c r="AG165" s="437"/>
      <c r="AH165" s="108"/>
      <c r="AI165" s="108"/>
      <c r="AJ165" s="108"/>
      <c r="AK165" s="189"/>
      <c r="AV165" s="436"/>
      <c r="AW165" s="437"/>
      <c r="AX165" s="108"/>
      <c r="AY165" s="108"/>
      <c r="AZ165" s="108"/>
      <c r="BA165" s="189"/>
      <c r="BL165" s="436"/>
      <c r="BM165" s="437"/>
      <c r="BN165" s="108"/>
      <c r="BO165" s="108"/>
      <c r="BP165" s="108"/>
      <c r="BQ165" s="189"/>
      <c r="CB165" s="436"/>
      <c r="CC165" s="437"/>
      <c r="CD165" s="108"/>
      <c r="CE165" s="108"/>
      <c r="CF165" s="108"/>
      <c r="CG165" s="189"/>
      <c r="CR165" s="436"/>
      <c r="CS165" s="437"/>
      <c r="CT165" s="108"/>
      <c r="CU165" s="108"/>
      <c r="CV165" s="108"/>
      <c r="CW165" s="189"/>
      <c r="DH165" s="436"/>
      <c r="DI165" s="437"/>
      <c r="DJ165" s="108"/>
      <c r="DK165" s="108"/>
      <c r="DL165" s="108"/>
      <c r="DM165" s="189"/>
      <c r="DN165" s="436"/>
      <c r="DX165" s="436"/>
      <c r="DY165" s="437"/>
      <c r="DZ165" s="108"/>
      <c r="EA165" s="108"/>
      <c r="EB165" s="108"/>
    </row>
    <row r="166" spans="1:132" ht="14.25" customHeight="1">
      <c r="A166" s="152"/>
      <c r="C166" s="289"/>
      <c r="D166" s="289"/>
      <c r="E166" s="189"/>
      <c r="P166" s="436"/>
      <c r="Q166" s="437"/>
      <c r="R166" s="108"/>
      <c r="S166" s="108"/>
      <c r="T166" s="108"/>
      <c r="U166" s="189"/>
      <c r="AF166" s="436"/>
      <c r="AG166" s="437"/>
      <c r="AH166" s="108"/>
      <c r="AI166" s="108"/>
      <c r="AJ166" s="108"/>
      <c r="AK166" s="189"/>
      <c r="AV166" s="436"/>
      <c r="AW166" s="437"/>
      <c r="AX166" s="108"/>
      <c r="AY166" s="108"/>
      <c r="AZ166" s="108"/>
      <c r="BA166" s="189"/>
      <c r="BL166" s="436"/>
      <c r="BM166" s="437"/>
      <c r="BN166" s="108"/>
      <c r="BO166" s="108"/>
      <c r="BP166" s="108"/>
      <c r="BQ166" s="189"/>
      <c r="CB166" s="436"/>
      <c r="CC166" s="437"/>
      <c r="CD166" s="108"/>
      <c r="CE166" s="108"/>
      <c r="CF166" s="108"/>
      <c r="CG166" s="189"/>
      <c r="CR166" s="436"/>
      <c r="CS166" s="437"/>
      <c r="CT166" s="108"/>
      <c r="CU166" s="108"/>
      <c r="CV166" s="108"/>
      <c r="CW166" s="189"/>
      <c r="DH166" s="436"/>
      <c r="DI166" s="437"/>
      <c r="DJ166" s="108"/>
      <c r="DK166" s="108"/>
      <c r="DL166" s="108"/>
      <c r="DM166" s="189"/>
      <c r="DN166" s="436"/>
      <c r="DX166" s="436"/>
      <c r="DY166" s="437"/>
      <c r="DZ166" s="108"/>
      <c r="EA166" s="108"/>
      <c r="EB166" s="108"/>
    </row>
    <row r="167" spans="1:132" ht="14.25" customHeight="1">
      <c r="A167" s="152"/>
      <c r="C167" s="289"/>
      <c r="D167" s="289"/>
      <c r="E167" s="189"/>
      <c r="P167" s="436"/>
      <c r="Q167" s="437"/>
      <c r="R167" s="108"/>
      <c r="S167" s="108"/>
      <c r="T167" s="108"/>
      <c r="U167" s="189"/>
      <c r="AF167" s="436"/>
      <c r="AG167" s="437"/>
      <c r="AH167" s="108"/>
      <c r="AI167" s="108"/>
      <c r="AJ167" s="108"/>
      <c r="AK167" s="189"/>
      <c r="AV167" s="436"/>
      <c r="AW167" s="437"/>
      <c r="AX167" s="108"/>
      <c r="AY167" s="108"/>
      <c r="AZ167" s="108"/>
      <c r="BA167" s="189"/>
      <c r="BL167" s="436"/>
      <c r="BM167" s="437"/>
      <c r="BN167" s="108"/>
      <c r="BO167" s="108"/>
      <c r="BP167" s="108"/>
      <c r="BQ167" s="189"/>
      <c r="CB167" s="436"/>
      <c r="CC167" s="437"/>
      <c r="CD167" s="108"/>
      <c r="CE167" s="108"/>
      <c r="CF167" s="108"/>
      <c r="CG167" s="189"/>
      <c r="CR167" s="436"/>
      <c r="CS167" s="437"/>
      <c r="CT167" s="108"/>
      <c r="CU167" s="108"/>
      <c r="CV167" s="108"/>
      <c r="CW167" s="189"/>
      <c r="DH167" s="436"/>
      <c r="DI167" s="437"/>
      <c r="DJ167" s="108"/>
      <c r="DK167" s="108"/>
      <c r="DL167" s="108"/>
      <c r="DM167" s="189"/>
      <c r="DN167" s="436"/>
      <c r="DX167" s="436"/>
      <c r="DY167" s="437"/>
      <c r="DZ167" s="108"/>
      <c r="EA167" s="108"/>
      <c r="EB167" s="108"/>
    </row>
    <row r="168" spans="1:132" ht="14.25" customHeight="1">
      <c r="A168" s="152"/>
      <c r="C168" s="289"/>
      <c r="D168" s="289"/>
      <c r="E168" s="189"/>
      <c r="P168" s="436"/>
      <c r="Q168" s="437"/>
      <c r="R168" s="108"/>
      <c r="S168" s="108"/>
      <c r="T168" s="108"/>
      <c r="U168" s="189"/>
      <c r="AF168" s="436"/>
      <c r="AG168" s="437"/>
      <c r="AH168" s="108"/>
      <c r="AI168" s="108"/>
      <c r="AJ168" s="108"/>
      <c r="AK168" s="189"/>
      <c r="AV168" s="436"/>
      <c r="AW168" s="437"/>
      <c r="AX168" s="108"/>
      <c r="AY168" s="108"/>
      <c r="AZ168" s="108"/>
      <c r="BA168" s="189"/>
      <c r="BL168" s="436"/>
      <c r="BM168" s="437"/>
      <c r="BN168" s="108"/>
      <c r="BO168" s="108"/>
      <c r="BP168" s="108"/>
      <c r="BQ168" s="189"/>
      <c r="CB168" s="436"/>
      <c r="CC168" s="437"/>
      <c r="CD168" s="108"/>
      <c r="CE168" s="108"/>
      <c r="CF168" s="108"/>
      <c r="CG168" s="189"/>
      <c r="CR168" s="436"/>
      <c r="CS168" s="437"/>
      <c r="CT168" s="108"/>
      <c r="CU168" s="108"/>
      <c r="CV168" s="108"/>
      <c r="CW168" s="189"/>
      <c r="DH168" s="436"/>
      <c r="DI168" s="437"/>
      <c r="DJ168" s="108"/>
      <c r="DK168" s="108"/>
      <c r="DL168" s="108"/>
      <c r="DM168" s="189"/>
      <c r="DN168" s="436"/>
      <c r="DX168" s="436"/>
      <c r="DY168" s="437"/>
      <c r="DZ168" s="108"/>
      <c r="EA168" s="108"/>
      <c r="EB168" s="108"/>
    </row>
    <row r="169" spans="1:132" ht="14.25" customHeight="1">
      <c r="A169" s="152"/>
      <c r="C169" s="289"/>
      <c r="D169" s="289"/>
      <c r="E169" s="189"/>
      <c r="P169" s="436"/>
      <c r="Q169" s="437"/>
      <c r="R169" s="108"/>
      <c r="S169" s="108"/>
      <c r="T169" s="108"/>
      <c r="U169" s="189"/>
      <c r="AF169" s="436"/>
      <c r="AG169" s="437"/>
      <c r="AH169" s="108"/>
      <c r="AI169" s="108"/>
      <c r="AJ169" s="108"/>
      <c r="AK169" s="189"/>
      <c r="AV169" s="436"/>
      <c r="AW169" s="437"/>
      <c r="AX169" s="108"/>
      <c r="AY169" s="108"/>
      <c r="AZ169" s="108"/>
      <c r="BA169" s="189"/>
      <c r="BL169" s="436"/>
      <c r="BM169" s="437"/>
      <c r="BN169" s="108"/>
      <c r="BO169" s="108"/>
      <c r="BP169" s="108"/>
      <c r="BQ169" s="189"/>
      <c r="CB169" s="436"/>
      <c r="CC169" s="437"/>
      <c r="CD169" s="108"/>
      <c r="CE169" s="108"/>
      <c r="CF169" s="108"/>
      <c r="CG169" s="189"/>
      <c r="CR169" s="436"/>
      <c r="CS169" s="437"/>
      <c r="CT169" s="108"/>
      <c r="CU169" s="108"/>
      <c r="CV169" s="108"/>
      <c r="CW169" s="189"/>
      <c r="DH169" s="436"/>
      <c r="DI169" s="437"/>
      <c r="DJ169" s="108"/>
      <c r="DK169" s="108"/>
      <c r="DL169" s="108"/>
      <c r="DM169" s="189"/>
      <c r="DN169" s="436"/>
      <c r="DX169" s="436"/>
      <c r="DY169" s="437"/>
      <c r="DZ169" s="108"/>
      <c r="EA169" s="108"/>
      <c r="EB169" s="108"/>
    </row>
    <row r="170" spans="1:132" ht="14.25" customHeight="1">
      <c r="A170" s="152"/>
      <c r="C170" s="289"/>
      <c r="D170" s="289"/>
      <c r="E170" s="189"/>
      <c r="P170" s="436"/>
      <c r="Q170" s="437"/>
      <c r="R170" s="108"/>
      <c r="S170" s="108"/>
      <c r="T170" s="108"/>
      <c r="U170" s="189"/>
      <c r="AF170" s="436"/>
      <c r="AG170" s="437"/>
      <c r="AH170" s="108"/>
      <c r="AI170" s="108"/>
      <c r="AJ170" s="108"/>
      <c r="AK170" s="189"/>
      <c r="AV170" s="436"/>
      <c r="AW170" s="437"/>
      <c r="AX170" s="108"/>
      <c r="AY170" s="108"/>
      <c r="AZ170" s="108"/>
      <c r="BA170" s="189"/>
      <c r="BL170" s="436"/>
      <c r="BM170" s="437"/>
      <c r="BN170" s="108"/>
      <c r="BO170" s="108"/>
      <c r="BP170" s="108"/>
      <c r="BQ170" s="189"/>
      <c r="CB170" s="436"/>
      <c r="CC170" s="437"/>
      <c r="CD170" s="108"/>
      <c r="CE170" s="108"/>
      <c r="CF170" s="108"/>
      <c r="CG170" s="189"/>
      <c r="CR170" s="436"/>
      <c r="CS170" s="437"/>
      <c r="CT170" s="108"/>
      <c r="CU170" s="108"/>
      <c r="CV170" s="108"/>
      <c r="CW170" s="189"/>
      <c r="DH170" s="436"/>
      <c r="DI170" s="437"/>
      <c r="DJ170" s="108"/>
      <c r="DK170" s="108"/>
      <c r="DL170" s="108"/>
      <c r="DM170" s="189"/>
      <c r="DN170" s="436"/>
      <c r="DX170" s="436"/>
      <c r="DY170" s="437"/>
      <c r="DZ170" s="108"/>
      <c r="EA170" s="108"/>
      <c r="EB170" s="108"/>
    </row>
    <row r="171" spans="1:132" ht="14.25" customHeight="1">
      <c r="A171" s="152"/>
      <c r="C171" s="289"/>
      <c r="D171" s="289"/>
      <c r="E171" s="189"/>
      <c r="P171" s="436"/>
      <c r="Q171" s="437"/>
      <c r="R171" s="108"/>
      <c r="S171" s="108"/>
      <c r="T171" s="108"/>
      <c r="U171" s="189"/>
      <c r="AF171" s="436"/>
      <c r="AG171" s="437"/>
      <c r="AH171" s="108"/>
      <c r="AI171" s="108"/>
      <c r="AJ171" s="108"/>
      <c r="AK171" s="189"/>
      <c r="AV171" s="436"/>
      <c r="AW171" s="437"/>
      <c r="AX171" s="108"/>
      <c r="AY171" s="108"/>
      <c r="AZ171" s="108"/>
      <c r="BA171" s="189"/>
      <c r="BL171" s="436"/>
      <c r="BM171" s="437"/>
      <c r="BN171" s="108"/>
      <c r="BO171" s="108"/>
      <c r="BP171" s="108"/>
      <c r="BQ171" s="189"/>
      <c r="CB171" s="436"/>
      <c r="CC171" s="437"/>
      <c r="CD171" s="108"/>
      <c r="CE171" s="108"/>
      <c r="CF171" s="108"/>
      <c r="CG171" s="189"/>
      <c r="CR171" s="436"/>
      <c r="CS171" s="437"/>
      <c r="CT171" s="108"/>
      <c r="CU171" s="108"/>
      <c r="CV171" s="108"/>
      <c r="CW171" s="189"/>
      <c r="DH171" s="436"/>
      <c r="DI171" s="437"/>
      <c r="DJ171" s="108"/>
      <c r="DK171" s="108"/>
      <c r="DL171" s="108"/>
      <c r="DM171" s="189"/>
      <c r="DN171" s="436"/>
      <c r="DX171" s="436"/>
      <c r="DY171" s="437"/>
      <c r="DZ171" s="108"/>
      <c r="EA171" s="108"/>
      <c r="EB171" s="108"/>
    </row>
    <row r="172" spans="1:132" ht="14.25" customHeight="1">
      <c r="A172" s="152"/>
      <c r="C172" s="289"/>
      <c r="D172" s="289"/>
      <c r="E172" s="189"/>
      <c r="P172" s="436"/>
      <c r="Q172" s="437"/>
      <c r="R172" s="108"/>
      <c r="S172" s="108"/>
      <c r="T172" s="108"/>
      <c r="U172" s="189"/>
      <c r="AF172" s="436"/>
      <c r="AG172" s="437"/>
      <c r="AH172" s="108"/>
      <c r="AI172" s="108"/>
      <c r="AJ172" s="108"/>
      <c r="AK172" s="189"/>
      <c r="AV172" s="436"/>
      <c r="AW172" s="437"/>
      <c r="AX172" s="108"/>
      <c r="AY172" s="108"/>
      <c r="AZ172" s="108"/>
      <c r="BA172" s="189"/>
      <c r="BL172" s="436"/>
      <c r="BM172" s="437"/>
      <c r="BN172" s="108"/>
      <c r="BO172" s="108"/>
      <c r="BP172" s="108"/>
      <c r="BQ172" s="189"/>
      <c r="CB172" s="436"/>
      <c r="CC172" s="437"/>
      <c r="CD172" s="108"/>
      <c r="CE172" s="108"/>
      <c r="CF172" s="108"/>
      <c r="CG172" s="189"/>
      <c r="CR172" s="436"/>
      <c r="CS172" s="437"/>
      <c r="CT172" s="108"/>
      <c r="CU172" s="108"/>
      <c r="CV172" s="108"/>
      <c r="CW172" s="189"/>
      <c r="DH172" s="436"/>
      <c r="DI172" s="437"/>
      <c r="DJ172" s="108"/>
      <c r="DK172" s="108"/>
      <c r="DL172" s="108"/>
      <c r="DM172" s="189"/>
      <c r="DN172" s="436"/>
      <c r="DX172" s="436"/>
      <c r="DY172" s="437"/>
      <c r="DZ172" s="108"/>
      <c r="EA172" s="108"/>
      <c r="EB172" s="108"/>
    </row>
    <row r="173" spans="1:132" ht="14.25" customHeight="1">
      <c r="A173" s="152"/>
      <c r="C173" s="289"/>
      <c r="D173" s="289"/>
      <c r="E173" s="189"/>
      <c r="P173" s="436"/>
      <c r="Q173" s="437"/>
      <c r="R173" s="108"/>
      <c r="S173" s="108"/>
      <c r="T173" s="108"/>
      <c r="U173" s="189"/>
      <c r="AF173" s="436"/>
      <c r="AG173" s="437"/>
      <c r="AH173" s="108"/>
      <c r="AI173" s="108"/>
      <c r="AJ173" s="108"/>
      <c r="AK173" s="189"/>
      <c r="AV173" s="436"/>
      <c r="AW173" s="437"/>
      <c r="AX173" s="108"/>
      <c r="AY173" s="108"/>
      <c r="AZ173" s="108"/>
      <c r="BA173" s="189"/>
      <c r="BL173" s="436"/>
      <c r="BM173" s="437"/>
      <c r="BN173" s="108"/>
      <c r="BO173" s="108"/>
      <c r="BP173" s="108"/>
      <c r="BQ173" s="189"/>
      <c r="CB173" s="436"/>
      <c r="CC173" s="437"/>
      <c r="CD173" s="108"/>
      <c r="CE173" s="108"/>
      <c r="CF173" s="108"/>
      <c r="CG173" s="189"/>
      <c r="CR173" s="436"/>
      <c r="CS173" s="437"/>
      <c r="CT173" s="108"/>
      <c r="CU173" s="108"/>
      <c r="CV173" s="108"/>
      <c r="CW173" s="189"/>
      <c r="DH173" s="436"/>
      <c r="DI173" s="437"/>
      <c r="DJ173" s="108"/>
      <c r="DK173" s="108"/>
      <c r="DL173" s="108"/>
      <c r="DM173" s="189"/>
      <c r="DN173" s="436"/>
      <c r="DX173" s="436"/>
      <c r="DY173" s="437"/>
      <c r="DZ173" s="108"/>
      <c r="EA173" s="108"/>
      <c r="EB173" s="108"/>
    </row>
    <row r="174" spans="1:132" ht="14.25" customHeight="1">
      <c r="A174" s="152"/>
      <c r="C174" s="289"/>
      <c r="D174" s="289"/>
      <c r="E174" s="189"/>
      <c r="P174" s="436"/>
      <c r="Q174" s="437"/>
      <c r="R174" s="108"/>
      <c r="S174" s="108"/>
      <c r="T174" s="108"/>
      <c r="U174" s="189"/>
      <c r="AF174" s="436"/>
      <c r="AG174" s="437"/>
      <c r="AH174" s="108"/>
      <c r="AI174" s="108"/>
      <c r="AJ174" s="108"/>
      <c r="AK174" s="189"/>
      <c r="AV174" s="436"/>
      <c r="AW174" s="437"/>
      <c r="AX174" s="108"/>
      <c r="AY174" s="108"/>
      <c r="AZ174" s="108"/>
      <c r="BA174" s="189"/>
      <c r="BL174" s="436"/>
      <c r="BM174" s="437"/>
      <c r="BN174" s="108"/>
      <c r="BO174" s="108"/>
      <c r="BP174" s="108"/>
      <c r="BQ174" s="189"/>
      <c r="CB174" s="436"/>
      <c r="CC174" s="437"/>
      <c r="CD174" s="108"/>
      <c r="CE174" s="108"/>
      <c r="CF174" s="108"/>
      <c r="CG174" s="189"/>
      <c r="CR174" s="436"/>
      <c r="CS174" s="437"/>
      <c r="CT174" s="108"/>
      <c r="CU174" s="108"/>
      <c r="CV174" s="108"/>
      <c r="CW174" s="189"/>
      <c r="DH174" s="436"/>
      <c r="DI174" s="437"/>
      <c r="DJ174" s="108"/>
      <c r="DK174" s="108"/>
      <c r="DL174" s="108"/>
      <c r="DM174" s="189"/>
      <c r="DN174" s="436"/>
      <c r="DX174" s="436"/>
      <c r="DY174" s="437"/>
      <c r="DZ174" s="108"/>
      <c r="EA174" s="108"/>
      <c r="EB174" s="108"/>
    </row>
    <row r="175" spans="1:132" ht="14.25" customHeight="1">
      <c r="A175" s="152"/>
      <c r="C175" s="289"/>
      <c r="D175" s="289"/>
      <c r="E175" s="189"/>
      <c r="P175" s="436"/>
      <c r="Q175" s="437"/>
      <c r="R175" s="108"/>
      <c r="S175" s="108"/>
      <c r="T175" s="108"/>
      <c r="U175" s="189"/>
      <c r="AF175" s="436"/>
      <c r="AG175" s="437"/>
      <c r="AH175" s="108"/>
      <c r="AI175" s="108"/>
      <c r="AJ175" s="108"/>
      <c r="AK175" s="189"/>
      <c r="AV175" s="436"/>
      <c r="AW175" s="437"/>
      <c r="AX175" s="108"/>
      <c r="AY175" s="108"/>
      <c r="AZ175" s="108"/>
      <c r="BA175" s="189"/>
      <c r="BL175" s="436"/>
      <c r="BM175" s="437"/>
      <c r="BN175" s="108"/>
      <c r="BO175" s="108"/>
      <c r="BP175" s="108"/>
      <c r="BQ175" s="189"/>
      <c r="CB175" s="436"/>
      <c r="CC175" s="437"/>
      <c r="CD175" s="108"/>
      <c r="CE175" s="108"/>
      <c r="CF175" s="108"/>
      <c r="CG175" s="189"/>
      <c r="CR175" s="436"/>
      <c r="CS175" s="437"/>
      <c r="CT175" s="108"/>
      <c r="CU175" s="108"/>
      <c r="CV175" s="108"/>
      <c r="CW175" s="189"/>
      <c r="DH175" s="436"/>
      <c r="DI175" s="437"/>
      <c r="DJ175" s="108"/>
      <c r="DK175" s="108"/>
      <c r="DL175" s="108"/>
      <c r="DM175" s="189"/>
      <c r="DN175" s="436"/>
      <c r="DX175" s="436"/>
      <c r="DY175" s="437"/>
      <c r="DZ175" s="108"/>
      <c r="EA175" s="108"/>
      <c r="EB175" s="108"/>
    </row>
    <row r="176" spans="1:132" ht="14.25" customHeight="1">
      <c r="A176" s="152"/>
      <c r="C176" s="289"/>
      <c r="D176" s="289"/>
      <c r="E176" s="189"/>
      <c r="P176" s="436"/>
      <c r="Q176" s="437"/>
      <c r="R176" s="108"/>
      <c r="S176" s="108"/>
      <c r="T176" s="108"/>
      <c r="U176" s="189"/>
      <c r="AF176" s="436"/>
      <c r="AG176" s="437"/>
      <c r="AH176" s="108"/>
      <c r="AI176" s="108"/>
      <c r="AJ176" s="108"/>
      <c r="AK176" s="189"/>
      <c r="AV176" s="436"/>
      <c r="AW176" s="437"/>
      <c r="AX176" s="108"/>
      <c r="AY176" s="108"/>
      <c r="AZ176" s="108"/>
      <c r="BA176" s="189"/>
      <c r="BL176" s="436"/>
      <c r="BM176" s="437"/>
      <c r="BN176" s="108"/>
      <c r="BO176" s="108"/>
      <c r="BP176" s="108"/>
      <c r="BQ176" s="189"/>
      <c r="CB176" s="436"/>
      <c r="CC176" s="437"/>
      <c r="CD176" s="108"/>
      <c r="CE176" s="108"/>
      <c r="CF176" s="108"/>
      <c r="CG176" s="189"/>
      <c r="CR176" s="436"/>
      <c r="CS176" s="437"/>
      <c r="CT176" s="108"/>
      <c r="CU176" s="108"/>
      <c r="CV176" s="108"/>
      <c r="CW176" s="189"/>
      <c r="DH176" s="436"/>
      <c r="DI176" s="437"/>
      <c r="DJ176" s="108"/>
      <c r="DK176" s="108"/>
      <c r="DL176" s="108"/>
      <c r="DM176" s="189"/>
      <c r="DN176" s="436"/>
      <c r="DX176" s="436"/>
      <c r="DY176" s="437"/>
      <c r="DZ176" s="108"/>
      <c r="EA176" s="108"/>
      <c r="EB176" s="108"/>
    </row>
    <row r="177" spans="1:132" ht="14.25" customHeight="1">
      <c r="A177" s="152"/>
      <c r="C177" s="289"/>
      <c r="D177" s="289"/>
      <c r="E177" s="189"/>
      <c r="P177" s="436"/>
      <c r="Q177" s="437"/>
      <c r="R177" s="108"/>
      <c r="S177" s="108"/>
      <c r="T177" s="108"/>
      <c r="U177" s="189"/>
      <c r="AF177" s="436"/>
      <c r="AG177" s="437"/>
      <c r="AH177" s="108"/>
      <c r="AI177" s="108"/>
      <c r="AJ177" s="108"/>
      <c r="AK177" s="189"/>
      <c r="AV177" s="436"/>
      <c r="AW177" s="437"/>
      <c r="AX177" s="108"/>
      <c r="AY177" s="108"/>
      <c r="AZ177" s="108"/>
      <c r="BA177" s="189"/>
      <c r="BL177" s="436"/>
      <c r="BM177" s="437"/>
      <c r="BN177" s="108"/>
      <c r="BO177" s="108"/>
      <c r="BP177" s="108"/>
      <c r="BQ177" s="189"/>
      <c r="CB177" s="436"/>
      <c r="CC177" s="437"/>
      <c r="CD177" s="108"/>
      <c r="CE177" s="108"/>
      <c r="CF177" s="108"/>
      <c r="CG177" s="189"/>
      <c r="CR177" s="436"/>
      <c r="CS177" s="437"/>
      <c r="CT177" s="108"/>
      <c r="CU177" s="108"/>
      <c r="CV177" s="108"/>
      <c r="CW177" s="189"/>
      <c r="DH177" s="436"/>
      <c r="DI177" s="437"/>
      <c r="DJ177" s="108"/>
      <c r="DK177" s="108"/>
      <c r="DL177" s="108"/>
      <c r="DM177" s="189"/>
      <c r="DN177" s="436"/>
      <c r="DX177" s="436"/>
      <c r="DY177" s="437"/>
      <c r="DZ177" s="108"/>
      <c r="EA177" s="108"/>
      <c r="EB177" s="108"/>
    </row>
    <row r="178" spans="1:132" ht="14.25" customHeight="1">
      <c r="A178" s="152"/>
      <c r="C178" s="289"/>
      <c r="D178" s="289"/>
      <c r="E178" s="189"/>
      <c r="P178" s="436"/>
      <c r="Q178" s="437"/>
      <c r="R178" s="108"/>
      <c r="S178" s="108"/>
      <c r="T178" s="108"/>
      <c r="U178" s="189"/>
      <c r="AF178" s="436"/>
      <c r="AG178" s="437"/>
      <c r="AH178" s="108"/>
      <c r="AI178" s="108"/>
      <c r="AJ178" s="108"/>
      <c r="AK178" s="189"/>
      <c r="AV178" s="436"/>
      <c r="AW178" s="437"/>
      <c r="AX178" s="108"/>
      <c r="AY178" s="108"/>
      <c r="AZ178" s="108"/>
      <c r="BA178" s="189"/>
      <c r="BL178" s="436"/>
      <c r="BM178" s="437"/>
      <c r="BN178" s="108"/>
      <c r="BO178" s="108"/>
      <c r="BP178" s="108"/>
      <c r="BQ178" s="189"/>
      <c r="CB178" s="436"/>
      <c r="CC178" s="437"/>
      <c r="CD178" s="108"/>
      <c r="CE178" s="108"/>
      <c r="CF178" s="108"/>
      <c r="CG178" s="189"/>
      <c r="CR178" s="436"/>
      <c r="CS178" s="437"/>
      <c r="CT178" s="108"/>
      <c r="CU178" s="108"/>
      <c r="CV178" s="108"/>
      <c r="CW178" s="189"/>
      <c r="DH178" s="436"/>
      <c r="DI178" s="437"/>
      <c r="DJ178" s="108"/>
      <c r="DK178" s="108"/>
      <c r="DL178" s="108"/>
      <c r="DM178" s="189"/>
      <c r="DN178" s="436"/>
      <c r="DX178" s="436"/>
      <c r="DY178" s="437"/>
      <c r="DZ178" s="108"/>
      <c r="EA178" s="108"/>
      <c r="EB178" s="108"/>
    </row>
    <row r="179" spans="1:132" ht="14.25" customHeight="1">
      <c r="A179" s="152"/>
      <c r="C179" s="289"/>
      <c r="D179" s="289"/>
      <c r="E179" s="189"/>
      <c r="P179" s="436"/>
      <c r="Q179" s="437"/>
      <c r="R179" s="108"/>
      <c r="S179" s="108"/>
      <c r="T179" s="108"/>
      <c r="U179" s="189"/>
      <c r="AF179" s="436"/>
      <c r="AG179" s="437"/>
      <c r="AH179" s="108"/>
      <c r="AI179" s="108"/>
      <c r="AJ179" s="108"/>
      <c r="AK179" s="189"/>
      <c r="AV179" s="436"/>
      <c r="AW179" s="437"/>
      <c r="AX179" s="108"/>
      <c r="AY179" s="108"/>
      <c r="AZ179" s="108"/>
      <c r="BA179" s="189"/>
      <c r="BL179" s="436"/>
      <c r="BM179" s="437"/>
      <c r="BN179" s="108"/>
      <c r="BO179" s="108"/>
      <c r="BP179" s="108"/>
      <c r="BQ179" s="189"/>
      <c r="CB179" s="436"/>
      <c r="CC179" s="437"/>
      <c r="CD179" s="108"/>
      <c r="CE179" s="108"/>
      <c r="CF179" s="108"/>
      <c r="CG179" s="189"/>
      <c r="CR179" s="436"/>
      <c r="CS179" s="437"/>
      <c r="CT179" s="108"/>
      <c r="CU179" s="108"/>
      <c r="CV179" s="108"/>
      <c r="CW179" s="189"/>
      <c r="DH179" s="436"/>
      <c r="DI179" s="437"/>
      <c r="DJ179" s="108"/>
      <c r="DK179" s="108"/>
      <c r="DL179" s="108"/>
      <c r="DM179" s="189"/>
      <c r="DN179" s="436"/>
      <c r="DX179" s="436"/>
      <c r="DY179" s="437"/>
      <c r="DZ179" s="108"/>
      <c r="EA179" s="108"/>
      <c r="EB179" s="108"/>
    </row>
    <row r="180" spans="1:132" ht="14.25" customHeight="1">
      <c r="A180" s="152"/>
      <c r="C180" s="289"/>
      <c r="D180" s="289"/>
      <c r="E180" s="189"/>
      <c r="P180" s="436"/>
      <c r="Q180" s="437"/>
      <c r="R180" s="108"/>
      <c r="S180" s="108"/>
      <c r="T180" s="108"/>
      <c r="U180" s="189"/>
      <c r="AF180" s="436"/>
      <c r="AG180" s="437"/>
      <c r="AH180" s="108"/>
      <c r="AI180" s="108"/>
      <c r="AJ180" s="108"/>
      <c r="AK180" s="189"/>
      <c r="AV180" s="436"/>
      <c r="AW180" s="437"/>
      <c r="AX180" s="108"/>
      <c r="AY180" s="108"/>
      <c r="AZ180" s="108"/>
      <c r="BA180" s="189"/>
      <c r="BL180" s="436"/>
      <c r="BM180" s="437"/>
      <c r="BN180" s="108"/>
      <c r="BO180" s="108"/>
      <c r="BP180" s="108"/>
      <c r="BQ180" s="189"/>
      <c r="CB180" s="436"/>
      <c r="CC180" s="437"/>
      <c r="CD180" s="108"/>
      <c r="CE180" s="108"/>
      <c r="CF180" s="108"/>
      <c r="CG180" s="189"/>
      <c r="CR180" s="436"/>
      <c r="CS180" s="437"/>
      <c r="CT180" s="108"/>
      <c r="CU180" s="108"/>
      <c r="CV180" s="108"/>
      <c r="CW180" s="189"/>
      <c r="DH180" s="436"/>
      <c r="DI180" s="437"/>
      <c r="DJ180" s="108"/>
      <c r="DK180" s="108"/>
      <c r="DL180" s="108"/>
      <c r="DM180" s="189"/>
      <c r="DN180" s="436"/>
      <c r="DX180" s="436"/>
      <c r="DY180" s="437"/>
      <c r="DZ180" s="108"/>
      <c r="EA180" s="108"/>
      <c r="EB180" s="108"/>
    </row>
    <row r="181" spans="1:132" ht="14.25" customHeight="1">
      <c r="A181" s="152"/>
      <c r="C181" s="289"/>
      <c r="D181" s="289"/>
      <c r="E181" s="189"/>
      <c r="P181" s="436"/>
      <c r="Q181" s="437"/>
      <c r="R181" s="108"/>
      <c r="S181" s="108"/>
      <c r="T181" s="108"/>
      <c r="U181" s="189"/>
      <c r="AF181" s="436"/>
      <c r="AG181" s="437"/>
      <c r="AH181" s="108"/>
      <c r="AI181" s="108"/>
      <c r="AJ181" s="108"/>
      <c r="AK181" s="189"/>
      <c r="AV181" s="436"/>
      <c r="AW181" s="437"/>
      <c r="AX181" s="108"/>
      <c r="AY181" s="108"/>
      <c r="AZ181" s="108"/>
      <c r="BA181" s="189"/>
      <c r="BL181" s="436"/>
      <c r="BM181" s="437"/>
      <c r="BN181" s="108"/>
      <c r="BO181" s="108"/>
      <c r="BP181" s="108"/>
      <c r="BQ181" s="189"/>
      <c r="CB181" s="436"/>
      <c r="CC181" s="437"/>
      <c r="CD181" s="108"/>
      <c r="CE181" s="108"/>
      <c r="CF181" s="108"/>
      <c r="CG181" s="189"/>
      <c r="CR181" s="436"/>
      <c r="CS181" s="437"/>
      <c r="CT181" s="108"/>
      <c r="CU181" s="108"/>
      <c r="CV181" s="108"/>
      <c r="CW181" s="189"/>
      <c r="DH181" s="436"/>
      <c r="DI181" s="437"/>
      <c r="DJ181" s="108"/>
      <c r="DK181" s="108"/>
      <c r="DL181" s="108"/>
      <c r="DM181" s="189"/>
      <c r="DN181" s="436"/>
      <c r="DX181" s="436"/>
      <c r="DY181" s="437"/>
      <c r="DZ181" s="108"/>
      <c r="EA181" s="108"/>
      <c r="EB181" s="108"/>
    </row>
    <row r="182" spans="1:132" ht="14.25" customHeight="1">
      <c r="A182" s="152"/>
      <c r="C182" s="289"/>
      <c r="D182" s="289"/>
      <c r="E182" s="189"/>
      <c r="P182" s="436"/>
      <c r="Q182" s="437"/>
      <c r="R182" s="108"/>
      <c r="S182" s="108"/>
      <c r="T182" s="108"/>
      <c r="U182" s="189"/>
      <c r="AF182" s="436"/>
      <c r="AG182" s="437"/>
      <c r="AH182" s="108"/>
      <c r="AI182" s="108"/>
      <c r="AJ182" s="108"/>
      <c r="AK182" s="189"/>
      <c r="AV182" s="436"/>
      <c r="AW182" s="437"/>
      <c r="AX182" s="108"/>
      <c r="AY182" s="108"/>
      <c r="AZ182" s="108"/>
      <c r="BA182" s="189"/>
      <c r="BL182" s="436"/>
      <c r="BM182" s="437"/>
      <c r="BN182" s="108"/>
      <c r="BO182" s="108"/>
      <c r="BP182" s="108"/>
      <c r="BQ182" s="189"/>
      <c r="CB182" s="436"/>
      <c r="CC182" s="437"/>
      <c r="CD182" s="108"/>
      <c r="CE182" s="108"/>
      <c r="CF182" s="108"/>
      <c r="CG182" s="189"/>
      <c r="CR182" s="436"/>
      <c r="CS182" s="437"/>
      <c r="CT182" s="108"/>
      <c r="CU182" s="108"/>
      <c r="CV182" s="108"/>
      <c r="CW182" s="189"/>
      <c r="DH182" s="436"/>
      <c r="DI182" s="437"/>
      <c r="DJ182" s="108"/>
      <c r="DK182" s="108"/>
      <c r="DL182" s="108"/>
      <c r="DM182" s="189"/>
      <c r="DN182" s="436"/>
      <c r="DX182" s="436"/>
      <c r="DY182" s="437"/>
      <c r="DZ182" s="108"/>
      <c r="EA182" s="108"/>
      <c r="EB182" s="108"/>
    </row>
    <row r="183" spans="1:132" ht="14.25" customHeight="1">
      <c r="A183" s="152"/>
      <c r="C183" s="289"/>
      <c r="D183" s="289"/>
      <c r="E183" s="189"/>
      <c r="P183" s="436"/>
      <c r="Q183" s="437"/>
      <c r="R183" s="108"/>
      <c r="S183" s="108"/>
      <c r="T183" s="108"/>
      <c r="U183" s="189"/>
      <c r="AF183" s="436"/>
      <c r="AG183" s="437"/>
      <c r="AH183" s="108"/>
      <c r="AI183" s="108"/>
      <c r="AJ183" s="108"/>
      <c r="AK183" s="189"/>
      <c r="AV183" s="436"/>
      <c r="AW183" s="437"/>
      <c r="AX183" s="108"/>
      <c r="AY183" s="108"/>
      <c r="AZ183" s="108"/>
      <c r="BA183" s="189"/>
      <c r="BL183" s="436"/>
      <c r="BM183" s="437"/>
      <c r="BN183" s="108"/>
      <c r="BO183" s="108"/>
      <c r="BP183" s="108"/>
      <c r="BQ183" s="189"/>
      <c r="CB183" s="436"/>
      <c r="CC183" s="437"/>
      <c r="CD183" s="108"/>
      <c r="CE183" s="108"/>
      <c r="CF183" s="108"/>
      <c r="CG183" s="189"/>
      <c r="CR183" s="436"/>
      <c r="CS183" s="437"/>
      <c r="CT183" s="108"/>
      <c r="CU183" s="108"/>
      <c r="CV183" s="108"/>
      <c r="CW183" s="189"/>
      <c r="DH183" s="436"/>
      <c r="DI183" s="437"/>
      <c r="DJ183" s="108"/>
      <c r="DK183" s="108"/>
      <c r="DL183" s="108"/>
      <c r="DM183" s="189"/>
      <c r="DN183" s="436"/>
      <c r="DX183" s="436"/>
      <c r="DY183" s="437"/>
      <c r="DZ183" s="108"/>
      <c r="EA183" s="108"/>
      <c r="EB183" s="108"/>
    </row>
    <row r="184" spans="1:132" ht="14.25" customHeight="1">
      <c r="A184" s="152"/>
      <c r="C184" s="289"/>
      <c r="D184" s="289"/>
      <c r="E184" s="189"/>
      <c r="P184" s="436"/>
      <c r="Q184" s="437"/>
      <c r="R184" s="108"/>
      <c r="S184" s="108"/>
      <c r="T184" s="108"/>
      <c r="U184" s="189"/>
      <c r="AF184" s="436"/>
      <c r="AG184" s="437"/>
      <c r="AH184" s="108"/>
      <c r="AI184" s="108"/>
      <c r="AJ184" s="108"/>
      <c r="AK184" s="189"/>
      <c r="AV184" s="436"/>
      <c r="AW184" s="437"/>
      <c r="AX184" s="108"/>
      <c r="AY184" s="108"/>
      <c r="AZ184" s="108"/>
      <c r="BA184" s="189"/>
      <c r="BL184" s="436"/>
      <c r="BM184" s="437"/>
      <c r="BN184" s="108"/>
      <c r="BO184" s="108"/>
      <c r="BP184" s="108"/>
      <c r="BQ184" s="189"/>
      <c r="CB184" s="436"/>
      <c r="CC184" s="437"/>
      <c r="CD184" s="108"/>
      <c r="CE184" s="108"/>
      <c r="CF184" s="108"/>
      <c r="CG184" s="189"/>
      <c r="CR184" s="436"/>
      <c r="CS184" s="437"/>
      <c r="CT184" s="108"/>
      <c r="CU184" s="108"/>
      <c r="CV184" s="108"/>
      <c r="CW184" s="189"/>
      <c r="DH184" s="436"/>
      <c r="DI184" s="437"/>
      <c r="DJ184" s="108"/>
      <c r="DK184" s="108"/>
      <c r="DL184" s="108"/>
      <c r="DM184" s="189"/>
      <c r="DN184" s="436"/>
      <c r="DX184" s="436"/>
      <c r="DY184" s="437"/>
      <c r="DZ184" s="108"/>
      <c r="EA184" s="108"/>
      <c r="EB184" s="108"/>
    </row>
    <row r="185" spans="1:132" ht="14.25" customHeight="1">
      <c r="A185" s="152"/>
      <c r="C185" s="289"/>
      <c r="D185" s="289"/>
      <c r="E185" s="189"/>
      <c r="P185" s="436"/>
      <c r="Q185" s="437"/>
      <c r="R185" s="108"/>
      <c r="S185" s="108"/>
      <c r="T185" s="108"/>
      <c r="U185" s="189"/>
      <c r="AF185" s="436"/>
      <c r="AG185" s="437"/>
      <c r="AH185" s="108"/>
      <c r="AI185" s="108"/>
      <c r="AJ185" s="108"/>
      <c r="AK185" s="189"/>
      <c r="AV185" s="436"/>
      <c r="AW185" s="437"/>
      <c r="AX185" s="108"/>
      <c r="AY185" s="108"/>
      <c r="AZ185" s="108"/>
      <c r="BA185" s="189"/>
      <c r="BL185" s="436"/>
      <c r="BM185" s="437"/>
      <c r="BN185" s="108"/>
      <c r="BO185" s="108"/>
      <c r="BP185" s="108"/>
      <c r="BQ185" s="189"/>
      <c r="CB185" s="436"/>
      <c r="CC185" s="437"/>
      <c r="CD185" s="108"/>
      <c r="CE185" s="108"/>
      <c r="CF185" s="108"/>
      <c r="CG185" s="189"/>
      <c r="CR185" s="436"/>
      <c r="CS185" s="437"/>
      <c r="CT185" s="108"/>
      <c r="CU185" s="108"/>
      <c r="CV185" s="108"/>
      <c r="CW185" s="189"/>
      <c r="DH185" s="436"/>
      <c r="DI185" s="437"/>
      <c r="DJ185" s="108"/>
      <c r="DK185" s="108"/>
      <c r="DL185" s="108"/>
      <c r="DM185" s="189"/>
      <c r="DN185" s="436"/>
      <c r="DX185" s="436"/>
      <c r="DY185" s="437"/>
      <c r="DZ185" s="108"/>
      <c r="EA185" s="108"/>
      <c r="EB185" s="108"/>
    </row>
    <row r="186" spans="1:132" ht="14.25" customHeight="1">
      <c r="A186" s="152"/>
      <c r="C186" s="289"/>
      <c r="D186" s="289"/>
      <c r="E186" s="189"/>
      <c r="P186" s="436"/>
      <c r="Q186" s="437"/>
      <c r="R186" s="108"/>
      <c r="S186" s="108"/>
      <c r="T186" s="108"/>
      <c r="U186" s="189"/>
      <c r="AF186" s="436"/>
      <c r="AG186" s="437"/>
      <c r="AH186" s="108"/>
      <c r="AI186" s="108"/>
      <c r="AJ186" s="108"/>
      <c r="AK186" s="189"/>
      <c r="AV186" s="436"/>
      <c r="AW186" s="437"/>
      <c r="AX186" s="108"/>
      <c r="AY186" s="108"/>
      <c r="AZ186" s="108"/>
      <c r="BA186" s="189"/>
      <c r="BL186" s="436"/>
      <c r="BM186" s="437"/>
      <c r="BN186" s="108"/>
      <c r="BO186" s="108"/>
      <c r="BP186" s="108"/>
      <c r="BQ186" s="189"/>
      <c r="CB186" s="436"/>
      <c r="CC186" s="437"/>
      <c r="CD186" s="108"/>
      <c r="CE186" s="108"/>
      <c r="CF186" s="108"/>
      <c r="CG186" s="189"/>
      <c r="CR186" s="436"/>
      <c r="CS186" s="437"/>
      <c r="CT186" s="108"/>
      <c r="CU186" s="108"/>
      <c r="CV186" s="108"/>
      <c r="CW186" s="189"/>
      <c r="DH186" s="436"/>
      <c r="DI186" s="437"/>
      <c r="DJ186" s="108"/>
      <c r="DK186" s="108"/>
      <c r="DL186" s="108"/>
      <c r="DM186" s="189"/>
      <c r="DN186" s="436"/>
      <c r="DX186" s="436"/>
      <c r="DY186" s="437"/>
      <c r="DZ186" s="108"/>
      <c r="EA186" s="108"/>
      <c r="EB186" s="108"/>
    </row>
    <row r="187" spans="1:132" ht="14.25" customHeight="1">
      <c r="A187" s="152"/>
      <c r="C187" s="289"/>
      <c r="D187" s="289"/>
      <c r="E187" s="189"/>
      <c r="P187" s="436"/>
      <c r="Q187" s="437"/>
      <c r="R187" s="108"/>
      <c r="S187" s="108"/>
      <c r="T187" s="108"/>
      <c r="U187" s="189"/>
      <c r="AF187" s="436"/>
      <c r="AG187" s="437"/>
      <c r="AH187" s="108"/>
      <c r="AI187" s="108"/>
      <c r="AJ187" s="108"/>
      <c r="AK187" s="189"/>
      <c r="AV187" s="436"/>
      <c r="AW187" s="437"/>
      <c r="AX187" s="108"/>
      <c r="AY187" s="108"/>
      <c r="AZ187" s="108"/>
      <c r="BA187" s="189"/>
      <c r="BL187" s="436"/>
      <c r="BM187" s="437"/>
      <c r="BN187" s="108"/>
      <c r="BO187" s="108"/>
      <c r="BP187" s="108"/>
      <c r="BQ187" s="189"/>
      <c r="CB187" s="436"/>
      <c r="CC187" s="437"/>
      <c r="CD187" s="108"/>
      <c r="CE187" s="108"/>
      <c r="CF187" s="108"/>
      <c r="CG187" s="189"/>
      <c r="CR187" s="436"/>
      <c r="CS187" s="437"/>
      <c r="CT187" s="108"/>
      <c r="CU187" s="108"/>
      <c r="CV187" s="108"/>
      <c r="CW187" s="189"/>
      <c r="DH187" s="436"/>
      <c r="DI187" s="437"/>
      <c r="DJ187" s="108"/>
      <c r="DK187" s="108"/>
      <c r="DL187" s="108"/>
      <c r="DM187" s="189"/>
      <c r="DN187" s="436"/>
      <c r="DX187" s="436"/>
      <c r="DY187" s="437"/>
      <c r="DZ187" s="108"/>
      <c r="EA187" s="108"/>
      <c r="EB187" s="108"/>
    </row>
    <row r="188" spans="1:132" ht="14.25" customHeight="1">
      <c r="A188" s="152"/>
      <c r="C188" s="289"/>
      <c r="D188" s="289"/>
      <c r="E188" s="189"/>
      <c r="P188" s="436"/>
      <c r="Q188" s="437"/>
      <c r="R188" s="108"/>
      <c r="S188" s="108"/>
      <c r="T188" s="108"/>
      <c r="U188" s="189"/>
      <c r="AF188" s="436"/>
      <c r="AG188" s="437"/>
      <c r="AH188" s="108"/>
      <c r="AI188" s="108"/>
      <c r="AJ188" s="108"/>
      <c r="AK188" s="189"/>
      <c r="AV188" s="436"/>
      <c r="AW188" s="437"/>
      <c r="AX188" s="108"/>
      <c r="AY188" s="108"/>
      <c r="AZ188" s="108"/>
      <c r="BA188" s="189"/>
      <c r="BL188" s="436"/>
      <c r="BM188" s="437"/>
      <c r="BN188" s="108"/>
      <c r="BO188" s="108"/>
      <c r="BP188" s="108"/>
      <c r="BQ188" s="189"/>
      <c r="CB188" s="436"/>
      <c r="CC188" s="437"/>
      <c r="CD188" s="108"/>
      <c r="CE188" s="108"/>
      <c r="CF188" s="108"/>
      <c r="CG188" s="189"/>
      <c r="CR188" s="436"/>
      <c r="CS188" s="437"/>
      <c r="CT188" s="108"/>
      <c r="CU188" s="108"/>
      <c r="CV188" s="108"/>
      <c r="CW188" s="189"/>
      <c r="DH188" s="436"/>
      <c r="DI188" s="437"/>
      <c r="DJ188" s="108"/>
      <c r="DK188" s="108"/>
      <c r="DL188" s="108"/>
      <c r="DM188" s="189"/>
      <c r="DN188" s="436"/>
      <c r="DX188" s="436"/>
      <c r="DY188" s="437"/>
      <c r="DZ188" s="108"/>
      <c r="EA188" s="108"/>
      <c r="EB188" s="108"/>
    </row>
    <row r="189" spans="1:132" ht="14.25" customHeight="1">
      <c r="A189" s="152"/>
      <c r="C189" s="289"/>
      <c r="D189" s="289"/>
      <c r="E189" s="189"/>
      <c r="P189" s="436"/>
      <c r="Q189" s="437"/>
      <c r="R189" s="108"/>
      <c r="S189" s="108"/>
      <c r="T189" s="108"/>
      <c r="U189" s="189"/>
      <c r="AF189" s="436"/>
      <c r="AG189" s="437"/>
      <c r="AH189" s="108"/>
      <c r="AI189" s="108"/>
      <c r="AJ189" s="108"/>
      <c r="AK189" s="189"/>
      <c r="AV189" s="436"/>
      <c r="AW189" s="437"/>
      <c r="AX189" s="108"/>
      <c r="AY189" s="108"/>
      <c r="AZ189" s="108"/>
      <c r="BA189" s="189"/>
      <c r="BL189" s="436"/>
      <c r="BM189" s="437"/>
      <c r="BN189" s="108"/>
      <c r="BO189" s="108"/>
      <c r="BP189" s="108"/>
      <c r="BQ189" s="189"/>
      <c r="CB189" s="436"/>
      <c r="CC189" s="437"/>
      <c r="CD189" s="108"/>
      <c r="CE189" s="108"/>
      <c r="CF189" s="108"/>
      <c r="CG189" s="189"/>
      <c r="CR189" s="436"/>
      <c r="CS189" s="437"/>
      <c r="CT189" s="108"/>
      <c r="CU189" s="108"/>
      <c r="CV189" s="108"/>
      <c r="CW189" s="189"/>
      <c r="DH189" s="436"/>
      <c r="DI189" s="437"/>
      <c r="DJ189" s="108"/>
      <c r="DK189" s="108"/>
      <c r="DL189" s="108"/>
      <c r="DM189" s="189"/>
      <c r="DN189" s="436"/>
      <c r="DX189" s="436"/>
      <c r="DY189" s="437"/>
      <c r="DZ189" s="108"/>
      <c r="EA189" s="108"/>
      <c r="EB189" s="108"/>
    </row>
    <row r="190" spans="1:132" ht="14.25" customHeight="1">
      <c r="A190" s="152"/>
      <c r="C190" s="289"/>
      <c r="D190" s="289"/>
      <c r="E190" s="189"/>
      <c r="P190" s="436"/>
      <c r="Q190" s="437"/>
      <c r="R190" s="108"/>
      <c r="S190" s="108"/>
      <c r="T190" s="108"/>
      <c r="U190" s="189"/>
      <c r="AF190" s="436"/>
      <c r="AG190" s="437"/>
      <c r="AH190" s="108"/>
      <c r="AI190" s="108"/>
      <c r="AJ190" s="108"/>
      <c r="AK190" s="189"/>
      <c r="AV190" s="436"/>
      <c r="AW190" s="437"/>
      <c r="AX190" s="108"/>
      <c r="AY190" s="108"/>
      <c r="AZ190" s="108"/>
      <c r="BA190" s="189"/>
      <c r="BL190" s="436"/>
      <c r="BM190" s="437"/>
      <c r="BN190" s="108"/>
      <c r="BO190" s="108"/>
      <c r="BP190" s="108"/>
      <c r="BQ190" s="189"/>
      <c r="CB190" s="436"/>
      <c r="CC190" s="437"/>
      <c r="CD190" s="108"/>
      <c r="CE190" s="108"/>
      <c r="CF190" s="108"/>
      <c r="CG190" s="189"/>
      <c r="CR190" s="436"/>
      <c r="CS190" s="437"/>
      <c r="CT190" s="108"/>
      <c r="CU190" s="108"/>
      <c r="CV190" s="108"/>
      <c r="CW190" s="189"/>
      <c r="DH190" s="436"/>
      <c r="DI190" s="437"/>
      <c r="DJ190" s="108"/>
      <c r="DK190" s="108"/>
      <c r="DL190" s="108"/>
      <c r="DM190" s="189"/>
      <c r="DN190" s="436"/>
      <c r="DX190" s="436"/>
      <c r="DY190" s="437"/>
      <c r="DZ190" s="108"/>
      <c r="EA190" s="108"/>
      <c r="EB190" s="108"/>
    </row>
    <row r="191" spans="1:132" ht="14.25" customHeight="1">
      <c r="A191" s="152"/>
      <c r="C191" s="289"/>
      <c r="D191" s="289"/>
      <c r="E191" s="189"/>
      <c r="P191" s="436"/>
      <c r="Q191" s="437"/>
      <c r="R191" s="108"/>
      <c r="S191" s="108"/>
      <c r="T191" s="108"/>
      <c r="U191" s="189"/>
      <c r="AF191" s="436"/>
      <c r="AG191" s="437"/>
      <c r="AH191" s="108"/>
      <c r="AI191" s="108"/>
      <c r="AJ191" s="108"/>
      <c r="AK191" s="189"/>
      <c r="AV191" s="436"/>
      <c r="AW191" s="437"/>
      <c r="AX191" s="108"/>
      <c r="AY191" s="108"/>
      <c r="AZ191" s="108"/>
      <c r="BA191" s="189"/>
      <c r="BL191" s="436"/>
      <c r="BM191" s="437"/>
      <c r="BN191" s="108"/>
      <c r="BO191" s="108"/>
      <c r="BP191" s="108"/>
      <c r="BQ191" s="189"/>
      <c r="CB191" s="436"/>
      <c r="CC191" s="437"/>
      <c r="CD191" s="108"/>
      <c r="CE191" s="108"/>
      <c r="CF191" s="108"/>
      <c r="CG191" s="189"/>
      <c r="CR191" s="436"/>
      <c r="CS191" s="437"/>
      <c r="CT191" s="108"/>
      <c r="CU191" s="108"/>
      <c r="CV191" s="108"/>
      <c r="CW191" s="189"/>
      <c r="DH191" s="436"/>
      <c r="DI191" s="437"/>
      <c r="DJ191" s="108"/>
      <c r="DK191" s="108"/>
      <c r="DL191" s="108"/>
      <c r="DM191" s="189"/>
      <c r="DN191" s="436"/>
      <c r="DX191" s="436"/>
      <c r="DY191" s="437"/>
      <c r="DZ191" s="108"/>
      <c r="EA191" s="108"/>
      <c r="EB191" s="108"/>
    </row>
    <row r="192" spans="1:132" ht="14.25" customHeight="1">
      <c r="A192" s="152"/>
      <c r="C192" s="289"/>
      <c r="D192" s="289"/>
      <c r="E192" s="189"/>
      <c r="P192" s="436"/>
      <c r="Q192" s="437"/>
      <c r="R192" s="108"/>
      <c r="S192" s="108"/>
      <c r="T192" s="108"/>
      <c r="U192" s="189"/>
      <c r="AF192" s="436"/>
      <c r="AG192" s="437"/>
      <c r="AH192" s="108"/>
      <c r="AI192" s="108"/>
      <c r="AJ192" s="108"/>
      <c r="AK192" s="189"/>
      <c r="AV192" s="436"/>
      <c r="AW192" s="437"/>
      <c r="AX192" s="108"/>
      <c r="AY192" s="108"/>
      <c r="AZ192" s="108"/>
      <c r="BA192" s="189"/>
      <c r="BL192" s="436"/>
      <c r="BM192" s="437"/>
      <c r="BN192" s="108"/>
      <c r="BO192" s="108"/>
      <c r="BP192" s="108"/>
      <c r="BQ192" s="189"/>
      <c r="CB192" s="436"/>
      <c r="CC192" s="437"/>
      <c r="CD192" s="108"/>
      <c r="CE192" s="108"/>
      <c r="CF192" s="108"/>
      <c r="CG192" s="189"/>
      <c r="CR192" s="436"/>
      <c r="CS192" s="437"/>
      <c r="CT192" s="108"/>
      <c r="CU192" s="108"/>
      <c r="CV192" s="108"/>
      <c r="CW192" s="189"/>
      <c r="DH192" s="436"/>
      <c r="DI192" s="437"/>
      <c r="DJ192" s="108"/>
      <c r="DK192" s="108"/>
      <c r="DL192" s="108"/>
      <c r="DM192" s="189"/>
      <c r="DN192" s="436"/>
      <c r="DX192" s="436"/>
      <c r="DY192" s="437"/>
      <c r="DZ192" s="108"/>
      <c r="EA192" s="108"/>
      <c r="EB192" s="108"/>
    </row>
    <row r="193" spans="1:132" ht="14.25" customHeight="1">
      <c r="A193" s="152"/>
      <c r="C193" s="289"/>
      <c r="D193" s="289"/>
      <c r="E193" s="189"/>
      <c r="P193" s="436"/>
      <c r="Q193" s="437"/>
      <c r="R193" s="108"/>
      <c r="S193" s="108"/>
      <c r="T193" s="108"/>
      <c r="U193" s="189"/>
      <c r="AF193" s="436"/>
      <c r="AG193" s="437"/>
      <c r="AH193" s="108"/>
      <c r="AI193" s="108"/>
      <c r="AJ193" s="108"/>
      <c r="AK193" s="189"/>
      <c r="AV193" s="436"/>
      <c r="AW193" s="437"/>
      <c r="AX193" s="108"/>
      <c r="AY193" s="108"/>
      <c r="AZ193" s="108"/>
      <c r="BA193" s="189"/>
      <c r="BL193" s="436"/>
      <c r="BM193" s="437"/>
      <c r="BN193" s="108"/>
      <c r="BO193" s="108"/>
      <c r="BP193" s="108"/>
      <c r="BQ193" s="189"/>
      <c r="CB193" s="436"/>
      <c r="CC193" s="437"/>
      <c r="CD193" s="108"/>
      <c r="CE193" s="108"/>
      <c r="CF193" s="108"/>
      <c r="CG193" s="189"/>
      <c r="CR193" s="436"/>
      <c r="CS193" s="437"/>
      <c r="CT193" s="108"/>
      <c r="CU193" s="108"/>
      <c r="CV193" s="108"/>
      <c r="CW193" s="189"/>
      <c r="DH193" s="436"/>
      <c r="DI193" s="437"/>
      <c r="DJ193" s="108"/>
      <c r="DK193" s="108"/>
      <c r="DL193" s="108"/>
      <c r="DM193" s="189"/>
      <c r="DN193" s="436"/>
      <c r="DX193" s="436"/>
      <c r="DY193" s="437"/>
      <c r="DZ193" s="108"/>
      <c r="EA193" s="108"/>
      <c r="EB193" s="108"/>
    </row>
    <row r="194" spans="1:132" ht="14.25" customHeight="1">
      <c r="A194" s="152"/>
      <c r="C194" s="289"/>
      <c r="D194" s="289"/>
      <c r="E194" s="189"/>
      <c r="P194" s="436"/>
      <c r="Q194" s="437"/>
      <c r="R194" s="108"/>
      <c r="S194" s="108"/>
      <c r="T194" s="108"/>
      <c r="U194" s="189"/>
      <c r="AF194" s="436"/>
      <c r="AG194" s="437"/>
      <c r="AH194" s="108"/>
      <c r="AI194" s="108"/>
      <c r="AJ194" s="108"/>
      <c r="AK194" s="189"/>
      <c r="AV194" s="436"/>
      <c r="AW194" s="437"/>
      <c r="AX194" s="108"/>
      <c r="AY194" s="108"/>
      <c r="AZ194" s="108"/>
      <c r="BA194" s="189"/>
      <c r="BL194" s="436"/>
      <c r="BM194" s="437"/>
      <c r="BN194" s="108"/>
      <c r="BO194" s="108"/>
      <c r="BP194" s="108"/>
      <c r="BQ194" s="189"/>
      <c r="CB194" s="436"/>
      <c r="CC194" s="437"/>
      <c r="CD194" s="108"/>
      <c r="CE194" s="108"/>
      <c r="CF194" s="108"/>
      <c r="CG194" s="189"/>
      <c r="CR194" s="436"/>
      <c r="CS194" s="437"/>
      <c r="CT194" s="108"/>
      <c r="CU194" s="108"/>
      <c r="CV194" s="108"/>
      <c r="CW194" s="189"/>
      <c r="DH194" s="436"/>
      <c r="DI194" s="437"/>
      <c r="DJ194" s="108"/>
      <c r="DK194" s="108"/>
      <c r="DL194" s="108"/>
      <c r="DM194" s="189"/>
      <c r="DN194" s="436"/>
      <c r="DX194" s="436"/>
      <c r="DY194" s="437"/>
      <c r="DZ194" s="108"/>
      <c r="EA194" s="108"/>
      <c r="EB194" s="108"/>
    </row>
    <row r="195" spans="1:132" ht="14.25" customHeight="1">
      <c r="A195" s="152"/>
      <c r="C195" s="289"/>
      <c r="D195" s="289"/>
      <c r="E195" s="189"/>
      <c r="P195" s="436"/>
      <c r="Q195" s="437"/>
      <c r="R195" s="108"/>
      <c r="S195" s="108"/>
      <c r="T195" s="108"/>
      <c r="U195" s="189"/>
      <c r="AF195" s="436"/>
      <c r="AG195" s="437"/>
      <c r="AH195" s="108"/>
      <c r="AI195" s="108"/>
      <c r="AJ195" s="108"/>
      <c r="AK195" s="189"/>
      <c r="AV195" s="436"/>
      <c r="AW195" s="437"/>
      <c r="AX195" s="108"/>
      <c r="AY195" s="108"/>
      <c r="AZ195" s="108"/>
      <c r="BA195" s="189"/>
      <c r="BL195" s="436"/>
      <c r="BM195" s="437"/>
      <c r="BN195" s="108"/>
      <c r="BO195" s="108"/>
      <c r="BP195" s="108"/>
      <c r="BQ195" s="189"/>
      <c r="CB195" s="436"/>
      <c r="CC195" s="437"/>
      <c r="CD195" s="108"/>
      <c r="CE195" s="108"/>
      <c r="CF195" s="108"/>
      <c r="CG195" s="189"/>
      <c r="CR195" s="436"/>
      <c r="CS195" s="437"/>
      <c r="CT195" s="108"/>
      <c r="CU195" s="108"/>
      <c r="CV195" s="108"/>
      <c r="CW195" s="189"/>
      <c r="DH195" s="436"/>
      <c r="DI195" s="437"/>
      <c r="DJ195" s="108"/>
      <c r="DK195" s="108"/>
      <c r="DL195" s="108"/>
      <c r="DM195" s="189"/>
      <c r="DN195" s="436"/>
      <c r="DX195" s="436"/>
      <c r="DY195" s="437"/>
      <c r="DZ195" s="108"/>
      <c r="EA195" s="108"/>
      <c r="EB195" s="108"/>
    </row>
    <row r="196" spans="1:132" ht="14.25" customHeight="1">
      <c r="A196" s="152"/>
      <c r="C196" s="289"/>
      <c r="D196" s="289"/>
      <c r="E196" s="189"/>
      <c r="P196" s="436"/>
      <c r="Q196" s="437"/>
      <c r="R196" s="108"/>
      <c r="S196" s="108"/>
      <c r="T196" s="108"/>
      <c r="U196" s="189"/>
      <c r="AF196" s="436"/>
      <c r="AG196" s="437"/>
      <c r="AH196" s="108"/>
      <c r="AI196" s="108"/>
      <c r="AJ196" s="108"/>
      <c r="AK196" s="189"/>
      <c r="AV196" s="436"/>
      <c r="AW196" s="437"/>
      <c r="AX196" s="108"/>
      <c r="AY196" s="108"/>
      <c r="AZ196" s="108"/>
      <c r="BA196" s="189"/>
      <c r="BL196" s="436"/>
      <c r="BM196" s="437"/>
      <c r="BN196" s="108"/>
      <c r="BO196" s="108"/>
      <c r="BP196" s="108"/>
      <c r="BQ196" s="189"/>
      <c r="CB196" s="436"/>
      <c r="CC196" s="437"/>
      <c r="CD196" s="108"/>
      <c r="CE196" s="108"/>
      <c r="CF196" s="108"/>
      <c r="CG196" s="189"/>
      <c r="CR196" s="436"/>
      <c r="CS196" s="437"/>
      <c r="CT196" s="108"/>
      <c r="CU196" s="108"/>
      <c r="CV196" s="108"/>
      <c r="CW196" s="189"/>
      <c r="DH196" s="436"/>
      <c r="DI196" s="437"/>
      <c r="DJ196" s="108"/>
      <c r="DK196" s="108"/>
      <c r="DL196" s="108"/>
      <c r="DM196" s="189"/>
      <c r="DN196" s="436"/>
      <c r="DX196" s="436"/>
      <c r="DY196" s="437"/>
      <c r="DZ196" s="108"/>
      <c r="EA196" s="108"/>
      <c r="EB196" s="108"/>
    </row>
    <row r="197" spans="1:132" ht="14.25" customHeight="1">
      <c r="A197" s="152"/>
      <c r="C197" s="289"/>
      <c r="D197" s="289"/>
      <c r="E197" s="189"/>
      <c r="P197" s="436"/>
      <c r="Q197" s="437"/>
      <c r="R197" s="108"/>
      <c r="S197" s="108"/>
      <c r="T197" s="108"/>
      <c r="U197" s="189"/>
      <c r="AF197" s="436"/>
      <c r="AG197" s="437"/>
      <c r="AH197" s="108"/>
      <c r="AI197" s="108"/>
      <c r="AJ197" s="108"/>
      <c r="AK197" s="189"/>
      <c r="AV197" s="436"/>
      <c r="AW197" s="437"/>
      <c r="AX197" s="108"/>
      <c r="AY197" s="108"/>
      <c r="AZ197" s="108"/>
      <c r="BA197" s="189"/>
      <c r="BL197" s="436"/>
      <c r="BM197" s="437"/>
      <c r="BN197" s="108"/>
      <c r="BO197" s="108"/>
      <c r="BP197" s="108"/>
      <c r="BQ197" s="189"/>
      <c r="CB197" s="436"/>
      <c r="CC197" s="437"/>
      <c r="CD197" s="108"/>
      <c r="CE197" s="108"/>
      <c r="CF197" s="108"/>
      <c r="CG197" s="189"/>
      <c r="CR197" s="436"/>
      <c r="CS197" s="437"/>
      <c r="CT197" s="108"/>
      <c r="CU197" s="108"/>
      <c r="CV197" s="108"/>
      <c r="CW197" s="189"/>
      <c r="DH197" s="436"/>
      <c r="DI197" s="437"/>
      <c r="DJ197" s="108"/>
      <c r="DK197" s="108"/>
      <c r="DL197" s="108"/>
      <c r="DM197" s="189"/>
      <c r="DN197" s="436"/>
      <c r="DX197" s="436"/>
      <c r="DY197" s="437"/>
      <c r="DZ197" s="108"/>
      <c r="EA197" s="108"/>
      <c r="EB197" s="108"/>
    </row>
    <row r="198" spans="1:132" ht="14.25" customHeight="1">
      <c r="A198" s="152"/>
      <c r="C198" s="289"/>
      <c r="D198" s="289"/>
      <c r="E198" s="189"/>
      <c r="P198" s="436"/>
      <c r="Q198" s="437"/>
      <c r="R198" s="108"/>
      <c r="S198" s="108"/>
      <c r="T198" s="108"/>
      <c r="U198" s="189"/>
      <c r="AF198" s="436"/>
      <c r="AG198" s="437"/>
      <c r="AH198" s="108"/>
      <c r="AI198" s="108"/>
      <c r="AJ198" s="108"/>
      <c r="AK198" s="189"/>
      <c r="AV198" s="436"/>
      <c r="AW198" s="437"/>
      <c r="AX198" s="108"/>
      <c r="AY198" s="108"/>
      <c r="AZ198" s="108"/>
      <c r="BA198" s="189"/>
      <c r="BL198" s="436"/>
      <c r="BM198" s="437"/>
      <c r="BN198" s="108"/>
      <c r="BO198" s="108"/>
      <c r="BP198" s="108"/>
      <c r="BQ198" s="189"/>
      <c r="CB198" s="436"/>
      <c r="CC198" s="437"/>
      <c r="CD198" s="108"/>
      <c r="CE198" s="108"/>
      <c r="CF198" s="108"/>
      <c r="CG198" s="189"/>
      <c r="CR198" s="436"/>
      <c r="CS198" s="437"/>
      <c r="CT198" s="108"/>
      <c r="CU198" s="108"/>
      <c r="CV198" s="108"/>
      <c r="CW198" s="189"/>
      <c r="DH198" s="436"/>
      <c r="DI198" s="437"/>
      <c r="DJ198" s="108"/>
      <c r="DK198" s="108"/>
      <c r="DL198" s="108"/>
      <c r="DM198" s="189"/>
      <c r="DN198" s="436"/>
      <c r="DX198" s="436"/>
      <c r="DY198" s="437"/>
      <c r="DZ198" s="108"/>
      <c r="EA198" s="108"/>
      <c r="EB198" s="108"/>
    </row>
    <row r="199" spans="1:132" ht="14.25" customHeight="1">
      <c r="A199" s="152"/>
      <c r="C199" s="289"/>
      <c r="D199" s="289"/>
      <c r="E199" s="189"/>
      <c r="P199" s="436"/>
      <c r="Q199" s="437"/>
      <c r="R199" s="108"/>
      <c r="S199" s="108"/>
      <c r="T199" s="108"/>
      <c r="U199" s="189"/>
      <c r="AF199" s="436"/>
      <c r="AG199" s="437"/>
      <c r="AH199" s="108"/>
      <c r="AI199" s="108"/>
      <c r="AJ199" s="108"/>
      <c r="AK199" s="189"/>
      <c r="AV199" s="436"/>
      <c r="AW199" s="437"/>
      <c r="AX199" s="108"/>
      <c r="AY199" s="108"/>
      <c r="AZ199" s="108"/>
      <c r="BA199" s="189"/>
      <c r="BL199" s="436"/>
      <c r="BM199" s="437"/>
      <c r="BN199" s="108"/>
      <c r="BO199" s="108"/>
      <c r="BP199" s="108"/>
      <c r="BQ199" s="189"/>
      <c r="CB199" s="436"/>
      <c r="CC199" s="437"/>
      <c r="CD199" s="108"/>
      <c r="CE199" s="108"/>
      <c r="CF199" s="108"/>
      <c r="CG199" s="189"/>
      <c r="CR199" s="436"/>
      <c r="CS199" s="437"/>
      <c r="CT199" s="108"/>
      <c r="CU199" s="108"/>
      <c r="CV199" s="108"/>
      <c r="CW199" s="189"/>
      <c r="DH199" s="436"/>
      <c r="DI199" s="437"/>
      <c r="DJ199" s="108"/>
      <c r="DK199" s="108"/>
      <c r="DL199" s="108"/>
      <c r="DM199" s="189"/>
      <c r="DN199" s="436"/>
      <c r="DX199" s="436"/>
      <c r="DY199" s="437"/>
      <c r="DZ199" s="108"/>
      <c r="EA199" s="108"/>
      <c r="EB199" s="108"/>
    </row>
    <row r="200" spans="1:132" ht="14.25" customHeight="1">
      <c r="A200" s="152"/>
      <c r="C200" s="289"/>
      <c r="D200" s="289"/>
      <c r="E200" s="189"/>
      <c r="P200" s="436"/>
      <c r="Q200" s="437"/>
      <c r="R200" s="108"/>
      <c r="S200" s="108"/>
      <c r="T200" s="108"/>
      <c r="U200" s="189"/>
      <c r="AF200" s="436"/>
      <c r="AG200" s="437"/>
      <c r="AH200" s="108"/>
      <c r="AI200" s="108"/>
      <c r="AJ200" s="108"/>
      <c r="AK200" s="189"/>
      <c r="AV200" s="436"/>
      <c r="AW200" s="437"/>
      <c r="AX200" s="108"/>
      <c r="AY200" s="108"/>
      <c r="AZ200" s="108"/>
      <c r="BA200" s="189"/>
      <c r="BL200" s="436"/>
      <c r="BM200" s="437"/>
      <c r="BN200" s="108"/>
      <c r="BO200" s="108"/>
      <c r="BP200" s="108"/>
      <c r="BQ200" s="189"/>
      <c r="CB200" s="436"/>
      <c r="CC200" s="437"/>
      <c r="CD200" s="108"/>
      <c r="CE200" s="108"/>
      <c r="CF200" s="108"/>
      <c r="CG200" s="189"/>
      <c r="CR200" s="436"/>
      <c r="CS200" s="437"/>
      <c r="CT200" s="108"/>
      <c r="CU200" s="108"/>
      <c r="CV200" s="108"/>
      <c r="CW200" s="189"/>
      <c r="DH200" s="436"/>
      <c r="DI200" s="437"/>
      <c r="DJ200" s="108"/>
      <c r="DK200" s="108"/>
      <c r="DL200" s="108"/>
      <c r="DM200" s="189"/>
      <c r="DN200" s="436"/>
      <c r="DX200" s="436"/>
      <c r="DY200" s="437"/>
      <c r="DZ200" s="108"/>
      <c r="EA200" s="108"/>
      <c r="EB200" s="108"/>
    </row>
    <row r="201" spans="1:132" ht="14.25" customHeight="1">
      <c r="A201" s="152"/>
      <c r="C201" s="289"/>
      <c r="D201" s="289"/>
      <c r="E201" s="189"/>
      <c r="P201" s="436"/>
      <c r="Q201" s="437"/>
      <c r="R201" s="108"/>
      <c r="S201" s="108"/>
      <c r="T201" s="108"/>
      <c r="U201" s="189"/>
      <c r="AF201" s="436"/>
      <c r="AG201" s="437"/>
      <c r="AH201" s="108"/>
      <c r="AI201" s="108"/>
      <c r="AJ201" s="108"/>
      <c r="AK201" s="189"/>
      <c r="AV201" s="436"/>
      <c r="AW201" s="437"/>
      <c r="AX201" s="108"/>
      <c r="AY201" s="108"/>
      <c r="AZ201" s="108"/>
      <c r="BA201" s="189"/>
      <c r="BL201" s="436"/>
      <c r="BM201" s="437"/>
      <c r="BN201" s="108"/>
      <c r="BO201" s="108"/>
      <c r="BP201" s="108"/>
      <c r="BQ201" s="189"/>
      <c r="CB201" s="436"/>
      <c r="CC201" s="437"/>
      <c r="CD201" s="108"/>
      <c r="CE201" s="108"/>
      <c r="CF201" s="108"/>
      <c r="CG201" s="189"/>
      <c r="CR201" s="436"/>
      <c r="CS201" s="437"/>
      <c r="CT201" s="108"/>
      <c r="CU201" s="108"/>
      <c r="CV201" s="108"/>
      <c r="CW201" s="189"/>
      <c r="DH201" s="436"/>
      <c r="DI201" s="437"/>
      <c r="DJ201" s="108"/>
      <c r="DK201" s="108"/>
      <c r="DL201" s="108"/>
      <c r="DM201" s="189"/>
      <c r="DN201" s="436"/>
      <c r="DX201" s="436"/>
      <c r="DY201" s="437"/>
      <c r="DZ201" s="108"/>
      <c r="EA201" s="108"/>
      <c r="EB201" s="108"/>
    </row>
    <row r="202" spans="1:132" ht="14.25" customHeight="1">
      <c r="A202" s="152"/>
      <c r="C202" s="289"/>
      <c r="D202" s="289"/>
      <c r="E202" s="189"/>
      <c r="P202" s="436"/>
      <c r="Q202" s="437"/>
      <c r="R202" s="108"/>
      <c r="S202" s="108"/>
      <c r="T202" s="108"/>
      <c r="U202" s="189"/>
      <c r="AF202" s="436"/>
      <c r="AG202" s="437"/>
      <c r="AH202" s="108"/>
      <c r="AI202" s="108"/>
      <c r="AJ202" s="108"/>
      <c r="AK202" s="189"/>
      <c r="AV202" s="436"/>
      <c r="AW202" s="437"/>
      <c r="AX202" s="108"/>
      <c r="AY202" s="108"/>
      <c r="AZ202" s="108"/>
      <c r="BA202" s="189"/>
      <c r="BL202" s="436"/>
      <c r="BM202" s="437"/>
      <c r="BN202" s="108"/>
      <c r="BO202" s="108"/>
      <c r="BP202" s="108"/>
      <c r="BQ202" s="189"/>
      <c r="CB202" s="436"/>
      <c r="CC202" s="437"/>
      <c r="CD202" s="108"/>
      <c r="CE202" s="108"/>
      <c r="CF202" s="108"/>
      <c r="CG202" s="189"/>
      <c r="CR202" s="436"/>
      <c r="CS202" s="437"/>
      <c r="CT202" s="108"/>
      <c r="CU202" s="108"/>
      <c r="CV202" s="108"/>
      <c r="CW202" s="189"/>
      <c r="DH202" s="436"/>
      <c r="DI202" s="437"/>
      <c r="DJ202" s="108"/>
      <c r="DK202" s="108"/>
      <c r="DL202" s="108"/>
      <c r="DM202" s="189"/>
      <c r="DN202" s="436"/>
      <c r="DX202" s="436"/>
      <c r="DY202" s="437"/>
      <c r="DZ202" s="108"/>
      <c r="EA202" s="108"/>
      <c r="EB202" s="108"/>
    </row>
    <row r="203" spans="1:132" ht="14.25" customHeight="1">
      <c r="A203" s="152"/>
      <c r="C203" s="289"/>
      <c r="D203" s="289"/>
      <c r="E203" s="189"/>
      <c r="P203" s="436"/>
      <c r="Q203" s="437"/>
      <c r="R203" s="108"/>
      <c r="S203" s="108"/>
      <c r="T203" s="108"/>
      <c r="U203" s="189"/>
      <c r="AF203" s="436"/>
      <c r="AG203" s="437"/>
      <c r="AH203" s="108"/>
      <c r="AI203" s="108"/>
      <c r="AJ203" s="108"/>
      <c r="AK203" s="189"/>
      <c r="AV203" s="436"/>
      <c r="AW203" s="437"/>
      <c r="AX203" s="108"/>
      <c r="AY203" s="108"/>
      <c r="AZ203" s="108"/>
      <c r="BA203" s="189"/>
      <c r="BL203" s="436"/>
      <c r="BM203" s="437"/>
      <c r="BN203" s="108"/>
      <c r="BO203" s="108"/>
      <c r="BP203" s="108"/>
      <c r="BQ203" s="189"/>
      <c r="CB203" s="436"/>
      <c r="CC203" s="437"/>
      <c r="CD203" s="108"/>
      <c r="CE203" s="108"/>
      <c r="CF203" s="108"/>
      <c r="CG203" s="189"/>
      <c r="CR203" s="436"/>
      <c r="CS203" s="437"/>
      <c r="CT203" s="108"/>
      <c r="CU203" s="108"/>
      <c r="CV203" s="108"/>
      <c r="CW203" s="189"/>
      <c r="DH203" s="436"/>
      <c r="DI203" s="437"/>
      <c r="DJ203" s="108"/>
      <c r="DK203" s="108"/>
      <c r="DL203" s="108"/>
      <c r="DM203" s="189"/>
      <c r="DN203" s="436"/>
      <c r="DX203" s="436"/>
      <c r="DY203" s="437"/>
      <c r="DZ203" s="108"/>
      <c r="EA203" s="108"/>
      <c r="EB203" s="108"/>
    </row>
    <row r="204" spans="1:132" ht="14.25" customHeight="1">
      <c r="A204" s="152"/>
      <c r="C204" s="289"/>
      <c r="D204" s="289"/>
      <c r="E204" s="189"/>
      <c r="P204" s="436"/>
      <c r="Q204" s="437"/>
      <c r="R204" s="108"/>
      <c r="S204" s="108"/>
      <c r="T204" s="108"/>
      <c r="U204" s="189"/>
      <c r="AF204" s="436"/>
      <c r="AG204" s="437"/>
      <c r="AH204" s="108"/>
      <c r="AI204" s="108"/>
      <c r="AJ204" s="108"/>
      <c r="AK204" s="189"/>
      <c r="AV204" s="436"/>
      <c r="AW204" s="437"/>
      <c r="AX204" s="108"/>
      <c r="AY204" s="108"/>
      <c r="AZ204" s="108"/>
      <c r="BA204" s="189"/>
      <c r="BL204" s="436"/>
      <c r="BM204" s="437"/>
      <c r="BN204" s="108"/>
      <c r="BO204" s="108"/>
      <c r="BP204" s="108"/>
      <c r="BQ204" s="189"/>
      <c r="CB204" s="436"/>
      <c r="CC204" s="437"/>
      <c r="CD204" s="108"/>
      <c r="CE204" s="108"/>
      <c r="CF204" s="108"/>
      <c r="CG204" s="189"/>
      <c r="CR204" s="436"/>
      <c r="CS204" s="437"/>
      <c r="CT204" s="108"/>
      <c r="CU204" s="108"/>
      <c r="CV204" s="108"/>
      <c r="CW204" s="189"/>
      <c r="DH204" s="436"/>
      <c r="DI204" s="437"/>
      <c r="DJ204" s="108"/>
      <c r="DK204" s="108"/>
      <c r="DL204" s="108"/>
      <c r="DM204" s="189"/>
      <c r="DN204" s="436"/>
      <c r="DX204" s="436"/>
      <c r="DY204" s="437"/>
      <c r="DZ204" s="108"/>
      <c r="EA204" s="108"/>
      <c r="EB204" s="108"/>
    </row>
    <row r="205" spans="1:132" ht="14.25" customHeight="1">
      <c r="A205" s="152"/>
      <c r="C205" s="289"/>
      <c r="D205" s="289"/>
      <c r="E205" s="189"/>
      <c r="P205" s="436"/>
      <c r="Q205" s="437"/>
      <c r="R205" s="108"/>
      <c r="S205" s="108"/>
      <c r="T205" s="108"/>
      <c r="U205" s="189"/>
      <c r="AF205" s="436"/>
      <c r="AG205" s="437"/>
      <c r="AH205" s="108"/>
      <c r="AI205" s="108"/>
      <c r="AJ205" s="108"/>
      <c r="AK205" s="189"/>
      <c r="AV205" s="436"/>
      <c r="AW205" s="437"/>
      <c r="AX205" s="108"/>
      <c r="AY205" s="108"/>
      <c r="AZ205" s="108"/>
      <c r="BA205" s="189"/>
      <c r="BL205" s="436"/>
      <c r="BM205" s="437"/>
      <c r="BN205" s="108"/>
      <c r="BO205" s="108"/>
      <c r="BP205" s="108"/>
      <c r="BQ205" s="189"/>
      <c r="CB205" s="436"/>
      <c r="CC205" s="437"/>
      <c r="CD205" s="108"/>
      <c r="CE205" s="108"/>
      <c r="CF205" s="108"/>
      <c r="CG205" s="189"/>
      <c r="CR205" s="436"/>
      <c r="CS205" s="437"/>
      <c r="CT205" s="108"/>
      <c r="CU205" s="108"/>
      <c r="CV205" s="108"/>
      <c r="CW205" s="189"/>
      <c r="DH205" s="436"/>
      <c r="DI205" s="437"/>
      <c r="DJ205" s="108"/>
      <c r="DK205" s="108"/>
      <c r="DL205" s="108"/>
      <c r="DM205" s="189"/>
      <c r="DN205" s="436"/>
      <c r="DX205" s="436"/>
      <c r="DY205" s="437"/>
      <c r="DZ205" s="108"/>
      <c r="EA205" s="108"/>
      <c r="EB205" s="108"/>
    </row>
    <row r="206" spans="1:132" ht="14.25" customHeight="1">
      <c r="A206" s="152"/>
      <c r="C206" s="289"/>
      <c r="D206" s="289"/>
      <c r="E206" s="189"/>
      <c r="P206" s="436"/>
      <c r="Q206" s="437"/>
      <c r="R206" s="108"/>
      <c r="S206" s="108"/>
      <c r="T206" s="108"/>
      <c r="U206" s="189"/>
      <c r="AF206" s="436"/>
      <c r="AG206" s="437"/>
      <c r="AH206" s="108"/>
      <c r="AI206" s="108"/>
      <c r="AJ206" s="108"/>
      <c r="AK206" s="189"/>
      <c r="AV206" s="436"/>
      <c r="AW206" s="437"/>
      <c r="AX206" s="108"/>
      <c r="AY206" s="108"/>
      <c r="AZ206" s="108"/>
      <c r="BA206" s="189"/>
      <c r="BL206" s="436"/>
      <c r="BM206" s="437"/>
      <c r="BN206" s="108"/>
      <c r="BO206" s="108"/>
      <c r="BP206" s="108"/>
      <c r="BQ206" s="189"/>
      <c r="CB206" s="436"/>
      <c r="CC206" s="437"/>
      <c r="CD206" s="108"/>
      <c r="CE206" s="108"/>
      <c r="CF206" s="108"/>
      <c r="CG206" s="189"/>
      <c r="CR206" s="436"/>
      <c r="CS206" s="437"/>
      <c r="CT206" s="108"/>
      <c r="CU206" s="108"/>
      <c r="CV206" s="108"/>
      <c r="CW206" s="189"/>
      <c r="DH206" s="436"/>
      <c r="DI206" s="437"/>
      <c r="DJ206" s="108"/>
      <c r="DK206" s="108"/>
      <c r="DL206" s="108"/>
      <c r="DM206" s="189"/>
      <c r="DN206" s="436"/>
      <c r="DX206" s="436"/>
      <c r="DY206" s="437"/>
      <c r="DZ206" s="108"/>
      <c r="EA206" s="108"/>
      <c r="EB206" s="108"/>
    </row>
    <row r="207" spans="1:132" ht="14.25" customHeight="1">
      <c r="A207" s="152"/>
      <c r="C207" s="289"/>
      <c r="D207" s="289"/>
      <c r="E207" s="189"/>
      <c r="P207" s="436"/>
      <c r="Q207" s="437"/>
      <c r="R207" s="108"/>
      <c r="S207" s="108"/>
      <c r="T207" s="108"/>
      <c r="U207" s="189"/>
      <c r="AF207" s="436"/>
      <c r="AG207" s="437"/>
      <c r="AH207" s="108"/>
      <c r="AI207" s="108"/>
      <c r="AJ207" s="108"/>
      <c r="AK207" s="189"/>
      <c r="AV207" s="436"/>
      <c r="AW207" s="437"/>
      <c r="AX207" s="108"/>
      <c r="AY207" s="108"/>
      <c r="AZ207" s="108"/>
      <c r="BA207" s="189"/>
      <c r="BL207" s="436"/>
      <c r="BM207" s="437"/>
      <c r="BN207" s="108"/>
      <c r="BO207" s="108"/>
      <c r="BP207" s="108"/>
      <c r="BQ207" s="189"/>
      <c r="CB207" s="436"/>
      <c r="CC207" s="437"/>
      <c r="CD207" s="108"/>
      <c r="CE207" s="108"/>
      <c r="CF207" s="108"/>
      <c r="CG207" s="189"/>
      <c r="CR207" s="436"/>
      <c r="CS207" s="437"/>
      <c r="CT207" s="108"/>
      <c r="CU207" s="108"/>
      <c r="CV207" s="108"/>
      <c r="CW207" s="189"/>
      <c r="DH207" s="436"/>
      <c r="DI207" s="437"/>
      <c r="DJ207" s="108"/>
      <c r="DK207" s="108"/>
      <c r="DL207" s="108"/>
      <c r="DM207" s="189"/>
      <c r="DN207" s="436"/>
      <c r="DX207" s="436"/>
      <c r="DY207" s="437"/>
      <c r="DZ207" s="108"/>
      <c r="EA207" s="108"/>
      <c r="EB207" s="108"/>
    </row>
    <row r="208" spans="1:132" ht="14.25" customHeight="1">
      <c r="A208" s="152"/>
      <c r="C208" s="289"/>
      <c r="D208" s="289"/>
      <c r="E208" s="189"/>
      <c r="P208" s="436"/>
      <c r="Q208" s="437"/>
      <c r="R208" s="108"/>
      <c r="S208" s="108"/>
      <c r="T208" s="108"/>
      <c r="U208" s="189"/>
      <c r="AF208" s="436"/>
      <c r="AG208" s="437"/>
      <c r="AH208" s="108"/>
      <c r="AI208" s="108"/>
      <c r="AJ208" s="108"/>
      <c r="AK208" s="189"/>
      <c r="AV208" s="436"/>
      <c r="AW208" s="437"/>
      <c r="AX208" s="108"/>
      <c r="AY208" s="108"/>
      <c r="AZ208" s="108"/>
      <c r="BA208" s="189"/>
      <c r="BL208" s="436"/>
      <c r="BM208" s="437"/>
      <c r="BN208" s="108"/>
      <c r="BO208" s="108"/>
      <c r="BP208" s="108"/>
      <c r="BQ208" s="189"/>
      <c r="CB208" s="436"/>
      <c r="CC208" s="437"/>
      <c r="CD208" s="108"/>
      <c r="CE208" s="108"/>
      <c r="CF208" s="108"/>
      <c r="CG208" s="189"/>
      <c r="CR208" s="436"/>
      <c r="CS208" s="437"/>
      <c r="CT208" s="108"/>
      <c r="CU208" s="108"/>
      <c r="CV208" s="108"/>
      <c r="CW208" s="189"/>
      <c r="DH208" s="436"/>
      <c r="DI208" s="437"/>
      <c r="DJ208" s="108"/>
      <c r="DK208" s="108"/>
      <c r="DL208" s="108"/>
      <c r="DM208" s="189"/>
      <c r="DN208" s="436"/>
      <c r="DX208" s="436"/>
      <c r="DY208" s="437"/>
      <c r="DZ208" s="108"/>
      <c r="EA208" s="108"/>
      <c r="EB208" s="108"/>
    </row>
    <row r="209" spans="1:132" ht="14.25" customHeight="1">
      <c r="A209" s="152"/>
      <c r="C209" s="289"/>
      <c r="D209" s="289"/>
      <c r="E209" s="189"/>
      <c r="P209" s="436"/>
      <c r="Q209" s="437"/>
      <c r="R209" s="108"/>
      <c r="S209" s="108"/>
      <c r="T209" s="108"/>
      <c r="U209" s="189"/>
      <c r="AF209" s="436"/>
      <c r="AG209" s="437"/>
      <c r="AH209" s="108"/>
      <c r="AI209" s="108"/>
      <c r="AJ209" s="108"/>
      <c r="AK209" s="189"/>
      <c r="AV209" s="436"/>
      <c r="AW209" s="437"/>
      <c r="AX209" s="108"/>
      <c r="AY209" s="108"/>
      <c r="AZ209" s="108"/>
      <c r="BA209" s="189"/>
      <c r="BL209" s="436"/>
      <c r="BM209" s="437"/>
      <c r="BN209" s="108"/>
      <c r="BO209" s="108"/>
      <c r="BP209" s="108"/>
      <c r="BQ209" s="189"/>
      <c r="CB209" s="436"/>
      <c r="CC209" s="437"/>
      <c r="CD209" s="108"/>
      <c r="CE209" s="108"/>
      <c r="CF209" s="108"/>
      <c r="CG209" s="189"/>
      <c r="CR209" s="436"/>
      <c r="CS209" s="437"/>
      <c r="CT209" s="108"/>
      <c r="CU209" s="108"/>
      <c r="CV209" s="108"/>
      <c r="CW209" s="189"/>
      <c r="DH209" s="436"/>
      <c r="DI209" s="437"/>
      <c r="DJ209" s="108"/>
      <c r="DK209" s="108"/>
      <c r="DL209" s="108"/>
      <c r="DM209" s="189"/>
      <c r="DN209" s="436"/>
      <c r="DX209" s="436"/>
      <c r="DY209" s="437"/>
      <c r="DZ209" s="108"/>
      <c r="EA209" s="108"/>
      <c r="EB209" s="108"/>
    </row>
    <row r="210" spans="1:132" ht="14.25" customHeight="1">
      <c r="A210" s="152"/>
      <c r="C210" s="289"/>
      <c r="D210" s="289"/>
      <c r="E210" s="189"/>
      <c r="P210" s="436"/>
      <c r="Q210" s="437"/>
      <c r="R210" s="108"/>
      <c r="S210" s="108"/>
      <c r="T210" s="108"/>
      <c r="U210" s="189"/>
      <c r="AF210" s="436"/>
      <c r="AG210" s="437"/>
      <c r="AH210" s="108"/>
      <c r="AI210" s="108"/>
      <c r="AJ210" s="108"/>
      <c r="AK210" s="189"/>
      <c r="AV210" s="436"/>
      <c r="AW210" s="437"/>
      <c r="AX210" s="108"/>
      <c r="AY210" s="108"/>
      <c r="AZ210" s="108"/>
      <c r="BA210" s="189"/>
      <c r="BL210" s="436"/>
      <c r="BM210" s="437"/>
      <c r="BN210" s="108"/>
      <c r="BO210" s="108"/>
      <c r="BP210" s="108"/>
      <c r="BQ210" s="189"/>
      <c r="CB210" s="436"/>
      <c r="CC210" s="437"/>
      <c r="CD210" s="108"/>
      <c r="CE210" s="108"/>
      <c r="CF210" s="108"/>
      <c r="CG210" s="189"/>
      <c r="CR210" s="436"/>
      <c r="CS210" s="437"/>
      <c r="CT210" s="108"/>
      <c r="CU210" s="108"/>
      <c r="CV210" s="108"/>
      <c r="CW210" s="189"/>
      <c r="DH210" s="436"/>
      <c r="DI210" s="437"/>
      <c r="DJ210" s="108"/>
      <c r="DK210" s="108"/>
      <c r="DL210" s="108"/>
      <c r="DM210" s="189"/>
      <c r="DN210" s="436"/>
      <c r="DX210" s="436"/>
      <c r="DY210" s="437"/>
      <c r="DZ210" s="108"/>
      <c r="EA210" s="108"/>
      <c r="EB210" s="108"/>
    </row>
    <row r="211" spans="1:132" ht="14.25" customHeight="1">
      <c r="A211" s="152"/>
      <c r="C211" s="289"/>
      <c r="D211" s="289"/>
      <c r="E211" s="189"/>
      <c r="P211" s="436"/>
      <c r="Q211" s="437"/>
      <c r="R211" s="108"/>
      <c r="S211" s="108"/>
      <c r="T211" s="108"/>
      <c r="U211" s="189"/>
      <c r="AF211" s="436"/>
      <c r="AG211" s="437"/>
      <c r="AH211" s="108"/>
      <c r="AI211" s="108"/>
      <c r="AJ211" s="108"/>
      <c r="AK211" s="189"/>
      <c r="AV211" s="436"/>
      <c r="AW211" s="437"/>
      <c r="AX211" s="108"/>
      <c r="AY211" s="108"/>
      <c r="AZ211" s="108"/>
      <c r="BA211" s="189"/>
      <c r="BL211" s="436"/>
      <c r="BM211" s="437"/>
      <c r="BN211" s="108"/>
      <c r="BO211" s="108"/>
      <c r="BP211" s="108"/>
      <c r="BQ211" s="189"/>
      <c r="CB211" s="436"/>
      <c r="CC211" s="437"/>
      <c r="CD211" s="108"/>
      <c r="CE211" s="108"/>
      <c r="CF211" s="108"/>
      <c r="CG211" s="189"/>
      <c r="CR211" s="436"/>
      <c r="CS211" s="437"/>
      <c r="CT211" s="108"/>
      <c r="CU211" s="108"/>
      <c r="CV211" s="108"/>
      <c r="CW211" s="189"/>
      <c r="DH211" s="436"/>
      <c r="DI211" s="437"/>
      <c r="DJ211" s="108"/>
      <c r="DK211" s="108"/>
      <c r="DL211" s="108"/>
      <c r="DM211" s="189"/>
      <c r="DN211" s="436"/>
      <c r="DX211" s="436"/>
      <c r="DY211" s="437"/>
      <c r="DZ211" s="108"/>
      <c r="EA211" s="108"/>
      <c r="EB211" s="108"/>
    </row>
    <row r="212" spans="1:132" ht="14.25" customHeight="1">
      <c r="A212" s="152"/>
      <c r="C212" s="289"/>
      <c r="D212" s="289"/>
      <c r="E212" s="189"/>
      <c r="P212" s="436"/>
      <c r="Q212" s="437"/>
      <c r="R212" s="108"/>
      <c r="S212" s="108"/>
      <c r="T212" s="108"/>
      <c r="U212" s="189"/>
      <c r="AF212" s="436"/>
      <c r="AG212" s="437"/>
      <c r="AH212" s="108"/>
      <c r="AI212" s="108"/>
      <c r="AJ212" s="108"/>
      <c r="AK212" s="189"/>
      <c r="AV212" s="436"/>
      <c r="AW212" s="437"/>
      <c r="AX212" s="108"/>
      <c r="AY212" s="108"/>
      <c r="AZ212" s="108"/>
      <c r="BA212" s="189"/>
      <c r="BL212" s="436"/>
      <c r="BM212" s="437"/>
      <c r="BN212" s="108"/>
      <c r="BO212" s="108"/>
      <c r="BP212" s="108"/>
      <c r="BQ212" s="189"/>
      <c r="CB212" s="436"/>
      <c r="CC212" s="437"/>
      <c r="CD212" s="108"/>
      <c r="CE212" s="108"/>
      <c r="CF212" s="108"/>
      <c r="CG212" s="189"/>
      <c r="CR212" s="436"/>
      <c r="CS212" s="437"/>
      <c r="CT212" s="108"/>
      <c r="CU212" s="108"/>
      <c r="CV212" s="108"/>
      <c r="CW212" s="189"/>
      <c r="DH212" s="436"/>
      <c r="DI212" s="437"/>
      <c r="DJ212" s="108"/>
      <c r="DK212" s="108"/>
      <c r="DL212" s="108"/>
      <c r="DM212" s="189"/>
      <c r="DN212" s="436"/>
      <c r="DX212" s="436"/>
      <c r="DY212" s="437"/>
      <c r="DZ212" s="108"/>
      <c r="EA212" s="108"/>
      <c r="EB212" s="108"/>
    </row>
    <row r="213" spans="1:132" ht="14.25" customHeight="1">
      <c r="A213" s="152"/>
      <c r="C213" s="289"/>
      <c r="D213" s="289"/>
      <c r="E213" s="189"/>
      <c r="P213" s="436"/>
      <c r="Q213" s="437"/>
      <c r="R213" s="108"/>
      <c r="S213" s="108"/>
      <c r="T213" s="108"/>
      <c r="U213" s="189"/>
      <c r="AF213" s="436"/>
      <c r="AG213" s="437"/>
      <c r="AH213" s="108"/>
      <c r="AI213" s="108"/>
      <c r="AJ213" s="108"/>
      <c r="AK213" s="189"/>
      <c r="AV213" s="436"/>
      <c r="AW213" s="437"/>
      <c r="AX213" s="108"/>
      <c r="AY213" s="108"/>
      <c r="AZ213" s="108"/>
      <c r="BA213" s="189"/>
      <c r="BL213" s="436"/>
      <c r="BM213" s="437"/>
      <c r="BN213" s="108"/>
      <c r="BO213" s="108"/>
      <c r="BP213" s="108"/>
      <c r="BQ213" s="189"/>
      <c r="CB213" s="436"/>
      <c r="CC213" s="437"/>
      <c r="CD213" s="108"/>
      <c r="CE213" s="108"/>
      <c r="CF213" s="108"/>
      <c r="CG213" s="189"/>
      <c r="CR213" s="436"/>
      <c r="CS213" s="437"/>
      <c r="CT213" s="108"/>
      <c r="CU213" s="108"/>
      <c r="CV213" s="108"/>
      <c r="CW213" s="189"/>
      <c r="DH213" s="436"/>
      <c r="DI213" s="437"/>
      <c r="DJ213" s="108"/>
      <c r="DK213" s="108"/>
      <c r="DL213" s="108"/>
      <c r="DM213" s="189"/>
      <c r="DN213" s="436"/>
      <c r="DX213" s="436"/>
      <c r="DY213" s="437"/>
      <c r="DZ213" s="108"/>
      <c r="EA213" s="108"/>
      <c r="EB213" s="108"/>
    </row>
    <row r="214" spans="1:132" ht="14.25" customHeight="1">
      <c r="A214" s="152"/>
      <c r="C214" s="289"/>
      <c r="D214" s="289"/>
      <c r="E214" s="189"/>
      <c r="P214" s="436"/>
      <c r="Q214" s="437"/>
      <c r="R214" s="108"/>
      <c r="S214" s="108"/>
      <c r="T214" s="108"/>
      <c r="U214" s="189"/>
      <c r="AF214" s="436"/>
      <c r="AG214" s="437"/>
      <c r="AH214" s="108"/>
      <c r="AI214" s="108"/>
      <c r="AJ214" s="108"/>
      <c r="AK214" s="189"/>
      <c r="AV214" s="436"/>
      <c r="AW214" s="437"/>
      <c r="AX214" s="108"/>
      <c r="AY214" s="108"/>
      <c r="AZ214" s="108"/>
      <c r="BA214" s="189"/>
      <c r="BL214" s="436"/>
      <c r="BM214" s="437"/>
      <c r="BN214" s="108"/>
      <c r="BO214" s="108"/>
      <c r="BP214" s="108"/>
      <c r="BQ214" s="189"/>
      <c r="CB214" s="436"/>
      <c r="CC214" s="437"/>
      <c r="CD214" s="108"/>
      <c r="CE214" s="108"/>
      <c r="CF214" s="108"/>
      <c r="CG214" s="189"/>
      <c r="CR214" s="436"/>
      <c r="CS214" s="437"/>
      <c r="CT214" s="108"/>
      <c r="CU214" s="108"/>
      <c r="CV214" s="108"/>
      <c r="CW214" s="189"/>
      <c r="DH214" s="436"/>
      <c r="DI214" s="437"/>
      <c r="DJ214" s="108"/>
      <c r="DK214" s="108"/>
      <c r="DL214" s="108"/>
      <c r="DM214" s="189"/>
      <c r="DN214" s="436"/>
      <c r="DX214" s="436"/>
      <c r="DY214" s="437"/>
      <c r="DZ214" s="108"/>
      <c r="EA214" s="108"/>
      <c r="EB214" s="108"/>
    </row>
    <row r="215" spans="1:132" ht="14.25" customHeight="1">
      <c r="A215" s="152"/>
      <c r="C215" s="289"/>
      <c r="D215" s="289"/>
      <c r="E215" s="189"/>
      <c r="P215" s="436"/>
      <c r="Q215" s="437"/>
      <c r="R215" s="108"/>
      <c r="S215" s="108"/>
      <c r="T215" s="108"/>
      <c r="U215" s="189"/>
      <c r="AF215" s="436"/>
      <c r="AG215" s="437"/>
      <c r="AH215" s="108"/>
      <c r="AI215" s="108"/>
      <c r="AJ215" s="108"/>
      <c r="AK215" s="189"/>
      <c r="AV215" s="436"/>
      <c r="AW215" s="437"/>
      <c r="AX215" s="108"/>
      <c r="AY215" s="108"/>
      <c r="AZ215" s="108"/>
      <c r="BA215" s="189"/>
      <c r="BL215" s="436"/>
      <c r="BM215" s="437"/>
      <c r="BN215" s="108"/>
      <c r="BO215" s="108"/>
      <c r="BP215" s="108"/>
      <c r="BQ215" s="189"/>
      <c r="CB215" s="436"/>
      <c r="CC215" s="437"/>
      <c r="CD215" s="108"/>
      <c r="CE215" s="108"/>
      <c r="CF215" s="108"/>
      <c r="CG215" s="189"/>
      <c r="CR215" s="436"/>
      <c r="CS215" s="437"/>
      <c r="CT215" s="108"/>
      <c r="CU215" s="108"/>
      <c r="CV215" s="108"/>
      <c r="CW215" s="189"/>
      <c r="DH215" s="436"/>
      <c r="DI215" s="437"/>
      <c r="DJ215" s="108"/>
      <c r="DK215" s="108"/>
      <c r="DL215" s="108"/>
      <c r="DM215" s="189"/>
      <c r="DN215" s="436"/>
      <c r="DX215" s="436"/>
      <c r="DY215" s="437"/>
      <c r="DZ215" s="108"/>
      <c r="EA215" s="108"/>
      <c r="EB215" s="108"/>
    </row>
    <row r="216" spans="1:132" ht="14.25" customHeight="1">
      <c r="A216" s="152"/>
      <c r="C216" s="289"/>
      <c r="D216" s="289"/>
      <c r="E216" s="189"/>
      <c r="P216" s="436"/>
      <c r="Q216" s="437"/>
      <c r="R216" s="108"/>
      <c r="S216" s="108"/>
      <c r="T216" s="108"/>
      <c r="U216" s="189"/>
      <c r="AF216" s="436"/>
      <c r="AG216" s="437"/>
      <c r="AH216" s="108"/>
      <c r="AI216" s="108"/>
      <c r="AJ216" s="108"/>
      <c r="AK216" s="189"/>
      <c r="AV216" s="436"/>
      <c r="AW216" s="437"/>
      <c r="AX216" s="108"/>
      <c r="AY216" s="108"/>
      <c r="AZ216" s="108"/>
      <c r="BA216" s="189"/>
      <c r="BL216" s="436"/>
      <c r="BM216" s="437"/>
      <c r="BN216" s="108"/>
      <c r="BO216" s="108"/>
      <c r="BP216" s="108"/>
      <c r="BQ216" s="189"/>
      <c r="CB216" s="436"/>
      <c r="CC216" s="437"/>
      <c r="CD216" s="108"/>
      <c r="CE216" s="108"/>
      <c r="CF216" s="108"/>
      <c r="CG216" s="189"/>
      <c r="CR216" s="436"/>
      <c r="CS216" s="437"/>
      <c r="CT216" s="108"/>
      <c r="CU216" s="108"/>
      <c r="CV216" s="108"/>
      <c r="CW216" s="189"/>
      <c r="DH216" s="436"/>
      <c r="DI216" s="437"/>
      <c r="DJ216" s="108"/>
      <c r="DK216" s="108"/>
      <c r="DL216" s="108"/>
      <c r="DM216" s="189"/>
      <c r="DN216" s="436"/>
      <c r="DX216" s="436"/>
      <c r="DY216" s="437"/>
      <c r="DZ216" s="108"/>
      <c r="EA216" s="108"/>
      <c r="EB216" s="108"/>
    </row>
    <row r="217" spans="1:132" ht="14.25" customHeight="1">
      <c r="A217" s="152"/>
      <c r="C217" s="289"/>
      <c r="D217" s="289"/>
      <c r="E217" s="189"/>
      <c r="P217" s="436"/>
      <c r="Q217" s="437"/>
      <c r="R217" s="108"/>
      <c r="S217" s="108"/>
      <c r="T217" s="108"/>
      <c r="U217" s="189"/>
      <c r="AF217" s="436"/>
      <c r="AG217" s="437"/>
      <c r="AH217" s="108"/>
      <c r="AI217" s="108"/>
      <c r="AJ217" s="108"/>
      <c r="AK217" s="189"/>
      <c r="AV217" s="436"/>
      <c r="AW217" s="437"/>
      <c r="AX217" s="108"/>
      <c r="AY217" s="108"/>
      <c r="AZ217" s="108"/>
      <c r="BA217" s="189"/>
      <c r="BL217" s="436"/>
      <c r="BM217" s="437"/>
      <c r="BN217" s="108"/>
      <c r="BO217" s="108"/>
      <c r="BP217" s="108"/>
      <c r="BQ217" s="189"/>
      <c r="CB217" s="436"/>
      <c r="CC217" s="437"/>
      <c r="CD217" s="108"/>
      <c r="CE217" s="108"/>
      <c r="CF217" s="108"/>
      <c r="CG217" s="189"/>
      <c r="CR217" s="436"/>
      <c r="CS217" s="437"/>
      <c r="CT217" s="108"/>
      <c r="CU217" s="108"/>
      <c r="CV217" s="108"/>
      <c r="CW217" s="189"/>
      <c r="DH217" s="436"/>
      <c r="DI217" s="437"/>
      <c r="DJ217" s="108"/>
      <c r="DK217" s="108"/>
      <c r="DL217" s="108"/>
      <c r="DM217" s="189"/>
      <c r="DN217" s="436"/>
      <c r="DX217" s="436"/>
      <c r="DY217" s="437"/>
      <c r="DZ217" s="108"/>
      <c r="EA217" s="108"/>
      <c r="EB217" s="108"/>
    </row>
    <row r="218" spans="1:132" ht="14.25" customHeight="1">
      <c r="A218" s="152"/>
      <c r="C218" s="289"/>
      <c r="D218" s="289"/>
      <c r="E218" s="189"/>
      <c r="P218" s="436"/>
      <c r="Q218" s="437"/>
      <c r="R218" s="108"/>
      <c r="S218" s="108"/>
      <c r="T218" s="108"/>
      <c r="U218" s="189"/>
      <c r="AF218" s="436"/>
      <c r="AG218" s="437"/>
      <c r="AH218" s="108"/>
      <c r="AI218" s="108"/>
      <c r="AJ218" s="108"/>
      <c r="AK218" s="189"/>
      <c r="AV218" s="436"/>
      <c r="AW218" s="437"/>
      <c r="AX218" s="108"/>
      <c r="AY218" s="108"/>
      <c r="AZ218" s="108"/>
      <c r="BA218" s="189"/>
      <c r="BL218" s="436"/>
      <c r="BM218" s="437"/>
      <c r="BN218" s="108"/>
      <c r="BO218" s="108"/>
      <c r="BP218" s="108"/>
      <c r="BQ218" s="189"/>
      <c r="CB218" s="436"/>
      <c r="CC218" s="437"/>
      <c r="CD218" s="108"/>
      <c r="CE218" s="108"/>
      <c r="CF218" s="108"/>
      <c r="CG218" s="189"/>
      <c r="CR218" s="436"/>
      <c r="CS218" s="437"/>
      <c r="CT218" s="108"/>
      <c r="CU218" s="108"/>
      <c r="CV218" s="108"/>
      <c r="CW218" s="189"/>
      <c r="DH218" s="436"/>
      <c r="DI218" s="437"/>
      <c r="DJ218" s="108"/>
      <c r="DK218" s="108"/>
      <c r="DL218" s="108"/>
      <c r="DM218" s="189"/>
      <c r="DN218" s="436"/>
      <c r="DX218" s="436"/>
      <c r="DY218" s="437"/>
      <c r="DZ218" s="108"/>
      <c r="EA218" s="108"/>
      <c r="EB218" s="108"/>
    </row>
    <row r="219" spans="1:132" ht="14.25" customHeight="1">
      <c r="A219" s="152"/>
      <c r="C219" s="289"/>
      <c r="D219" s="289"/>
      <c r="E219" s="189"/>
      <c r="P219" s="436"/>
      <c r="Q219" s="437"/>
      <c r="R219" s="108"/>
      <c r="S219" s="108"/>
      <c r="T219" s="108"/>
      <c r="U219" s="189"/>
      <c r="AF219" s="436"/>
      <c r="AG219" s="437"/>
      <c r="AH219" s="108"/>
      <c r="AI219" s="108"/>
      <c r="AJ219" s="108"/>
      <c r="AK219" s="189"/>
      <c r="AV219" s="436"/>
      <c r="AW219" s="437"/>
      <c r="AX219" s="108"/>
      <c r="AY219" s="108"/>
      <c r="AZ219" s="108"/>
      <c r="BA219" s="189"/>
      <c r="BL219" s="436"/>
      <c r="BM219" s="437"/>
      <c r="BN219" s="108"/>
      <c r="BO219" s="108"/>
      <c r="BP219" s="108"/>
      <c r="BQ219" s="189"/>
      <c r="CB219" s="436"/>
      <c r="CC219" s="437"/>
      <c r="CD219" s="108"/>
      <c r="CE219" s="108"/>
      <c r="CF219" s="108"/>
      <c r="CG219" s="189"/>
      <c r="CR219" s="436"/>
      <c r="CS219" s="437"/>
      <c r="CT219" s="108"/>
      <c r="CU219" s="108"/>
      <c r="CV219" s="108"/>
      <c r="CW219" s="189"/>
      <c r="DH219" s="436"/>
      <c r="DI219" s="437"/>
      <c r="DJ219" s="108"/>
      <c r="DK219" s="108"/>
      <c r="DL219" s="108"/>
      <c r="DM219" s="189"/>
      <c r="DN219" s="436"/>
      <c r="DX219" s="436"/>
      <c r="DY219" s="437"/>
      <c r="DZ219" s="108"/>
      <c r="EA219" s="108"/>
      <c r="EB219" s="108"/>
    </row>
    <row r="220" spans="1:132" ht="14.25" customHeight="1">
      <c r="A220" s="152"/>
      <c r="C220" s="289"/>
      <c r="D220" s="289"/>
      <c r="E220" s="189"/>
      <c r="P220" s="436"/>
      <c r="Q220" s="437"/>
      <c r="R220" s="108"/>
      <c r="S220" s="108"/>
      <c r="T220" s="108"/>
      <c r="U220" s="189"/>
      <c r="AF220" s="436"/>
      <c r="AG220" s="437"/>
      <c r="AH220" s="108"/>
      <c r="AI220" s="108"/>
      <c r="AJ220" s="108"/>
      <c r="AK220" s="189"/>
      <c r="AV220" s="436"/>
      <c r="AW220" s="437"/>
      <c r="AX220" s="108"/>
      <c r="AY220" s="108"/>
      <c r="AZ220" s="108"/>
      <c r="BA220" s="189"/>
      <c r="BL220" s="436"/>
      <c r="BM220" s="437"/>
      <c r="BN220" s="108"/>
      <c r="BO220" s="108"/>
      <c r="BP220" s="108"/>
      <c r="BQ220" s="189"/>
      <c r="CB220" s="436"/>
      <c r="CC220" s="437"/>
      <c r="CD220" s="108"/>
      <c r="CE220" s="108"/>
      <c r="CF220" s="108"/>
      <c r="CG220" s="189"/>
      <c r="CR220" s="436"/>
      <c r="CS220" s="437"/>
      <c r="CT220" s="108"/>
      <c r="CU220" s="108"/>
      <c r="CV220" s="108"/>
      <c r="CW220" s="189"/>
      <c r="DH220" s="436"/>
      <c r="DI220" s="437"/>
      <c r="DJ220" s="108"/>
      <c r="DK220" s="108"/>
      <c r="DL220" s="108"/>
      <c r="DM220" s="189"/>
      <c r="DN220" s="436"/>
      <c r="DX220" s="436"/>
      <c r="DY220" s="437"/>
      <c r="DZ220" s="108"/>
      <c r="EA220" s="108"/>
      <c r="EB220" s="108"/>
    </row>
    <row r="221" spans="1:132" ht="14.25" customHeight="1">
      <c r="A221" s="152"/>
      <c r="C221" s="289"/>
      <c r="D221" s="289"/>
      <c r="E221" s="189"/>
      <c r="P221" s="436"/>
      <c r="Q221" s="437"/>
      <c r="R221" s="108"/>
      <c r="S221" s="108"/>
      <c r="T221" s="108"/>
      <c r="U221" s="189"/>
      <c r="AF221" s="436"/>
      <c r="AG221" s="437"/>
      <c r="AH221" s="108"/>
      <c r="AI221" s="108"/>
      <c r="AJ221" s="108"/>
      <c r="AK221" s="189"/>
      <c r="AV221" s="436"/>
      <c r="AW221" s="437"/>
      <c r="AX221" s="108"/>
      <c r="AY221" s="108"/>
      <c r="AZ221" s="108"/>
      <c r="BA221" s="189"/>
      <c r="BL221" s="436"/>
      <c r="BM221" s="437"/>
      <c r="BN221" s="108"/>
      <c r="BO221" s="108"/>
      <c r="BP221" s="108"/>
      <c r="BQ221" s="189"/>
      <c r="CB221" s="436"/>
      <c r="CC221" s="437"/>
      <c r="CD221" s="108"/>
      <c r="CE221" s="108"/>
      <c r="CF221" s="108"/>
      <c r="CG221" s="189"/>
      <c r="CR221" s="436"/>
      <c r="CS221" s="437"/>
      <c r="CT221" s="108"/>
      <c r="CU221" s="108"/>
      <c r="CV221" s="108"/>
      <c r="CW221" s="189"/>
      <c r="DH221" s="436"/>
      <c r="DI221" s="437"/>
      <c r="DJ221" s="108"/>
      <c r="DK221" s="108"/>
      <c r="DL221" s="108"/>
      <c r="DM221" s="189"/>
      <c r="DN221" s="436"/>
      <c r="DX221" s="436"/>
      <c r="DY221" s="437"/>
      <c r="DZ221" s="108"/>
      <c r="EA221" s="108"/>
      <c r="EB221" s="108"/>
    </row>
    <row r="222" spans="1:132" ht="14.25" customHeight="1">
      <c r="A222" s="152"/>
      <c r="C222" s="289"/>
      <c r="D222" s="289"/>
      <c r="E222" s="189"/>
      <c r="P222" s="436"/>
      <c r="Q222" s="437"/>
      <c r="R222" s="108"/>
      <c r="S222" s="108"/>
      <c r="T222" s="108"/>
      <c r="U222" s="189"/>
      <c r="AF222" s="436"/>
      <c r="AG222" s="437"/>
      <c r="AH222" s="108"/>
      <c r="AI222" s="108"/>
      <c r="AJ222" s="108"/>
      <c r="AK222" s="189"/>
      <c r="AV222" s="436"/>
      <c r="AW222" s="437"/>
      <c r="AX222" s="108"/>
      <c r="AY222" s="108"/>
      <c r="AZ222" s="108"/>
      <c r="BA222" s="189"/>
      <c r="BL222" s="436"/>
      <c r="BM222" s="437"/>
      <c r="BN222" s="108"/>
      <c r="BO222" s="108"/>
      <c r="BP222" s="108"/>
      <c r="BQ222" s="189"/>
      <c r="CB222" s="436"/>
      <c r="CC222" s="437"/>
      <c r="CD222" s="108"/>
      <c r="CE222" s="108"/>
      <c r="CF222" s="108"/>
      <c r="CG222" s="189"/>
      <c r="CR222" s="436"/>
      <c r="CS222" s="437"/>
      <c r="CT222" s="108"/>
      <c r="CU222" s="108"/>
      <c r="CV222" s="108"/>
      <c r="CW222" s="189"/>
      <c r="DH222" s="436"/>
      <c r="DI222" s="437"/>
      <c r="DJ222" s="108"/>
      <c r="DK222" s="108"/>
      <c r="DL222" s="108"/>
      <c r="DM222" s="189"/>
      <c r="DN222" s="436"/>
      <c r="DX222" s="436"/>
      <c r="DY222" s="437"/>
      <c r="DZ222" s="108"/>
      <c r="EA222" s="108"/>
      <c r="EB222" s="108"/>
    </row>
    <row r="223" spans="1:132" ht="14.25" customHeight="1">
      <c r="A223" s="152"/>
      <c r="C223" s="289"/>
      <c r="D223" s="289"/>
      <c r="E223" s="189"/>
      <c r="P223" s="436"/>
      <c r="Q223" s="437"/>
      <c r="R223" s="108"/>
      <c r="S223" s="108"/>
      <c r="T223" s="108"/>
      <c r="U223" s="189"/>
      <c r="AF223" s="436"/>
      <c r="AG223" s="437"/>
      <c r="AH223" s="108"/>
      <c r="AI223" s="108"/>
      <c r="AJ223" s="108"/>
      <c r="AK223" s="189"/>
      <c r="AV223" s="436"/>
      <c r="AW223" s="437"/>
      <c r="AX223" s="108"/>
      <c r="AY223" s="108"/>
      <c r="AZ223" s="108"/>
      <c r="BA223" s="189"/>
      <c r="BL223" s="436"/>
      <c r="BM223" s="437"/>
      <c r="BN223" s="108"/>
      <c r="BO223" s="108"/>
      <c r="BP223" s="108"/>
      <c r="BQ223" s="189"/>
      <c r="CB223" s="436"/>
      <c r="CC223" s="437"/>
      <c r="CD223" s="108"/>
      <c r="CE223" s="108"/>
      <c r="CF223" s="108"/>
      <c r="CG223" s="189"/>
      <c r="CR223" s="436"/>
      <c r="CS223" s="437"/>
      <c r="CT223" s="108"/>
      <c r="CU223" s="108"/>
      <c r="CV223" s="108"/>
      <c r="CW223" s="189"/>
      <c r="DH223" s="436"/>
      <c r="DI223" s="437"/>
      <c r="DJ223" s="108"/>
      <c r="DK223" s="108"/>
      <c r="DL223" s="108"/>
      <c r="DM223" s="189"/>
      <c r="DN223" s="436"/>
      <c r="DX223" s="436"/>
      <c r="DY223" s="437"/>
      <c r="DZ223" s="108"/>
      <c r="EA223" s="108"/>
      <c r="EB223" s="108"/>
    </row>
    <row r="224" spans="1:132" ht="14.25" customHeight="1">
      <c r="A224" s="152"/>
      <c r="C224" s="289"/>
      <c r="D224" s="289"/>
      <c r="E224" s="189"/>
      <c r="P224" s="436"/>
      <c r="Q224" s="437"/>
      <c r="R224" s="108"/>
      <c r="S224" s="108"/>
      <c r="T224" s="108"/>
      <c r="U224" s="189"/>
      <c r="AF224" s="436"/>
      <c r="AG224" s="437"/>
      <c r="AH224" s="108"/>
      <c r="AI224" s="108"/>
      <c r="AJ224" s="108"/>
      <c r="AK224" s="189"/>
      <c r="AV224" s="436"/>
      <c r="AW224" s="437"/>
      <c r="AX224" s="108"/>
      <c r="AY224" s="108"/>
      <c r="AZ224" s="108"/>
      <c r="BA224" s="189"/>
      <c r="BL224" s="436"/>
      <c r="BM224" s="437"/>
      <c r="BN224" s="108"/>
      <c r="BO224" s="108"/>
      <c r="BP224" s="108"/>
      <c r="BQ224" s="189"/>
      <c r="CB224" s="436"/>
      <c r="CC224" s="437"/>
      <c r="CD224" s="108"/>
      <c r="CE224" s="108"/>
      <c r="CF224" s="108"/>
      <c r="CG224" s="189"/>
      <c r="CR224" s="436"/>
      <c r="CS224" s="437"/>
      <c r="CT224" s="108"/>
      <c r="CU224" s="108"/>
      <c r="CV224" s="108"/>
      <c r="CW224" s="189"/>
      <c r="DH224" s="436"/>
      <c r="DI224" s="437"/>
      <c r="DJ224" s="108"/>
      <c r="DK224" s="108"/>
      <c r="DL224" s="108"/>
      <c r="DM224" s="189"/>
      <c r="DN224" s="436"/>
      <c r="DX224" s="436"/>
      <c r="DY224" s="437"/>
      <c r="DZ224" s="108"/>
      <c r="EA224" s="108"/>
      <c r="EB224" s="108"/>
    </row>
    <row r="225" spans="1:132" ht="14.25" customHeight="1">
      <c r="A225" s="152"/>
      <c r="C225" s="289"/>
      <c r="D225" s="289"/>
      <c r="E225" s="189"/>
      <c r="P225" s="436"/>
      <c r="Q225" s="437"/>
      <c r="R225" s="108"/>
      <c r="S225" s="108"/>
      <c r="T225" s="108"/>
      <c r="U225" s="189"/>
      <c r="AF225" s="436"/>
      <c r="AG225" s="437"/>
      <c r="AH225" s="108"/>
      <c r="AI225" s="108"/>
      <c r="AJ225" s="108"/>
      <c r="AK225" s="189"/>
      <c r="AV225" s="436"/>
      <c r="AW225" s="437"/>
      <c r="AX225" s="108"/>
      <c r="AY225" s="108"/>
      <c r="AZ225" s="108"/>
      <c r="BA225" s="189"/>
      <c r="BL225" s="436"/>
      <c r="BM225" s="437"/>
      <c r="BN225" s="108"/>
      <c r="BO225" s="108"/>
      <c r="BP225" s="108"/>
      <c r="BQ225" s="189"/>
      <c r="CB225" s="436"/>
      <c r="CC225" s="437"/>
      <c r="CD225" s="108"/>
      <c r="CE225" s="108"/>
      <c r="CF225" s="108"/>
      <c r="CG225" s="189"/>
      <c r="CR225" s="436"/>
      <c r="CS225" s="437"/>
      <c r="CT225" s="108"/>
      <c r="CU225" s="108"/>
      <c r="CV225" s="108"/>
      <c r="CW225" s="189"/>
      <c r="DH225" s="436"/>
      <c r="DI225" s="437"/>
      <c r="DJ225" s="108"/>
      <c r="DK225" s="108"/>
      <c r="DL225" s="108"/>
      <c r="DM225" s="189"/>
      <c r="DN225" s="436"/>
      <c r="DX225" s="436"/>
      <c r="DY225" s="437"/>
      <c r="DZ225" s="108"/>
      <c r="EA225" s="108"/>
      <c r="EB225" s="108"/>
    </row>
    <row r="226" spans="1:132" ht="14.25" customHeight="1">
      <c r="A226" s="152"/>
      <c r="C226" s="289"/>
      <c r="D226" s="289"/>
      <c r="E226" s="189"/>
      <c r="P226" s="436"/>
      <c r="Q226" s="437"/>
      <c r="R226" s="108"/>
      <c r="S226" s="108"/>
      <c r="T226" s="108"/>
      <c r="U226" s="189"/>
      <c r="AF226" s="436"/>
      <c r="AG226" s="437"/>
      <c r="AH226" s="108"/>
      <c r="AI226" s="108"/>
      <c r="AJ226" s="108"/>
      <c r="AK226" s="189"/>
      <c r="AV226" s="436"/>
      <c r="AW226" s="437"/>
      <c r="AX226" s="108"/>
      <c r="AY226" s="108"/>
      <c r="AZ226" s="108"/>
      <c r="BA226" s="189"/>
      <c r="BL226" s="436"/>
      <c r="BM226" s="437"/>
      <c r="BN226" s="108"/>
      <c r="BO226" s="108"/>
      <c r="BP226" s="108"/>
      <c r="BQ226" s="189"/>
      <c r="CB226" s="436"/>
      <c r="CC226" s="437"/>
      <c r="CD226" s="108"/>
      <c r="CE226" s="108"/>
      <c r="CF226" s="108"/>
      <c r="CG226" s="189"/>
      <c r="CR226" s="436"/>
      <c r="CS226" s="437"/>
      <c r="CT226" s="108"/>
      <c r="CU226" s="108"/>
      <c r="CV226" s="108"/>
      <c r="CW226" s="189"/>
      <c r="DH226" s="436"/>
      <c r="DI226" s="437"/>
      <c r="DJ226" s="108"/>
      <c r="DK226" s="108"/>
      <c r="DL226" s="108"/>
      <c r="DM226" s="189"/>
      <c r="DN226" s="436"/>
      <c r="DX226" s="436"/>
      <c r="DY226" s="437"/>
      <c r="DZ226" s="108"/>
      <c r="EA226" s="108"/>
      <c r="EB226" s="108"/>
    </row>
    <row r="227" spans="1:132" ht="14.25" customHeight="1">
      <c r="A227" s="152"/>
      <c r="C227" s="289"/>
      <c r="D227" s="289"/>
      <c r="E227" s="189"/>
      <c r="P227" s="436"/>
      <c r="Q227" s="437"/>
      <c r="R227" s="108"/>
      <c r="S227" s="108"/>
      <c r="T227" s="108"/>
      <c r="U227" s="189"/>
      <c r="AF227" s="436"/>
      <c r="AG227" s="437"/>
      <c r="AH227" s="108"/>
      <c r="AI227" s="108"/>
      <c r="AJ227" s="108"/>
      <c r="AK227" s="189"/>
      <c r="AV227" s="436"/>
      <c r="AW227" s="437"/>
      <c r="AX227" s="108"/>
      <c r="AY227" s="108"/>
      <c r="AZ227" s="108"/>
      <c r="BA227" s="189"/>
      <c r="BL227" s="436"/>
      <c r="BM227" s="437"/>
      <c r="BN227" s="108"/>
      <c r="BO227" s="108"/>
      <c r="BP227" s="108"/>
      <c r="BQ227" s="189"/>
      <c r="CB227" s="436"/>
      <c r="CC227" s="437"/>
      <c r="CD227" s="108"/>
      <c r="CE227" s="108"/>
      <c r="CF227" s="108"/>
      <c r="CG227" s="189"/>
      <c r="CR227" s="436"/>
      <c r="CS227" s="437"/>
      <c r="CT227" s="108"/>
      <c r="CU227" s="108"/>
      <c r="CV227" s="108"/>
      <c r="CW227" s="189"/>
      <c r="DH227" s="436"/>
      <c r="DI227" s="437"/>
      <c r="DJ227" s="108"/>
      <c r="DK227" s="108"/>
      <c r="DL227" s="108"/>
      <c r="DM227" s="189"/>
      <c r="DN227" s="436"/>
      <c r="DX227" s="436"/>
      <c r="DY227" s="437"/>
      <c r="DZ227" s="108"/>
      <c r="EA227" s="108"/>
      <c r="EB227" s="108"/>
    </row>
    <row r="228" spans="1:132" ht="14.25" customHeight="1">
      <c r="A228" s="152"/>
      <c r="C228" s="289"/>
      <c r="D228" s="289"/>
      <c r="E228" s="189"/>
      <c r="P228" s="436"/>
      <c r="Q228" s="437"/>
      <c r="R228" s="108"/>
      <c r="S228" s="108"/>
      <c r="T228" s="108"/>
      <c r="U228" s="189"/>
      <c r="AF228" s="436"/>
      <c r="AG228" s="437"/>
      <c r="AH228" s="108"/>
      <c r="AI228" s="108"/>
      <c r="AJ228" s="108"/>
      <c r="AK228" s="189"/>
      <c r="AV228" s="436"/>
      <c r="AW228" s="437"/>
      <c r="AX228" s="108"/>
      <c r="AY228" s="108"/>
      <c r="AZ228" s="108"/>
      <c r="BA228" s="189"/>
      <c r="BL228" s="436"/>
      <c r="BM228" s="437"/>
      <c r="BN228" s="108"/>
      <c r="BO228" s="108"/>
      <c r="BP228" s="108"/>
      <c r="BQ228" s="189"/>
      <c r="CB228" s="436"/>
      <c r="CC228" s="437"/>
      <c r="CD228" s="108"/>
      <c r="CE228" s="108"/>
      <c r="CF228" s="108"/>
      <c r="CG228" s="189"/>
      <c r="CR228" s="436"/>
      <c r="CS228" s="437"/>
      <c r="CT228" s="108"/>
      <c r="CU228" s="108"/>
      <c r="CV228" s="108"/>
      <c r="CW228" s="189"/>
      <c r="DH228" s="436"/>
      <c r="DI228" s="437"/>
      <c r="DJ228" s="108"/>
      <c r="DK228" s="108"/>
      <c r="DL228" s="108"/>
      <c r="DM228" s="189"/>
      <c r="DN228" s="436"/>
      <c r="DX228" s="436"/>
      <c r="DY228" s="437"/>
      <c r="DZ228" s="108"/>
      <c r="EA228" s="108"/>
      <c r="EB228" s="108"/>
    </row>
    <row r="229" spans="1:132" ht="14.25" customHeight="1">
      <c r="A229" s="152"/>
      <c r="C229" s="289"/>
      <c r="D229" s="289"/>
      <c r="E229" s="189"/>
      <c r="P229" s="436"/>
      <c r="Q229" s="437"/>
      <c r="R229" s="108"/>
      <c r="S229" s="108"/>
      <c r="T229" s="108"/>
      <c r="U229" s="189"/>
      <c r="AF229" s="436"/>
      <c r="AG229" s="437"/>
      <c r="AH229" s="108"/>
      <c r="AI229" s="108"/>
      <c r="AJ229" s="108"/>
      <c r="AK229" s="189"/>
      <c r="AV229" s="436"/>
      <c r="AW229" s="437"/>
      <c r="AX229" s="108"/>
      <c r="AY229" s="108"/>
      <c r="AZ229" s="108"/>
      <c r="BA229" s="189"/>
      <c r="BL229" s="436"/>
      <c r="BM229" s="437"/>
      <c r="BN229" s="108"/>
      <c r="BO229" s="108"/>
      <c r="BP229" s="108"/>
      <c r="BQ229" s="189"/>
      <c r="CB229" s="436"/>
      <c r="CC229" s="437"/>
      <c r="CD229" s="108"/>
      <c r="CE229" s="108"/>
      <c r="CF229" s="108"/>
      <c r="CG229" s="189"/>
      <c r="CR229" s="436"/>
      <c r="CS229" s="437"/>
      <c r="CT229" s="108"/>
      <c r="CU229" s="108"/>
      <c r="CV229" s="108"/>
      <c r="CW229" s="189"/>
      <c r="DH229" s="436"/>
      <c r="DI229" s="437"/>
      <c r="DJ229" s="108"/>
      <c r="DK229" s="108"/>
      <c r="DL229" s="108"/>
      <c r="DM229" s="189"/>
      <c r="DN229" s="436"/>
      <c r="DX229" s="436"/>
      <c r="DY229" s="437"/>
      <c r="DZ229" s="108"/>
      <c r="EA229" s="108"/>
      <c r="EB229" s="108"/>
    </row>
    <row r="230" spans="1:132" ht="14.25" customHeight="1">
      <c r="A230" s="152"/>
      <c r="C230" s="289"/>
      <c r="D230" s="289"/>
      <c r="E230" s="189"/>
      <c r="P230" s="436"/>
      <c r="Q230" s="437"/>
      <c r="R230" s="108"/>
      <c r="S230" s="108"/>
      <c r="T230" s="108"/>
      <c r="U230" s="189"/>
      <c r="AF230" s="436"/>
      <c r="AG230" s="437"/>
      <c r="AH230" s="108"/>
      <c r="AI230" s="108"/>
      <c r="AJ230" s="108"/>
      <c r="AK230" s="189"/>
      <c r="AV230" s="436"/>
      <c r="AW230" s="437"/>
      <c r="AX230" s="108"/>
      <c r="AY230" s="108"/>
      <c r="AZ230" s="108"/>
      <c r="BA230" s="189"/>
      <c r="BL230" s="436"/>
      <c r="BM230" s="437"/>
      <c r="BN230" s="108"/>
      <c r="BO230" s="108"/>
      <c r="BP230" s="108"/>
      <c r="BQ230" s="189"/>
      <c r="CB230" s="436"/>
      <c r="CC230" s="437"/>
      <c r="CD230" s="108"/>
      <c r="CE230" s="108"/>
      <c r="CF230" s="108"/>
      <c r="CG230" s="189"/>
      <c r="CR230" s="436"/>
      <c r="CS230" s="437"/>
      <c r="CT230" s="108"/>
      <c r="CU230" s="108"/>
      <c r="CV230" s="108"/>
      <c r="CW230" s="189"/>
      <c r="DH230" s="436"/>
      <c r="DI230" s="437"/>
      <c r="DJ230" s="108"/>
      <c r="DK230" s="108"/>
      <c r="DL230" s="108"/>
      <c r="DM230" s="189"/>
      <c r="DN230" s="436"/>
      <c r="DX230" s="436"/>
      <c r="DY230" s="437"/>
      <c r="DZ230" s="108"/>
      <c r="EA230" s="108"/>
      <c r="EB230" s="108"/>
    </row>
    <row r="231" spans="1:132" ht="14.25" customHeight="1">
      <c r="A231" s="152"/>
      <c r="C231" s="289"/>
      <c r="D231" s="289"/>
      <c r="E231" s="189"/>
      <c r="P231" s="436"/>
      <c r="Q231" s="437"/>
      <c r="R231" s="108"/>
      <c r="S231" s="108"/>
      <c r="T231" s="108"/>
      <c r="U231" s="189"/>
      <c r="AF231" s="436"/>
      <c r="AG231" s="437"/>
      <c r="AH231" s="108"/>
      <c r="AI231" s="108"/>
      <c r="AJ231" s="108"/>
      <c r="AK231" s="189"/>
      <c r="AV231" s="436"/>
      <c r="AW231" s="437"/>
      <c r="AX231" s="108"/>
      <c r="AY231" s="108"/>
      <c r="AZ231" s="108"/>
      <c r="BA231" s="189"/>
      <c r="BL231" s="436"/>
      <c r="BM231" s="437"/>
      <c r="BN231" s="108"/>
      <c r="BO231" s="108"/>
      <c r="BP231" s="108"/>
      <c r="BQ231" s="189"/>
      <c r="CB231" s="436"/>
      <c r="CC231" s="437"/>
      <c r="CD231" s="108"/>
      <c r="CE231" s="108"/>
      <c r="CF231" s="108"/>
      <c r="CG231" s="189"/>
      <c r="CR231" s="436"/>
      <c r="CS231" s="437"/>
      <c r="CT231" s="108"/>
      <c r="CU231" s="108"/>
      <c r="CV231" s="108"/>
      <c r="CW231" s="189"/>
      <c r="DH231" s="436"/>
      <c r="DI231" s="437"/>
      <c r="DJ231" s="108"/>
      <c r="DK231" s="108"/>
      <c r="DL231" s="108"/>
      <c r="DM231" s="189"/>
      <c r="DN231" s="436"/>
      <c r="DX231" s="436"/>
      <c r="DY231" s="437"/>
      <c r="DZ231" s="108"/>
      <c r="EA231" s="108"/>
      <c r="EB231" s="108"/>
    </row>
    <row r="232" spans="1:132" ht="14.25" customHeight="1">
      <c r="A232" s="152"/>
      <c r="C232" s="289"/>
      <c r="D232" s="289"/>
      <c r="E232" s="189"/>
      <c r="P232" s="436"/>
      <c r="Q232" s="437"/>
      <c r="R232" s="108"/>
      <c r="S232" s="108"/>
      <c r="T232" s="108"/>
      <c r="U232" s="189"/>
      <c r="AF232" s="436"/>
      <c r="AG232" s="437"/>
      <c r="AH232" s="108"/>
      <c r="AI232" s="108"/>
      <c r="AJ232" s="108"/>
      <c r="AK232" s="189"/>
      <c r="AV232" s="436"/>
      <c r="AW232" s="437"/>
      <c r="AX232" s="108"/>
      <c r="AY232" s="108"/>
      <c r="AZ232" s="108"/>
      <c r="BA232" s="189"/>
      <c r="BL232" s="436"/>
      <c r="BM232" s="437"/>
      <c r="BN232" s="108"/>
      <c r="BO232" s="108"/>
      <c r="BP232" s="108"/>
      <c r="BQ232" s="189"/>
      <c r="CB232" s="436"/>
      <c r="CC232" s="437"/>
      <c r="CD232" s="108"/>
      <c r="CE232" s="108"/>
      <c r="CF232" s="108"/>
      <c r="CG232" s="189"/>
      <c r="CR232" s="436"/>
      <c r="CS232" s="437"/>
      <c r="CT232" s="108"/>
      <c r="CU232" s="108"/>
      <c r="CV232" s="108"/>
      <c r="CW232" s="189"/>
      <c r="DH232" s="436"/>
      <c r="DI232" s="437"/>
      <c r="DJ232" s="108"/>
      <c r="DK232" s="108"/>
      <c r="DL232" s="108"/>
      <c r="DM232" s="189"/>
      <c r="DN232" s="436"/>
      <c r="DX232" s="436"/>
      <c r="DY232" s="437"/>
      <c r="DZ232" s="108"/>
      <c r="EA232" s="108"/>
      <c r="EB232" s="108"/>
    </row>
    <row r="233" spans="1:132" ht="14.25" customHeight="1">
      <c r="A233" s="152"/>
      <c r="C233" s="289"/>
      <c r="D233" s="289"/>
      <c r="E233" s="189"/>
      <c r="P233" s="436"/>
      <c r="Q233" s="437"/>
      <c r="R233" s="108"/>
      <c r="S233" s="108"/>
      <c r="T233" s="108"/>
      <c r="U233" s="189"/>
      <c r="AF233" s="436"/>
      <c r="AG233" s="437"/>
      <c r="AH233" s="108"/>
      <c r="AI233" s="108"/>
      <c r="AJ233" s="108"/>
      <c r="AK233" s="189"/>
      <c r="AV233" s="436"/>
      <c r="AW233" s="437"/>
      <c r="AX233" s="108"/>
      <c r="AY233" s="108"/>
      <c r="AZ233" s="108"/>
      <c r="BA233" s="189"/>
      <c r="BL233" s="436"/>
      <c r="BM233" s="437"/>
      <c r="BN233" s="108"/>
      <c r="BO233" s="108"/>
      <c r="BP233" s="108"/>
      <c r="BQ233" s="189"/>
      <c r="CB233" s="436"/>
      <c r="CC233" s="437"/>
      <c r="CD233" s="108"/>
      <c r="CE233" s="108"/>
      <c r="CF233" s="108"/>
      <c r="CG233" s="189"/>
      <c r="CR233" s="436"/>
      <c r="CS233" s="437"/>
      <c r="CT233" s="108"/>
      <c r="CU233" s="108"/>
      <c r="CV233" s="108"/>
      <c r="CW233" s="189"/>
      <c r="DH233" s="436"/>
      <c r="DI233" s="437"/>
      <c r="DJ233" s="108"/>
      <c r="DK233" s="108"/>
      <c r="DL233" s="108"/>
      <c r="DM233" s="189"/>
      <c r="DN233" s="436"/>
      <c r="DX233" s="436"/>
      <c r="DY233" s="437"/>
      <c r="DZ233" s="108"/>
      <c r="EA233" s="108"/>
      <c r="EB233" s="108"/>
    </row>
    <row r="234" spans="1:132" ht="14.25" customHeight="1">
      <c r="A234" s="152"/>
      <c r="C234" s="289"/>
      <c r="D234" s="289"/>
      <c r="E234" s="189"/>
      <c r="P234" s="436"/>
      <c r="Q234" s="437"/>
      <c r="R234" s="108"/>
      <c r="S234" s="108"/>
      <c r="T234" s="108"/>
      <c r="U234" s="189"/>
      <c r="AF234" s="436"/>
      <c r="AG234" s="437"/>
      <c r="AH234" s="108"/>
      <c r="AI234" s="108"/>
      <c r="AJ234" s="108"/>
      <c r="AK234" s="189"/>
      <c r="AV234" s="436"/>
      <c r="AW234" s="437"/>
      <c r="AX234" s="108"/>
      <c r="AY234" s="108"/>
      <c r="AZ234" s="108"/>
      <c r="BA234" s="189"/>
      <c r="BL234" s="436"/>
      <c r="BM234" s="437"/>
      <c r="BN234" s="108"/>
      <c r="BO234" s="108"/>
      <c r="BP234" s="108"/>
      <c r="BQ234" s="189"/>
      <c r="CB234" s="436"/>
      <c r="CC234" s="437"/>
      <c r="CD234" s="108"/>
      <c r="CE234" s="108"/>
      <c r="CF234" s="108"/>
      <c r="CG234" s="189"/>
      <c r="CR234" s="436"/>
      <c r="CS234" s="437"/>
      <c r="CT234" s="108"/>
      <c r="CU234" s="108"/>
      <c r="CV234" s="108"/>
      <c r="CW234" s="189"/>
      <c r="DH234" s="436"/>
      <c r="DI234" s="437"/>
      <c r="DJ234" s="108"/>
      <c r="DK234" s="108"/>
      <c r="DL234" s="108"/>
      <c r="DM234" s="189"/>
      <c r="DN234" s="436"/>
      <c r="DX234" s="436"/>
      <c r="DY234" s="437"/>
      <c r="DZ234" s="108"/>
      <c r="EA234" s="108"/>
      <c r="EB234" s="108"/>
    </row>
    <row r="235" spans="1:132" ht="14.25" customHeight="1">
      <c r="A235" s="152"/>
      <c r="C235" s="289"/>
      <c r="D235" s="289"/>
      <c r="E235" s="189"/>
      <c r="P235" s="436"/>
      <c r="Q235" s="437"/>
      <c r="R235" s="108"/>
      <c r="S235" s="108"/>
      <c r="T235" s="108"/>
      <c r="U235" s="189"/>
      <c r="AF235" s="436"/>
      <c r="AG235" s="437"/>
      <c r="AH235" s="108"/>
      <c r="AI235" s="108"/>
      <c r="AJ235" s="108"/>
      <c r="AK235" s="189"/>
      <c r="AV235" s="436"/>
      <c r="AW235" s="437"/>
      <c r="AX235" s="108"/>
      <c r="AY235" s="108"/>
      <c r="AZ235" s="108"/>
      <c r="BA235" s="189"/>
      <c r="BL235" s="436"/>
      <c r="BM235" s="437"/>
      <c r="BN235" s="108"/>
      <c r="BO235" s="108"/>
      <c r="BP235" s="108"/>
      <c r="BQ235" s="189"/>
      <c r="CB235" s="436"/>
      <c r="CC235" s="437"/>
      <c r="CD235" s="108"/>
      <c r="CE235" s="108"/>
      <c r="CF235" s="108"/>
      <c r="CG235" s="189"/>
      <c r="CR235" s="436"/>
      <c r="CS235" s="437"/>
      <c r="CT235" s="108"/>
      <c r="CU235" s="108"/>
      <c r="CV235" s="108"/>
      <c r="CW235" s="189"/>
      <c r="DH235" s="436"/>
      <c r="DI235" s="437"/>
      <c r="DJ235" s="108"/>
      <c r="DK235" s="108"/>
      <c r="DL235" s="108"/>
      <c r="DM235" s="189"/>
      <c r="DN235" s="436"/>
      <c r="DX235" s="436"/>
      <c r="DY235" s="437"/>
      <c r="DZ235" s="108"/>
      <c r="EA235" s="108"/>
      <c r="EB235" s="108"/>
    </row>
    <row r="236" spans="1:132" ht="14.25" customHeight="1">
      <c r="A236" s="152"/>
      <c r="C236" s="289"/>
      <c r="D236" s="289"/>
      <c r="E236" s="189"/>
      <c r="P236" s="436"/>
      <c r="Q236" s="437"/>
      <c r="R236" s="108"/>
      <c r="S236" s="108"/>
      <c r="T236" s="108"/>
      <c r="U236" s="189"/>
      <c r="AF236" s="436"/>
      <c r="AG236" s="437"/>
      <c r="AH236" s="108"/>
      <c r="AI236" s="108"/>
      <c r="AJ236" s="108"/>
      <c r="AK236" s="189"/>
      <c r="AV236" s="436"/>
      <c r="AW236" s="437"/>
      <c r="AX236" s="108"/>
      <c r="AY236" s="108"/>
      <c r="AZ236" s="108"/>
      <c r="BA236" s="189"/>
      <c r="BL236" s="436"/>
      <c r="BM236" s="437"/>
      <c r="BN236" s="108"/>
      <c r="BO236" s="108"/>
      <c r="BP236" s="108"/>
      <c r="BQ236" s="189"/>
      <c r="CB236" s="436"/>
      <c r="CC236" s="437"/>
      <c r="CD236" s="108"/>
      <c r="CE236" s="108"/>
      <c r="CF236" s="108"/>
      <c r="CG236" s="189"/>
      <c r="CR236" s="436"/>
      <c r="CS236" s="437"/>
      <c r="CT236" s="108"/>
      <c r="CU236" s="108"/>
      <c r="CV236" s="108"/>
      <c r="CW236" s="189"/>
      <c r="DH236" s="436"/>
      <c r="DI236" s="437"/>
      <c r="DJ236" s="108"/>
      <c r="DK236" s="108"/>
      <c r="DL236" s="108"/>
      <c r="DM236" s="189"/>
      <c r="DN236" s="436"/>
      <c r="DX236" s="436"/>
      <c r="DY236" s="437"/>
      <c r="DZ236" s="108"/>
      <c r="EA236" s="108"/>
      <c r="EB236" s="108"/>
    </row>
    <row r="237" spans="1:132" ht="14.25" customHeight="1">
      <c r="A237" s="152"/>
      <c r="C237" s="289"/>
      <c r="D237" s="289"/>
      <c r="E237" s="189"/>
      <c r="P237" s="436"/>
      <c r="Q237" s="437"/>
      <c r="R237" s="108"/>
      <c r="S237" s="108"/>
      <c r="T237" s="108"/>
      <c r="U237" s="189"/>
      <c r="AF237" s="436"/>
      <c r="AG237" s="437"/>
      <c r="AH237" s="108"/>
      <c r="AI237" s="108"/>
      <c r="AJ237" s="108"/>
      <c r="AK237" s="189"/>
      <c r="AV237" s="436"/>
      <c r="AW237" s="437"/>
      <c r="AX237" s="108"/>
      <c r="AY237" s="108"/>
      <c r="AZ237" s="108"/>
      <c r="BA237" s="189"/>
      <c r="BL237" s="436"/>
      <c r="BM237" s="437"/>
      <c r="BN237" s="108"/>
      <c r="BO237" s="108"/>
      <c r="BP237" s="108"/>
      <c r="BQ237" s="189"/>
      <c r="CB237" s="436"/>
      <c r="CC237" s="437"/>
      <c r="CD237" s="108"/>
      <c r="CE237" s="108"/>
      <c r="CF237" s="108"/>
      <c r="CG237" s="189"/>
      <c r="CR237" s="436"/>
      <c r="CS237" s="437"/>
      <c r="CT237" s="108"/>
      <c r="CU237" s="108"/>
      <c r="CV237" s="108"/>
      <c r="CW237" s="189"/>
      <c r="DH237" s="436"/>
      <c r="DI237" s="437"/>
      <c r="DJ237" s="108"/>
      <c r="DK237" s="108"/>
      <c r="DL237" s="108"/>
      <c r="DM237" s="189"/>
      <c r="DN237" s="436"/>
      <c r="DX237" s="436"/>
      <c r="DY237" s="437"/>
      <c r="DZ237" s="108"/>
      <c r="EA237" s="108"/>
      <c r="EB237" s="108"/>
    </row>
    <row r="238" spans="1:132" ht="14.25" customHeight="1">
      <c r="A238" s="152"/>
      <c r="C238" s="289"/>
      <c r="D238" s="289"/>
      <c r="E238" s="189"/>
      <c r="P238" s="436"/>
      <c r="Q238" s="437"/>
      <c r="R238" s="108"/>
      <c r="S238" s="108"/>
      <c r="T238" s="108"/>
      <c r="U238" s="189"/>
      <c r="AF238" s="436"/>
      <c r="AG238" s="437"/>
      <c r="AH238" s="108"/>
      <c r="AI238" s="108"/>
      <c r="AJ238" s="108"/>
      <c r="AK238" s="189"/>
      <c r="AV238" s="436"/>
      <c r="AW238" s="437"/>
      <c r="AX238" s="108"/>
      <c r="AY238" s="108"/>
      <c r="AZ238" s="108"/>
      <c r="BA238" s="189"/>
      <c r="BL238" s="436"/>
      <c r="BM238" s="437"/>
      <c r="BN238" s="108"/>
      <c r="BO238" s="108"/>
      <c r="BP238" s="108"/>
      <c r="BQ238" s="189"/>
      <c r="CB238" s="436"/>
      <c r="CC238" s="437"/>
      <c r="CD238" s="108"/>
      <c r="CE238" s="108"/>
      <c r="CF238" s="108"/>
      <c r="CG238" s="189"/>
      <c r="CR238" s="436"/>
      <c r="CS238" s="437"/>
      <c r="CT238" s="108"/>
      <c r="CU238" s="108"/>
      <c r="CV238" s="108"/>
      <c r="CW238" s="189"/>
      <c r="DH238" s="436"/>
      <c r="DI238" s="437"/>
      <c r="DJ238" s="108"/>
      <c r="DK238" s="108"/>
      <c r="DL238" s="108"/>
      <c r="DM238" s="189"/>
      <c r="DN238" s="436"/>
      <c r="DX238" s="436"/>
      <c r="DY238" s="437"/>
      <c r="DZ238" s="108"/>
      <c r="EA238" s="108"/>
      <c r="EB238" s="108"/>
    </row>
    <row r="239" spans="1:132" ht="14.25" customHeight="1">
      <c r="A239" s="152"/>
      <c r="C239" s="289"/>
      <c r="D239" s="289"/>
      <c r="E239" s="189"/>
      <c r="P239" s="436"/>
      <c r="Q239" s="437"/>
      <c r="R239" s="108"/>
      <c r="S239" s="108"/>
      <c r="T239" s="108"/>
      <c r="U239" s="189"/>
      <c r="AF239" s="436"/>
      <c r="AG239" s="437"/>
      <c r="AH239" s="108"/>
      <c r="AI239" s="108"/>
      <c r="AJ239" s="108"/>
      <c r="AK239" s="189"/>
      <c r="AV239" s="436"/>
      <c r="AW239" s="437"/>
      <c r="AX239" s="108"/>
      <c r="AY239" s="108"/>
      <c r="AZ239" s="108"/>
      <c r="BA239" s="189"/>
      <c r="BL239" s="436"/>
      <c r="BM239" s="437"/>
      <c r="BN239" s="108"/>
      <c r="BO239" s="108"/>
      <c r="BP239" s="108"/>
      <c r="BQ239" s="189"/>
      <c r="CB239" s="436"/>
      <c r="CC239" s="437"/>
      <c r="CD239" s="108"/>
      <c r="CE239" s="108"/>
      <c r="CF239" s="108"/>
      <c r="CG239" s="189"/>
      <c r="CR239" s="436"/>
      <c r="CS239" s="437"/>
      <c r="CT239" s="108"/>
      <c r="CU239" s="108"/>
      <c r="CV239" s="108"/>
      <c r="CW239" s="189"/>
      <c r="DH239" s="436"/>
      <c r="DI239" s="437"/>
      <c r="DJ239" s="108"/>
      <c r="DK239" s="108"/>
      <c r="DL239" s="108"/>
      <c r="DM239" s="189"/>
      <c r="DN239" s="436"/>
      <c r="DX239" s="436"/>
      <c r="DY239" s="437"/>
      <c r="DZ239" s="108"/>
      <c r="EA239" s="108"/>
      <c r="EB239" s="108"/>
    </row>
    <row r="240" spans="1:132" ht="14.25" customHeight="1">
      <c r="A240" s="152"/>
      <c r="C240" s="289"/>
      <c r="D240" s="289"/>
      <c r="E240" s="189"/>
      <c r="P240" s="436"/>
      <c r="Q240" s="437"/>
      <c r="R240" s="108"/>
      <c r="S240" s="108"/>
      <c r="T240" s="108"/>
      <c r="U240" s="189"/>
      <c r="AF240" s="436"/>
      <c r="AG240" s="437"/>
      <c r="AH240" s="108"/>
      <c r="AI240" s="108"/>
      <c r="AJ240" s="108"/>
      <c r="AK240" s="189"/>
      <c r="AV240" s="436"/>
      <c r="AW240" s="437"/>
      <c r="AX240" s="108"/>
      <c r="AY240" s="108"/>
      <c r="AZ240" s="108"/>
      <c r="BA240" s="189"/>
      <c r="BL240" s="436"/>
      <c r="BM240" s="437"/>
      <c r="BN240" s="108"/>
      <c r="BO240" s="108"/>
      <c r="BP240" s="108"/>
      <c r="BQ240" s="189"/>
      <c r="CB240" s="436"/>
      <c r="CC240" s="437"/>
      <c r="CD240" s="108"/>
      <c r="CE240" s="108"/>
      <c r="CF240" s="108"/>
      <c r="CG240" s="189"/>
      <c r="CR240" s="436"/>
      <c r="CS240" s="437"/>
      <c r="CT240" s="108"/>
      <c r="CU240" s="108"/>
      <c r="CV240" s="108"/>
      <c r="CW240" s="189"/>
      <c r="DH240" s="436"/>
      <c r="DI240" s="437"/>
      <c r="DJ240" s="108"/>
      <c r="DK240" s="108"/>
      <c r="DL240" s="108"/>
      <c r="DM240" s="189"/>
      <c r="DN240" s="436"/>
      <c r="DX240" s="436"/>
      <c r="DY240" s="437"/>
      <c r="DZ240" s="108"/>
      <c r="EA240" s="108"/>
      <c r="EB240" s="108"/>
    </row>
    <row r="241" spans="1:132" ht="14.25" customHeight="1">
      <c r="A241" s="152"/>
      <c r="C241" s="289"/>
      <c r="D241" s="289"/>
      <c r="E241" s="189"/>
      <c r="P241" s="436"/>
      <c r="Q241" s="437"/>
      <c r="R241" s="108"/>
      <c r="S241" s="108"/>
      <c r="T241" s="108"/>
      <c r="U241" s="189"/>
      <c r="AF241" s="436"/>
      <c r="AG241" s="437"/>
      <c r="AH241" s="108"/>
      <c r="AI241" s="108"/>
      <c r="AJ241" s="108"/>
      <c r="AK241" s="189"/>
      <c r="AV241" s="436"/>
      <c r="AW241" s="437"/>
      <c r="AX241" s="108"/>
      <c r="AY241" s="108"/>
      <c r="AZ241" s="108"/>
      <c r="BA241" s="189"/>
      <c r="BL241" s="436"/>
      <c r="BM241" s="437"/>
      <c r="BN241" s="108"/>
      <c r="BO241" s="108"/>
      <c r="BP241" s="108"/>
      <c r="BQ241" s="189"/>
      <c r="CB241" s="436"/>
      <c r="CC241" s="437"/>
      <c r="CD241" s="108"/>
      <c r="CE241" s="108"/>
      <c r="CF241" s="108"/>
      <c r="CG241" s="189"/>
      <c r="CR241" s="436"/>
      <c r="CS241" s="437"/>
      <c r="CT241" s="108"/>
      <c r="CU241" s="108"/>
      <c r="CV241" s="108"/>
      <c r="CW241" s="189"/>
      <c r="DH241" s="436"/>
      <c r="DI241" s="437"/>
      <c r="DJ241" s="108"/>
      <c r="DK241" s="108"/>
      <c r="DL241" s="108"/>
      <c r="DM241" s="189"/>
      <c r="DN241" s="436"/>
      <c r="DX241" s="436"/>
      <c r="DY241" s="437"/>
      <c r="DZ241" s="108"/>
      <c r="EA241" s="108"/>
      <c r="EB241" s="108"/>
    </row>
    <row r="242" spans="1:132" ht="14.25" customHeight="1">
      <c r="A242" s="152"/>
      <c r="C242" s="289"/>
      <c r="D242" s="289"/>
      <c r="E242" s="189"/>
      <c r="P242" s="436"/>
      <c r="Q242" s="437"/>
      <c r="R242" s="108"/>
      <c r="S242" s="108"/>
      <c r="T242" s="108"/>
      <c r="U242" s="189"/>
      <c r="AF242" s="436"/>
      <c r="AG242" s="437"/>
      <c r="AH242" s="108"/>
      <c r="AI242" s="108"/>
      <c r="AJ242" s="108"/>
      <c r="AK242" s="189"/>
      <c r="AV242" s="436"/>
      <c r="AW242" s="437"/>
      <c r="AX242" s="108"/>
      <c r="AY242" s="108"/>
      <c r="AZ242" s="108"/>
      <c r="BA242" s="189"/>
      <c r="BL242" s="436"/>
      <c r="BM242" s="437"/>
      <c r="BN242" s="108"/>
      <c r="BO242" s="108"/>
      <c r="BP242" s="108"/>
      <c r="BQ242" s="189"/>
      <c r="CB242" s="436"/>
      <c r="CC242" s="437"/>
      <c r="CD242" s="108"/>
      <c r="CE242" s="108"/>
      <c r="CF242" s="108"/>
      <c r="CG242" s="189"/>
      <c r="CR242" s="436"/>
      <c r="CS242" s="437"/>
      <c r="CT242" s="108"/>
      <c r="CU242" s="108"/>
      <c r="CV242" s="108"/>
      <c r="CW242" s="189"/>
      <c r="DH242" s="436"/>
      <c r="DI242" s="437"/>
      <c r="DJ242" s="108"/>
      <c r="DK242" s="108"/>
      <c r="DL242" s="108"/>
      <c r="DM242" s="189"/>
      <c r="DN242" s="436"/>
      <c r="DX242" s="436"/>
      <c r="DY242" s="437"/>
      <c r="DZ242" s="108"/>
      <c r="EA242" s="108"/>
      <c r="EB242" s="108"/>
    </row>
    <row r="243" spans="1:132" ht="14.25" customHeight="1">
      <c r="A243" s="152"/>
      <c r="C243" s="289"/>
      <c r="D243" s="289"/>
      <c r="E243" s="189"/>
      <c r="P243" s="436"/>
      <c r="Q243" s="437"/>
      <c r="R243" s="108"/>
      <c r="S243" s="108"/>
      <c r="T243" s="108"/>
      <c r="U243" s="189"/>
      <c r="AF243" s="436"/>
      <c r="AG243" s="437"/>
      <c r="AH243" s="108"/>
      <c r="AI243" s="108"/>
      <c r="AJ243" s="108"/>
      <c r="AK243" s="189"/>
      <c r="AV243" s="436"/>
      <c r="AW243" s="437"/>
      <c r="AX243" s="108"/>
      <c r="AY243" s="108"/>
      <c r="AZ243" s="108"/>
      <c r="BA243" s="189"/>
      <c r="BL243" s="436"/>
      <c r="BM243" s="437"/>
      <c r="BN243" s="108"/>
      <c r="BO243" s="108"/>
      <c r="BP243" s="108"/>
      <c r="BQ243" s="189"/>
      <c r="CB243" s="436"/>
      <c r="CC243" s="437"/>
      <c r="CD243" s="108"/>
      <c r="CE243" s="108"/>
      <c r="CF243" s="108"/>
      <c r="CG243" s="189"/>
      <c r="CR243" s="436"/>
      <c r="CS243" s="437"/>
      <c r="CT243" s="108"/>
      <c r="CU243" s="108"/>
      <c r="CV243" s="108"/>
      <c r="CW243" s="189"/>
      <c r="DH243" s="436"/>
      <c r="DI243" s="437"/>
      <c r="DJ243" s="108"/>
      <c r="DK243" s="108"/>
      <c r="DL243" s="108"/>
      <c r="DM243" s="189"/>
      <c r="DN243" s="436"/>
      <c r="DX243" s="436"/>
      <c r="DY243" s="437"/>
      <c r="DZ243" s="108"/>
      <c r="EA243" s="108"/>
      <c r="EB243" s="108"/>
    </row>
    <row r="244" spans="1:132" ht="14.25" customHeight="1">
      <c r="A244" s="152"/>
      <c r="C244" s="289"/>
      <c r="D244" s="289"/>
      <c r="E244" s="189"/>
      <c r="P244" s="436"/>
      <c r="Q244" s="437"/>
      <c r="R244" s="108"/>
      <c r="S244" s="108"/>
      <c r="T244" s="108"/>
      <c r="U244" s="189"/>
      <c r="AF244" s="436"/>
      <c r="AG244" s="437"/>
      <c r="AH244" s="108"/>
      <c r="AI244" s="108"/>
      <c r="AJ244" s="108"/>
      <c r="AK244" s="189"/>
      <c r="AV244" s="436"/>
      <c r="AW244" s="437"/>
      <c r="AX244" s="108"/>
      <c r="AY244" s="108"/>
      <c r="AZ244" s="108"/>
      <c r="BA244" s="189"/>
      <c r="BL244" s="436"/>
      <c r="BM244" s="437"/>
      <c r="BN244" s="108"/>
      <c r="BO244" s="108"/>
      <c r="BP244" s="108"/>
      <c r="BQ244" s="189"/>
      <c r="CB244" s="436"/>
      <c r="CC244" s="437"/>
      <c r="CD244" s="108"/>
      <c r="CE244" s="108"/>
      <c r="CF244" s="108"/>
      <c r="CG244" s="189"/>
      <c r="CR244" s="436"/>
      <c r="CS244" s="437"/>
      <c r="CT244" s="108"/>
      <c r="CU244" s="108"/>
      <c r="CV244" s="108"/>
      <c r="CW244" s="189"/>
      <c r="DH244" s="436"/>
      <c r="DI244" s="437"/>
      <c r="DJ244" s="108"/>
      <c r="DK244" s="108"/>
      <c r="DL244" s="108"/>
      <c r="DM244" s="189"/>
      <c r="DN244" s="436"/>
      <c r="DX244" s="436"/>
      <c r="DY244" s="437"/>
      <c r="DZ244" s="108"/>
      <c r="EA244" s="108"/>
      <c r="EB244" s="108"/>
    </row>
    <row r="245" spans="1:132" ht="14.25" customHeight="1">
      <c r="A245" s="152"/>
      <c r="C245" s="289"/>
      <c r="D245" s="289"/>
      <c r="E245" s="189"/>
      <c r="P245" s="436"/>
      <c r="Q245" s="437"/>
      <c r="R245" s="108"/>
      <c r="S245" s="108"/>
      <c r="T245" s="108"/>
      <c r="U245" s="189"/>
      <c r="AF245" s="436"/>
      <c r="AG245" s="437"/>
      <c r="AH245" s="108"/>
      <c r="AI245" s="108"/>
      <c r="AJ245" s="108"/>
      <c r="AK245" s="189"/>
      <c r="AV245" s="436"/>
      <c r="AW245" s="437"/>
      <c r="AX245" s="108"/>
      <c r="AY245" s="108"/>
      <c r="AZ245" s="108"/>
      <c r="BA245" s="189"/>
      <c r="BL245" s="436"/>
      <c r="BM245" s="437"/>
      <c r="BN245" s="108"/>
      <c r="BO245" s="108"/>
      <c r="BP245" s="108"/>
      <c r="BQ245" s="189"/>
      <c r="CB245" s="436"/>
      <c r="CC245" s="437"/>
      <c r="CD245" s="108"/>
      <c r="CE245" s="108"/>
      <c r="CF245" s="108"/>
      <c r="CG245" s="189"/>
      <c r="CR245" s="436"/>
      <c r="CS245" s="437"/>
      <c r="CT245" s="108"/>
      <c r="CU245" s="108"/>
      <c r="CV245" s="108"/>
      <c r="CW245" s="189"/>
      <c r="DH245" s="436"/>
      <c r="DI245" s="437"/>
      <c r="DJ245" s="108"/>
      <c r="DK245" s="108"/>
      <c r="DL245" s="108"/>
      <c r="DM245" s="189"/>
      <c r="DN245" s="436"/>
      <c r="DX245" s="436"/>
      <c r="DY245" s="437"/>
      <c r="DZ245" s="108"/>
      <c r="EA245" s="108"/>
      <c r="EB245" s="108"/>
    </row>
    <row r="246" spans="1:132" ht="14.25" customHeight="1">
      <c r="A246" s="152"/>
      <c r="C246" s="289"/>
      <c r="D246" s="289"/>
      <c r="E246" s="189"/>
      <c r="P246" s="436"/>
      <c r="Q246" s="437"/>
      <c r="R246" s="108"/>
      <c r="S246" s="108"/>
      <c r="T246" s="108"/>
      <c r="U246" s="189"/>
      <c r="AF246" s="436"/>
      <c r="AG246" s="437"/>
      <c r="AH246" s="108"/>
      <c r="AI246" s="108"/>
      <c r="AJ246" s="108"/>
      <c r="AK246" s="189"/>
      <c r="AV246" s="436"/>
      <c r="AW246" s="437"/>
      <c r="AX246" s="108"/>
      <c r="AY246" s="108"/>
      <c r="AZ246" s="108"/>
      <c r="BA246" s="189"/>
      <c r="BL246" s="436"/>
      <c r="BM246" s="437"/>
      <c r="BN246" s="108"/>
      <c r="BO246" s="108"/>
      <c r="BP246" s="108"/>
      <c r="BQ246" s="189"/>
      <c r="CB246" s="436"/>
      <c r="CC246" s="437"/>
      <c r="CD246" s="108"/>
      <c r="CE246" s="108"/>
      <c r="CF246" s="108"/>
      <c r="CG246" s="189"/>
      <c r="CR246" s="436"/>
      <c r="CS246" s="437"/>
      <c r="CT246" s="108"/>
      <c r="CU246" s="108"/>
      <c r="CV246" s="108"/>
      <c r="CW246" s="189"/>
      <c r="DH246" s="436"/>
      <c r="DI246" s="437"/>
      <c r="DJ246" s="108"/>
      <c r="DK246" s="108"/>
      <c r="DL246" s="108"/>
      <c r="DM246" s="189"/>
      <c r="DN246" s="436"/>
      <c r="DX246" s="436"/>
      <c r="DY246" s="437"/>
      <c r="DZ246" s="108"/>
      <c r="EA246" s="108"/>
      <c r="EB246" s="108"/>
    </row>
    <row r="247" spans="1:132" ht="14.25" customHeight="1">
      <c r="A247" s="152"/>
      <c r="C247" s="289"/>
      <c r="D247" s="289"/>
      <c r="E247" s="189"/>
      <c r="P247" s="436"/>
      <c r="Q247" s="437"/>
      <c r="R247" s="108"/>
      <c r="S247" s="108"/>
      <c r="T247" s="108"/>
      <c r="U247" s="189"/>
      <c r="AF247" s="436"/>
      <c r="AG247" s="437"/>
      <c r="AH247" s="108"/>
      <c r="AI247" s="108"/>
      <c r="AJ247" s="108"/>
      <c r="AK247" s="189"/>
      <c r="AV247" s="436"/>
      <c r="AW247" s="437"/>
      <c r="AX247" s="108"/>
      <c r="AY247" s="108"/>
      <c r="AZ247" s="108"/>
      <c r="BA247" s="189"/>
      <c r="BL247" s="436"/>
      <c r="BM247" s="437"/>
      <c r="BN247" s="108"/>
      <c r="BO247" s="108"/>
      <c r="BP247" s="108"/>
      <c r="BQ247" s="189"/>
      <c r="CB247" s="436"/>
      <c r="CC247" s="437"/>
      <c r="CD247" s="108"/>
      <c r="CE247" s="108"/>
      <c r="CF247" s="108"/>
      <c r="CG247" s="189"/>
      <c r="CR247" s="436"/>
      <c r="CS247" s="437"/>
      <c r="CT247" s="108"/>
      <c r="CU247" s="108"/>
      <c r="CV247" s="108"/>
      <c r="CW247" s="189"/>
      <c r="DH247" s="436"/>
      <c r="DI247" s="437"/>
      <c r="DJ247" s="108"/>
      <c r="DK247" s="108"/>
      <c r="DL247" s="108"/>
      <c r="DM247" s="189"/>
      <c r="DN247" s="436"/>
      <c r="DX247" s="436"/>
      <c r="DY247" s="437"/>
      <c r="DZ247" s="108"/>
      <c r="EA247" s="108"/>
      <c r="EB247" s="108"/>
    </row>
    <row r="248" spans="1:132" ht="14.25" customHeight="1">
      <c r="A248" s="152"/>
      <c r="C248" s="289"/>
      <c r="D248" s="289"/>
      <c r="E248" s="189"/>
      <c r="P248" s="436"/>
      <c r="Q248" s="437"/>
      <c r="R248" s="108"/>
      <c r="S248" s="108"/>
      <c r="T248" s="108"/>
      <c r="U248" s="189"/>
      <c r="AF248" s="436"/>
      <c r="AG248" s="437"/>
      <c r="AH248" s="108"/>
      <c r="AI248" s="108"/>
      <c r="AJ248" s="108"/>
      <c r="AK248" s="189"/>
      <c r="AV248" s="436"/>
      <c r="AW248" s="437"/>
      <c r="AX248" s="108"/>
      <c r="AY248" s="108"/>
      <c r="AZ248" s="108"/>
      <c r="BA248" s="189"/>
      <c r="BL248" s="436"/>
      <c r="BM248" s="437"/>
      <c r="BN248" s="108"/>
      <c r="BO248" s="108"/>
      <c r="BP248" s="108"/>
      <c r="BQ248" s="189"/>
      <c r="CB248" s="436"/>
      <c r="CC248" s="437"/>
      <c r="CD248" s="108"/>
      <c r="CE248" s="108"/>
      <c r="CF248" s="108"/>
      <c r="CG248" s="189"/>
      <c r="CR248" s="436"/>
      <c r="CS248" s="437"/>
      <c r="CT248" s="108"/>
      <c r="CU248" s="108"/>
      <c r="CV248" s="108"/>
      <c r="CW248" s="189"/>
      <c r="DH248" s="436"/>
      <c r="DI248" s="437"/>
      <c r="DJ248" s="108"/>
      <c r="DK248" s="108"/>
      <c r="DL248" s="108"/>
      <c r="DM248" s="189"/>
      <c r="DN248" s="436"/>
      <c r="DX248" s="436"/>
      <c r="DY248" s="437"/>
      <c r="DZ248" s="108"/>
      <c r="EA248" s="108"/>
      <c r="EB248" s="108"/>
    </row>
    <row r="249" spans="1:132" ht="14.25" customHeight="1">
      <c r="A249" s="152"/>
      <c r="C249" s="289"/>
      <c r="D249" s="289"/>
      <c r="E249" s="189"/>
      <c r="P249" s="436"/>
      <c r="Q249" s="437"/>
      <c r="R249" s="108"/>
      <c r="S249" s="108"/>
      <c r="T249" s="108"/>
      <c r="U249" s="189"/>
      <c r="AF249" s="436"/>
      <c r="AG249" s="437"/>
      <c r="AH249" s="108"/>
      <c r="AI249" s="108"/>
      <c r="AJ249" s="108"/>
      <c r="AK249" s="189"/>
      <c r="AV249" s="436"/>
      <c r="AW249" s="437"/>
      <c r="AX249" s="108"/>
      <c r="AY249" s="108"/>
      <c r="AZ249" s="108"/>
      <c r="BA249" s="189"/>
      <c r="BL249" s="436"/>
      <c r="BM249" s="437"/>
      <c r="BN249" s="108"/>
      <c r="BO249" s="108"/>
      <c r="BP249" s="108"/>
      <c r="BQ249" s="189"/>
      <c r="CB249" s="436"/>
      <c r="CC249" s="437"/>
      <c r="CD249" s="108"/>
      <c r="CE249" s="108"/>
      <c r="CF249" s="108"/>
      <c r="CG249" s="189"/>
      <c r="CR249" s="436"/>
      <c r="CS249" s="437"/>
      <c r="CT249" s="108"/>
      <c r="CU249" s="108"/>
      <c r="CV249" s="108"/>
      <c r="CW249" s="189"/>
      <c r="DH249" s="436"/>
      <c r="DI249" s="437"/>
      <c r="DJ249" s="108"/>
      <c r="DK249" s="108"/>
      <c r="DL249" s="108"/>
      <c r="DM249" s="189"/>
      <c r="DN249" s="436"/>
      <c r="DX249" s="436"/>
      <c r="DY249" s="437"/>
      <c r="DZ249" s="108"/>
      <c r="EA249" s="108"/>
      <c r="EB249" s="108"/>
    </row>
    <row r="250" spans="1:132" ht="14.25" customHeight="1">
      <c r="A250" s="152"/>
      <c r="C250" s="289"/>
      <c r="D250" s="289"/>
      <c r="E250" s="189"/>
      <c r="P250" s="436"/>
      <c r="Q250" s="437"/>
      <c r="R250" s="108"/>
      <c r="S250" s="108"/>
      <c r="T250" s="108"/>
      <c r="U250" s="189"/>
      <c r="AF250" s="436"/>
      <c r="AG250" s="437"/>
      <c r="AH250" s="108"/>
      <c r="AI250" s="108"/>
      <c r="AJ250" s="108"/>
      <c r="AK250" s="189"/>
      <c r="AV250" s="436"/>
      <c r="AW250" s="437"/>
      <c r="AX250" s="108"/>
      <c r="AY250" s="108"/>
      <c r="AZ250" s="108"/>
      <c r="BA250" s="189"/>
      <c r="BL250" s="436"/>
      <c r="BM250" s="437"/>
      <c r="BN250" s="108"/>
      <c r="BO250" s="108"/>
      <c r="BP250" s="108"/>
      <c r="BQ250" s="189"/>
      <c r="CB250" s="436"/>
      <c r="CC250" s="437"/>
      <c r="CD250" s="108"/>
      <c r="CE250" s="108"/>
      <c r="CF250" s="108"/>
      <c r="CG250" s="189"/>
      <c r="CR250" s="436"/>
      <c r="CS250" s="437"/>
      <c r="CT250" s="108"/>
      <c r="CU250" s="108"/>
      <c r="CV250" s="108"/>
      <c r="CW250" s="189"/>
      <c r="DH250" s="436"/>
      <c r="DI250" s="437"/>
      <c r="DJ250" s="108"/>
      <c r="DK250" s="108"/>
      <c r="DL250" s="108"/>
      <c r="DM250" s="189"/>
      <c r="DN250" s="436"/>
      <c r="DX250" s="436"/>
      <c r="DY250" s="437"/>
      <c r="DZ250" s="108"/>
      <c r="EA250" s="108"/>
      <c r="EB250" s="108"/>
    </row>
    <row r="251" spans="1:132" ht="14.25" customHeight="1">
      <c r="A251" s="152"/>
      <c r="C251" s="289"/>
      <c r="D251" s="289"/>
      <c r="E251" s="189"/>
      <c r="P251" s="436"/>
      <c r="Q251" s="437"/>
      <c r="R251" s="108"/>
      <c r="S251" s="108"/>
      <c r="T251" s="108"/>
      <c r="U251" s="189"/>
      <c r="AF251" s="436"/>
      <c r="AG251" s="437"/>
      <c r="AH251" s="108"/>
      <c r="AI251" s="108"/>
      <c r="AJ251" s="108"/>
      <c r="AK251" s="189"/>
      <c r="AV251" s="436"/>
      <c r="AW251" s="437"/>
      <c r="AX251" s="108"/>
      <c r="AY251" s="108"/>
      <c r="AZ251" s="108"/>
      <c r="BA251" s="189"/>
      <c r="BL251" s="436"/>
      <c r="BM251" s="437"/>
      <c r="BN251" s="108"/>
      <c r="BO251" s="108"/>
      <c r="BP251" s="108"/>
      <c r="BQ251" s="189"/>
      <c r="CB251" s="436"/>
      <c r="CC251" s="437"/>
      <c r="CD251" s="108"/>
      <c r="CE251" s="108"/>
      <c r="CF251" s="108"/>
      <c r="CG251" s="189"/>
      <c r="CR251" s="436"/>
      <c r="CS251" s="437"/>
      <c r="CT251" s="108"/>
      <c r="CU251" s="108"/>
      <c r="CV251" s="108"/>
      <c r="CW251" s="189"/>
      <c r="DH251" s="436"/>
      <c r="DI251" s="437"/>
      <c r="DJ251" s="108"/>
      <c r="DK251" s="108"/>
      <c r="DL251" s="108"/>
      <c r="DM251" s="189"/>
      <c r="DN251" s="436"/>
      <c r="DX251" s="436"/>
      <c r="DY251" s="437"/>
      <c r="DZ251" s="108"/>
      <c r="EA251" s="108"/>
      <c r="EB251" s="108"/>
    </row>
    <row r="252" spans="1:132" ht="14.25" customHeight="1">
      <c r="A252" s="152"/>
      <c r="C252" s="289"/>
      <c r="D252" s="289"/>
      <c r="E252" s="189"/>
      <c r="P252" s="436"/>
      <c r="Q252" s="437"/>
      <c r="R252" s="108"/>
      <c r="S252" s="108"/>
      <c r="T252" s="108"/>
      <c r="U252" s="189"/>
      <c r="AF252" s="436"/>
      <c r="AG252" s="437"/>
      <c r="AH252" s="108"/>
      <c r="AI252" s="108"/>
      <c r="AJ252" s="108"/>
      <c r="AK252" s="189"/>
      <c r="AV252" s="436"/>
      <c r="AW252" s="437"/>
      <c r="AX252" s="108"/>
      <c r="AY252" s="108"/>
      <c r="AZ252" s="108"/>
      <c r="BA252" s="189"/>
      <c r="BL252" s="436"/>
      <c r="BM252" s="437"/>
      <c r="BN252" s="108"/>
      <c r="BO252" s="108"/>
      <c r="BP252" s="108"/>
      <c r="BQ252" s="189"/>
      <c r="CB252" s="436"/>
      <c r="CC252" s="437"/>
      <c r="CD252" s="108"/>
      <c r="CE252" s="108"/>
      <c r="CF252" s="108"/>
      <c r="CG252" s="189"/>
      <c r="CR252" s="436"/>
      <c r="CS252" s="437"/>
      <c r="CT252" s="108"/>
      <c r="CU252" s="108"/>
      <c r="CV252" s="108"/>
      <c r="CW252" s="189"/>
      <c r="DH252" s="436"/>
      <c r="DI252" s="437"/>
      <c r="DJ252" s="108"/>
      <c r="DK252" s="108"/>
      <c r="DL252" s="108"/>
      <c r="DM252" s="189"/>
      <c r="DN252" s="436"/>
      <c r="DX252" s="436"/>
      <c r="DY252" s="437"/>
      <c r="DZ252" s="108"/>
      <c r="EA252" s="108"/>
      <c r="EB252" s="108"/>
    </row>
    <row r="253" spans="1:132" ht="14.25" customHeight="1">
      <c r="A253" s="152"/>
      <c r="C253" s="289"/>
      <c r="D253" s="289"/>
      <c r="E253" s="189"/>
      <c r="P253" s="436"/>
      <c r="Q253" s="437"/>
      <c r="R253" s="108"/>
      <c r="S253" s="108"/>
      <c r="T253" s="108"/>
      <c r="U253" s="189"/>
      <c r="AF253" s="436"/>
      <c r="AG253" s="437"/>
      <c r="AH253" s="108"/>
      <c r="AI253" s="108"/>
      <c r="AJ253" s="108"/>
      <c r="AK253" s="189"/>
      <c r="AV253" s="436"/>
      <c r="AW253" s="437"/>
      <c r="AX253" s="108"/>
      <c r="AY253" s="108"/>
      <c r="AZ253" s="108"/>
      <c r="BA253" s="189"/>
      <c r="BL253" s="436"/>
      <c r="BM253" s="437"/>
      <c r="BN253" s="108"/>
      <c r="BO253" s="108"/>
      <c r="BP253" s="108"/>
      <c r="BQ253" s="189"/>
      <c r="CB253" s="436"/>
      <c r="CC253" s="437"/>
      <c r="CD253" s="108"/>
      <c r="CE253" s="108"/>
      <c r="CF253" s="108"/>
      <c r="CG253" s="189"/>
      <c r="CR253" s="436"/>
      <c r="CS253" s="437"/>
      <c r="CT253" s="108"/>
      <c r="CU253" s="108"/>
      <c r="CV253" s="108"/>
      <c r="CW253" s="189"/>
      <c r="DH253" s="436"/>
      <c r="DI253" s="437"/>
      <c r="DJ253" s="108"/>
      <c r="DK253" s="108"/>
      <c r="DL253" s="108"/>
      <c r="DM253" s="189"/>
      <c r="DN253" s="436"/>
      <c r="DX253" s="436"/>
      <c r="DY253" s="437"/>
      <c r="DZ253" s="108"/>
      <c r="EA253" s="108"/>
      <c r="EB253" s="108"/>
    </row>
    <row r="254" spans="1:132" ht="14.25" customHeight="1">
      <c r="A254" s="152"/>
      <c r="C254" s="289"/>
      <c r="D254" s="289"/>
      <c r="E254" s="189"/>
      <c r="P254" s="436"/>
      <c r="Q254" s="437"/>
      <c r="R254" s="108"/>
      <c r="S254" s="108"/>
      <c r="T254" s="108"/>
      <c r="U254" s="189"/>
      <c r="AF254" s="436"/>
      <c r="AG254" s="437"/>
      <c r="AH254" s="108"/>
      <c r="AI254" s="108"/>
      <c r="AJ254" s="108"/>
      <c r="AK254" s="189"/>
      <c r="AV254" s="436"/>
      <c r="AW254" s="437"/>
      <c r="AX254" s="108"/>
      <c r="AY254" s="108"/>
      <c r="AZ254" s="108"/>
      <c r="BA254" s="189"/>
      <c r="BL254" s="436"/>
      <c r="BM254" s="437"/>
      <c r="BN254" s="108"/>
      <c r="BO254" s="108"/>
      <c r="BP254" s="108"/>
      <c r="BQ254" s="189"/>
      <c r="CB254" s="436"/>
      <c r="CC254" s="437"/>
      <c r="CD254" s="108"/>
      <c r="CE254" s="108"/>
      <c r="CF254" s="108"/>
      <c r="CG254" s="189"/>
      <c r="CR254" s="436"/>
      <c r="CS254" s="437"/>
      <c r="CT254" s="108"/>
      <c r="CU254" s="108"/>
      <c r="CV254" s="108"/>
      <c r="CW254" s="189"/>
      <c r="DH254" s="436"/>
      <c r="DI254" s="437"/>
      <c r="DJ254" s="108"/>
      <c r="DK254" s="108"/>
      <c r="DL254" s="108"/>
      <c r="DM254" s="189"/>
      <c r="DN254" s="436"/>
      <c r="DX254" s="436"/>
      <c r="DY254" s="437"/>
      <c r="DZ254" s="108"/>
      <c r="EA254" s="108"/>
      <c r="EB254" s="108"/>
    </row>
    <row r="255" spans="1:132" ht="14.25" customHeight="1">
      <c r="A255" s="152"/>
      <c r="C255" s="289"/>
      <c r="D255" s="289"/>
      <c r="E255" s="189"/>
      <c r="P255" s="436"/>
      <c r="Q255" s="437"/>
      <c r="R255" s="108"/>
      <c r="S255" s="108"/>
      <c r="T255" s="108"/>
      <c r="U255" s="189"/>
      <c r="AF255" s="436"/>
      <c r="AG255" s="437"/>
      <c r="AH255" s="108"/>
      <c r="AI255" s="108"/>
      <c r="AJ255" s="108"/>
      <c r="AK255" s="189"/>
      <c r="AV255" s="436"/>
      <c r="AW255" s="437"/>
      <c r="AX255" s="108"/>
      <c r="AY255" s="108"/>
      <c r="AZ255" s="108"/>
      <c r="BA255" s="189"/>
      <c r="BL255" s="436"/>
      <c r="BM255" s="437"/>
      <c r="BN255" s="108"/>
      <c r="BO255" s="108"/>
      <c r="BP255" s="108"/>
      <c r="BQ255" s="189"/>
      <c r="CB255" s="436"/>
      <c r="CC255" s="437"/>
      <c r="CD255" s="108"/>
      <c r="CE255" s="108"/>
      <c r="CF255" s="108"/>
      <c r="CG255" s="189"/>
      <c r="CR255" s="436"/>
      <c r="CS255" s="437"/>
      <c r="CT255" s="108"/>
      <c r="CU255" s="108"/>
      <c r="CV255" s="108"/>
      <c r="CW255" s="189"/>
      <c r="DH255" s="436"/>
      <c r="DI255" s="437"/>
      <c r="DJ255" s="108"/>
      <c r="DK255" s="108"/>
      <c r="DL255" s="108"/>
      <c r="DM255" s="189"/>
      <c r="DN255" s="436"/>
      <c r="DX255" s="436"/>
      <c r="DY255" s="437"/>
      <c r="DZ255" s="108"/>
      <c r="EA255" s="108"/>
      <c r="EB255" s="108"/>
    </row>
    <row r="256" spans="1:132" ht="14.25" customHeight="1">
      <c r="A256" s="152"/>
      <c r="C256" s="289"/>
      <c r="D256" s="289"/>
      <c r="E256" s="189"/>
      <c r="P256" s="436"/>
      <c r="Q256" s="437"/>
      <c r="R256" s="108"/>
      <c r="S256" s="108"/>
      <c r="T256" s="108"/>
      <c r="U256" s="189"/>
      <c r="AF256" s="436"/>
      <c r="AG256" s="437"/>
      <c r="AH256" s="108"/>
      <c r="AI256" s="108"/>
      <c r="AJ256" s="108"/>
      <c r="AK256" s="189"/>
      <c r="AV256" s="436"/>
      <c r="AW256" s="437"/>
      <c r="AX256" s="108"/>
      <c r="AY256" s="108"/>
      <c r="AZ256" s="108"/>
      <c r="BA256" s="189"/>
      <c r="BL256" s="436"/>
      <c r="BM256" s="437"/>
      <c r="BN256" s="108"/>
      <c r="BO256" s="108"/>
      <c r="BP256" s="108"/>
      <c r="BQ256" s="189"/>
      <c r="CB256" s="436"/>
      <c r="CC256" s="437"/>
      <c r="CD256" s="108"/>
      <c r="CE256" s="108"/>
      <c r="CF256" s="108"/>
      <c r="CG256" s="189"/>
      <c r="CR256" s="436"/>
      <c r="CS256" s="437"/>
      <c r="CT256" s="108"/>
      <c r="CU256" s="108"/>
      <c r="CV256" s="108"/>
      <c r="CW256" s="189"/>
      <c r="DH256" s="436"/>
      <c r="DI256" s="437"/>
      <c r="DJ256" s="108"/>
      <c r="DK256" s="108"/>
      <c r="DL256" s="108"/>
      <c r="DM256" s="189"/>
      <c r="DN256" s="436"/>
      <c r="DX256" s="436"/>
      <c r="DY256" s="437"/>
      <c r="DZ256" s="108"/>
      <c r="EA256" s="108"/>
      <c r="EB256" s="108"/>
    </row>
    <row r="257" spans="1:132" ht="14.25" customHeight="1">
      <c r="A257" s="152"/>
      <c r="C257" s="289"/>
      <c r="D257" s="289"/>
      <c r="E257" s="189"/>
      <c r="P257" s="436"/>
      <c r="Q257" s="437"/>
      <c r="R257" s="108"/>
      <c r="S257" s="108"/>
      <c r="T257" s="108"/>
      <c r="U257" s="189"/>
      <c r="AF257" s="436"/>
      <c r="AG257" s="437"/>
      <c r="AH257" s="108"/>
      <c r="AI257" s="108"/>
      <c r="AJ257" s="108"/>
      <c r="AK257" s="189"/>
      <c r="AV257" s="436"/>
      <c r="AW257" s="437"/>
      <c r="AX257" s="108"/>
      <c r="AY257" s="108"/>
      <c r="AZ257" s="108"/>
      <c r="BA257" s="189"/>
      <c r="BL257" s="436"/>
      <c r="BM257" s="437"/>
      <c r="BN257" s="108"/>
      <c r="BO257" s="108"/>
      <c r="BP257" s="108"/>
      <c r="BQ257" s="189"/>
      <c r="CB257" s="436"/>
      <c r="CC257" s="437"/>
      <c r="CD257" s="108"/>
      <c r="CE257" s="108"/>
      <c r="CF257" s="108"/>
      <c r="CG257" s="189"/>
      <c r="CR257" s="436"/>
      <c r="CS257" s="437"/>
      <c r="CT257" s="108"/>
      <c r="CU257" s="108"/>
      <c r="CV257" s="108"/>
      <c r="CW257" s="189"/>
      <c r="DH257" s="436"/>
      <c r="DI257" s="437"/>
      <c r="DJ257" s="108"/>
      <c r="DK257" s="108"/>
      <c r="DL257" s="108"/>
      <c r="DM257" s="189"/>
      <c r="DN257" s="436"/>
      <c r="DX257" s="436"/>
      <c r="DY257" s="437"/>
      <c r="DZ257" s="108"/>
      <c r="EA257" s="108"/>
      <c r="EB257" s="108"/>
    </row>
    <row r="258" spans="1:132" ht="14.25" customHeight="1">
      <c r="A258" s="152"/>
      <c r="C258" s="289"/>
      <c r="D258" s="289"/>
      <c r="E258" s="189"/>
      <c r="P258" s="436"/>
      <c r="Q258" s="437"/>
      <c r="R258" s="108"/>
      <c r="S258" s="108"/>
      <c r="T258" s="108"/>
      <c r="U258" s="189"/>
      <c r="AF258" s="436"/>
      <c r="AG258" s="437"/>
      <c r="AH258" s="108"/>
      <c r="AI258" s="108"/>
      <c r="AJ258" s="108"/>
      <c r="AK258" s="189"/>
      <c r="AV258" s="436"/>
      <c r="AW258" s="437"/>
      <c r="AX258" s="108"/>
      <c r="AY258" s="108"/>
      <c r="AZ258" s="108"/>
      <c r="BA258" s="189"/>
      <c r="BL258" s="436"/>
      <c r="BM258" s="437"/>
      <c r="BN258" s="108"/>
      <c r="BO258" s="108"/>
      <c r="BP258" s="108"/>
      <c r="BQ258" s="189"/>
      <c r="CB258" s="436"/>
      <c r="CC258" s="437"/>
      <c r="CD258" s="108"/>
      <c r="CE258" s="108"/>
      <c r="CF258" s="108"/>
      <c r="CG258" s="189"/>
      <c r="CR258" s="436"/>
      <c r="CS258" s="437"/>
      <c r="CT258" s="108"/>
      <c r="CU258" s="108"/>
      <c r="CV258" s="108"/>
      <c r="CW258" s="189"/>
      <c r="DH258" s="436"/>
      <c r="DI258" s="437"/>
      <c r="DJ258" s="108"/>
      <c r="DK258" s="108"/>
      <c r="DL258" s="108"/>
      <c r="DM258" s="189"/>
      <c r="DN258" s="436"/>
      <c r="DX258" s="436"/>
      <c r="DY258" s="437"/>
      <c r="DZ258" s="108"/>
      <c r="EA258" s="108"/>
      <c r="EB258" s="108"/>
    </row>
    <row r="259" spans="1:132" ht="14.25" customHeight="1">
      <c r="A259" s="152"/>
      <c r="C259" s="289"/>
      <c r="D259" s="289"/>
      <c r="E259" s="189"/>
      <c r="P259" s="436"/>
      <c r="Q259" s="437"/>
      <c r="R259" s="108"/>
      <c r="S259" s="108"/>
      <c r="T259" s="108"/>
      <c r="U259" s="189"/>
      <c r="AF259" s="436"/>
      <c r="AG259" s="437"/>
      <c r="AH259" s="108"/>
      <c r="AI259" s="108"/>
      <c r="AJ259" s="108"/>
      <c r="AK259" s="189"/>
      <c r="AV259" s="436"/>
      <c r="AW259" s="437"/>
      <c r="AX259" s="108"/>
      <c r="AY259" s="108"/>
      <c r="AZ259" s="108"/>
      <c r="BA259" s="189"/>
      <c r="BL259" s="436"/>
      <c r="BM259" s="437"/>
      <c r="BN259" s="108"/>
      <c r="BO259" s="108"/>
      <c r="BP259" s="108"/>
      <c r="BQ259" s="189"/>
      <c r="CB259" s="436"/>
      <c r="CC259" s="437"/>
      <c r="CD259" s="108"/>
      <c r="CE259" s="108"/>
      <c r="CF259" s="108"/>
      <c r="CG259" s="189"/>
      <c r="CR259" s="436"/>
      <c r="CS259" s="437"/>
      <c r="CT259" s="108"/>
      <c r="CU259" s="108"/>
      <c r="CV259" s="108"/>
      <c r="CW259" s="189"/>
      <c r="DH259" s="436"/>
      <c r="DI259" s="437"/>
      <c r="DJ259" s="108"/>
      <c r="DK259" s="108"/>
      <c r="DL259" s="108"/>
      <c r="DM259" s="189"/>
      <c r="DN259" s="436"/>
      <c r="DX259" s="436"/>
      <c r="DY259" s="437"/>
      <c r="DZ259" s="108"/>
      <c r="EA259" s="108"/>
      <c r="EB259" s="108"/>
    </row>
    <row r="260" spans="1:132" ht="14.25" customHeight="1">
      <c r="A260" s="152"/>
      <c r="C260" s="289"/>
      <c r="D260" s="289"/>
      <c r="E260" s="189"/>
      <c r="P260" s="436"/>
      <c r="Q260" s="437"/>
      <c r="R260" s="108"/>
      <c r="S260" s="108"/>
      <c r="T260" s="108"/>
      <c r="U260" s="189"/>
      <c r="AF260" s="436"/>
      <c r="AG260" s="437"/>
      <c r="AH260" s="108"/>
      <c r="AI260" s="108"/>
      <c r="AJ260" s="108"/>
      <c r="AK260" s="189"/>
      <c r="AV260" s="436"/>
      <c r="AW260" s="437"/>
      <c r="AX260" s="108"/>
      <c r="AY260" s="108"/>
      <c r="AZ260" s="108"/>
      <c r="BA260" s="189"/>
      <c r="BL260" s="436"/>
      <c r="BM260" s="437"/>
      <c r="BN260" s="108"/>
      <c r="BO260" s="108"/>
      <c r="BP260" s="108"/>
      <c r="BQ260" s="189"/>
      <c r="CB260" s="436"/>
      <c r="CC260" s="437"/>
      <c r="CD260" s="108"/>
      <c r="CE260" s="108"/>
      <c r="CF260" s="108"/>
      <c r="CG260" s="189"/>
      <c r="CR260" s="436"/>
      <c r="CS260" s="437"/>
      <c r="CT260" s="108"/>
      <c r="CU260" s="108"/>
      <c r="CV260" s="108"/>
      <c r="CW260" s="189"/>
      <c r="DH260" s="436"/>
      <c r="DI260" s="437"/>
      <c r="DJ260" s="108"/>
      <c r="DK260" s="108"/>
      <c r="DL260" s="108"/>
      <c r="DM260" s="189"/>
      <c r="DN260" s="436"/>
      <c r="DX260" s="436"/>
      <c r="DY260" s="437"/>
      <c r="DZ260" s="108"/>
      <c r="EA260" s="108"/>
      <c r="EB260" s="108"/>
    </row>
    <row r="261" spans="1:132" ht="14.25" customHeight="1">
      <c r="A261" s="152"/>
      <c r="C261" s="289"/>
      <c r="D261" s="289"/>
      <c r="E261" s="189"/>
      <c r="P261" s="436"/>
      <c r="Q261" s="437"/>
      <c r="R261" s="108"/>
      <c r="S261" s="108"/>
      <c r="T261" s="108"/>
      <c r="U261" s="189"/>
      <c r="AF261" s="436"/>
      <c r="AG261" s="437"/>
      <c r="AH261" s="108"/>
      <c r="AI261" s="108"/>
      <c r="AJ261" s="108"/>
      <c r="AK261" s="189"/>
      <c r="AV261" s="436"/>
      <c r="AW261" s="437"/>
      <c r="AX261" s="108"/>
      <c r="AY261" s="108"/>
      <c r="AZ261" s="108"/>
      <c r="BA261" s="189"/>
      <c r="BL261" s="436"/>
      <c r="BM261" s="437"/>
      <c r="BN261" s="108"/>
      <c r="BO261" s="108"/>
      <c r="BP261" s="108"/>
      <c r="BQ261" s="189"/>
      <c r="CB261" s="436"/>
      <c r="CC261" s="437"/>
      <c r="CD261" s="108"/>
      <c r="CE261" s="108"/>
      <c r="CF261" s="108"/>
      <c r="CG261" s="189"/>
      <c r="CR261" s="436"/>
      <c r="CS261" s="437"/>
      <c r="CT261" s="108"/>
      <c r="CU261" s="108"/>
      <c r="CV261" s="108"/>
      <c r="CW261" s="189"/>
      <c r="DH261" s="436"/>
      <c r="DI261" s="437"/>
      <c r="DJ261" s="108"/>
      <c r="DK261" s="108"/>
      <c r="DL261" s="108"/>
      <c r="DM261" s="189"/>
      <c r="DN261" s="436"/>
      <c r="DX261" s="436"/>
      <c r="DY261" s="437"/>
      <c r="DZ261" s="108"/>
      <c r="EA261" s="108"/>
      <c r="EB261" s="108"/>
    </row>
    <row r="262" spans="1:132" ht="14.25" customHeight="1">
      <c r="A262" s="152"/>
      <c r="C262" s="289"/>
      <c r="D262" s="289"/>
      <c r="E262" s="189"/>
      <c r="P262" s="436"/>
      <c r="Q262" s="437"/>
      <c r="R262" s="108"/>
      <c r="S262" s="108"/>
      <c r="T262" s="108"/>
      <c r="U262" s="189"/>
      <c r="AF262" s="436"/>
      <c r="AG262" s="437"/>
      <c r="AH262" s="108"/>
      <c r="AI262" s="108"/>
      <c r="AJ262" s="108"/>
      <c r="AK262" s="189"/>
      <c r="AV262" s="436"/>
      <c r="AW262" s="437"/>
      <c r="AX262" s="108"/>
      <c r="AY262" s="108"/>
      <c r="AZ262" s="108"/>
      <c r="BA262" s="189"/>
      <c r="BL262" s="436"/>
      <c r="BM262" s="437"/>
      <c r="BN262" s="108"/>
      <c r="BO262" s="108"/>
      <c r="BP262" s="108"/>
      <c r="BQ262" s="189"/>
      <c r="CB262" s="436"/>
      <c r="CC262" s="437"/>
      <c r="CD262" s="108"/>
      <c r="CE262" s="108"/>
      <c r="CF262" s="108"/>
      <c r="CG262" s="189"/>
      <c r="CR262" s="436"/>
      <c r="CS262" s="437"/>
      <c r="CT262" s="108"/>
      <c r="CU262" s="108"/>
      <c r="CV262" s="108"/>
      <c r="CW262" s="189"/>
      <c r="DH262" s="436"/>
      <c r="DI262" s="437"/>
      <c r="DJ262" s="108"/>
      <c r="DK262" s="108"/>
      <c r="DL262" s="108"/>
      <c r="DM262" s="189"/>
      <c r="DN262" s="436"/>
      <c r="DX262" s="436"/>
      <c r="DY262" s="437"/>
      <c r="DZ262" s="108"/>
      <c r="EA262" s="108"/>
      <c r="EB262" s="108"/>
    </row>
    <row r="263" spans="1:132" ht="14.25" customHeight="1">
      <c r="A263" s="152"/>
      <c r="C263" s="289"/>
      <c r="D263" s="289"/>
      <c r="E263" s="189"/>
      <c r="P263" s="436"/>
      <c r="Q263" s="437"/>
      <c r="R263" s="108"/>
      <c r="S263" s="108"/>
      <c r="T263" s="108"/>
      <c r="U263" s="189"/>
      <c r="AF263" s="436"/>
      <c r="AG263" s="437"/>
      <c r="AH263" s="108"/>
      <c r="AI263" s="108"/>
      <c r="AJ263" s="108"/>
      <c r="AK263" s="189"/>
      <c r="AV263" s="436"/>
      <c r="AW263" s="437"/>
      <c r="AX263" s="108"/>
      <c r="AY263" s="108"/>
      <c r="AZ263" s="108"/>
      <c r="BA263" s="189"/>
      <c r="BL263" s="436"/>
      <c r="BM263" s="437"/>
      <c r="BN263" s="108"/>
      <c r="BO263" s="108"/>
      <c r="BP263" s="108"/>
      <c r="BQ263" s="189"/>
      <c r="CB263" s="436"/>
      <c r="CC263" s="437"/>
      <c r="CD263" s="108"/>
      <c r="CE263" s="108"/>
      <c r="CF263" s="108"/>
      <c r="CG263" s="189"/>
      <c r="CR263" s="436"/>
      <c r="CS263" s="437"/>
      <c r="CT263" s="108"/>
      <c r="CU263" s="108"/>
      <c r="CV263" s="108"/>
      <c r="CW263" s="189"/>
      <c r="DH263" s="436"/>
      <c r="DI263" s="437"/>
      <c r="DJ263" s="108"/>
      <c r="DK263" s="108"/>
      <c r="DL263" s="108"/>
      <c r="DM263" s="189"/>
      <c r="DN263" s="436"/>
      <c r="DX263" s="436"/>
      <c r="DY263" s="437"/>
      <c r="DZ263" s="108"/>
      <c r="EA263" s="108"/>
      <c r="EB263" s="108"/>
    </row>
    <row r="264" spans="1:132" ht="14.25" customHeight="1">
      <c r="A264" s="152"/>
      <c r="C264" s="289"/>
      <c r="D264" s="289"/>
      <c r="E264" s="189"/>
      <c r="P264" s="436"/>
      <c r="Q264" s="437"/>
      <c r="R264" s="108"/>
      <c r="S264" s="108"/>
      <c r="T264" s="108"/>
      <c r="U264" s="189"/>
      <c r="AF264" s="436"/>
      <c r="AG264" s="437"/>
      <c r="AH264" s="108"/>
      <c r="AI264" s="108"/>
      <c r="AJ264" s="108"/>
      <c r="AK264" s="189"/>
      <c r="AV264" s="436"/>
      <c r="AW264" s="437"/>
      <c r="AX264" s="108"/>
      <c r="AY264" s="108"/>
      <c r="AZ264" s="108"/>
      <c r="BA264" s="189"/>
      <c r="BL264" s="436"/>
      <c r="BM264" s="437"/>
      <c r="BN264" s="108"/>
      <c r="BO264" s="108"/>
      <c r="BP264" s="108"/>
      <c r="BQ264" s="189"/>
      <c r="CB264" s="436"/>
      <c r="CC264" s="437"/>
      <c r="CD264" s="108"/>
      <c r="CE264" s="108"/>
      <c r="CF264" s="108"/>
      <c r="CG264" s="189"/>
      <c r="CR264" s="436"/>
      <c r="CS264" s="437"/>
      <c r="CT264" s="108"/>
      <c r="CU264" s="108"/>
      <c r="CV264" s="108"/>
      <c r="CW264" s="189"/>
      <c r="DH264" s="436"/>
      <c r="DI264" s="437"/>
      <c r="DJ264" s="108"/>
      <c r="DK264" s="108"/>
      <c r="DL264" s="108"/>
      <c r="DM264" s="189"/>
      <c r="DN264" s="436"/>
      <c r="DX264" s="436"/>
      <c r="DY264" s="437"/>
      <c r="DZ264" s="108"/>
      <c r="EA264" s="108"/>
      <c r="EB264" s="108"/>
    </row>
    <row r="265" spans="1:132" ht="14.25" customHeight="1">
      <c r="A265" s="152"/>
      <c r="C265" s="289"/>
      <c r="D265" s="289"/>
      <c r="E265" s="189"/>
      <c r="P265" s="436"/>
      <c r="Q265" s="437"/>
      <c r="R265" s="108"/>
      <c r="S265" s="108"/>
      <c r="T265" s="108"/>
      <c r="U265" s="189"/>
      <c r="AF265" s="436"/>
      <c r="AG265" s="437"/>
      <c r="AH265" s="108"/>
      <c r="AI265" s="108"/>
      <c r="AJ265" s="108"/>
      <c r="AK265" s="189"/>
      <c r="AV265" s="436"/>
      <c r="AW265" s="437"/>
      <c r="AX265" s="108"/>
      <c r="AY265" s="108"/>
      <c r="AZ265" s="108"/>
      <c r="BA265" s="189"/>
      <c r="BL265" s="436"/>
      <c r="BM265" s="437"/>
      <c r="BN265" s="108"/>
      <c r="BO265" s="108"/>
      <c r="BP265" s="108"/>
      <c r="BQ265" s="189"/>
      <c r="CB265" s="436"/>
      <c r="CC265" s="437"/>
      <c r="CD265" s="108"/>
      <c r="CE265" s="108"/>
      <c r="CF265" s="108"/>
      <c r="CG265" s="189"/>
      <c r="CR265" s="436"/>
      <c r="CS265" s="437"/>
      <c r="CT265" s="108"/>
      <c r="CU265" s="108"/>
      <c r="CV265" s="108"/>
      <c r="CW265" s="189"/>
      <c r="DH265" s="436"/>
      <c r="DI265" s="437"/>
      <c r="DJ265" s="108"/>
      <c r="DK265" s="108"/>
      <c r="DL265" s="108"/>
      <c r="DM265" s="189"/>
      <c r="DN265" s="436"/>
      <c r="DX265" s="436"/>
      <c r="DY265" s="437"/>
      <c r="DZ265" s="108"/>
      <c r="EA265" s="108"/>
      <c r="EB265" s="108"/>
    </row>
    <row r="266" spans="1:132" ht="14.25" customHeight="1">
      <c r="A266" s="152"/>
      <c r="C266" s="289"/>
      <c r="D266" s="289"/>
      <c r="E266" s="189"/>
      <c r="P266" s="436"/>
      <c r="Q266" s="437"/>
      <c r="R266" s="108"/>
      <c r="S266" s="108"/>
      <c r="T266" s="108"/>
      <c r="U266" s="189"/>
      <c r="AF266" s="436"/>
      <c r="AG266" s="437"/>
      <c r="AH266" s="108"/>
      <c r="AI266" s="108"/>
      <c r="AJ266" s="108"/>
      <c r="AK266" s="189"/>
      <c r="AV266" s="436"/>
      <c r="AW266" s="437"/>
      <c r="AX266" s="108"/>
      <c r="AY266" s="108"/>
      <c r="AZ266" s="108"/>
      <c r="BA266" s="189"/>
      <c r="BL266" s="436"/>
      <c r="BM266" s="437"/>
      <c r="BN266" s="108"/>
      <c r="BO266" s="108"/>
      <c r="BP266" s="108"/>
      <c r="BQ266" s="189"/>
      <c r="CB266" s="436"/>
      <c r="CC266" s="437"/>
      <c r="CD266" s="108"/>
      <c r="CE266" s="108"/>
      <c r="CF266" s="108"/>
      <c r="CG266" s="189"/>
      <c r="CR266" s="436"/>
      <c r="CS266" s="437"/>
      <c r="CT266" s="108"/>
      <c r="CU266" s="108"/>
      <c r="CV266" s="108"/>
      <c r="CW266" s="189"/>
      <c r="DH266" s="436"/>
      <c r="DI266" s="437"/>
      <c r="DJ266" s="108"/>
      <c r="DK266" s="108"/>
      <c r="DL266" s="108"/>
      <c r="DM266" s="189"/>
      <c r="DN266" s="436"/>
      <c r="DX266" s="436"/>
      <c r="DY266" s="437"/>
      <c r="DZ266" s="108"/>
      <c r="EA266" s="108"/>
      <c r="EB266" s="108"/>
    </row>
    <row r="267" spans="1:132" ht="14.25" customHeight="1">
      <c r="A267" s="152"/>
      <c r="C267" s="289"/>
      <c r="D267" s="289"/>
      <c r="E267" s="189"/>
      <c r="P267" s="436"/>
      <c r="Q267" s="437"/>
      <c r="R267" s="108"/>
      <c r="S267" s="108"/>
      <c r="T267" s="108"/>
      <c r="U267" s="189"/>
      <c r="AF267" s="436"/>
      <c r="AG267" s="437"/>
      <c r="AH267" s="108"/>
      <c r="AI267" s="108"/>
      <c r="AJ267" s="108"/>
      <c r="AK267" s="189"/>
      <c r="AV267" s="436"/>
      <c r="AW267" s="437"/>
      <c r="AX267" s="108"/>
      <c r="AY267" s="108"/>
      <c r="AZ267" s="108"/>
      <c r="BA267" s="189"/>
      <c r="BL267" s="436"/>
      <c r="BM267" s="437"/>
      <c r="BN267" s="108"/>
      <c r="BO267" s="108"/>
      <c r="BP267" s="108"/>
      <c r="BQ267" s="189"/>
      <c r="CB267" s="436"/>
      <c r="CC267" s="437"/>
      <c r="CD267" s="108"/>
      <c r="CE267" s="108"/>
      <c r="CF267" s="108"/>
      <c r="CG267" s="189"/>
      <c r="CR267" s="436"/>
      <c r="CS267" s="437"/>
      <c r="CT267" s="108"/>
      <c r="CU267" s="108"/>
      <c r="CV267" s="108"/>
      <c r="CW267" s="189"/>
      <c r="DH267" s="436"/>
      <c r="DI267" s="437"/>
      <c r="DJ267" s="108"/>
      <c r="DK267" s="108"/>
      <c r="DL267" s="108"/>
      <c r="DM267" s="189"/>
      <c r="DN267" s="436"/>
      <c r="DX267" s="436"/>
      <c r="DY267" s="437"/>
      <c r="DZ267" s="108"/>
      <c r="EA267" s="108"/>
      <c r="EB267" s="108"/>
    </row>
    <row r="268" spans="1:132" ht="14.25" customHeight="1">
      <c r="A268" s="152"/>
      <c r="C268" s="289"/>
      <c r="D268" s="289"/>
      <c r="E268" s="189"/>
      <c r="P268" s="436"/>
      <c r="Q268" s="437"/>
      <c r="R268" s="108"/>
      <c r="S268" s="108"/>
      <c r="T268" s="108"/>
      <c r="U268" s="189"/>
      <c r="AF268" s="436"/>
      <c r="AG268" s="437"/>
      <c r="AH268" s="108"/>
      <c r="AI268" s="108"/>
      <c r="AJ268" s="108"/>
      <c r="AK268" s="189"/>
      <c r="AV268" s="436"/>
      <c r="AW268" s="437"/>
      <c r="AX268" s="108"/>
      <c r="AY268" s="108"/>
      <c r="AZ268" s="108"/>
      <c r="BA268" s="189"/>
      <c r="BL268" s="436"/>
      <c r="BM268" s="437"/>
      <c r="BN268" s="108"/>
      <c r="BO268" s="108"/>
      <c r="BP268" s="108"/>
      <c r="BQ268" s="189"/>
      <c r="CB268" s="436"/>
      <c r="CC268" s="437"/>
      <c r="CD268" s="108"/>
      <c r="CE268" s="108"/>
      <c r="CF268" s="108"/>
      <c r="CG268" s="189"/>
      <c r="CR268" s="436"/>
      <c r="CS268" s="437"/>
      <c r="CT268" s="108"/>
      <c r="CU268" s="108"/>
      <c r="CV268" s="108"/>
      <c r="CW268" s="189"/>
      <c r="DH268" s="436"/>
      <c r="DI268" s="437"/>
      <c r="DJ268" s="108"/>
      <c r="DK268" s="108"/>
      <c r="DL268" s="108"/>
      <c r="DM268" s="189"/>
      <c r="DN268" s="436"/>
      <c r="DX268" s="436"/>
      <c r="DY268" s="437"/>
      <c r="DZ268" s="108"/>
      <c r="EA268" s="108"/>
      <c r="EB268" s="108"/>
    </row>
    <row r="269" spans="1:132" ht="14.25" customHeight="1">
      <c r="A269" s="152"/>
      <c r="C269" s="289"/>
      <c r="D269" s="289"/>
      <c r="E269" s="189"/>
      <c r="P269" s="436"/>
      <c r="Q269" s="437"/>
      <c r="R269" s="108"/>
      <c r="S269" s="108"/>
      <c r="T269" s="108"/>
      <c r="U269" s="189"/>
      <c r="AF269" s="436"/>
      <c r="AG269" s="437"/>
      <c r="AH269" s="108"/>
      <c r="AI269" s="108"/>
      <c r="AJ269" s="108"/>
      <c r="AK269" s="189"/>
      <c r="AV269" s="436"/>
      <c r="AW269" s="437"/>
      <c r="AX269" s="108"/>
      <c r="AY269" s="108"/>
      <c r="AZ269" s="108"/>
      <c r="BA269" s="189"/>
      <c r="BL269" s="436"/>
      <c r="BM269" s="437"/>
      <c r="BN269" s="108"/>
      <c r="BO269" s="108"/>
      <c r="BP269" s="108"/>
      <c r="BQ269" s="189"/>
      <c r="CB269" s="436"/>
      <c r="CC269" s="437"/>
      <c r="CD269" s="108"/>
      <c r="CE269" s="108"/>
      <c r="CF269" s="108"/>
      <c r="CG269" s="189"/>
      <c r="CR269" s="436"/>
      <c r="CS269" s="437"/>
      <c r="CT269" s="108"/>
      <c r="CU269" s="108"/>
      <c r="CV269" s="108"/>
      <c r="CW269" s="189"/>
      <c r="DH269" s="436"/>
      <c r="DI269" s="437"/>
      <c r="DJ269" s="108"/>
      <c r="DK269" s="108"/>
      <c r="DL269" s="108"/>
      <c r="DM269" s="189"/>
      <c r="DN269" s="436"/>
      <c r="DX269" s="436"/>
      <c r="DY269" s="437"/>
      <c r="DZ269" s="108"/>
      <c r="EA269" s="108"/>
      <c r="EB269" s="108"/>
    </row>
    <row r="270" spans="1:132" ht="14.25" customHeight="1">
      <c r="A270" s="152"/>
      <c r="C270" s="289"/>
      <c r="D270" s="289"/>
      <c r="E270" s="189"/>
      <c r="P270" s="436"/>
      <c r="Q270" s="437"/>
      <c r="R270" s="108"/>
      <c r="S270" s="108"/>
      <c r="T270" s="108"/>
      <c r="U270" s="189"/>
      <c r="AF270" s="436"/>
      <c r="AG270" s="437"/>
      <c r="AH270" s="108"/>
      <c r="AI270" s="108"/>
      <c r="AJ270" s="108"/>
      <c r="AK270" s="189"/>
      <c r="AV270" s="436"/>
      <c r="AW270" s="437"/>
      <c r="AX270" s="108"/>
      <c r="AY270" s="108"/>
      <c r="AZ270" s="108"/>
      <c r="BA270" s="189"/>
      <c r="BL270" s="436"/>
      <c r="BM270" s="437"/>
      <c r="BN270" s="108"/>
      <c r="BO270" s="108"/>
      <c r="BP270" s="108"/>
      <c r="BQ270" s="189"/>
      <c r="CB270" s="436"/>
      <c r="CC270" s="437"/>
      <c r="CD270" s="108"/>
      <c r="CE270" s="108"/>
      <c r="CF270" s="108"/>
      <c r="CG270" s="189"/>
      <c r="CR270" s="436"/>
      <c r="CS270" s="437"/>
      <c r="CT270" s="108"/>
      <c r="CU270" s="108"/>
      <c r="CV270" s="108"/>
      <c r="CW270" s="189"/>
      <c r="DH270" s="436"/>
      <c r="DI270" s="437"/>
      <c r="DJ270" s="108"/>
      <c r="DK270" s="108"/>
      <c r="DL270" s="108"/>
      <c r="DM270" s="189"/>
      <c r="DN270" s="436"/>
      <c r="DX270" s="436"/>
      <c r="DY270" s="437"/>
      <c r="DZ270" s="108"/>
      <c r="EA270" s="108"/>
      <c r="EB270" s="108"/>
    </row>
    <row r="271" spans="1:132" ht="14.25" customHeight="1">
      <c r="A271" s="152"/>
      <c r="C271" s="289"/>
      <c r="D271" s="289"/>
      <c r="E271" s="189"/>
      <c r="P271" s="436"/>
      <c r="Q271" s="437"/>
      <c r="R271" s="108"/>
      <c r="S271" s="108"/>
      <c r="T271" s="108"/>
      <c r="U271" s="189"/>
      <c r="AF271" s="436"/>
      <c r="AG271" s="437"/>
      <c r="AH271" s="108"/>
      <c r="AI271" s="108"/>
      <c r="AJ271" s="108"/>
      <c r="AK271" s="189"/>
      <c r="AV271" s="436"/>
      <c r="AW271" s="437"/>
      <c r="AX271" s="108"/>
      <c r="AY271" s="108"/>
      <c r="AZ271" s="108"/>
      <c r="BA271" s="189"/>
      <c r="BL271" s="436"/>
      <c r="BM271" s="437"/>
      <c r="BN271" s="108"/>
      <c r="BO271" s="108"/>
      <c r="BP271" s="108"/>
      <c r="BQ271" s="189"/>
      <c r="CB271" s="436"/>
      <c r="CC271" s="437"/>
      <c r="CD271" s="108"/>
      <c r="CE271" s="108"/>
      <c r="CF271" s="108"/>
      <c r="CG271" s="189"/>
      <c r="CR271" s="436"/>
      <c r="CS271" s="437"/>
      <c r="CT271" s="108"/>
      <c r="CU271" s="108"/>
      <c r="CV271" s="108"/>
      <c r="CW271" s="189"/>
      <c r="DH271" s="436"/>
      <c r="DI271" s="437"/>
      <c r="DJ271" s="108"/>
      <c r="DK271" s="108"/>
      <c r="DL271" s="108"/>
      <c r="DM271" s="189"/>
      <c r="DN271" s="436"/>
      <c r="DX271" s="436"/>
      <c r="DY271" s="437"/>
      <c r="DZ271" s="108"/>
      <c r="EA271" s="108"/>
      <c r="EB271" s="108"/>
    </row>
    <row r="272" spans="1:132" ht="14.25" customHeight="1">
      <c r="A272" s="152"/>
      <c r="C272" s="289"/>
      <c r="D272" s="289"/>
      <c r="E272" s="189"/>
      <c r="P272" s="436"/>
      <c r="Q272" s="437"/>
      <c r="R272" s="108"/>
      <c r="S272" s="108"/>
      <c r="T272" s="108"/>
      <c r="U272" s="189"/>
      <c r="AF272" s="436"/>
      <c r="AG272" s="437"/>
      <c r="AH272" s="108"/>
      <c r="AI272" s="108"/>
      <c r="AJ272" s="108"/>
      <c r="AK272" s="189"/>
      <c r="AV272" s="436"/>
      <c r="AW272" s="437"/>
      <c r="AX272" s="108"/>
      <c r="AY272" s="108"/>
      <c r="AZ272" s="108"/>
      <c r="BA272" s="189"/>
      <c r="BL272" s="436"/>
      <c r="BM272" s="437"/>
      <c r="BN272" s="108"/>
      <c r="BO272" s="108"/>
      <c r="BP272" s="108"/>
      <c r="BQ272" s="189"/>
      <c r="CB272" s="436"/>
      <c r="CC272" s="437"/>
      <c r="CD272" s="108"/>
      <c r="CE272" s="108"/>
      <c r="CF272" s="108"/>
      <c r="CG272" s="189"/>
      <c r="CR272" s="436"/>
      <c r="CS272" s="437"/>
      <c r="CT272" s="108"/>
      <c r="CU272" s="108"/>
      <c r="CV272" s="108"/>
      <c r="CW272" s="189"/>
      <c r="DH272" s="436"/>
      <c r="DI272" s="437"/>
      <c r="DJ272" s="108"/>
      <c r="DK272" s="108"/>
      <c r="DL272" s="108"/>
      <c r="DM272" s="189"/>
      <c r="DN272" s="436"/>
      <c r="DX272" s="436"/>
      <c r="DY272" s="437"/>
      <c r="DZ272" s="108"/>
      <c r="EA272" s="108"/>
      <c r="EB272" s="108"/>
    </row>
    <row r="273" spans="1:132" ht="14.25" customHeight="1">
      <c r="A273" s="152"/>
      <c r="C273" s="289"/>
      <c r="D273" s="289"/>
      <c r="E273" s="189"/>
      <c r="P273" s="436"/>
      <c r="Q273" s="437"/>
      <c r="R273" s="108"/>
      <c r="S273" s="108"/>
      <c r="T273" s="108"/>
      <c r="U273" s="189"/>
      <c r="AF273" s="436"/>
      <c r="AG273" s="437"/>
      <c r="AH273" s="108"/>
      <c r="AI273" s="108"/>
      <c r="AJ273" s="108"/>
      <c r="AK273" s="189"/>
      <c r="AV273" s="436"/>
      <c r="AW273" s="437"/>
      <c r="AX273" s="108"/>
      <c r="AY273" s="108"/>
      <c r="AZ273" s="108"/>
      <c r="BA273" s="189"/>
      <c r="BL273" s="436"/>
      <c r="BM273" s="437"/>
      <c r="BN273" s="108"/>
      <c r="BO273" s="108"/>
      <c r="BP273" s="108"/>
      <c r="BQ273" s="189"/>
      <c r="CB273" s="436"/>
      <c r="CC273" s="437"/>
      <c r="CD273" s="108"/>
      <c r="CE273" s="108"/>
      <c r="CF273" s="108"/>
      <c r="CG273" s="189"/>
      <c r="CR273" s="436"/>
      <c r="CS273" s="437"/>
      <c r="CT273" s="108"/>
      <c r="CU273" s="108"/>
      <c r="CV273" s="108"/>
      <c r="CW273" s="189"/>
      <c r="DH273" s="436"/>
      <c r="DI273" s="437"/>
      <c r="DJ273" s="108"/>
      <c r="DK273" s="108"/>
      <c r="DL273" s="108"/>
      <c r="DM273" s="189"/>
      <c r="DN273" s="436"/>
      <c r="DX273" s="436"/>
      <c r="DY273" s="437"/>
      <c r="DZ273" s="108"/>
      <c r="EA273" s="108"/>
      <c r="EB273" s="108"/>
    </row>
    <row r="274" spans="1:132" ht="14.25" customHeight="1">
      <c r="A274" s="152"/>
      <c r="C274" s="289"/>
      <c r="D274" s="289"/>
      <c r="E274" s="189"/>
      <c r="P274" s="436"/>
      <c r="Q274" s="437"/>
      <c r="R274" s="108"/>
      <c r="S274" s="108"/>
      <c r="T274" s="108"/>
      <c r="U274" s="189"/>
      <c r="AF274" s="436"/>
      <c r="AG274" s="437"/>
      <c r="AH274" s="108"/>
      <c r="AI274" s="108"/>
      <c r="AJ274" s="108"/>
      <c r="AK274" s="189"/>
      <c r="AV274" s="436"/>
      <c r="AW274" s="437"/>
      <c r="AX274" s="108"/>
      <c r="AY274" s="108"/>
      <c r="AZ274" s="108"/>
      <c r="BA274" s="189"/>
      <c r="BL274" s="436"/>
      <c r="BM274" s="437"/>
      <c r="BN274" s="108"/>
      <c r="BO274" s="108"/>
      <c r="BP274" s="108"/>
      <c r="BQ274" s="189"/>
      <c r="CB274" s="436"/>
      <c r="CC274" s="437"/>
      <c r="CD274" s="108"/>
      <c r="CE274" s="108"/>
      <c r="CF274" s="108"/>
      <c r="CG274" s="189"/>
      <c r="CR274" s="436"/>
      <c r="CS274" s="437"/>
      <c r="CT274" s="108"/>
      <c r="CU274" s="108"/>
      <c r="CV274" s="108"/>
      <c r="CW274" s="189"/>
      <c r="DH274" s="436"/>
      <c r="DI274" s="437"/>
      <c r="DJ274" s="108"/>
      <c r="DK274" s="108"/>
      <c r="DL274" s="108"/>
      <c r="DM274" s="189"/>
      <c r="DN274" s="436"/>
      <c r="DX274" s="436"/>
      <c r="DY274" s="437"/>
      <c r="DZ274" s="108"/>
      <c r="EA274" s="108"/>
      <c r="EB274" s="108"/>
    </row>
    <row r="275" spans="1:132" ht="14.25" customHeight="1">
      <c r="A275" s="152"/>
      <c r="C275" s="289"/>
      <c r="D275" s="289"/>
      <c r="E275" s="189"/>
      <c r="P275" s="436"/>
      <c r="Q275" s="437"/>
      <c r="R275" s="108"/>
      <c r="S275" s="108"/>
      <c r="T275" s="108"/>
      <c r="U275" s="189"/>
      <c r="AF275" s="436"/>
      <c r="AG275" s="437"/>
      <c r="AH275" s="108"/>
      <c r="AI275" s="108"/>
      <c r="AJ275" s="108"/>
      <c r="AK275" s="189"/>
      <c r="AV275" s="436"/>
      <c r="AW275" s="437"/>
      <c r="AX275" s="108"/>
      <c r="AY275" s="108"/>
      <c r="AZ275" s="108"/>
      <c r="BA275" s="189"/>
      <c r="BL275" s="436"/>
      <c r="BM275" s="437"/>
      <c r="BN275" s="108"/>
      <c r="BO275" s="108"/>
      <c r="BP275" s="108"/>
      <c r="BQ275" s="189"/>
      <c r="CB275" s="436"/>
      <c r="CC275" s="437"/>
      <c r="CD275" s="108"/>
      <c r="CE275" s="108"/>
      <c r="CF275" s="108"/>
      <c r="CG275" s="189"/>
      <c r="CR275" s="436"/>
      <c r="CS275" s="437"/>
      <c r="CT275" s="108"/>
      <c r="CU275" s="108"/>
      <c r="CV275" s="108"/>
      <c r="CW275" s="189"/>
      <c r="DH275" s="436"/>
      <c r="DI275" s="437"/>
      <c r="DJ275" s="108"/>
      <c r="DK275" s="108"/>
      <c r="DL275" s="108"/>
      <c r="DM275" s="189"/>
      <c r="DN275" s="436"/>
      <c r="DX275" s="436"/>
      <c r="DY275" s="437"/>
      <c r="DZ275" s="108"/>
      <c r="EA275" s="108"/>
      <c r="EB275" s="108"/>
    </row>
    <row r="276" spans="1:132" ht="14.25" customHeight="1">
      <c r="A276" s="152"/>
      <c r="C276" s="289"/>
      <c r="D276" s="289"/>
      <c r="E276" s="189"/>
      <c r="P276" s="436"/>
      <c r="Q276" s="437"/>
      <c r="R276" s="108"/>
      <c r="S276" s="108"/>
      <c r="T276" s="108"/>
      <c r="U276" s="189"/>
      <c r="AF276" s="436"/>
      <c r="AG276" s="437"/>
      <c r="AH276" s="108"/>
      <c r="AI276" s="108"/>
      <c r="AJ276" s="108"/>
      <c r="AK276" s="189"/>
      <c r="AV276" s="436"/>
      <c r="AW276" s="437"/>
      <c r="AX276" s="108"/>
      <c r="AY276" s="108"/>
      <c r="AZ276" s="108"/>
      <c r="BA276" s="189"/>
      <c r="BL276" s="436"/>
      <c r="BM276" s="437"/>
      <c r="BN276" s="108"/>
      <c r="BO276" s="108"/>
      <c r="BP276" s="108"/>
      <c r="BQ276" s="189"/>
      <c r="CB276" s="436"/>
      <c r="CC276" s="437"/>
      <c r="CD276" s="108"/>
      <c r="CE276" s="108"/>
      <c r="CF276" s="108"/>
      <c r="CG276" s="189"/>
      <c r="CR276" s="436"/>
      <c r="CS276" s="437"/>
      <c r="CT276" s="108"/>
      <c r="CU276" s="108"/>
      <c r="CV276" s="108"/>
      <c r="CW276" s="189"/>
      <c r="DH276" s="436"/>
      <c r="DI276" s="437"/>
      <c r="DJ276" s="108"/>
      <c r="DK276" s="108"/>
      <c r="DL276" s="108"/>
      <c r="DM276" s="189"/>
      <c r="DN276" s="436"/>
      <c r="DX276" s="436"/>
      <c r="DY276" s="437"/>
      <c r="DZ276" s="108"/>
      <c r="EA276" s="108"/>
      <c r="EB276" s="108"/>
    </row>
    <row r="277" spans="1:132" ht="14.25" customHeight="1">
      <c r="A277" s="152"/>
      <c r="C277" s="289"/>
      <c r="D277" s="289"/>
      <c r="E277" s="189"/>
      <c r="P277" s="436"/>
      <c r="Q277" s="437"/>
      <c r="R277" s="108"/>
      <c r="S277" s="108"/>
      <c r="T277" s="108"/>
      <c r="U277" s="189"/>
      <c r="AF277" s="436"/>
      <c r="AG277" s="437"/>
      <c r="AH277" s="108"/>
      <c r="AI277" s="108"/>
      <c r="AJ277" s="108"/>
      <c r="AK277" s="189"/>
      <c r="AV277" s="436"/>
      <c r="AW277" s="437"/>
      <c r="AX277" s="108"/>
      <c r="AY277" s="108"/>
      <c r="AZ277" s="108"/>
      <c r="BA277" s="189"/>
      <c r="BL277" s="436"/>
      <c r="BM277" s="437"/>
      <c r="BN277" s="108"/>
      <c r="BO277" s="108"/>
      <c r="BP277" s="108"/>
      <c r="BQ277" s="189"/>
      <c r="CB277" s="436"/>
      <c r="CC277" s="437"/>
      <c r="CD277" s="108"/>
      <c r="CE277" s="108"/>
      <c r="CF277" s="108"/>
      <c r="CG277" s="189"/>
      <c r="CR277" s="436"/>
      <c r="CS277" s="437"/>
      <c r="CT277" s="108"/>
      <c r="CU277" s="108"/>
      <c r="CV277" s="108"/>
      <c r="CW277" s="189"/>
      <c r="DH277" s="436"/>
      <c r="DI277" s="437"/>
      <c r="DJ277" s="108"/>
      <c r="DK277" s="108"/>
      <c r="DL277" s="108"/>
      <c r="DM277" s="189"/>
      <c r="DN277" s="436"/>
      <c r="DX277" s="436"/>
      <c r="DY277" s="437"/>
      <c r="DZ277" s="108"/>
      <c r="EA277" s="108"/>
      <c r="EB277" s="108"/>
    </row>
    <row r="278" spans="1:132" ht="14.25" customHeight="1">
      <c r="A278" s="152"/>
      <c r="C278" s="289"/>
      <c r="D278" s="289"/>
      <c r="E278" s="189"/>
      <c r="P278" s="436"/>
      <c r="Q278" s="437"/>
      <c r="R278" s="108"/>
      <c r="S278" s="108"/>
      <c r="T278" s="108"/>
      <c r="U278" s="189"/>
      <c r="AF278" s="436"/>
      <c r="AG278" s="437"/>
      <c r="AH278" s="108"/>
      <c r="AI278" s="108"/>
      <c r="AJ278" s="108"/>
      <c r="AK278" s="189"/>
      <c r="AV278" s="436"/>
      <c r="AW278" s="437"/>
      <c r="AX278" s="108"/>
      <c r="AY278" s="108"/>
      <c r="AZ278" s="108"/>
      <c r="BA278" s="189"/>
      <c r="BL278" s="436"/>
      <c r="BM278" s="437"/>
      <c r="BN278" s="108"/>
      <c r="BO278" s="108"/>
      <c r="BP278" s="108"/>
      <c r="BQ278" s="189"/>
      <c r="CB278" s="436"/>
      <c r="CC278" s="437"/>
      <c r="CD278" s="108"/>
      <c r="CE278" s="108"/>
      <c r="CF278" s="108"/>
      <c r="CG278" s="189"/>
      <c r="CR278" s="436"/>
      <c r="CS278" s="437"/>
      <c r="CT278" s="108"/>
      <c r="CU278" s="108"/>
      <c r="CV278" s="108"/>
      <c r="CW278" s="189"/>
      <c r="DH278" s="436"/>
      <c r="DI278" s="437"/>
      <c r="DJ278" s="108"/>
      <c r="DK278" s="108"/>
      <c r="DL278" s="108"/>
      <c r="DM278" s="189"/>
      <c r="DN278" s="436"/>
      <c r="DX278" s="436"/>
      <c r="DY278" s="437"/>
      <c r="DZ278" s="108"/>
      <c r="EA278" s="108"/>
      <c r="EB278" s="108"/>
    </row>
    <row r="279" spans="1:132" ht="14.25" customHeight="1">
      <c r="A279" s="152"/>
      <c r="C279" s="289"/>
      <c r="D279" s="289"/>
      <c r="E279" s="189"/>
      <c r="P279" s="436"/>
      <c r="Q279" s="437"/>
      <c r="R279" s="108"/>
      <c r="S279" s="108"/>
      <c r="T279" s="108"/>
      <c r="U279" s="189"/>
      <c r="AF279" s="436"/>
      <c r="AG279" s="437"/>
      <c r="AH279" s="108"/>
      <c r="AI279" s="108"/>
      <c r="AJ279" s="108"/>
      <c r="AK279" s="189"/>
      <c r="AV279" s="436"/>
      <c r="AW279" s="437"/>
      <c r="AX279" s="108"/>
      <c r="AY279" s="108"/>
      <c r="AZ279" s="108"/>
      <c r="BA279" s="189"/>
      <c r="BL279" s="436"/>
      <c r="BM279" s="437"/>
      <c r="BN279" s="108"/>
      <c r="BO279" s="108"/>
      <c r="BP279" s="108"/>
      <c r="BQ279" s="189"/>
      <c r="CB279" s="436"/>
      <c r="CC279" s="437"/>
      <c r="CD279" s="108"/>
      <c r="CE279" s="108"/>
      <c r="CF279" s="108"/>
      <c r="CG279" s="189"/>
      <c r="CR279" s="436"/>
      <c r="CS279" s="437"/>
      <c r="CT279" s="108"/>
      <c r="CU279" s="108"/>
      <c r="CV279" s="108"/>
      <c r="CW279" s="189"/>
      <c r="DH279" s="436"/>
      <c r="DI279" s="437"/>
      <c r="DJ279" s="108"/>
      <c r="DK279" s="108"/>
      <c r="DL279" s="108"/>
      <c r="DM279" s="189"/>
      <c r="DN279" s="436"/>
      <c r="DX279" s="436"/>
      <c r="DY279" s="437"/>
      <c r="DZ279" s="108"/>
      <c r="EA279" s="108"/>
      <c r="EB279" s="108"/>
    </row>
    <row r="280" spans="1:132" ht="14.25" customHeight="1">
      <c r="A280" s="152"/>
      <c r="C280" s="289"/>
      <c r="D280" s="289"/>
      <c r="E280" s="189"/>
      <c r="P280" s="436"/>
      <c r="Q280" s="437"/>
      <c r="R280" s="108"/>
      <c r="S280" s="108"/>
      <c r="T280" s="108"/>
      <c r="U280" s="189"/>
      <c r="AF280" s="436"/>
      <c r="AG280" s="437"/>
      <c r="AH280" s="108"/>
      <c r="AI280" s="108"/>
      <c r="AJ280" s="108"/>
      <c r="AK280" s="189"/>
      <c r="AV280" s="436"/>
      <c r="AW280" s="437"/>
      <c r="AX280" s="108"/>
      <c r="AY280" s="108"/>
      <c r="AZ280" s="108"/>
      <c r="BA280" s="189"/>
      <c r="BL280" s="436"/>
      <c r="BM280" s="437"/>
      <c r="BN280" s="108"/>
      <c r="BO280" s="108"/>
      <c r="BP280" s="108"/>
      <c r="BQ280" s="189"/>
      <c r="CB280" s="436"/>
      <c r="CC280" s="437"/>
      <c r="CD280" s="108"/>
      <c r="CE280" s="108"/>
      <c r="CF280" s="108"/>
      <c r="CG280" s="189"/>
      <c r="CR280" s="436"/>
      <c r="CS280" s="437"/>
      <c r="CT280" s="108"/>
      <c r="CU280" s="108"/>
      <c r="CV280" s="108"/>
      <c r="CW280" s="189"/>
      <c r="DH280" s="436"/>
      <c r="DI280" s="437"/>
      <c r="DJ280" s="108"/>
      <c r="DK280" s="108"/>
      <c r="DL280" s="108"/>
      <c r="DM280" s="189"/>
      <c r="DN280" s="436"/>
      <c r="DX280" s="436"/>
      <c r="DY280" s="437"/>
      <c r="DZ280" s="108"/>
      <c r="EA280" s="108"/>
      <c r="EB280" s="108"/>
    </row>
    <row r="281" spans="1:132" ht="14.25" customHeight="1">
      <c r="A281" s="152"/>
      <c r="C281" s="289"/>
      <c r="D281" s="289"/>
      <c r="E281" s="189"/>
      <c r="P281" s="436"/>
      <c r="Q281" s="437"/>
      <c r="R281" s="108"/>
      <c r="S281" s="108"/>
      <c r="T281" s="108"/>
      <c r="U281" s="189"/>
      <c r="AF281" s="436"/>
      <c r="AG281" s="437"/>
      <c r="AH281" s="108"/>
      <c r="AI281" s="108"/>
      <c r="AJ281" s="108"/>
      <c r="AK281" s="189"/>
      <c r="AV281" s="436"/>
      <c r="AW281" s="437"/>
      <c r="AX281" s="108"/>
      <c r="AY281" s="108"/>
      <c r="AZ281" s="108"/>
      <c r="BA281" s="189"/>
      <c r="BL281" s="436"/>
      <c r="BM281" s="437"/>
      <c r="BN281" s="108"/>
      <c r="BO281" s="108"/>
      <c r="BP281" s="108"/>
      <c r="BQ281" s="189"/>
      <c r="CB281" s="436"/>
      <c r="CC281" s="437"/>
      <c r="CD281" s="108"/>
      <c r="CE281" s="108"/>
      <c r="CF281" s="108"/>
      <c r="CG281" s="189"/>
      <c r="CR281" s="436"/>
      <c r="CS281" s="437"/>
      <c r="CT281" s="108"/>
      <c r="CU281" s="108"/>
      <c r="CV281" s="108"/>
      <c r="CW281" s="189"/>
      <c r="DH281" s="436"/>
      <c r="DI281" s="437"/>
      <c r="DJ281" s="108"/>
      <c r="DK281" s="108"/>
      <c r="DL281" s="108"/>
      <c r="DM281" s="189"/>
      <c r="DN281" s="436"/>
      <c r="DX281" s="436"/>
      <c r="DY281" s="437"/>
      <c r="DZ281" s="108"/>
      <c r="EA281" s="108"/>
      <c r="EB281" s="108"/>
    </row>
    <row r="282" spans="1:132" ht="14.25" customHeight="1">
      <c r="A282" s="152"/>
      <c r="C282" s="289"/>
      <c r="D282" s="289"/>
      <c r="E282" s="189"/>
      <c r="P282" s="436"/>
      <c r="Q282" s="437"/>
      <c r="R282" s="108"/>
      <c r="S282" s="108"/>
      <c r="T282" s="108"/>
      <c r="U282" s="189"/>
      <c r="AF282" s="436"/>
      <c r="AG282" s="437"/>
      <c r="AH282" s="108"/>
      <c r="AI282" s="108"/>
      <c r="AJ282" s="108"/>
      <c r="AK282" s="189"/>
      <c r="AV282" s="436"/>
      <c r="AW282" s="437"/>
      <c r="AX282" s="108"/>
      <c r="AY282" s="108"/>
      <c r="AZ282" s="108"/>
      <c r="BA282" s="189"/>
      <c r="BL282" s="436"/>
      <c r="BM282" s="437"/>
      <c r="BN282" s="108"/>
      <c r="BO282" s="108"/>
      <c r="BP282" s="108"/>
      <c r="BQ282" s="189"/>
      <c r="CB282" s="436"/>
      <c r="CC282" s="437"/>
      <c r="CD282" s="108"/>
      <c r="CE282" s="108"/>
      <c r="CF282" s="108"/>
      <c r="CG282" s="189"/>
      <c r="CR282" s="436"/>
      <c r="CS282" s="437"/>
      <c r="CT282" s="108"/>
      <c r="CU282" s="108"/>
      <c r="CV282" s="108"/>
      <c r="CW282" s="189"/>
      <c r="DH282" s="436"/>
      <c r="DI282" s="437"/>
      <c r="DJ282" s="108"/>
      <c r="DK282" s="108"/>
      <c r="DL282" s="108"/>
      <c r="DM282" s="189"/>
      <c r="DN282" s="436"/>
      <c r="DX282" s="436"/>
      <c r="DY282" s="437"/>
      <c r="DZ282" s="108"/>
      <c r="EA282" s="108"/>
      <c r="EB282" s="108"/>
    </row>
    <row r="283" spans="1:132" ht="14.25" customHeight="1">
      <c r="A283" s="152"/>
      <c r="C283" s="289"/>
      <c r="D283" s="289"/>
      <c r="E283" s="189"/>
      <c r="P283" s="436"/>
      <c r="Q283" s="437"/>
      <c r="R283" s="108"/>
      <c r="S283" s="108"/>
      <c r="T283" s="108"/>
      <c r="U283" s="189"/>
      <c r="AF283" s="436"/>
      <c r="AG283" s="437"/>
      <c r="AH283" s="108"/>
      <c r="AI283" s="108"/>
      <c r="AJ283" s="108"/>
      <c r="AK283" s="189"/>
      <c r="AV283" s="436"/>
      <c r="AW283" s="437"/>
      <c r="AX283" s="108"/>
      <c r="AY283" s="108"/>
      <c r="AZ283" s="108"/>
      <c r="BA283" s="189"/>
      <c r="BL283" s="436"/>
      <c r="BM283" s="437"/>
      <c r="BN283" s="108"/>
      <c r="BO283" s="108"/>
      <c r="BP283" s="108"/>
      <c r="BQ283" s="189"/>
      <c r="CB283" s="436"/>
      <c r="CC283" s="437"/>
      <c r="CD283" s="108"/>
      <c r="CE283" s="108"/>
      <c r="CF283" s="108"/>
      <c r="CG283" s="189"/>
      <c r="CR283" s="436"/>
      <c r="CS283" s="437"/>
      <c r="CT283" s="108"/>
      <c r="CU283" s="108"/>
      <c r="CV283" s="108"/>
      <c r="CW283" s="189"/>
      <c r="DH283" s="436"/>
      <c r="DI283" s="437"/>
      <c r="DJ283" s="108"/>
      <c r="DK283" s="108"/>
      <c r="DL283" s="108"/>
      <c r="DM283" s="189"/>
      <c r="DN283" s="436"/>
      <c r="DX283" s="436"/>
      <c r="DY283" s="437"/>
      <c r="DZ283" s="108"/>
      <c r="EA283" s="108"/>
      <c r="EB283" s="108"/>
    </row>
    <row r="284" spans="1:132" ht="14.25" customHeight="1">
      <c r="A284" s="152"/>
      <c r="C284" s="289"/>
      <c r="D284" s="289"/>
      <c r="E284" s="189"/>
      <c r="P284" s="436"/>
      <c r="Q284" s="437"/>
      <c r="R284" s="108"/>
      <c r="S284" s="108"/>
      <c r="T284" s="108"/>
      <c r="U284" s="189"/>
      <c r="AF284" s="436"/>
      <c r="AG284" s="437"/>
      <c r="AH284" s="108"/>
      <c r="AI284" s="108"/>
      <c r="AJ284" s="108"/>
      <c r="AK284" s="189"/>
      <c r="AV284" s="436"/>
      <c r="AW284" s="437"/>
      <c r="AX284" s="108"/>
      <c r="AY284" s="108"/>
      <c r="AZ284" s="108"/>
      <c r="BA284" s="189"/>
      <c r="BL284" s="436"/>
      <c r="BM284" s="437"/>
      <c r="BN284" s="108"/>
      <c r="BO284" s="108"/>
      <c r="BP284" s="108"/>
      <c r="BQ284" s="189"/>
      <c r="CB284" s="436"/>
      <c r="CC284" s="437"/>
      <c r="CD284" s="108"/>
      <c r="CE284" s="108"/>
      <c r="CF284" s="108"/>
      <c r="CG284" s="189"/>
      <c r="CR284" s="436"/>
      <c r="CS284" s="437"/>
      <c r="CT284" s="108"/>
      <c r="CU284" s="108"/>
      <c r="CV284" s="108"/>
      <c r="CW284" s="189"/>
      <c r="DH284" s="436"/>
      <c r="DI284" s="437"/>
      <c r="DJ284" s="108"/>
      <c r="DK284" s="108"/>
      <c r="DL284" s="108"/>
      <c r="DM284" s="189"/>
      <c r="DN284" s="436"/>
      <c r="DX284" s="436"/>
      <c r="DY284" s="437"/>
      <c r="DZ284" s="108"/>
      <c r="EA284" s="108"/>
      <c r="EB284" s="108"/>
    </row>
    <row r="285" spans="1:132" ht="14.25" customHeight="1">
      <c r="A285" s="152"/>
      <c r="C285" s="289"/>
      <c r="D285" s="289"/>
      <c r="E285" s="189"/>
      <c r="P285" s="436"/>
      <c r="Q285" s="437"/>
      <c r="R285" s="108"/>
      <c r="S285" s="108"/>
      <c r="T285" s="108"/>
      <c r="U285" s="189"/>
      <c r="AF285" s="436"/>
      <c r="AG285" s="437"/>
      <c r="AH285" s="108"/>
      <c r="AI285" s="108"/>
      <c r="AJ285" s="108"/>
      <c r="AK285" s="189"/>
      <c r="AV285" s="436"/>
      <c r="AW285" s="437"/>
      <c r="AX285" s="108"/>
      <c r="AY285" s="108"/>
      <c r="AZ285" s="108"/>
      <c r="BA285" s="189"/>
      <c r="BL285" s="436"/>
      <c r="BM285" s="437"/>
      <c r="BN285" s="108"/>
      <c r="BO285" s="108"/>
      <c r="BP285" s="108"/>
      <c r="BQ285" s="189"/>
      <c r="CB285" s="436"/>
      <c r="CC285" s="437"/>
      <c r="CD285" s="108"/>
      <c r="CE285" s="108"/>
      <c r="CF285" s="108"/>
      <c r="CG285" s="189"/>
      <c r="CR285" s="436"/>
      <c r="CS285" s="437"/>
      <c r="CT285" s="108"/>
      <c r="CU285" s="108"/>
      <c r="CV285" s="108"/>
      <c r="CW285" s="189"/>
      <c r="DH285" s="436"/>
      <c r="DI285" s="437"/>
      <c r="DJ285" s="108"/>
      <c r="DK285" s="108"/>
      <c r="DL285" s="108"/>
      <c r="DM285" s="189"/>
      <c r="DN285" s="436"/>
      <c r="DX285" s="436"/>
      <c r="DY285" s="437"/>
      <c r="DZ285" s="108"/>
      <c r="EA285" s="108"/>
      <c r="EB285" s="108"/>
    </row>
    <row r="286" spans="1:132" ht="14.25" customHeight="1">
      <c r="A286" s="152"/>
      <c r="C286" s="289"/>
      <c r="D286" s="289"/>
      <c r="E286" s="189"/>
      <c r="P286" s="436"/>
      <c r="Q286" s="437"/>
      <c r="R286" s="108"/>
      <c r="S286" s="108"/>
      <c r="T286" s="108"/>
      <c r="U286" s="189"/>
      <c r="AF286" s="436"/>
      <c r="AG286" s="437"/>
      <c r="AH286" s="108"/>
      <c r="AI286" s="108"/>
      <c r="AJ286" s="108"/>
      <c r="AK286" s="189"/>
      <c r="AV286" s="436"/>
      <c r="AW286" s="437"/>
      <c r="AX286" s="108"/>
      <c r="AY286" s="108"/>
      <c r="AZ286" s="108"/>
      <c r="BA286" s="189"/>
      <c r="BL286" s="436"/>
      <c r="BM286" s="437"/>
      <c r="BN286" s="108"/>
      <c r="BO286" s="108"/>
      <c r="BP286" s="108"/>
      <c r="BQ286" s="189"/>
      <c r="CB286" s="436"/>
      <c r="CC286" s="437"/>
      <c r="CD286" s="108"/>
      <c r="CE286" s="108"/>
      <c r="CF286" s="108"/>
      <c r="CG286" s="189"/>
      <c r="CR286" s="436"/>
      <c r="CS286" s="437"/>
      <c r="CT286" s="108"/>
      <c r="CU286" s="108"/>
      <c r="CV286" s="108"/>
      <c r="CW286" s="189"/>
      <c r="DH286" s="436"/>
      <c r="DI286" s="437"/>
      <c r="DJ286" s="108"/>
      <c r="DK286" s="108"/>
      <c r="DL286" s="108"/>
      <c r="DM286" s="189"/>
      <c r="DN286" s="436"/>
      <c r="DX286" s="436"/>
      <c r="DY286" s="437"/>
      <c r="DZ286" s="108"/>
      <c r="EA286" s="108"/>
      <c r="EB286" s="108"/>
    </row>
    <row r="287" spans="1:132" ht="14.25" customHeight="1">
      <c r="A287" s="152"/>
      <c r="C287" s="289"/>
      <c r="D287" s="289"/>
      <c r="E287" s="189"/>
      <c r="P287" s="436"/>
      <c r="Q287" s="437"/>
      <c r="R287" s="108"/>
      <c r="S287" s="108"/>
      <c r="T287" s="108"/>
      <c r="U287" s="189"/>
      <c r="AF287" s="436"/>
      <c r="AG287" s="437"/>
      <c r="AH287" s="108"/>
      <c r="AI287" s="108"/>
      <c r="AJ287" s="108"/>
      <c r="AK287" s="189"/>
      <c r="AV287" s="436"/>
      <c r="AW287" s="437"/>
      <c r="AX287" s="108"/>
      <c r="AY287" s="108"/>
      <c r="AZ287" s="108"/>
      <c r="BA287" s="189"/>
      <c r="BL287" s="436"/>
      <c r="BM287" s="437"/>
      <c r="BN287" s="108"/>
      <c r="BO287" s="108"/>
      <c r="BP287" s="108"/>
      <c r="BQ287" s="189"/>
      <c r="CB287" s="436"/>
      <c r="CC287" s="437"/>
      <c r="CD287" s="108"/>
      <c r="CE287" s="108"/>
      <c r="CF287" s="108"/>
      <c r="CG287" s="189"/>
      <c r="CR287" s="436"/>
      <c r="CS287" s="437"/>
      <c r="CT287" s="108"/>
      <c r="CU287" s="108"/>
      <c r="CV287" s="108"/>
      <c r="CW287" s="189"/>
      <c r="DH287" s="436"/>
      <c r="DI287" s="437"/>
      <c r="DJ287" s="108"/>
      <c r="DK287" s="108"/>
      <c r="DL287" s="108"/>
      <c r="DM287" s="189"/>
      <c r="DN287" s="436"/>
      <c r="DX287" s="436"/>
      <c r="DY287" s="437"/>
      <c r="DZ287" s="108"/>
      <c r="EA287" s="108"/>
      <c r="EB287" s="108"/>
    </row>
    <row r="288" spans="1:132" ht="14.25" customHeight="1">
      <c r="A288" s="152"/>
      <c r="C288" s="289"/>
      <c r="D288" s="289"/>
      <c r="E288" s="189"/>
      <c r="P288" s="436"/>
      <c r="Q288" s="437"/>
      <c r="R288" s="108"/>
      <c r="S288" s="108"/>
      <c r="T288" s="108"/>
      <c r="U288" s="189"/>
      <c r="AF288" s="436"/>
      <c r="AG288" s="437"/>
      <c r="AH288" s="108"/>
      <c r="AI288" s="108"/>
      <c r="AJ288" s="108"/>
      <c r="AK288" s="189"/>
      <c r="AV288" s="436"/>
      <c r="AW288" s="437"/>
      <c r="AX288" s="108"/>
      <c r="AY288" s="108"/>
      <c r="AZ288" s="108"/>
      <c r="BA288" s="189"/>
      <c r="BL288" s="436"/>
      <c r="BM288" s="437"/>
      <c r="BN288" s="108"/>
      <c r="BO288" s="108"/>
      <c r="BP288" s="108"/>
      <c r="BQ288" s="189"/>
      <c r="CB288" s="436"/>
      <c r="CC288" s="437"/>
      <c r="CD288" s="108"/>
      <c r="CE288" s="108"/>
      <c r="CF288" s="108"/>
      <c r="CG288" s="189"/>
      <c r="CR288" s="436"/>
      <c r="CS288" s="437"/>
      <c r="CT288" s="108"/>
      <c r="CU288" s="108"/>
      <c r="CV288" s="108"/>
      <c r="CW288" s="189"/>
      <c r="DH288" s="436"/>
      <c r="DI288" s="437"/>
      <c r="DJ288" s="108"/>
      <c r="DK288" s="108"/>
      <c r="DL288" s="108"/>
      <c r="DM288" s="189"/>
      <c r="DN288" s="436"/>
      <c r="DX288" s="436"/>
      <c r="DY288" s="437"/>
      <c r="DZ288" s="108"/>
      <c r="EA288" s="108"/>
      <c r="EB288" s="108"/>
    </row>
    <row r="289" spans="1:132" ht="14.25" customHeight="1">
      <c r="A289" s="152"/>
      <c r="C289" s="289"/>
      <c r="D289" s="289"/>
      <c r="E289" s="189"/>
      <c r="P289" s="436"/>
      <c r="Q289" s="437"/>
      <c r="R289" s="108"/>
      <c r="S289" s="108"/>
      <c r="T289" s="108"/>
      <c r="U289" s="189"/>
      <c r="AF289" s="436"/>
      <c r="AG289" s="437"/>
      <c r="AH289" s="108"/>
      <c r="AI289" s="108"/>
      <c r="AJ289" s="108"/>
      <c r="AK289" s="189"/>
      <c r="AV289" s="436"/>
      <c r="AW289" s="437"/>
      <c r="AX289" s="108"/>
      <c r="AY289" s="108"/>
      <c r="AZ289" s="108"/>
      <c r="BA289" s="189"/>
      <c r="BL289" s="436"/>
      <c r="BM289" s="437"/>
      <c r="BN289" s="108"/>
      <c r="BO289" s="108"/>
      <c r="BP289" s="108"/>
      <c r="BQ289" s="189"/>
      <c r="CB289" s="436"/>
      <c r="CC289" s="437"/>
      <c r="CD289" s="108"/>
      <c r="CE289" s="108"/>
      <c r="CF289" s="108"/>
      <c r="CG289" s="189"/>
      <c r="CR289" s="436"/>
      <c r="CS289" s="437"/>
      <c r="CT289" s="108"/>
      <c r="CU289" s="108"/>
      <c r="CV289" s="108"/>
      <c r="CW289" s="189"/>
      <c r="DH289" s="436"/>
      <c r="DI289" s="437"/>
      <c r="DJ289" s="108"/>
      <c r="DK289" s="108"/>
      <c r="DL289" s="108"/>
      <c r="DM289" s="189"/>
      <c r="DN289" s="436"/>
      <c r="DX289" s="436"/>
      <c r="DY289" s="437"/>
      <c r="DZ289" s="108"/>
      <c r="EA289" s="108"/>
      <c r="EB289" s="108"/>
    </row>
    <row r="290" spans="1:132" ht="14.25" customHeight="1">
      <c r="A290" s="152"/>
      <c r="C290" s="289"/>
      <c r="D290" s="289"/>
      <c r="E290" s="189"/>
      <c r="P290" s="436"/>
      <c r="Q290" s="437"/>
      <c r="R290" s="108"/>
      <c r="S290" s="108"/>
      <c r="T290" s="108"/>
      <c r="U290" s="189"/>
      <c r="AF290" s="436"/>
      <c r="AG290" s="437"/>
      <c r="AH290" s="108"/>
      <c r="AI290" s="108"/>
      <c r="AJ290" s="108"/>
      <c r="AK290" s="189"/>
      <c r="AV290" s="436"/>
      <c r="AW290" s="437"/>
      <c r="AX290" s="108"/>
      <c r="AY290" s="108"/>
      <c r="AZ290" s="108"/>
      <c r="BA290" s="189"/>
      <c r="BL290" s="436"/>
      <c r="BM290" s="437"/>
      <c r="BN290" s="108"/>
      <c r="BO290" s="108"/>
      <c r="BP290" s="108"/>
      <c r="BQ290" s="189"/>
      <c r="CB290" s="436"/>
      <c r="CC290" s="437"/>
      <c r="CD290" s="108"/>
      <c r="CE290" s="108"/>
      <c r="CF290" s="108"/>
      <c r="CG290" s="189"/>
      <c r="CR290" s="436"/>
      <c r="CS290" s="437"/>
      <c r="CT290" s="108"/>
      <c r="CU290" s="108"/>
      <c r="CV290" s="108"/>
      <c r="CW290" s="189"/>
      <c r="DH290" s="436"/>
      <c r="DI290" s="437"/>
      <c r="DJ290" s="108"/>
      <c r="DK290" s="108"/>
      <c r="DL290" s="108"/>
      <c r="DM290" s="189"/>
      <c r="DN290" s="436"/>
      <c r="DX290" s="436"/>
      <c r="DY290" s="437"/>
      <c r="DZ290" s="108"/>
      <c r="EA290" s="108"/>
      <c r="EB290" s="108"/>
    </row>
    <row r="291" spans="1:132" ht="14.25" customHeight="1">
      <c r="A291" s="152"/>
      <c r="C291" s="289"/>
      <c r="D291" s="289"/>
      <c r="E291" s="189"/>
      <c r="P291" s="436"/>
      <c r="Q291" s="437"/>
      <c r="R291" s="108"/>
      <c r="S291" s="108"/>
      <c r="T291" s="108"/>
      <c r="U291" s="189"/>
      <c r="AF291" s="436"/>
      <c r="AG291" s="437"/>
      <c r="AH291" s="108"/>
      <c r="AI291" s="108"/>
      <c r="AJ291" s="108"/>
      <c r="AK291" s="189"/>
      <c r="AV291" s="436"/>
      <c r="AW291" s="437"/>
      <c r="AX291" s="108"/>
      <c r="AY291" s="108"/>
      <c r="AZ291" s="108"/>
      <c r="BA291" s="189"/>
      <c r="BL291" s="436"/>
      <c r="BM291" s="437"/>
      <c r="BN291" s="108"/>
      <c r="BO291" s="108"/>
      <c r="BP291" s="108"/>
      <c r="BQ291" s="189"/>
      <c r="CB291" s="436"/>
      <c r="CC291" s="437"/>
      <c r="CD291" s="108"/>
      <c r="CE291" s="108"/>
      <c r="CF291" s="108"/>
      <c r="CG291" s="189"/>
      <c r="CR291" s="436"/>
      <c r="CS291" s="437"/>
      <c r="CT291" s="108"/>
      <c r="CU291" s="108"/>
      <c r="CV291" s="108"/>
      <c r="CW291" s="189"/>
      <c r="DH291" s="436"/>
      <c r="DI291" s="437"/>
      <c r="DJ291" s="108"/>
      <c r="DK291" s="108"/>
      <c r="DL291" s="108"/>
      <c r="DM291" s="189"/>
      <c r="DN291" s="436"/>
      <c r="DX291" s="436"/>
      <c r="DY291" s="437"/>
      <c r="DZ291" s="108"/>
      <c r="EA291" s="108"/>
      <c r="EB291" s="108"/>
    </row>
    <row r="292" spans="1:132" ht="14.25" customHeight="1">
      <c r="A292" s="152"/>
      <c r="C292" s="289"/>
      <c r="D292" s="289"/>
      <c r="E292" s="189"/>
      <c r="P292" s="436"/>
      <c r="Q292" s="437"/>
      <c r="R292" s="108"/>
      <c r="S292" s="108"/>
      <c r="T292" s="108"/>
      <c r="U292" s="189"/>
      <c r="AF292" s="436"/>
      <c r="AG292" s="437"/>
      <c r="AH292" s="108"/>
      <c r="AI292" s="108"/>
      <c r="AJ292" s="108"/>
      <c r="AK292" s="189"/>
      <c r="AV292" s="436"/>
      <c r="AW292" s="437"/>
      <c r="AX292" s="108"/>
      <c r="AY292" s="108"/>
      <c r="AZ292" s="108"/>
      <c r="BA292" s="189"/>
      <c r="BL292" s="436"/>
      <c r="BM292" s="437"/>
      <c r="BN292" s="108"/>
      <c r="BO292" s="108"/>
      <c r="BP292" s="108"/>
      <c r="BQ292" s="189"/>
      <c r="CB292" s="436"/>
      <c r="CC292" s="437"/>
      <c r="CD292" s="108"/>
      <c r="CE292" s="108"/>
      <c r="CF292" s="108"/>
      <c r="CG292" s="189"/>
      <c r="CR292" s="436"/>
      <c r="CS292" s="437"/>
      <c r="CT292" s="108"/>
      <c r="CU292" s="108"/>
      <c r="CV292" s="108"/>
      <c r="CW292" s="189"/>
      <c r="DH292" s="436"/>
      <c r="DI292" s="437"/>
      <c r="DJ292" s="108"/>
      <c r="DK292" s="108"/>
      <c r="DL292" s="108"/>
      <c r="DM292" s="189"/>
      <c r="DN292" s="436"/>
      <c r="DX292" s="436"/>
      <c r="DY292" s="437"/>
      <c r="DZ292" s="108"/>
      <c r="EA292" s="108"/>
      <c r="EB292" s="108"/>
    </row>
    <row r="293" spans="1:132" ht="14.25" customHeight="1">
      <c r="A293" s="152"/>
      <c r="C293" s="289"/>
      <c r="D293" s="289"/>
      <c r="E293" s="189"/>
      <c r="P293" s="436"/>
      <c r="Q293" s="437"/>
      <c r="R293" s="108"/>
      <c r="S293" s="108"/>
      <c r="T293" s="108"/>
      <c r="U293" s="189"/>
      <c r="AF293" s="436"/>
      <c r="AG293" s="437"/>
      <c r="AH293" s="108"/>
      <c r="AI293" s="108"/>
      <c r="AJ293" s="108"/>
      <c r="AK293" s="189"/>
      <c r="AV293" s="436"/>
      <c r="AW293" s="437"/>
      <c r="AX293" s="108"/>
      <c r="AY293" s="108"/>
      <c r="AZ293" s="108"/>
      <c r="BA293" s="189"/>
      <c r="BL293" s="436"/>
      <c r="BM293" s="437"/>
      <c r="BN293" s="108"/>
      <c r="BO293" s="108"/>
      <c r="BP293" s="108"/>
      <c r="BQ293" s="189"/>
      <c r="CB293" s="436"/>
      <c r="CC293" s="437"/>
      <c r="CD293" s="108"/>
      <c r="CE293" s="108"/>
      <c r="CF293" s="108"/>
      <c r="CG293" s="189"/>
      <c r="CR293" s="436"/>
      <c r="CS293" s="437"/>
      <c r="CT293" s="108"/>
      <c r="CU293" s="108"/>
      <c r="CV293" s="108"/>
      <c r="CW293" s="189"/>
      <c r="DH293" s="436"/>
      <c r="DI293" s="437"/>
      <c r="DJ293" s="108"/>
      <c r="DK293" s="108"/>
      <c r="DL293" s="108"/>
      <c r="DM293" s="189"/>
      <c r="DN293" s="436"/>
      <c r="DX293" s="436"/>
      <c r="DY293" s="437"/>
      <c r="DZ293" s="108"/>
      <c r="EA293" s="108"/>
      <c r="EB293" s="108"/>
    </row>
    <row r="294" spans="1:132" ht="14.25" customHeight="1">
      <c r="A294" s="152"/>
      <c r="C294" s="289"/>
      <c r="D294" s="289"/>
      <c r="E294" s="189"/>
      <c r="P294" s="436"/>
      <c r="Q294" s="437"/>
      <c r="R294" s="108"/>
      <c r="S294" s="108"/>
      <c r="T294" s="108"/>
      <c r="U294" s="189"/>
      <c r="AF294" s="436"/>
      <c r="AG294" s="437"/>
      <c r="AH294" s="108"/>
      <c r="AI294" s="108"/>
      <c r="AJ294" s="108"/>
      <c r="AK294" s="189"/>
      <c r="AV294" s="436"/>
      <c r="AW294" s="437"/>
      <c r="AX294" s="108"/>
      <c r="AY294" s="108"/>
      <c r="AZ294" s="108"/>
      <c r="BA294" s="189"/>
      <c r="BL294" s="436"/>
      <c r="BM294" s="437"/>
      <c r="BN294" s="108"/>
      <c r="BO294" s="108"/>
      <c r="BP294" s="108"/>
      <c r="BQ294" s="189"/>
      <c r="CB294" s="436"/>
      <c r="CC294" s="437"/>
      <c r="CD294" s="108"/>
      <c r="CE294" s="108"/>
      <c r="CF294" s="108"/>
      <c r="CG294" s="189"/>
      <c r="CR294" s="436"/>
      <c r="CS294" s="437"/>
      <c r="CT294" s="108"/>
      <c r="CU294" s="108"/>
      <c r="CV294" s="108"/>
      <c r="CW294" s="189"/>
      <c r="DH294" s="436"/>
      <c r="DI294" s="437"/>
      <c r="DJ294" s="108"/>
      <c r="DK294" s="108"/>
      <c r="DL294" s="108"/>
      <c r="DM294" s="189"/>
      <c r="DN294" s="436"/>
      <c r="DX294" s="436"/>
      <c r="DY294" s="437"/>
      <c r="DZ294" s="108"/>
      <c r="EA294" s="108"/>
      <c r="EB294" s="108"/>
    </row>
    <row r="295" spans="1:132" ht="14.25" customHeight="1">
      <c r="A295" s="152"/>
      <c r="C295" s="289"/>
      <c r="D295" s="289"/>
      <c r="E295" s="189"/>
      <c r="P295" s="436"/>
      <c r="Q295" s="437"/>
      <c r="R295" s="108"/>
      <c r="S295" s="108"/>
      <c r="T295" s="108"/>
      <c r="U295" s="189"/>
      <c r="AF295" s="436"/>
      <c r="AG295" s="437"/>
      <c r="AH295" s="108"/>
      <c r="AI295" s="108"/>
      <c r="AJ295" s="108"/>
      <c r="AK295" s="189"/>
      <c r="AV295" s="436"/>
      <c r="AW295" s="437"/>
      <c r="AX295" s="108"/>
      <c r="AY295" s="108"/>
      <c r="AZ295" s="108"/>
      <c r="BA295" s="189"/>
      <c r="BL295" s="436"/>
      <c r="BM295" s="437"/>
      <c r="BN295" s="108"/>
      <c r="BO295" s="108"/>
      <c r="BP295" s="108"/>
      <c r="BQ295" s="189"/>
      <c r="CB295" s="436"/>
      <c r="CC295" s="437"/>
      <c r="CD295" s="108"/>
      <c r="CE295" s="108"/>
      <c r="CF295" s="108"/>
      <c r="CG295" s="189"/>
      <c r="CR295" s="436"/>
      <c r="CS295" s="437"/>
      <c r="CT295" s="108"/>
      <c r="CU295" s="108"/>
      <c r="CV295" s="108"/>
      <c r="CW295" s="189"/>
      <c r="DH295" s="436"/>
      <c r="DI295" s="437"/>
      <c r="DJ295" s="108"/>
      <c r="DK295" s="108"/>
      <c r="DL295" s="108"/>
      <c r="DM295" s="189"/>
      <c r="DN295" s="436"/>
      <c r="DX295" s="436"/>
      <c r="DY295" s="437"/>
      <c r="DZ295" s="108"/>
      <c r="EA295" s="108"/>
      <c r="EB295" s="108"/>
    </row>
    <row r="296" spans="1:132" ht="14.25" customHeight="1">
      <c r="A296" s="152"/>
      <c r="C296" s="289"/>
      <c r="D296" s="289"/>
      <c r="E296" s="189"/>
      <c r="P296" s="436"/>
      <c r="Q296" s="437"/>
      <c r="R296" s="108"/>
      <c r="S296" s="108"/>
      <c r="T296" s="108"/>
      <c r="U296" s="189"/>
      <c r="AF296" s="436"/>
      <c r="AG296" s="437"/>
      <c r="AH296" s="108"/>
      <c r="AI296" s="108"/>
      <c r="AJ296" s="108"/>
      <c r="AK296" s="189"/>
      <c r="AV296" s="436"/>
      <c r="AW296" s="437"/>
      <c r="AX296" s="108"/>
      <c r="AY296" s="108"/>
      <c r="AZ296" s="108"/>
      <c r="BA296" s="189"/>
      <c r="BL296" s="436"/>
      <c r="BM296" s="437"/>
      <c r="BN296" s="108"/>
      <c r="BO296" s="108"/>
      <c r="BP296" s="108"/>
      <c r="BQ296" s="189"/>
      <c r="CB296" s="436"/>
      <c r="CC296" s="437"/>
      <c r="CD296" s="108"/>
      <c r="CE296" s="108"/>
      <c r="CF296" s="108"/>
      <c r="CG296" s="189"/>
      <c r="CR296" s="436"/>
      <c r="CS296" s="437"/>
      <c r="CT296" s="108"/>
      <c r="CU296" s="108"/>
      <c r="CV296" s="108"/>
      <c r="CW296" s="189"/>
      <c r="DH296" s="436"/>
      <c r="DI296" s="437"/>
      <c r="DJ296" s="108"/>
      <c r="DK296" s="108"/>
      <c r="DL296" s="108"/>
      <c r="DM296" s="189"/>
      <c r="DN296" s="436"/>
      <c r="DX296" s="436"/>
      <c r="DY296" s="437"/>
      <c r="DZ296" s="108"/>
      <c r="EA296" s="108"/>
      <c r="EB296" s="108"/>
    </row>
    <row r="297" spans="1:132" ht="14.25" customHeight="1">
      <c r="A297" s="152"/>
      <c r="C297" s="289"/>
      <c r="D297" s="289"/>
      <c r="E297" s="189"/>
      <c r="P297" s="436"/>
      <c r="Q297" s="437"/>
      <c r="R297" s="108"/>
      <c r="S297" s="108"/>
      <c r="T297" s="108"/>
      <c r="U297" s="189"/>
      <c r="AF297" s="436"/>
      <c r="AG297" s="437"/>
      <c r="AH297" s="108"/>
      <c r="AI297" s="108"/>
      <c r="AJ297" s="108"/>
      <c r="AK297" s="189"/>
      <c r="AV297" s="436"/>
      <c r="AW297" s="437"/>
      <c r="AX297" s="108"/>
      <c r="AY297" s="108"/>
      <c r="AZ297" s="108"/>
      <c r="BA297" s="189"/>
      <c r="BL297" s="436"/>
      <c r="BM297" s="437"/>
      <c r="BN297" s="108"/>
      <c r="BO297" s="108"/>
      <c r="BP297" s="108"/>
      <c r="BQ297" s="189"/>
      <c r="CB297" s="436"/>
      <c r="CC297" s="437"/>
      <c r="CD297" s="108"/>
      <c r="CE297" s="108"/>
      <c r="CF297" s="108"/>
      <c r="CG297" s="189"/>
      <c r="CR297" s="436"/>
      <c r="CS297" s="437"/>
      <c r="CT297" s="108"/>
      <c r="CU297" s="108"/>
      <c r="CV297" s="108"/>
      <c r="CW297" s="189"/>
      <c r="DH297" s="436"/>
      <c r="DI297" s="437"/>
      <c r="DJ297" s="108"/>
      <c r="DK297" s="108"/>
      <c r="DL297" s="108"/>
      <c r="DM297" s="189"/>
      <c r="DN297" s="436"/>
      <c r="DX297" s="436"/>
      <c r="DY297" s="437"/>
      <c r="DZ297" s="108"/>
      <c r="EA297" s="108"/>
      <c r="EB297" s="108"/>
    </row>
    <row r="298" spans="1:132" ht="14.25" customHeight="1">
      <c r="A298" s="152"/>
      <c r="C298" s="289"/>
      <c r="D298" s="289"/>
      <c r="E298" s="189"/>
      <c r="P298" s="436"/>
      <c r="Q298" s="437"/>
      <c r="R298" s="108"/>
      <c r="S298" s="108"/>
      <c r="T298" s="108"/>
      <c r="U298" s="189"/>
      <c r="AF298" s="436"/>
      <c r="AG298" s="437"/>
      <c r="AH298" s="108"/>
      <c r="AI298" s="108"/>
      <c r="AJ298" s="108"/>
      <c r="AK298" s="189"/>
      <c r="AV298" s="436"/>
      <c r="AW298" s="437"/>
      <c r="AX298" s="108"/>
      <c r="AY298" s="108"/>
      <c r="AZ298" s="108"/>
      <c r="BA298" s="189"/>
      <c r="BL298" s="436"/>
      <c r="BM298" s="437"/>
      <c r="BN298" s="108"/>
      <c r="BO298" s="108"/>
      <c r="BP298" s="108"/>
      <c r="BQ298" s="189"/>
      <c r="CB298" s="436"/>
      <c r="CC298" s="437"/>
      <c r="CD298" s="108"/>
      <c r="CE298" s="108"/>
      <c r="CF298" s="108"/>
      <c r="CG298" s="189"/>
      <c r="CR298" s="436"/>
      <c r="CS298" s="437"/>
      <c r="CT298" s="108"/>
      <c r="CU298" s="108"/>
      <c r="CV298" s="108"/>
      <c r="CW298" s="189"/>
      <c r="DH298" s="436"/>
      <c r="DI298" s="437"/>
      <c r="DJ298" s="108"/>
      <c r="DK298" s="108"/>
      <c r="DL298" s="108"/>
      <c r="DM298" s="189"/>
      <c r="DN298" s="436"/>
      <c r="DX298" s="436"/>
      <c r="DY298" s="437"/>
      <c r="DZ298" s="108"/>
      <c r="EA298" s="108"/>
      <c r="EB298" s="108"/>
    </row>
    <row r="299" spans="1:132" ht="14.25" customHeight="1">
      <c r="A299" s="152"/>
      <c r="C299" s="289"/>
      <c r="D299" s="289"/>
      <c r="E299" s="189"/>
      <c r="P299" s="436"/>
      <c r="Q299" s="437"/>
      <c r="R299" s="108"/>
      <c r="S299" s="108"/>
      <c r="T299" s="108"/>
      <c r="U299" s="189"/>
      <c r="AF299" s="436"/>
      <c r="AG299" s="437"/>
      <c r="AH299" s="108"/>
      <c r="AI299" s="108"/>
      <c r="AJ299" s="108"/>
      <c r="AK299" s="189"/>
      <c r="AV299" s="436"/>
      <c r="AW299" s="437"/>
      <c r="AX299" s="108"/>
      <c r="AY299" s="108"/>
      <c r="AZ299" s="108"/>
      <c r="BA299" s="189"/>
      <c r="BL299" s="436"/>
      <c r="BM299" s="437"/>
      <c r="BN299" s="108"/>
      <c r="BO299" s="108"/>
      <c r="BP299" s="108"/>
      <c r="BQ299" s="189"/>
      <c r="CB299" s="436"/>
      <c r="CC299" s="437"/>
      <c r="CD299" s="108"/>
      <c r="CE299" s="108"/>
      <c r="CF299" s="108"/>
      <c r="CG299" s="189"/>
      <c r="CR299" s="436"/>
      <c r="CS299" s="437"/>
      <c r="CT299" s="108"/>
      <c r="CU299" s="108"/>
      <c r="CV299" s="108"/>
      <c r="CW299" s="189"/>
      <c r="DH299" s="436"/>
      <c r="DI299" s="437"/>
      <c r="DJ299" s="108"/>
      <c r="DK299" s="108"/>
      <c r="DL299" s="108"/>
      <c r="DM299" s="189"/>
      <c r="DN299" s="436"/>
      <c r="DX299" s="436"/>
      <c r="DY299" s="437"/>
      <c r="DZ299" s="108"/>
      <c r="EA299" s="108"/>
      <c r="EB299" s="108"/>
    </row>
    <row r="300" spans="1:132" ht="14.25" customHeight="1">
      <c r="A300" s="152"/>
      <c r="C300" s="289"/>
      <c r="D300" s="289"/>
      <c r="E300" s="189"/>
      <c r="P300" s="436"/>
      <c r="Q300" s="437"/>
      <c r="R300" s="108"/>
      <c r="S300" s="108"/>
      <c r="T300" s="108"/>
      <c r="U300" s="189"/>
      <c r="AF300" s="436"/>
      <c r="AG300" s="437"/>
      <c r="AH300" s="108"/>
      <c r="AI300" s="108"/>
      <c r="AJ300" s="108"/>
      <c r="AK300" s="189"/>
      <c r="AV300" s="436"/>
      <c r="AW300" s="437"/>
      <c r="AX300" s="108"/>
      <c r="AY300" s="108"/>
      <c r="AZ300" s="108"/>
      <c r="BA300" s="189"/>
      <c r="BL300" s="436"/>
      <c r="BM300" s="437"/>
      <c r="BN300" s="108"/>
      <c r="BO300" s="108"/>
      <c r="BP300" s="108"/>
      <c r="BQ300" s="189"/>
      <c r="CB300" s="436"/>
      <c r="CC300" s="437"/>
      <c r="CD300" s="108"/>
      <c r="CE300" s="108"/>
      <c r="CF300" s="108"/>
      <c r="CG300" s="189"/>
      <c r="CR300" s="436"/>
      <c r="CS300" s="437"/>
      <c r="CT300" s="108"/>
      <c r="CU300" s="108"/>
      <c r="CV300" s="108"/>
      <c r="CW300" s="189"/>
      <c r="DH300" s="436"/>
      <c r="DI300" s="437"/>
      <c r="DJ300" s="108"/>
      <c r="DK300" s="108"/>
      <c r="DL300" s="108"/>
      <c r="DM300" s="189"/>
      <c r="DN300" s="436"/>
      <c r="DX300" s="436"/>
      <c r="DY300" s="437"/>
      <c r="DZ300" s="108"/>
      <c r="EA300" s="108"/>
      <c r="EB300" s="108"/>
    </row>
    <row r="301" spans="1:132" ht="14.25" customHeight="1">
      <c r="A301" s="152"/>
      <c r="C301" s="289"/>
      <c r="D301" s="289"/>
      <c r="E301" s="189"/>
      <c r="P301" s="436"/>
      <c r="Q301" s="437"/>
      <c r="R301" s="108"/>
      <c r="S301" s="108"/>
      <c r="T301" s="108"/>
      <c r="U301" s="189"/>
      <c r="AF301" s="436"/>
      <c r="AG301" s="437"/>
      <c r="AH301" s="108"/>
      <c r="AI301" s="108"/>
      <c r="AJ301" s="108"/>
      <c r="AK301" s="189"/>
      <c r="AV301" s="436"/>
      <c r="AW301" s="437"/>
      <c r="AX301" s="108"/>
      <c r="AY301" s="108"/>
      <c r="AZ301" s="108"/>
      <c r="BA301" s="189"/>
      <c r="BL301" s="436"/>
      <c r="BM301" s="437"/>
      <c r="BN301" s="108"/>
      <c r="BO301" s="108"/>
      <c r="BP301" s="108"/>
      <c r="BQ301" s="189"/>
      <c r="CB301" s="436"/>
      <c r="CC301" s="437"/>
      <c r="CD301" s="108"/>
      <c r="CE301" s="108"/>
      <c r="CF301" s="108"/>
      <c r="CG301" s="189"/>
      <c r="CR301" s="436"/>
      <c r="CS301" s="437"/>
      <c r="CT301" s="108"/>
      <c r="CU301" s="108"/>
      <c r="CV301" s="108"/>
      <c r="CW301" s="189"/>
      <c r="DH301" s="436"/>
      <c r="DI301" s="437"/>
      <c r="DJ301" s="108"/>
      <c r="DK301" s="108"/>
      <c r="DL301" s="108"/>
      <c r="DM301" s="189"/>
      <c r="DN301" s="436"/>
      <c r="DX301" s="436"/>
      <c r="DY301" s="437"/>
      <c r="DZ301" s="108"/>
      <c r="EA301" s="108"/>
      <c r="EB301" s="108"/>
    </row>
    <row r="302" spans="1:132" ht="14.25" customHeight="1">
      <c r="A302" s="152"/>
      <c r="C302" s="289"/>
      <c r="D302" s="289"/>
      <c r="E302" s="189"/>
      <c r="P302" s="436"/>
      <c r="Q302" s="437"/>
      <c r="R302" s="108"/>
      <c r="S302" s="108"/>
      <c r="T302" s="108"/>
      <c r="U302" s="189"/>
      <c r="AF302" s="436"/>
      <c r="AG302" s="437"/>
      <c r="AH302" s="108"/>
      <c r="AI302" s="108"/>
      <c r="AJ302" s="108"/>
      <c r="AK302" s="189"/>
      <c r="AV302" s="436"/>
      <c r="AW302" s="437"/>
      <c r="AX302" s="108"/>
      <c r="AY302" s="108"/>
      <c r="AZ302" s="108"/>
      <c r="BA302" s="189"/>
      <c r="BL302" s="436"/>
      <c r="BM302" s="437"/>
      <c r="BN302" s="108"/>
      <c r="BO302" s="108"/>
      <c r="BP302" s="108"/>
      <c r="BQ302" s="189"/>
      <c r="CB302" s="436"/>
      <c r="CC302" s="437"/>
      <c r="CD302" s="108"/>
      <c r="CE302" s="108"/>
      <c r="CF302" s="108"/>
      <c r="CG302" s="189"/>
      <c r="CR302" s="436"/>
      <c r="CS302" s="437"/>
      <c r="CT302" s="108"/>
      <c r="CU302" s="108"/>
      <c r="CV302" s="108"/>
      <c r="CW302" s="189"/>
      <c r="DH302" s="436"/>
      <c r="DI302" s="437"/>
      <c r="DJ302" s="108"/>
      <c r="DK302" s="108"/>
      <c r="DL302" s="108"/>
      <c r="DM302" s="189"/>
      <c r="DN302" s="436"/>
      <c r="DX302" s="436"/>
      <c r="DY302" s="437"/>
      <c r="DZ302" s="108"/>
      <c r="EA302" s="108"/>
      <c r="EB302" s="108"/>
    </row>
    <row r="303" spans="1:132" ht="14.25" customHeight="1">
      <c r="A303" s="152"/>
      <c r="C303" s="289"/>
      <c r="D303" s="289"/>
      <c r="E303" s="189"/>
      <c r="P303" s="436"/>
      <c r="Q303" s="437"/>
      <c r="R303" s="108"/>
      <c r="S303" s="108"/>
      <c r="T303" s="108"/>
      <c r="U303" s="189"/>
      <c r="AF303" s="436"/>
      <c r="AG303" s="437"/>
      <c r="AH303" s="108"/>
      <c r="AI303" s="108"/>
      <c r="AJ303" s="108"/>
      <c r="AK303" s="189"/>
      <c r="AV303" s="436"/>
      <c r="AW303" s="437"/>
      <c r="AX303" s="108"/>
      <c r="AY303" s="108"/>
      <c r="AZ303" s="108"/>
      <c r="BA303" s="189"/>
      <c r="BL303" s="436"/>
      <c r="BM303" s="437"/>
      <c r="BN303" s="108"/>
      <c r="BO303" s="108"/>
      <c r="BP303" s="108"/>
      <c r="BQ303" s="189"/>
      <c r="CB303" s="436"/>
      <c r="CC303" s="437"/>
      <c r="CD303" s="108"/>
      <c r="CE303" s="108"/>
      <c r="CF303" s="108"/>
      <c r="CG303" s="189"/>
      <c r="CR303" s="436"/>
      <c r="CS303" s="437"/>
      <c r="CT303" s="108"/>
      <c r="CU303" s="108"/>
      <c r="CV303" s="108"/>
      <c r="CW303" s="189"/>
      <c r="DH303" s="436"/>
      <c r="DI303" s="437"/>
      <c r="DJ303" s="108"/>
      <c r="DK303" s="108"/>
      <c r="DL303" s="108"/>
      <c r="DM303" s="189"/>
      <c r="DN303" s="436"/>
      <c r="DX303" s="436"/>
      <c r="DY303" s="437"/>
      <c r="DZ303" s="108"/>
      <c r="EA303" s="108"/>
      <c r="EB303" s="108"/>
    </row>
    <row r="304" spans="1:132" ht="14.25" customHeight="1">
      <c r="A304" s="152"/>
      <c r="C304" s="289"/>
      <c r="D304" s="289"/>
      <c r="E304" s="189"/>
      <c r="P304" s="436"/>
      <c r="Q304" s="437"/>
      <c r="R304" s="108"/>
      <c r="S304" s="108"/>
      <c r="T304" s="108"/>
      <c r="U304" s="189"/>
      <c r="AF304" s="436"/>
      <c r="AG304" s="437"/>
      <c r="AH304" s="108"/>
      <c r="AI304" s="108"/>
      <c r="AJ304" s="108"/>
      <c r="AK304" s="189"/>
      <c r="AV304" s="436"/>
      <c r="AW304" s="437"/>
      <c r="AX304" s="108"/>
      <c r="AY304" s="108"/>
      <c r="AZ304" s="108"/>
      <c r="BA304" s="189"/>
      <c r="BL304" s="436"/>
      <c r="BM304" s="437"/>
      <c r="BN304" s="108"/>
      <c r="BO304" s="108"/>
      <c r="BP304" s="108"/>
      <c r="BQ304" s="189"/>
      <c r="CB304" s="436"/>
      <c r="CC304" s="437"/>
      <c r="CD304" s="108"/>
      <c r="CE304" s="108"/>
      <c r="CF304" s="108"/>
      <c r="CG304" s="189"/>
      <c r="CR304" s="436"/>
      <c r="CS304" s="437"/>
      <c r="CT304" s="108"/>
      <c r="CU304" s="108"/>
      <c r="CV304" s="108"/>
      <c r="CW304" s="189"/>
      <c r="DH304" s="436"/>
      <c r="DI304" s="437"/>
      <c r="DJ304" s="108"/>
      <c r="DK304" s="108"/>
      <c r="DL304" s="108"/>
      <c r="DM304" s="189"/>
      <c r="DN304" s="436"/>
      <c r="DX304" s="436"/>
      <c r="DY304" s="437"/>
      <c r="DZ304" s="108"/>
      <c r="EA304" s="108"/>
      <c r="EB304" s="108"/>
    </row>
    <row r="305" spans="1:132" ht="14.25" customHeight="1">
      <c r="A305" s="152"/>
      <c r="C305" s="289"/>
      <c r="D305" s="289"/>
      <c r="E305" s="189"/>
      <c r="P305" s="436"/>
      <c r="Q305" s="437"/>
      <c r="R305" s="108"/>
      <c r="S305" s="108"/>
      <c r="T305" s="108"/>
      <c r="U305" s="189"/>
      <c r="AF305" s="436"/>
      <c r="AG305" s="437"/>
      <c r="AH305" s="108"/>
      <c r="AI305" s="108"/>
      <c r="AJ305" s="108"/>
      <c r="AK305" s="189"/>
      <c r="AV305" s="436"/>
      <c r="AW305" s="437"/>
      <c r="AX305" s="108"/>
      <c r="AY305" s="108"/>
      <c r="AZ305" s="108"/>
      <c r="BA305" s="189"/>
      <c r="BL305" s="436"/>
      <c r="BM305" s="437"/>
      <c r="BN305" s="108"/>
      <c r="BO305" s="108"/>
      <c r="BP305" s="108"/>
      <c r="BQ305" s="189"/>
      <c r="CB305" s="436"/>
      <c r="CC305" s="437"/>
      <c r="CD305" s="108"/>
      <c r="CE305" s="108"/>
      <c r="CF305" s="108"/>
      <c r="CG305" s="189"/>
      <c r="CR305" s="436"/>
      <c r="CS305" s="437"/>
      <c r="CT305" s="108"/>
      <c r="CU305" s="108"/>
      <c r="CV305" s="108"/>
      <c r="CW305" s="189"/>
      <c r="DH305" s="436"/>
      <c r="DI305" s="437"/>
      <c r="DJ305" s="108"/>
      <c r="DK305" s="108"/>
      <c r="DL305" s="108"/>
      <c r="DM305" s="189"/>
      <c r="DN305" s="436"/>
      <c r="DX305" s="436"/>
      <c r="DY305" s="437"/>
      <c r="DZ305" s="108"/>
      <c r="EA305" s="108"/>
      <c r="EB305" s="108"/>
    </row>
    <row r="306" spans="1:132" ht="14.25" customHeight="1">
      <c r="A306" s="152"/>
      <c r="C306" s="289"/>
      <c r="D306" s="289"/>
      <c r="E306" s="189"/>
      <c r="P306" s="436"/>
      <c r="Q306" s="437"/>
      <c r="R306" s="108"/>
      <c r="S306" s="108"/>
      <c r="T306" s="108"/>
      <c r="U306" s="189"/>
      <c r="AF306" s="436"/>
      <c r="AG306" s="437"/>
      <c r="AH306" s="108"/>
      <c r="AI306" s="108"/>
      <c r="AJ306" s="108"/>
      <c r="AK306" s="189"/>
      <c r="AV306" s="436"/>
      <c r="AW306" s="437"/>
      <c r="AX306" s="108"/>
      <c r="AY306" s="108"/>
      <c r="AZ306" s="108"/>
      <c r="BA306" s="189"/>
      <c r="BL306" s="436"/>
      <c r="BM306" s="437"/>
      <c r="BN306" s="108"/>
      <c r="BO306" s="108"/>
      <c r="BP306" s="108"/>
      <c r="BQ306" s="189"/>
      <c r="CB306" s="436"/>
      <c r="CC306" s="437"/>
      <c r="CD306" s="108"/>
      <c r="CE306" s="108"/>
      <c r="CF306" s="108"/>
      <c r="CG306" s="189"/>
      <c r="CR306" s="436"/>
      <c r="CS306" s="437"/>
      <c r="CT306" s="108"/>
      <c r="CU306" s="108"/>
      <c r="CV306" s="108"/>
      <c r="CW306" s="189"/>
      <c r="DH306" s="436"/>
      <c r="DI306" s="437"/>
      <c r="DJ306" s="108"/>
      <c r="DK306" s="108"/>
      <c r="DL306" s="108"/>
      <c r="DM306" s="189"/>
      <c r="DN306" s="436"/>
      <c r="DX306" s="436"/>
      <c r="DY306" s="437"/>
      <c r="DZ306" s="108"/>
      <c r="EA306" s="108"/>
      <c r="EB306" s="108"/>
    </row>
    <row r="307" spans="1:132" ht="14.25" customHeight="1">
      <c r="A307" s="152"/>
      <c r="C307" s="289"/>
      <c r="D307" s="289"/>
      <c r="E307" s="189"/>
      <c r="P307" s="436"/>
      <c r="Q307" s="437"/>
      <c r="R307" s="108"/>
      <c r="S307" s="108"/>
      <c r="T307" s="108"/>
      <c r="U307" s="189"/>
      <c r="AF307" s="436"/>
      <c r="AG307" s="437"/>
      <c r="AH307" s="108"/>
      <c r="AI307" s="108"/>
      <c r="AJ307" s="108"/>
      <c r="AK307" s="189"/>
      <c r="AV307" s="436"/>
      <c r="AW307" s="437"/>
      <c r="AX307" s="108"/>
      <c r="AY307" s="108"/>
      <c r="AZ307" s="108"/>
      <c r="BA307" s="189"/>
      <c r="BL307" s="436"/>
      <c r="BM307" s="437"/>
      <c r="BN307" s="108"/>
      <c r="BO307" s="108"/>
      <c r="BP307" s="108"/>
      <c r="BQ307" s="189"/>
      <c r="CB307" s="436"/>
      <c r="CC307" s="437"/>
      <c r="CD307" s="108"/>
      <c r="CE307" s="108"/>
      <c r="CF307" s="108"/>
      <c r="CG307" s="189"/>
      <c r="CR307" s="436"/>
      <c r="CS307" s="437"/>
      <c r="CT307" s="108"/>
      <c r="CU307" s="108"/>
      <c r="CV307" s="108"/>
      <c r="CW307" s="189"/>
      <c r="DH307" s="436"/>
      <c r="DI307" s="437"/>
      <c r="DJ307" s="108"/>
      <c r="DK307" s="108"/>
      <c r="DL307" s="108"/>
      <c r="DM307" s="189"/>
      <c r="DN307" s="436"/>
      <c r="DX307" s="436"/>
      <c r="DY307" s="437"/>
      <c r="DZ307" s="108"/>
      <c r="EA307" s="108"/>
      <c r="EB307" s="108"/>
    </row>
    <row r="308" spans="1:132" ht="14.25" customHeight="1">
      <c r="A308" s="152"/>
      <c r="C308" s="289"/>
      <c r="D308" s="289"/>
      <c r="E308" s="189"/>
      <c r="P308" s="436"/>
      <c r="Q308" s="437"/>
      <c r="R308" s="108"/>
      <c r="S308" s="108"/>
      <c r="T308" s="108"/>
      <c r="U308" s="189"/>
      <c r="AF308" s="436"/>
      <c r="AG308" s="437"/>
      <c r="AH308" s="108"/>
      <c r="AI308" s="108"/>
      <c r="AJ308" s="108"/>
      <c r="AK308" s="189"/>
      <c r="AV308" s="436"/>
      <c r="AW308" s="437"/>
      <c r="AX308" s="108"/>
      <c r="AY308" s="108"/>
      <c r="AZ308" s="108"/>
      <c r="BA308" s="189"/>
      <c r="BL308" s="436"/>
      <c r="BM308" s="437"/>
      <c r="BN308" s="108"/>
      <c r="BO308" s="108"/>
      <c r="BP308" s="108"/>
      <c r="BQ308" s="189"/>
      <c r="CB308" s="436"/>
      <c r="CC308" s="437"/>
      <c r="CD308" s="108"/>
      <c r="CE308" s="108"/>
      <c r="CF308" s="108"/>
      <c r="CG308" s="189"/>
      <c r="CR308" s="436"/>
      <c r="CS308" s="437"/>
      <c r="CT308" s="108"/>
      <c r="CU308" s="108"/>
      <c r="CV308" s="108"/>
      <c r="CW308" s="189"/>
      <c r="DH308" s="436"/>
      <c r="DI308" s="437"/>
      <c r="DJ308" s="108"/>
      <c r="DK308" s="108"/>
      <c r="DL308" s="108"/>
      <c r="DM308" s="189"/>
      <c r="DN308" s="436"/>
      <c r="DX308" s="436"/>
      <c r="DY308" s="437"/>
      <c r="DZ308" s="108"/>
      <c r="EA308" s="108"/>
      <c r="EB308" s="108"/>
    </row>
    <row r="309" spans="1:132" ht="14.25" customHeight="1">
      <c r="A309" s="152"/>
      <c r="C309" s="289"/>
      <c r="D309" s="289"/>
      <c r="E309" s="189"/>
      <c r="P309" s="436"/>
      <c r="Q309" s="437"/>
      <c r="R309" s="108"/>
      <c r="S309" s="108"/>
      <c r="T309" s="108"/>
      <c r="U309" s="189"/>
      <c r="AF309" s="436"/>
      <c r="AG309" s="437"/>
      <c r="AH309" s="108"/>
      <c r="AI309" s="108"/>
      <c r="AJ309" s="108"/>
      <c r="AK309" s="189"/>
      <c r="AV309" s="436"/>
      <c r="AW309" s="437"/>
      <c r="AX309" s="108"/>
      <c r="AY309" s="108"/>
      <c r="AZ309" s="108"/>
      <c r="BA309" s="189"/>
      <c r="BL309" s="436"/>
      <c r="BM309" s="437"/>
      <c r="BN309" s="108"/>
      <c r="BO309" s="108"/>
      <c r="BP309" s="108"/>
      <c r="BQ309" s="189"/>
      <c r="CB309" s="436"/>
      <c r="CC309" s="437"/>
      <c r="CD309" s="108"/>
      <c r="CE309" s="108"/>
      <c r="CF309" s="108"/>
      <c r="CG309" s="189"/>
      <c r="CR309" s="436"/>
      <c r="CS309" s="437"/>
      <c r="CT309" s="108"/>
      <c r="CU309" s="108"/>
      <c r="CV309" s="108"/>
      <c r="CW309" s="189"/>
      <c r="DH309" s="436"/>
      <c r="DI309" s="437"/>
      <c r="DJ309" s="108"/>
      <c r="DK309" s="108"/>
      <c r="DL309" s="108"/>
      <c r="DM309" s="189"/>
      <c r="DN309" s="436"/>
      <c r="DX309" s="436"/>
      <c r="DY309" s="437"/>
      <c r="DZ309" s="108"/>
      <c r="EA309" s="108"/>
      <c r="EB309" s="108"/>
    </row>
    <row r="310" spans="1:132" ht="14.25" customHeight="1">
      <c r="A310" s="152"/>
      <c r="C310" s="289"/>
      <c r="D310" s="289"/>
      <c r="E310" s="189"/>
      <c r="P310" s="436"/>
      <c r="Q310" s="437"/>
      <c r="R310" s="108"/>
      <c r="S310" s="108"/>
      <c r="T310" s="108"/>
      <c r="U310" s="189"/>
      <c r="AF310" s="436"/>
      <c r="AG310" s="437"/>
      <c r="AH310" s="108"/>
      <c r="AI310" s="108"/>
      <c r="AJ310" s="108"/>
      <c r="AK310" s="189"/>
      <c r="AV310" s="436"/>
      <c r="AW310" s="437"/>
      <c r="AX310" s="108"/>
      <c r="AY310" s="108"/>
      <c r="AZ310" s="108"/>
      <c r="BA310" s="189"/>
      <c r="BL310" s="436"/>
      <c r="BM310" s="437"/>
      <c r="BN310" s="108"/>
      <c r="BO310" s="108"/>
      <c r="BP310" s="108"/>
      <c r="BQ310" s="189"/>
      <c r="CB310" s="436"/>
      <c r="CC310" s="437"/>
      <c r="CD310" s="108"/>
      <c r="CE310" s="108"/>
      <c r="CF310" s="108"/>
      <c r="CG310" s="189"/>
      <c r="CR310" s="436"/>
      <c r="CS310" s="437"/>
      <c r="CT310" s="108"/>
      <c r="CU310" s="108"/>
      <c r="CV310" s="108"/>
      <c r="CW310" s="189"/>
      <c r="DH310" s="436"/>
      <c r="DI310" s="437"/>
      <c r="DJ310" s="108"/>
      <c r="DK310" s="108"/>
      <c r="DL310" s="108"/>
      <c r="DM310" s="189"/>
      <c r="DN310" s="436"/>
      <c r="DX310" s="436"/>
      <c r="DY310" s="437"/>
      <c r="DZ310" s="108"/>
      <c r="EA310" s="108"/>
      <c r="EB310" s="108"/>
    </row>
    <row r="311" spans="1:132" ht="14.25" customHeight="1">
      <c r="A311" s="152"/>
      <c r="C311" s="289"/>
      <c r="D311" s="289"/>
      <c r="E311" s="189"/>
      <c r="P311" s="436"/>
      <c r="Q311" s="437"/>
      <c r="R311" s="108"/>
      <c r="S311" s="108"/>
      <c r="T311" s="108"/>
      <c r="U311" s="189"/>
      <c r="AF311" s="436"/>
      <c r="AG311" s="437"/>
      <c r="AH311" s="108"/>
      <c r="AI311" s="108"/>
      <c r="AJ311" s="108"/>
      <c r="AK311" s="189"/>
      <c r="AV311" s="436"/>
      <c r="AW311" s="437"/>
      <c r="AX311" s="108"/>
      <c r="AY311" s="108"/>
      <c r="AZ311" s="108"/>
      <c r="BA311" s="189"/>
      <c r="BL311" s="436"/>
      <c r="BM311" s="437"/>
      <c r="BN311" s="108"/>
      <c r="BO311" s="108"/>
      <c r="BP311" s="108"/>
      <c r="BQ311" s="189"/>
      <c r="CB311" s="436"/>
      <c r="CC311" s="437"/>
      <c r="CD311" s="108"/>
      <c r="CE311" s="108"/>
      <c r="CF311" s="108"/>
      <c r="CG311" s="189"/>
      <c r="CR311" s="436"/>
      <c r="CS311" s="437"/>
      <c r="CT311" s="108"/>
      <c r="CU311" s="108"/>
      <c r="CV311" s="108"/>
      <c r="CW311" s="189"/>
      <c r="DH311" s="436"/>
      <c r="DI311" s="437"/>
      <c r="DJ311" s="108"/>
      <c r="DK311" s="108"/>
      <c r="DL311" s="108"/>
      <c r="DM311" s="189"/>
      <c r="DN311" s="436"/>
      <c r="DX311" s="436"/>
      <c r="DY311" s="437"/>
      <c r="DZ311" s="108"/>
      <c r="EA311" s="108"/>
      <c r="EB311" s="108"/>
    </row>
    <row r="312" spans="1:132" ht="14.25" customHeight="1">
      <c r="A312" s="152"/>
      <c r="C312" s="289"/>
      <c r="D312" s="289"/>
      <c r="E312" s="189"/>
      <c r="P312" s="436"/>
      <c r="Q312" s="437"/>
      <c r="R312" s="108"/>
      <c r="S312" s="108"/>
      <c r="T312" s="108"/>
      <c r="U312" s="189"/>
      <c r="AF312" s="436"/>
      <c r="AG312" s="437"/>
      <c r="AH312" s="108"/>
      <c r="AI312" s="108"/>
      <c r="AJ312" s="108"/>
      <c r="AK312" s="189"/>
      <c r="AV312" s="436"/>
      <c r="AW312" s="437"/>
      <c r="AX312" s="108"/>
      <c r="AY312" s="108"/>
      <c r="AZ312" s="108"/>
      <c r="BA312" s="189"/>
      <c r="BL312" s="436"/>
      <c r="BM312" s="437"/>
      <c r="BN312" s="108"/>
      <c r="BO312" s="108"/>
      <c r="BP312" s="108"/>
      <c r="BQ312" s="189"/>
      <c r="CB312" s="436"/>
      <c r="CC312" s="437"/>
      <c r="CD312" s="108"/>
      <c r="CE312" s="108"/>
      <c r="CF312" s="108"/>
      <c r="CG312" s="189"/>
      <c r="CR312" s="436"/>
      <c r="CS312" s="437"/>
      <c r="CT312" s="108"/>
      <c r="CU312" s="108"/>
      <c r="CV312" s="108"/>
      <c r="CW312" s="189"/>
      <c r="DH312" s="436"/>
      <c r="DI312" s="437"/>
      <c r="DJ312" s="108"/>
      <c r="DK312" s="108"/>
      <c r="DL312" s="108"/>
      <c r="DM312" s="189"/>
      <c r="DN312" s="436"/>
      <c r="DX312" s="436"/>
      <c r="DY312" s="437"/>
      <c r="DZ312" s="108"/>
      <c r="EA312" s="108"/>
      <c r="EB312" s="108"/>
    </row>
    <row r="313" spans="1:132" ht="14.25" customHeight="1">
      <c r="A313" s="152"/>
      <c r="C313" s="289"/>
      <c r="D313" s="289"/>
      <c r="E313" s="189"/>
      <c r="P313" s="436"/>
      <c r="Q313" s="437"/>
      <c r="R313" s="108"/>
      <c r="S313" s="108"/>
      <c r="T313" s="108"/>
      <c r="U313" s="189"/>
      <c r="AF313" s="436"/>
      <c r="AG313" s="437"/>
      <c r="AH313" s="108"/>
      <c r="AI313" s="108"/>
      <c r="AJ313" s="108"/>
      <c r="AK313" s="189"/>
      <c r="AV313" s="436"/>
      <c r="AW313" s="437"/>
      <c r="AX313" s="108"/>
      <c r="AY313" s="108"/>
      <c r="AZ313" s="108"/>
      <c r="BA313" s="189"/>
      <c r="BL313" s="436"/>
      <c r="BM313" s="437"/>
      <c r="BN313" s="108"/>
      <c r="BO313" s="108"/>
      <c r="BP313" s="108"/>
      <c r="BQ313" s="189"/>
      <c r="CB313" s="436"/>
      <c r="CC313" s="437"/>
      <c r="CD313" s="108"/>
      <c r="CE313" s="108"/>
      <c r="CF313" s="108"/>
      <c r="CG313" s="189"/>
      <c r="CR313" s="436"/>
      <c r="CS313" s="437"/>
      <c r="CT313" s="108"/>
      <c r="CU313" s="108"/>
      <c r="CV313" s="108"/>
      <c r="CW313" s="189"/>
      <c r="DH313" s="436"/>
      <c r="DI313" s="437"/>
      <c r="DJ313" s="108"/>
      <c r="DK313" s="108"/>
      <c r="DL313" s="108"/>
      <c r="DM313" s="189"/>
      <c r="DN313" s="436"/>
      <c r="DX313" s="436"/>
      <c r="DY313" s="437"/>
      <c r="DZ313" s="108"/>
      <c r="EA313" s="108"/>
      <c r="EB313" s="108"/>
    </row>
    <row r="314" spans="1:132" ht="14.25" customHeight="1">
      <c r="A314" s="152"/>
      <c r="C314" s="289"/>
      <c r="D314" s="289"/>
      <c r="E314" s="189"/>
      <c r="P314" s="436"/>
      <c r="Q314" s="437"/>
      <c r="R314" s="108"/>
      <c r="S314" s="108"/>
      <c r="T314" s="108"/>
      <c r="U314" s="189"/>
      <c r="AF314" s="436"/>
      <c r="AG314" s="437"/>
      <c r="AH314" s="108"/>
      <c r="AI314" s="108"/>
      <c r="AJ314" s="108"/>
      <c r="AK314" s="189"/>
      <c r="AV314" s="436"/>
      <c r="AW314" s="437"/>
      <c r="AX314" s="108"/>
      <c r="AY314" s="108"/>
      <c r="AZ314" s="108"/>
      <c r="BA314" s="189"/>
      <c r="BL314" s="436"/>
      <c r="BM314" s="437"/>
      <c r="BN314" s="108"/>
      <c r="BO314" s="108"/>
      <c r="BP314" s="108"/>
      <c r="BQ314" s="189"/>
      <c r="CB314" s="436"/>
      <c r="CC314" s="437"/>
      <c r="CD314" s="108"/>
      <c r="CE314" s="108"/>
      <c r="CF314" s="108"/>
      <c r="CG314" s="189"/>
      <c r="CR314" s="436"/>
      <c r="CS314" s="437"/>
      <c r="CT314" s="108"/>
      <c r="CU314" s="108"/>
      <c r="CV314" s="108"/>
      <c r="CW314" s="189"/>
      <c r="DH314" s="436"/>
      <c r="DI314" s="437"/>
      <c r="DJ314" s="108"/>
      <c r="DK314" s="108"/>
      <c r="DL314" s="108"/>
      <c r="DM314" s="189"/>
      <c r="DN314" s="436"/>
      <c r="DX314" s="436"/>
      <c r="DY314" s="437"/>
      <c r="DZ314" s="108"/>
      <c r="EA314" s="108"/>
      <c r="EB314" s="108"/>
    </row>
    <row r="315" spans="1:132" ht="14.25" customHeight="1">
      <c r="A315" s="152"/>
      <c r="C315" s="289"/>
      <c r="D315" s="289"/>
      <c r="E315" s="189"/>
      <c r="P315" s="436"/>
      <c r="Q315" s="437"/>
      <c r="R315" s="108"/>
      <c r="S315" s="108"/>
      <c r="T315" s="108"/>
      <c r="U315" s="189"/>
      <c r="AF315" s="436"/>
      <c r="AG315" s="437"/>
      <c r="AH315" s="108"/>
      <c r="AI315" s="108"/>
      <c r="AJ315" s="108"/>
      <c r="AK315" s="189"/>
      <c r="AV315" s="436"/>
      <c r="AW315" s="437"/>
      <c r="AX315" s="108"/>
      <c r="AY315" s="108"/>
      <c r="AZ315" s="108"/>
      <c r="BA315" s="189"/>
      <c r="BL315" s="436"/>
      <c r="BM315" s="437"/>
      <c r="BN315" s="108"/>
      <c r="BO315" s="108"/>
      <c r="BP315" s="108"/>
      <c r="BQ315" s="189"/>
      <c r="CB315" s="436"/>
      <c r="CC315" s="437"/>
      <c r="CD315" s="108"/>
      <c r="CE315" s="108"/>
      <c r="CF315" s="108"/>
      <c r="CG315" s="189"/>
      <c r="CR315" s="436"/>
      <c r="CS315" s="437"/>
      <c r="CT315" s="108"/>
      <c r="CU315" s="108"/>
      <c r="CV315" s="108"/>
      <c r="CW315" s="189"/>
      <c r="DH315" s="436"/>
      <c r="DI315" s="437"/>
      <c r="DJ315" s="108"/>
      <c r="DK315" s="108"/>
      <c r="DL315" s="108"/>
      <c r="DM315" s="189"/>
      <c r="DN315" s="436"/>
      <c r="DX315" s="436"/>
      <c r="DY315" s="437"/>
      <c r="DZ315" s="108"/>
      <c r="EA315" s="108"/>
      <c r="EB315" s="108"/>
    </row>
    <row r="316" spans="1:132" ht="14.25" customHeight="1">
      <c r="A316" s="152"/>
      <c r="C316" s="289"/>
      <c r="D316" s="289"/>
      <c r="E316" s="189"/>
      <c r="P316" s="436"/>
      <c r="Q316" s="437"/>
      <c r="R316" s="108"/>
      <c r="S316" s="108"/>
      <c r="T316" s="108"/>
      <c r="U316" s="189"/>
      <c r="AF316" s="436"/>
      <c r="AG316" s="437"/>
      <c r="AH316" s="108"/>
      <c r="AI316" s="108"/>
      <c r="AJ316" s="108"/>
      <c r="AK316" s="189"/>
      <c r="AV316" s="436"/>
      <c r="AW316" s="437"/>
      <c r="AX316" s="108"/>
      <c r="AY316" s="108"/>
      <c r="AZ316" s="108"/>
      <c r="BA316" s="189"/>
      <c r="BL316" s="436"/>
      <c r="BM316" s="437"/>
      <c r="BN316" s="108"/>
      <c r="BO316" s="108"/>
      <c r="BP316" s="108"/>
      <c r="BQ316" s="189"/>
      <c r="CB316" s="436"/>
      <c r="CC316" s="437"/>
      <c r="CD316" s="108"/>
      <c r="CE316" s="108"/>
      <c r="CF316" s="108"/>
      <c r="CG316" s="189"/>
      <c r="CR316" s="436"/>
      <c r="CS316" s="437"/>
      <c r="CT316" s="108"/>
      <c r="CU316" s="108"/>
      <c r="CV316" s="108"/>
      <c r="CW316" s="189"/>
      <c r="DH316" s="436"/>
      <c r="DI316" s="437"/>
      <c r="DJ316" s="108"/>
      <c r="DK316" s="108"/>
      <c r="DL316" s="108"/>
      <c r="DM316" s="189"/>
      <c r="DN316" s="436"/>
      <c r="DX316" s="436"/>
      <c r="DY316" s="437"/>
      <c r="DZ316" s="108"/>
      <c r="EA316" s="108"/>
      <c r="EB316" s="108"/>
    </row>
    <row r="317" spans="1:132" ht="14.25" customHeight="1">
      <c r="A317" s="152"/>
      <c r="C317" s="289"/>
      <c r="D317" s="289"/>
      <c r="E317" s="189"/>
      <c r="P317" s="436"/>
      <c r="Q317" s="437"/>
      <c r="R317" s="108"/>
      <c r="S317" s="108"/>
      <c r="T317" s="108"/>
      <c r="U317" s="189"/>
      <c r="AF317" s="436"/>
      <c r="AG317" s="437"/>
      <c r="AH317" s="108"/>
      <c r="AI317" s="108"/>
      <c r="AJ317" s="108"/>
      <c r="AK317" s="189"/>
      <c r="AV317" s="436"/>
      <c r="AW317" s="437"/>
      <c r="AX317" s="108"/>
      <c r="AY317" s="108"/>
      <c r="AZ317" s="108"/>
      <c r="BA317" s="189"/>
      <c r="BL317" s="436"/>
      <c r="BM317" s="437"/>
      <c r="BN317" s="108"/>
      <c r="BO317" s="108"/>
      <c r="BP317" s="108"/>
      <c r="BQ317" s="189"/>
      <c r="CB317" s="436"/>
      <c r="CC317" s="437"/>
      <c r="CD317" s="108"/>
      <c r="CE317" s="108"/>
      <c r="CF317" s="108"/>
      <c r="CG317" s="189"/>
      <c r="CR317" s="436"/>
      <c r="CS317" s="437"/>
      <c r="CT317" s="108"/>
      <c r="CU317" s="108"/>
      <c r="CV317" s="108"/>
      <c r="CW317" s="189"/>
      <c r="DH317" s="436"/>
      <c r="DI317" s="437"/>
      <c r="DJ317" s="108"/>
      <c r="DK317" s="108"/>
      <c r="DL317" s="108"/>
      <c r="DM317" s="189"/>
      <c r="DN317" s="436"/>
      <c r="DX317" s="436"/>
      <c r="DY317" s="437"/>
      <c r="DZ317" s="108"/>
      <c r="EA317" s="108"/>
      <c r="EB317" s="108"/>
    </row>
    <row r="318" spans="1:132" ht="14.25" customHeight="1">
      <c r="A318" s="152"/>
      <c r="C318" s="289"/>
      <c r="D318" s="289"/>
      <c r="E318" s="189"/>
      <c r="P318" s="436"/>
      <c r="Q318" s="437"/>
      <c r="R318" s="108"/>
      <c r="S318" s="108"/>
      <c r="T318" s="108"/>
      <c r="U318" s="189"/>
      <c r="AF318" s="436"/>
      <c r="AG318" s="437"/>
      <c r="AH318" s="108"/>
      <c r="AI318" s="108"/>
      <c r="AJ318" s="108"/>
      <c r="AK318" s="189"/>
      <c r="AV318" s="436"/>
      <c r="AW318" s="437"/>
      <c r="AX318" s="108"/>
      <c r="AY318" s="108"/>
      <c r="AZ318" s="108"/>
      <c r="BA318" s="189"/>
      <c r="BL318" s="436"/>
      <c r="BM318" s="437"/>
      <c r="BN318" s="108"/>
      <c r="BO318" s="108"/>
      <c r="BP318" s="108"/>
      <c r="BQ318" s="189"/>
      <c r="CB318" s="436"/>
      <c r="CC318" s="437"/>
      <c r="CD318" s="108"/>
      <c r="CE318" s="108"/>
      <c r="CF318" s="108"/>
      <c r="CG318" s="189"/>
      <c r="CR318" s="436"/>
      <c r="CS318" s="437"/>
      <c r="CT318" s="108"/>
      <c r="CU318" s="108"/>
      <c r="CV318" s="108"/>
      <c r="CW318" s="189"/>
      <c r="DH318" s="436"/>
      <c r="DI318" s="437"/>
      <c r="DJ318" s="108"/>
      <c r="DK318" s="108"/>
      <c r="DL318" s="108"/>
      <c r="DM318" s="189"/>
      <c r="DN318" s="436"/>
      <c r="DX318" s="436"/>
      <c r="DY318" s="437"/>
      <c r="DZ318" s="108"/>
      <c r="EA318" s="108"/>
      <c r="EB318" s="108"/>
    </row>
    <row r="319" spans="1:132" ht="14.25" customHeight="1">
      <c r="A319" s="152"/>
      <c r="C319" s="289"/>
      <c r="D319" s="289"/>
      <c r="E319" s="189"/>
      <c r="P319" s="436"/>
      <c r="Q319" s="437"/>
      <c r="R319" s="108"/>
      <c r="S319" s="108"/>
      <c r="T319" s="108"/>
      <c r="U319" s="189"/>
      <c r="AF319" s="436"/>
      <c r="AG319" s="437"/>
      <c r="AH319" s="108"/>
      <c r="AI319" s="108"/>
      <c r="AJ319" s="108"/>
      <c r="AK319" s="189"/>
      <c r="AV319" s="436"/>
      <c r="AW319" s="437"/>
      <c r="AX319" s="108"/>
      <c r="AY319" s="108"/>
      <c r="AZ319" s="108"/>
      <c r="BA319" s="189"/>
      <c r="BL319" s="436"/>
      <c r="BM319" s="437"/>
      <c r="BN319" s="108"/>
      <c r="BO319" s="108"/>
      <c r="BP319" s="108"/>
      <c r="BQ319" s="189"/>
      <c r="CB319" s="436"/>
      <c r="CC319" s="437"/>
      <c r="CD319" s="108"/>
      <c r="CE319" s="108"/>
      <c r="CF319" s="108"/>
      <c r="CG319" s="189"/>
      <c r="CR319" s="436"/>
      <c r="CS319" s="437"/>
      <c r="CT319" s="108"/>
      <c r="CU319" s="108"/>
      <c r="CV319" s="108"/>
      <c r="CW319" s="189"/>
      <c r="DH319" s="436"/>
      <c r="DI319" s="437"/>
      <c r="DJ319" s="108"/>
      <c r="DK319" s="108"/>
      <c r="DL319" s="108"/>
      <c r="DM319" s="189"/>
      <c r="DN319" s="436"/>
      <c r="DX319" s="436"/>
      <c r="DY319" s="437"/>
      <c r="DZ319" s="108"/>
      <c r="EA319" s="108"/>
      <c r="EB319" s="108"/>
    </row>
    <row r="320" spans="1:132" ht="14.25" customHeight="1">
      <c r="A320" s="152"/>
      <c r="C320" s="289"/>
      <c r="D320" s="289"/>
      <c r="E320" s="189"/>
      <c r="P320" s="436"/>
      <c r="Q320" s="437"/>
      <c r="R320" s="108"/>
      <c r="S320" s="108"/>
      <c r="T320" s="108"/>
      <c r="U320" s="189"/>
      <c r="AF320" s="436"/>
      <c r="AG320" s="437"/>
      <c r="AH320" s="108"/>
      <c r="AI320" s="108"/>
      <c r="AJ320" s="108"/>
      <c r="AK320" s="189"/>
      <c r="AV320" s="436"/>
      <c r="AW320" s="437"/>
      <c r="AX320" s="108"/>
      <c r="AY320" s="108"/>
      <c r="AZ320" s="108"/>
      <c r="BA320" s="189"/>
      <c r="BL320" s="436"/>
      <c r="BM320" s="437"/>
      <c r="BN320" s="108"/>
      <c r="BO320" s="108"/>
      <c r="BP320" s="108"/>
      <c r="BQ320" s="189"/>
      <c r="CB320" s="436"/>
      <c r="CC320" s="437"/>
      <c r="CD320" s="108"/>
      <c r="CE320" s="108"/>
      <c r="CF320" s="108"/>
      <c r="CG320" s="189"/>
      <c r="CR320" s="436"/>
      <c r="CS320" s="437"/>
      <c r="CT320" s="108"/>
      <c r="CU320" s="108"/>
      <c r="CV320" s="108"/>
      <c r="CW320" s="189"/>
      <c r="DH320" s="436"/>
      <c r="DI320" s="437"/>
      <c r="DJ320" s="108"/>
      <c r="DK320" s="108"/>
      <c r="DL320" s="108"/>
      <c r="DM320" s="189"/>
      <c r="DN320" s="436"/>
      <c r="DX320" s="436"/>
      <c r="DY320" s="437"/>
      <c r="DZ320" s="108"/>
      <c r="EA320" s="108"/>
      <c r="EB320" s="108"/>
    </row>
    <row r="321" spans="1:132" ht="14.25" customHeight="1">
      <c r="A321" s="152"/>
      <c r="C321" s="289"/>
      <c r="D321" s="289"/>
      <c r="E321" s="189"/>
      <c r="P321" s="436"/>
      <c r="Q321" s="437"/>
      <c r="R321" s="108"/>
      <c r="S321" s="108"/>
      <c r="T321" s="108"/>
      <c r="U321" s="189"/>
      <c r="AF321" s="436"/>
      <c r="AG321" s="437"/>
      <c r="AH321" s="108"/>
      <c r="AI321" s="108"/>
      <c r="AJ321" s="108"/>
      <c r="AK321" s="189"/>
      <c r="AV321" s="436"/>
      <c r="AW321" s="437"/>
      <c r="AX321" s="108"/>
      <c r="AY321" s="108"/>
      <c r="AZ321" s="108"/>
      <c r="BA321" s="189"/>
      <c r="BL321" s="436"/>
      <c r="BM321" s="437"/>
      <c r="BN321" s="108"/>
      <c r="BO321" s="108"/>
      <c r="BP321" s="108"/>
      <c r="BQ321" s="189"/>
      <c r="CB321" s="436"/>
      <c r="CC321" s="437"/>
      <c r="CD321" s="108"/>
      <c r="CE321" s="108"/>
      <c r="CF321" s="108"/>
      <c r="CG321" s="189"/>
      <c r="CR321" s="436"/>
      <c r="CS321" s="437"/>
      <c r="CT321" s="108"/>
      <c r="CU321" s="108"/>
      <c r="CV321" s="108"/>
      <c r="CW321" s="189"/>
      <c r="DH321" s="436"/>
      <c r="DI321" s="437"/>
      <c r="DJ321" s="108"/>
      <c r="DK321" s="108"/>
      <c r="DL321" s="108"/>
      <c r="DM321" s="189"/>
      <c r="DN321" s="436"/>
      <c r="DX321" s="436"/>
      <c r="DY321" s="437"/>
      <c r="DZ321" s="108"/>
      <c r="EA321" s="108"/>
      <c r="EB321" s="108"/>
    </row>
    <row r="322" spans="1:132" ht="14.25" customHeight="1">
      <c r="A322" s="152"/>
      <c r="C322" s="289"/>
      <c r="D322" s="289"/>
      <c r="E322" s="189"/>
      <c r="P322" s="436"/>
      <c r="Q322" s="437"/>
      <c r="R322" s="108"/>
      <c r="S322" s="108"/>
      <c r="T322" s="108"/>
      <c r="U322" s="189"/>
      <c r="AF322" s="436"/>
      <c r="AG322" s="437"/>
      <c r="AH322" s="108"/>
      <c r="AI322" s="108"/>
      <c r="AJ322" s="108"/>
      <c r="AK322" s="189"/>
      <c r="AV322" s="436"/>
      <c r="AW322" s="437"/>
      <c r="AX322" s="108"/>
      <c r="AY322" s="108"/>
      <c r="AZ322" s="108"/>
      <c r="BA322" s="189"/>
      <c r="BL322" s="436"/>
      <c r="BM322" s="437"/>
      <c r="BN322" s="108"/>
      <c r="BO322" s="108"/>
      <c r="BP322" s="108"/>
      <c r="BQ322" s="189"/>
      <c r="CB322" s="436"/>
      <c r="CC322" s="437"/>
      <c r="CD322" s="108"/>
      <c r="CE322" s="108"/>
      <c r="CF322" s="108"/>
      <c r="CG322" s="189"/>
      <c r="CR322" s="436"/>
      <c r="CS322" s="437"/>
      <c r="CT322" s="108"/>
      <c r="CU322" s="108"/>
      <c r="CV322" s="108"/>
      <c r="CW322" s="189"/>
      <c r="DH322" s="436"/>
      <c r="DI322" s="437"/>
      <c r="DJ322" s="108"/>
      <c r="DK322" s="108"/>
      <c r="DL322" s="108"/>
      <c r="DM322" s="189"/>
      <c r="DN322" s="436"/>
      <c r="DX322" s="436"/>
      <c r="DY322" s="437"/>
      <c r="DZ322" s="108"/>
      <c r="EA322" s="108"/>
      <c r="EB322" s="108"/>
    </row>
    <row r="323" spans="1:132" ht="14.25" customHeight="1">
      <c r="A323" s="152"/>
      <c r="C323" s="289"/>
      <c r="D323" s="289"/>
      <c r="E323" s="189"/>
      <c r="P323" s="436"/>
      <c r="Q323" s="437"/>
      <c r="R323" s="108"/>
      <c r="S323" s="108"/>
      <c r="T323" s="108"/>
      <c r="U323" s="189"/>
      <c r="AF323" s="436"/>
      <c r="AG323" s="437"/>
      <c r="AH323" s="108"/>
      <c r="AI323" s="108"/>
      <c r="AJ323" s="108"/>
      <c r="AK323" s="189"/>
      <c r="AV323" s="436"/>
      <c r="AW323" s="437"/>
      <c r="AX323" s="108"/>
      <c r="AY323" s="108"/>
      <c r="AZ323" s="108"/>
      <c r="BA323" s="189"/>
      <c r="BL323" s="436"/>
      <c r="BM323" s="437"/>
      <c r="BN323" s="108"/>
      <c r="BO323" s="108"/>
      <c r="BP323" s="108"/>
      <c r="BQ323" s="189"/>
      <c r="CB323" s="436"/>
      <c r="CC323" s="437"/>
      <c r="CD323" s="108"/>
      <c r="CE323" s="108"/>
      <c r="CF323" s="108"/>
      <c r="CG323" s="189"/>
      <c r="CR323" s="436"/>
      <c r="CS323" s="437"/>
      <c r="CT323" s="108"/>
      <c r="CU323" s="108"/>
      <c r="CV323" s="108"/>
      <c r="CW323" s="189"/>
      <c r="DH323" s="436"/>
      <c r="DI323" s="437"/>
      <c r="DJ323" s="108"/>
      <c r="DK323" s="108"/>
      <c r="DL323" s="108"/>
      <c r="DM323" s="189"/>
      <c r="DN323" s="436"/>
      <c r="DX323" s="436"/>
      <c r="DY323" s="437"/>
      <c r="DZ323" s="108"/>
      <c r="EA323" s="108"/>
      <c r="EB323" s="108"/>
    </row>
    <row r="324" spans="1:132" ht="14.25" customHeight="1">
      <c r="A324" s="152"/>
      <c r="C324" s="289"/>
      <c r="D324" s="289"/>
      <c r="E324" s="189"/>
      <c r="P324" s="436"/>
      <c r="Q324" s="437"/>
      <c r="R324" s="108"/>
      <c r="S324" s="108"/>
      <c r="T324" s="108"/>
      <c r="U324" s="189"/>
      <c r="AF324" s="436"/>
      <c r="AG324" s="437"/>
      <c r="AH324" s="108"/>
      <c r="AI324" s="108"/>
      <c r="AJ324" s="108"/>
      <c r="AK324" s="189"/>
      <c r="AV324" s="436"/>
      <c r="AW324" s="437"/>
      <c r="AX324" s="108"/>
      <c r="AY324" s="108"/>
      <c r="AZ324" s="108"/>
      <c r="BA324" s="189"/>
      <c r="BL324" s="436"/>
      <c r="BM324" s="437"/>
      <c r="BN324" s="108"/>
      <c r="BO324" s="108"/>
      <c r="BP324" s="108"/>
      <c r="BQ324" s="189"/>
      <c r="CB324" s="436"/>
      <c r="CC324" s="437"/>
      <c r="CD324" s="108"/>
      <c r="CE324" s="108"/>
      <c r="CF324" s="108"/>
      <c r="CG324" s="189"/>
      <c r="CR324" s="436"/>
      <c r="CS324" s="437"/>
      <c r="CT324" s="108"/>
      <c r="CU324" s="108"/>
      <c r="CV324" s="108"/>
      <c r="CW324" s="189"/>
      <c r="DH324" s="436"/>
      <c r="DI324" s="437"/>
      <c r="DJ324" s="108"/>
      <c r="DK324" s="108"/>
      <c r="DL324" s="108"/>
      <c r="DM324" s="189"/>
      <c r="DN324" s="436"/>
      <c r="DX324" s="436"/>
      <c r="DY324" s="437"/>
      <c r="DZ324" s="108"/>
      <c r="EA324" s="108"/>
      <c r="EB324" s="108"/>
    </row>
  </sheetData>
  <autoFilter ref="A28:EB124"/>
  <mergeCells count="73">
    <mergeCell ref="CP13:CQ13"/>
    <mergeCell ref="CX13:CY13"/>
    <mergeCell ref="BV13:BW13"/>
    <mergeCell ref="BX13:BY13"/>
    <mergeCell ref="BB13:BC13"/>
    <mergeCell ref="BD13:BE13"/>
    <mergeCell ref="BF13:BG13"/>
    <mergeCell ref="BH13:BI13"/>
    <mergeCell ref="BJ13:BK13"/>
    <mergeCell ref="BR13:BS13"/>
    <mergeCell ref="BT13:BU13"/>
    <mergeCell ref="CW8:DL8"/>
    <mergeCell ref="DM8:EB8"/>
    <mergeCell ref="E7:DY7"/>
    <mergeCell ref="E8:T8"/>
    <mergeCell ref="U8:AJ8"/>
    <mergeCell ref="AK8:AZ8"/>
    <mergeCell ref="BA8:BP8"/>
    <mergeCell ref="BQ8:CF8"/>
    <mergeCell ref="CG8:CV8"/>
    <mergeCell ref="CX9:DI9"/>
    <mergeCell ref="DN9:DY9"/>
    <mergeCell ref="F9:Q9"/>
    <mergeCell ref="F10:Q10"/>
    <mergeCell ref="V10:AG10"/>
    <mergeCell ref="AL10:AW10"/>
    <mergeCell ref="BB10:BM10"/>
    <mergeCell ref="BR10:CC10"/>
    <mergeCell ref="CH10:CS10"/>
    <mergeCell ref="CX10:DI10"/>
    <mergeCell ref="DN10:DY10"/>
    <mergeCell ref="V9:AG9"/>
    <mergeCell ref="AL9:AW9"/>
    <mergeCell ref="BB9:BM9"/>
    <mergeCell ref="BR9:CC9"/>
    <mergeCell ref="CH9:CS9"/>
    <mergeCell ref="F12:Q12"/>
    <mergeCell ref="F13:G13"/>
    <mergeCell ref="H13:I13"/>
    <mergeCell ref="J13:K13"/>
    <mergeCell ref="L13:M13"/>
    <mergeCell ref="N13:O13"/>
    <mergeCell ref="V13:W13"/>
    <mergeCell ref="V12:AG12"/>
    <mergeCell ref="AL12:AW12"/>
    <mergeCell ref="BB12:BM12"/>
    <mergeCell ref="BR12:CC12"/>
    <mergeCell ref="BZ13:CA13"/>
    <mergeCell ref="AR13:AS13"/>
    <mergeCell ref="AT13:AU13"/>
    <mergeCell ref="X13:Y13"/>
    <mergeCell ref="Z13:AA13"/>
    <mergeCell ref="AB13:AC13"/>
    <mergeCell ref="AD13:AE13"/>
    <mergeCell ref="AL13:AM13"/>
    <mergeCell ref="AN13:AO13"/>
    <mergeCell ref="AP13:AQ13"/>
    <mergeCell ref="CH12:CS12"/>
    <mergeCell ref="CX12:DI12"/>
    <mergeCell ref="DN12:DY12"/>
    <mergeCell ref="DT13:DU13"/>
    <mergeCell ref="DV13:DW13"/>
    <mergeCell ref="DD13:DE13"/>
    <mergeCell ref="DF13:DG13"/>
    <mergeCell ref="DN13:DO13"/>
    <mergeCell ref="DP13:DQ13"/>
    <mergeCell ref="DR13:DS13"/>
    <mergeCell ref="CZ13:DA13"/>
    <mergeCell ref="DB13:DC13"/>
    <mergeCell ref="CH13:CI13"/>
    <mergeCell ref="CJ13:CK13"/>
    <mergeCell ref="CL13:CM13"/>
    <mergeCell ref="CN13:CO13"/>
  </mergeCells>
  <conditionalFormatting sqref="F12">
    <cfRule type="cellIs" dxfId="35" priority="28" operator="equal">
      <formula>1</formula>
    </cfRule>
    <cfRule type="cellIs" dxfId="34" priority="27" operator="equal">
      <formula>2</formula>
    </cfRule>
    <cfRule type="cellIs" dxfId="33" priority="26" operator="equal">
      <formula>3</formula>
    </cfRule>
  </conditionalFormatting>
  <conditionalFormatting sqref="F28:P28">
    <cfRule type="colorScale" priority="32">
      <colorScale>
        <cfvo type="min"/>
        <cfvo type="percentile" val="50"/>
        <cfvo type="max"/>
        <color rgb="FF63BE7B"/>
        <color rgb="FFFFEB84"/>
        <color rgb="FFF8696B"/>
      </colorScale>
    </cfRule>
  </conditionalFormatting>
  <conditionalFormatting sqref="F29:P121">
    <cfRule type="colorScale" priority="39">
      <colorScale>
        <cfvo type="min"/>
        <cfvo type="percentile" val="50"/>
        <cfvo type="max"/>
        <color rgb="FF63BE7B"/>
        <color rgb="FFFFEB84"/>
        <color rgb="FFF8696B"/>
      </colorScale>
    </cfRule>
  </conditionalFormatting>
  <conditionalFormatting sqref="F1:DY1">
    <cfRule type="colorScale" priority="24">
      <colorScale>
        <cfvo type="min"/>
        <cfvo type="percentile" val="50"/>
        <cfvo type="max"/>
        <color rgb="FF63BE7B"/>
        <color rgb="FFFFEB84"/>
        <color rgb="FFF8696B"/>
      </colorScale>
    </cfRule>
  </conditionalFormatting>
  <conditionalFormatting sqref="P28">
    <cfRule type="cellIs" dxfId="32" priority="29" operator="lessThan">
      <formula>0.5</formula>
    </cfRule>
  </conditionalFormatting>
  <conditionalFormatting sqref="V12">
    <cfRule type="cellIs" dxfId="31" priority="20" operator="equal">
      <formula>3</formula>
    </cfRule>
    <cfRule type="cellIs" dxfId="30" priority="21" operator="equal">
      <formula>2</formula>
    </cfRule>
    <cfRule type="cellIs" dxfId="29" priority="22" operator="equal">
      <formula>1</formula>
    </cfRule>
  </conditionalFormatting>
  <conditionalFormatting sqref="V28:AE28">
    <cfRule type="colorScale" priority="33">
      <colorScale>
        <cfvo type="min"/>
        <cfvo type="percentile" val="50"/>
        <cfvo type="max"/>
        <color rgb="FF63BE7B"/>
        <color rgb="FFFFEB84"/>
        <color rgb="FFF8696B"/>
      </colorScale>
    </cfRule>
  </conditionalFormatting>
  <conditionalFormatting sqref="V29:AE121">
    <cfRule type="colorScale" priority="40">
      <colorScale>
        <cfvo type="min"/>
        <cfvo type="percentile" val="50"/>
        <cfvo type="max"/>
        <color rgb="FF63BE7B"/>
        <color rgb="FFFFEB84"/>
        <color rgb="FFF8696B"/>
      </colorScale>
    </cfRule>
  </conditionalFormatting>
  <conditionalFormatting sqref="AF28">
    <cfRule type="cellIs" dxfId="28" priority="23" operator="lessThan">
      <formula>0.5</formula>
    </cfRule>
  </conditionalFormatting>
  <conditionalFormatting sqref="AL12:AT12">
    <cfRule type="cellIs" dxfId="27" priority="19" operator="equal">
      <formula>1</formula>
    </cfRule>
    <cfRule type="cellIs" dxfId="26" priority="17" operator="equal">
      <formula>3</formula>
    </cfRule>
    <cfRule type="cellIs" dxfId="25" priority="18" operator="equal">
      <formula>2</formula>
    </cfRule>
  </conditionalFormatting>
  <conditionalFormatting sqref="AL29:AU121">
    <cfRule type="colorScale" priority="41">
      <colorScale>
        <cfvo type="min"/>
        <cfvo type="percentile" val="50"/>
        <cfvo type="max"/>
        <color rgb="FF63BE7B"/>
        <color rgb="FFFFEB84"/>
        <color rgb="FFF8696B"/>
      </colorScale>
    </cfRule>
  </conditionalFormatting>
  <conditionalFormatting sqref="AV28 BL28 CB28 CR28 DH28 DX28">
    <cfRule type="cellIs" dxfId="24" priority="4" operator="lessThan">
      <formula>0.5</formula>
    </cfRule>
  </conditionalFormatting>
  <conditionalFormatting sqref="BB12:BJ12">
    <cfRule type="cellIs" dxfId="23" priority="14" operator="equal">
      <formula>3</formula>
    </cfRule>
    <cfRule type="cellIs" dxfId="22" priority="15" operator="equal">
      <formula>2</formula>
    </cfRule>
    <cfRule type="cellIs" dxfId="21" priority="16" operator="equal">
      <formula>1</formula>
    </cfRule>
  </conditionalFormatting>
  <conditionalFormatting sqref="BB28:BK28">
    <cfRule type="colorScale" priority="34">
      <colorScale>
        <cfvo type="min"/>
        <cfvo type="percentile" val="50"/>
        <cfvo type="max"/>
        <color rgb="FF63BE7B"/>
        <color rgb="FFFFEB84"/>
        <color rgb="FFF8696B"/>
      </colorScale>
    </cfRule>
  </conditionalFormatting>
  <conditionalFormatting sqref="BB29:BK121">
    <cfRule type="colorScale" priority="42">
      <colorScale>
        <cfvo type="min"/>
        <cfvo type="percentile" val="50"/>
        <cfvo type="max"/>
        <color rgb="FF63BE7B"/>
        <color rgb="FFFFEB84"/>
        <color rgb="FFF8696B"/>
      </colorScale>
    </cfRule>
  </conditionalFormatting>
  <conditionalFormatting sqref="BR12:BZ12">
    <cfRule type="cellIs" dxfId="20" priority="11" operator="equal">
      <formula>3</formula>
    </cfRule>
    <cfRule type="cellIs" dxfId="19" priority="12" operator="equal">
      <formula>2</formula>
    </cfRule>
    <cfRule type="cellIs" dxfId="18" priority="13" operator="equal">
      <formula>1</formula>
    </cfRule>
  </conditionalFormatting>
  <conditionalFormatting sqref="BR28:CA28">
    <cfRule type="colorScale" priority="35">
      <colorScale>
        <cfvo type="min"/>
        <cfvo type="percentile" val="50"/>
        <cfvo type="max"/>
        <color rgb="FF63BE7B"/>
        <color rgb="FFFFEB84"/>
        <color rgb="FFF8696B"/>
      </colorScale>
    </cfRule>
  </conditionalFormatting>
  <conditionalFormatting sqref="BR29:CA121">
    <cfRule type="colorScale" priority="43">
      <colorScale>
        <cfvo type="min"/>
        <cfvo type="percentile" val="50"/>
        <cfvo type="max"/>
        <color rgb="FF63BE7B"/>
        <color rgb="FFFFEB84"/>
        <color rgb="FFF8696B"/>
      </colorScale>
    </cfRule>
  </conditionalFormatting>
  <conditionalFormatting sqref="CH12:CP12">
    <cfRule type="cellIs" dxfId="17" priority="8" operator="equal">
      <formula>3</formula>
    </cfRule>
    <cfRule type="cellIs" dxfId="16" priority="9" operator="equal">
      <formula>2</formula>
    </cfRule>
    <cfRule type="cellIs" dxfId="15" priority="10" operator="equal">
      <formula>1</formula>
    </cfRule>
  </conditionalFormatting>
  <conditionalFormatting sqref="CH29:CP120">
    <cfRule type="colorScale" priority="47">
      <colorScale>
        <cfvo type="min"/>
        <cfvo type="percentile" val="50"/>
        <cfvo type="max"/>
        <color rgb="FF63BE7B"/>
        <color rgb="FFFFEB84"/>
        <color rgb="FFF8696B"/>
      </colorScale>
    </cfRule>
  </conditionalFormatting>
  <conditionalFormatting sqref="CH28:CQ28">
    <cfRule type="colorScale" priority="36">
      <colorScale>
        <cfvo type="min"/>
        <cfvo type="percentile" val="50"/>
        <cfvo type="max"/>
        <color rgb="FF63BE7B"/>
        <color rgb="FFFFEB84"/>
        <color rgb="FFF8696B"/>
      </colorScale>
    </cfRule>
  </conditionalFormatting>
  <conditionalFormatting sqref="CH121:CQ121 CQ29:CQ120">
    <cfRule type="colorScale" priority="44">
      <colorScale>
        <cfvo type="min"/>
        <cfvo type="percentile" val="50"/>
        <cfvo type="max"/>
        <color rgb="FF63BE7B"/>
        <color rgb="FFFFEB84"/>
        <color rgb="FFF8696B"/>
      </colorScale>
    </cfRule>
  </conditionalFormatting>
  <conditionalFormatting sqref="CX12:DF12">
    <cfRule type="cellIs" dxfId="14" priority="7" operator="equal">
      <formula>1</formula>
    </cfRule>
    <cfRule type="cellIs" dxfId="13" priority="5" operator="equal">
      <formula>3</formula>
    </cfRule>
    <cfRule type="cellIs" dxfId="12" priority="6" operator="equal">
      <formula>2</formula>
    </cfRule>
  </conditionalFormatting>
  <conditionalFormatting sqref="CX28:DG28">
    <cfRule type="colorScale" priority="37">
      <colorScale>
        <cfvo type="min"/>
        <cfvo type="percentile" val="50"/>
        <cfvo type="max"/>
        <color rgb="FF63BE7B"/>
        <color rgb="FFFFEB84"/>
        <color rgb="FFF8696B"/>
      </colorScale>
    </cfRule>
  </conditionalFormatting>
  <conditionalFormatting sqref="CX29:DG121">
    <cfRule type="colorScale" priority="45">
      <colorScale>
        <cfvo type="min"/>
        <cfvo type="percentile" val="50"/>
        <cfvo type="max"/>
        <color rgb="FF63BE7B"/>
        <color rgb="FFFFEB84"/>
        <color rgb="FFF8696B"/>
      </colorScale>
    </cfRule>
  </conditionalFormatting>
  <conditionalFormatting sqref="DN12:DV12">
    <cfRule type="cellIs" dxfId="11" priority="1" operator="equal">
      <formula>3</formula>
    </cfRule>
    <cfRule type="cellIs" dxfId="10" priority="3" operator="equal">
      <formula>1</formula>
    </cfRule>
    <cfRule type="cellIs" dxfId="9" priority="2" operator="equal">
      <formula>2</formula>
    </cfRule>
  </conditionalFormatting>
  <conditionalFormatting sqref="DN28:DW28">
    <cfRule type="colorScale" priority="38">
      <colorScale>
        <cfvo type="min"/>
        <cfvo type="percentile" val="50"/>
        <cfvo type="max"/>
        <color rgb="FF63BE7B"/>
        <color rgb="FFFFEB84"/>
        <color rgb="FFF8696B"/>
      </colorScale>
    </cfRule>
  </conditionalFormatting>
  <conditionalFormatting sqref="DN29:DW121">
    <cfRule type="colorScale" priority="46">
      <colorScale>
        <cfvo type="min"/>
        <cfvo type="percentile" val="50"/>
        <cfvo type="max"/>
        <color rgb="FF63BE7B"/>
        <color rgb="FFFFEB84"/>
        <color rgb="FFF8696B"/>
      </colorScale>
    </cfRule>
  </conditionalFormatting>
  <conditionalFormatting sqref="DZ1:EA1">
    <cfRule type="colorScale" priority="30">
      <colorScale>
        <cfvo type="min"/>
        <cfvo type="percentile" val="50"/>
        <cfvo type="max"/>
        <color rgb="FF63BE7B"/>
        <color rgb="FFFFEB84"/>
        <color rgb="FFF8696B"/>
      </colorScale>
    </cfRule>
  </conditionalFormatting>
  <conditionalFormatting sqref="EB1">
    <cfRule type="colorScale" priority="31">
      <colorScale>
        <cfvo type="min"/>
        <cfvo type="percentile" val="50"/>
        <cfvo type="max"/>
        <color rgb="FF63BE7B"/>
        <color rgb="FFFFEB84"/>
        <color rgb="FFF8696B"/>
      </colorScale>
    </cfRule>
  </conditionalFormatting>
  <conditionalFormatting sqref="EC29:EF124">
    <cfRule type="colorScale" priority="25">
      <colorScale>
        <cfvo type="min"/>
        <cfvo type="percentile" val="50"/>
        <cfvo type="max"/>
        <color rgb="FF63BE7B"/>
        <color rgb="FFFFEB84"/>
        <color rgb="FFF8696B"/>
      </colorScale>
    </cfRule>
  </conditionalFormatting>
  <pageMargins left="0.7" right="0.7" top="0.78740157499999996" bottom="0.78740157499999996" header="0" footer="0"/>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8"/>
  <sheetViews>
    <sheetView workbookViewId="0">
      <selection activeCell="D2" sqref="D2"/>
    </sheetView>
  </sheetViews>
  <sheetFormatPr baseColWidth="10" defaultColWidth="11.5546875" defaultRowHeight="14.4"/>
  <cols>
    <col min="1" max="1" width="29.33203125" customWidth="1"/>
    <col min="2" max="2" width="20.6640625" customWidth="1"/>
    <col min="3" max="3" width="19.33203125" customWidth="1"/>
    <col min="4" max="4" width="18.5546875" customWidth="1"/>
    <col min="5" max="5" width="17.33203125" customWidth="1"/>
    <col min="6" max="6" width="20.5546875" customWidth="1"/>
    <col min="7" max="7" width="20.33203125" customWidth="1"/>
    <col min="8" max="8" width="22.5546875" customWidth="1"/>
    <col min="9" max="9" width="21.5546875" customWidth="1"/>
  </cols>
  <sheetData>
    <row r="1" spans="1:9">
      <c r="B1" s="600" t="s">
        <v>2773</v>
      </c>
      <c r="C1" s="600" t="s">
        <v>2393</v>
      </c>
      <c r="D1" s="600" t="s">
        <v>2400</v>
      </c>
      <c r="E1" s="600" t="s">
        <v>2401</v>
      </c>
      <c r="F1" s="600" t="s">
        <v>2392</v>
      </c>
      <c r="G1" s="600" t="s">
        <v>3727</v>
      </c>
      <c r="H1" s="600" t="s">
        <v>3747</v>
      </c>
      <c r="I1" t="s">
        <v>3796</v>
      </c>
    </row>
    <row r="2" spans="1:9">
      <c r="A2" s="783" t="s">
        <v>3765</v>
      </c>
      <c r="B2" s="658"/>
      <c r="C2" s="658"/>
      <c r="D2" s="658"/>
      <c r="E2" s="658"/>
      <c r="F2" s="658"/>
      <c r="G2" s="658"/>
      <c r="H2" s="658"/>
    </row>
    <row r="3" spans="1:9">
      <c r="B3" s="658"/>
      <c r="C3" s="658"/>
      <c r="D3" s="658"/>
      <c r="E3" s="658"/>
      <c r="F3" s="658"/>
      <c r="G3" s="658"/>
      <c r="H3" s="658"/>
    </row>
    <row r="4" spans="1:9">
      <c r="B4" s="658"/>
      <c r="C4" s="658"/>
      <c r="D4" s="658"/>
      <c r="E4" s="658"/>
      <c r="F4" s="658"/>
      <c r="G4" s="658"/>
      <c r="H4" s="658"/>
    </row>
    <row r="9" spans="1:9">
      <c r="A9" s="658"/>
      <c r="B9" s="658"/>
    </row>
    <row r="10" spans="1:9">
      <c r="A10" s="658"/>
      <c r="B10" s="658"/>
    </row>
    <row r="11" spans="1:9">
      <c r="A11" s="600"/>
      <c r="B11" s="658"/>
    </row>
    <row r="12" spans="1:9">
      <c r="A12" s="600"/>
      <c r="B12" s="658"/>
    </row>
    <row r="13" spans="1:9">
      <c r="A13" s="600"/>
      <c r="B13" s="658"/>
    </row>
    <row r="14" spans="1:9">
      <c r="A14" s="600"/>
      <c r="B14" s="658"/>
    </row>
    <row r="15" spans="1:9">
      <c r="A15" s="600"/>
      <c r="B15" s="658"/>
    </row>
    <row r="16" spans="1:9">
      <c r="A16" s="600"/>
      <c r="B16" s="658"/>
    </row>
    <row r="17" spans="1:2">
      <c r="A17" s="600"/>
      <c r="B17" s="658"/>
    </row>
    <row r="18" spans="1:2">
      <c r="A18" s="600"/>
      <c r="B18" s="658"/>
    </row>
    <row r="19" spans="1:2">
      <c r="A19" s="600"/>
      <c r="B19" s="658"/>
    </row>
    <row r="20" spans="1:2">
      <c r="A20" s="600"/>
      <c r="B20" s="658"/>
    </row>
    <row r="21" spans="1:2">
      <c r="A21" s="600"/>
      <c r="B21" s="658"/>
    </row>
    <row r="22" spans="1:2">
      <c r="A22" s="600"/>
      <c r="B22" s="658"/>
    </row>
    <row r="23" spans="1:2">
      <c r="A23" s="600"/>
      <c r="B23" s="658"/>
    </row>
    <row r="24" spans="1:2">
      <c r="A24" s="600"/>
      <c r="B24" s="658"/>
    </row>
    <row r="25" spans="1:2">
      <c r="A25" s="600"/>
      <c r="B25" s="658"/>
    </row>
    <row r="26" spans="1:2">
      <c r="A26" s="600"/>
      <c r="B26" s="658"/>
    </row>
    <row r="27" spans="1:2">
      <c r="A27" s="600"/>
      <c r="B27" s="658"/>
    </row>
    <row r="28" spans="1:2">
      <c r="A28" s="600"/>
      <c r="B28" s="658"/>
    </row>
    <row r="29" spans="1:2">
      <c r="A29" s="600"/>
      <c r="B29" s="658"/>
    </row>
    <row r="30" spans="1:2">
      <c r="A30" s="600"/>
      <c r="B30" s="658"/>
    </row>
    <row r="31" spans="1:2">
      <c r="A31" s="600"/>
      <c r="B31" s="658"/>
    </row>
    <row r="32" spans="1:2">
      <c r="A32" s="782"/>
      <c r="B32" s="658"/>
    </row>
    <row r="33" spans="1:2">
      <c r="A33" s="600"/>
      <c r="B33" s="658"/>
    </row>
    <row r="34" spans="1:2">
      <c r="A34" s="600"/>
      <c r="B34" s="658"/>
    </row>
    <row r="35" spans="1:2">
      <c r="A35" s="600"/>
      <c r="B35" s="658"/>
    </row>
    <row r="36" spans="1:2">
      <c r="A36" s="658"/>
      <c r="B36" s="658"/>
    </row>
    <row r="37" spans="1:2">
      <c r="A37" s="658"/>
      <c r="B37" s="658"/>
    </row>
    <row r="38" spans="1:2">
      <c r="A38" s="658"/>
      <c r="B38" s="658"/>
    </row>
  </sheetData>
  <conditionalFormatting sqref="A11:A35">
    <cfRule type="containsText" dxfId="8" priority="31" operator="containsText" text="OFFER_REFERRAL">
      <formula>NOT(ISERROR(SEARCH(("OFFER_REFERRAL"),(A11))))</formula>
    </cfRule>
    <cfRule type="containsText" dxfId="7" priority="32" operator="containsText" text="OFFER_DECLINED">
      <formula>NOT(ISERROR(SEARCH(("OFFER_DECLINED"),(A11))))</formula>
    </cfRule>
    <cfRule type="containsText" dxfId="6" priority="33" operator="containsText" text="OFFER_READY_FOR_POLICY">
      <formula>NOT(ISERROR(SEARCH(("OFFER_READY_FOR_POLICY"),(A11))))</formula>
    </cfRule>
  </conditionalFormatting>
  <conditionalFormatting sqref="B1:H1">
    <cfRule type="containsText" dxfId="5" priority="4" operator="containsText" text="OFFER_REFERRAL">
      <formula>NOT(ISERROR(SEARCH(("OFFER_REFERRAL"),(B1))))</formula>
    </cfRule>
    <cfRule type="containsText" dxfId="4" priority="5" operator="containsText" text="OFFER_DECLINED">
      <formula>NOT(ISERROR(SEARCH(("OFFER_DECLINED"),(B1))))</formula>
    </cfRule>
    <cfRule type="containsText" dxfId="3" priority="6" operator="containsText" text="OFFER_READY_FOR_POLICY">
      <formula>NOT(ISERROR(SEARCH(("OFFER_READY_FOR_POLICY"),(B1))))</formula>
    </cfRule>
  </conditionalFormatting>
  <conditionalFormatting sqref="B2:H2">
    <cfRule type="containsText" dxfId="2" priority="1" operator="containsText" text="green">
      <formula>NOT(ISERROR(SEARCH("green",B2)))</formula>
    </cfRule>
    <cfRule type="containsText" dxfId="1" priority="2" operator="containsText" text="referral">
      <formula>NOT(ISERROR(SEARCH("referral",B2)))</formula>
    </cfRule>
    <cfRule type="containsText" dxfId="0" priority="3" operator="containsText" text="KO">
      <formula>NOT(ISERROR(SEARCH("KO",B2)))</formula>
    </cfRule>
  </conditionalFormatting>
  <pageMargins left="0.7" right="0.7" top="0.78740157499999996" bottom="0.78740157499999996"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43</vt:i4>
      </vt:variant>
      <vt:variant>
        <vt:lpstr>Benannte Bereiche</vt:lpstr>
      </vt:variant>
      <vt:variant>
        <vt:i4>1351</vt:i4>
      </vt:variant>
    </vt:vector>
  </HeadingPairs>
  <TitlesOfParts>
    <vt:vector size="1394" baseType="lpstr">
      <vt:lpstr>Fragenkatalog</vt:lpstr>
      <vt:lpstr>Daten-Abzug</vt:lpstr>
      <vt:lpstr>Deckungsoptionen</vt:lpstr>
      <vt:lpstr>Referral Stati</vt:lpstr>
      <vt:lpstr>SIC-Liste</vt:lpstr>
      <vt:lpstr>Sterne-Rechner - Angebot</vt:lpstr>
      <vt:lpstr>Sterne-Rechner - GI</vt:lpstr>
      <vt:lpstr>Default-Klauseln</vt:lpstr>
      <vt:lpstr>Preisrechner Alle Tarife</vt:lpstr>
      <vt:lpstr>AXA - Tarif</vt:lpstr>
      <vt:lpstr>AXA - Tarif ab 20210401</vt:lpstr>
      <vt:lpstr>AXA - Tarif ab 20220101</vt:lpstr>
      <vt:lpstr>AXA - Tarif ab 20230601</vt:lpstr>
      <vt:lpstr>Newline - Tarif</vt:lpstr>
      <vt:lpstr>AIG Facility - Preisrechner</vt:lpstr>
      <vt:lpstr>AIG Facility - Tarif</vt:lpstr>
      <vt:lpstr>Berkley - Tarif</vt:lpstr>
      <vt:lpstr>Liberty - Tarif</vt:lpstr>
      <vt:lpstr>Liberty - Tarif Verein</vt:lpstr>
      <vt:lpstr>ERGO - Tarif</vt:lpstr>
      <vt:lpstr>DUAL - Tarif</vt:lpstr>
      <vt:lpstr>WVAG - Preisrechner</vt:lpstr>
      <vt:lpstr>WVAG - Tarif Unternehmen</vt:lpstr>
      <vt:lpstr>WVAG - Tarif Verein</vt:lpstr>
      <vt:lpstr>Markel - Tarif</vt:lpstr>
      <vt:lpstr>Markel - Tarif Vereine</vt:lpstr>
      <vt:lpstr>Facility Kriterien</vt:lpstr>
      <vt:lpstr>Flussdiagramm</vt:lpstr>
      <vt:lpstr>KoopMakler</vt:lpstr>
      <vt:lpstr>Sanktionsländer</vt:lpstr>
      <vt:lpstr>Listen-Daten DigPos</vt:lpstr>
      <vt:lpstr>Mitvers U</vt:lpstr>
      <vt:lpstr>Mitvers Personen</vt:lpstr>
      <vt:lpstr>Ausgeschlossene U</vt:lpstr>
      <vt:lpstr>Ausgeschlossene P</vt:lpstr>
      <vt:lpstr>Listen-Daten</vt:lpstr>
      <vt:lpstr>Rechtsformen und -gruppen</vt:lpstr>
      <vt:lpstr>Produkte</vt:lpstr>
      <vt:lpstr>Produktauswahl</vt:lpstr>
      <vt:lpstr>Vorgeschlagene Deckungssummen</vt:lpstr>
      <vt:lpstr>Inhaltliche Bewertung - Angebot</vt:lpstr>
      <vt:lpstr>Inhaltliche Bewertung - GI</vt:lpstr>
      <vt:lpstr>VersichererDaten</vt:lpstr>
      <vt:lpstr>'Inhaltliche Bewertung - Angebot'!_ftnref1</vt:lpstr>
      <vt:lpstr>'Inhaltliche Bewertung - GI'!_ftnref1</vt:lpstr>
      <vt:lpstr>'Inhaltliche Bewertung - Angebot'!_ftnref2</vt:lpstr>
      <vt:lpstr>'Inhaltliche Bewertung - GI'!_ftnref2</vt:lpstr>
      <vt:lpstr>'Inhaltliche Bewertung - Angebot'!_ftnref3</vt:lpstr>
      <vt:lpstr>'Inhaltliche Bewertung - GI'!_ftnref3</vt:lpstr>
      <vt:lpstr>aig_MaxDeckungssumme</vt:lpstr>
      <vt:lpstr>aig_MaxUmsatz</vt:lpstr>
      <vt:lpstr>aig1usedClauses</vt:lpstr>
      <vt:lpstr>aig2usedClauses</vt:lpstr>
      <vt:lpstr>aig3usedClauses</vt:lpstr>
      <vt:lpstr>aigArbitrationCourtPercentage</vt:lpstr>
      <vt:lpstr>aigArbitrationCourtPremiumNeutral</vt:lpstr>
      <vt:lpstr>aigArbitrationCourtSelected</vt:lpstr>
      <vt:lpstr>aigDefaultKlauseln</vt:lpstr>
      <vt:lpstr>aigDoublePerYearPercentage</vt:lpstr>
      <vt:lpstr>aigDoublePerYearPremiumNeutral</vt:lpstr>
      <vt:lpstr>aigDoublePerYearSelected</vt:lpstr>
      <vt:lpstr>AIGFacilityAngeboteneDS</vt:lpstr>
      <vt:lpstr>AIGFacilityKriterien</vt:lpstr>
      <vt:lpstr>AIGFacilityKriterien1</vt:lpstr>
      <vt:lpstr>AIGFacilityKriterien2</vt:lpstr>
      <vt:lpstr>AIGFacilityKriterien3</vt:lpstr>
      <vt:lpstr>aigFacilityYesNo</vt:lpstr>
      <vt:lpstr>aigLimit1CoverageOptions</vt:lpstr>
      <vt:lpstr>aigLimit1FacilityYesNo</vt:lpstr>
      <vt:lpstr>aigLimit1HowdenNetProvision</vt:lpstr>
      <vt:lpstr>aigLimit1Offered</vt:lpstr>
      <vt:lpstr>aigLimit1Premium</vt:lpstr>
      <vt:lpstr>aigLimit1Stars</vt:lpstr>
      <vt:lpstr>aigLimit1Status</vt:lpstr>
      <vt:lpstr>aigLimit2CoverageOptions</vt:lpstr>
      <vt:lpstr>aigLimit2HowdenNetProvision</vt:lpstr>
      <vt:lpstr>aigLimit2Offered</vt:lpstr>
      <vt:lpstr>aigLimit2Premium</vt:lpstr>
      <vt:lpstr>aigLimit2Stars</vt:lpstr>
      <vt:lpstr>aigLimit2Status</vt:lpstr>
      <vt:lpstr>aigLimit3CoverageOptions</vt:lpstr>
      <vt:lpstr>aigLimit3HowdenNetProvision</vt:lpstr>
      <vt:lpstr>aigLimit3Offered</vt:lpstr>
      <vt:lpstr>aigLimit3Premium</vt:lpstr>
      <vt:lpstr>aigLimit3Stars</vt:lpstr>
      <vt:lpstr>aigLimit3Status</vt:lpstr>
      <vt:lpstr>AIGMax10Mio</vt:lpstr>
      <vt:lpstr>aigUsedClauses</vt:lpstr>
      <vt:lpstr>aigWpHGPercentage</vt:lpstr>
      <vt:lpstr>aigWpHGPremiumNeutral</vt:lpstr>
      <vt:lpstr>aigWpHGSelected</vt:lpstr>
      <vt:lpstr>AnteileAnDerBörseGehandelt</vt:lpstr>
      <vt:lpstr>Außenumsatz</vt:lpstr>
      <vt:lpstr>AußenumsatzGI</vt:lpstr>
      <vt:lpstr>axa_MaxDeckungssumme</vt:lpstr>
      <vt:lpstr>axa_MaxUmsatz</vt:lpstr>
      <vt:lpstr>axa_PremiumAdjustment</vt:lpstr>
      <vt:lpstr>axa_Referral</vt:lpstr>
      <vt:lpstr>axa1usedClauses</vt:lpstr>
      <vt:lpstr>axa2usedClauses</vt:lpstr>
      <vt:lpstr>axa3usedClauses</vt:lpstr>
      <vt:lpstr>axaArbitrationCourtPercentage</vt:lpstr>
      <vt:lpstr>axaArbitrationCourtPremiumNeutral</vt:lpstr>
      <vt:lpstr>axaArbitrationCourtSelected</vt:lpstr>
      <vt:lpstr>axaDefaultKlauseln</vt:lpstr>
      <vt:lpstr>axaDoublePerYearPercentage</vt:lpstr>
      <vt:lpstr>axaDoublePerYearPremiumNeutral</vt:lpstr>
      <vt:lpstr>axaDoublePerYearSelected</vt:lpstr>
      <vt:lpstr>axaFacilityArbitrationCourtPercentage</vt:lpstr>
      <vt:lpstr>axaFacilityArbitrationCourtPremiumNeutral</vt:lpstr>
      <vt:lpstr>axaFacilityArbitrationCourtSelected</vt:lpstr>
      <vt:lpstr>axaFacilityDoublePerYearPercentage</vt:lpstr>
      <vt:lpstr>axaFacilityDoublePerYearPremiumNeutral</vt:lpstr>
      <vt:lpstr>axaFacilityDoublePerYearSelected</vt:lpstr>
      <vt:lpstr>AXAFacilityKriterien</vt:lpstr>
      <vt:lpstr>axaFacilityWpHGPercentage</vt:lpstr>
      <vt:lpstr>axaFacilityWpHGPremiumNeutral</vt:lpstr>
      <vt:lpstr>axaFacilityWpHGSelected</vt:lpstr>
      <vt:lpstr>axaFacilityYesNo</vt:lpstr>
      <vt:lpstr>axaLimit1Bewertungsfaktor</vt:lpstr>
      <vt:lpstr>axaLimit1CoopBrokerNetProvision</vt:lpstr>
      <vt:lpstr>axaLimit1CoverageOptions</vt:lpstr>
      <vt:lpstr>axaLimit1HowdenNetProvision</vt:lpstr>
      <vt:lpstr>axaLimit1Offered</vt:lpstr>
      <vt:lpstr>axaLimit1Premium</vt:lpstr>
      <vt:lpstr>axaLimit1Stars</vt:lpstr>
      <vt:lpstr>axaLimit1Status</vt:lpstr>
      <vt:lpstr>axaLimit2Bewertungsfaktor</vt:lpstr>
      <vt:lpstr>axaLimit2CoopBrokerNetProvision</vt:lpstr>
      <vt:lpstr>axaLimit2CoverageOptions</vt:lpstr>
      <vt:lpstr>axaLimit2HowdenNetProvision</vt:lpstr>
      <vt:lpstr>axaLimit2Offered</vt:lpstr>
      <vt:lpstr>axaLimit2Premium</vt:lpstr>
      <vt:lpstr>axaLimit2Stars</vt:lpstr>
      <vt:lpstr>axaLimit2Status</vt:lpstr>
      <vt:lpstr>axaLimit3Bewertungsfaktor</vt:lpstr>
      <vt:lpstr>axaLimit3CoopBrokerNetProvision</vt:lpstr>
      <vt:lpstr>axaLimit3CoverageOptions</vt:lpstr>
      <vt:lpstr>axaLimit3HowdenNetProvision</vt:lpstr>
      <vt:lpstr>axaLimit3Offered</vt:lpstr>
      <vt:lpstr>axaLimit3Premium</vt:lpstr>
      <vt:lpstr>axaLimit3Stars</vt:lpstr>
      <vt:lpstr>axaLimit3Status</vt:lpstr>
      <vt:lpstr>axaRiskManagerGlobalState</vt:lpstr>
      <vt:lpstr>axaUsedClauses</vt:lpstr>
      <vt:lpstr>axaWpHGPercentage</vt:lpstr>
      <vt:lpstr>axaWpHGPremiumNeutral</vt:lpstr>
      <vt:lpstr>axaWpHGSelected</vt:lpstr>
      <vt:lpstr>BenannterBereichtriggerwvagRisikoFragen96Value</vt:lpstr>
      <vt:lpstr>berkley_DeckungssummeCol</vt:lpstr>
      <vt:lpstr>berkley_MaxDeckungssumme</vt:lpstr>
      <vt:lpstr>berkley_MaxUmsatz</vt:lpstr>
      <vt:lpstr>berkley_PremiumAdjustment</vt:lpstr>
      <vt:lpstr>berkley_Referral</vt:lpstr>
      <vt:lpstr>berkley_TarifTable</vt:lpstr>
      <vt:lpstr>berkley_UmsatzRow</vt:lpstr>
      <vt:lpstr>berkley1usedClauses</vt:lpstr>
      <vt:lpstr>berkley2usedClauses</vt:lpstr>
      <vt:lpstr>berkley3usedClauses</vt:lpstr>
      <vt:lpstr>berkleyArbitrationCourtPercentage</vt:lpstr>
      <vt:lpstr>berkleyArbitrationCourtPremiumNeutral</vt:lpstr>
      <vt:lpstr>berkleyArbitrationCourtSelected</vt:lpstr>
      <vt:lpstr>berkleyDefaultKlauseln</vt:lpstr>
      <vt:lpstr>berkleyDoublePerYearPercentage</vt:lpstr>
      <vt:lpstr>berkleyDoublePerYearPremiumNeutral</vt:lpstr>
      <vt:lpstr>berkleyDoublePerYearSelected</vt:lpstr>
      <vt:lpstr>berkleyLimit1Bewertungsfaktor</vt:lpstr>
      <vt:lpstr>berkleyLimit1CoopBrokerNetProvision</vt:lpstr>
      <vt:lpstr>berkleyLimit1CoverageOptions</vt:lpstr>
      <vt:lpstr>berkleyLimit1HowdenNetProvision</vt:lpstr>
      <vt:lpstr>berkleyLimit1Offered</vt:lpstr>
      <vt:lpstr>berkleyLimit1Premium</vt:lpstr>
      <vt:lpstr>berkleyLimit1Stars</vt:lpstr>
      <vt:lpstr>berkleyLimit1Status</vt:lpstr>
      <vt:lpstr>berkleyLimit2Bewertungsfaktor</vt:lpstr>
      <vt:lpstr>berkleyLimit2CoopBrokerNetProvision</vt:lpstr>
      <vt:lpstr>berkleyLimit2CoverageOptions</vt:lpstr>
      <vt:lpstr>berkleyLimit2HowdenNetProvision</vt:lpstr>
      <vt:lpstr>berkleyLimit2Offered</vt:lpstr>
      <vt:lpstr>berkleyLimit2Premium</vt:lpstr>
      <vt:lpstr>berkleyLimit2Stars</vt:lpstr>
      <vt:lpstr>berkleyLimit2Status</vt:lpstr>
      <vt:lpstr>berkleyLimit3Bewertungsfaktor</vt:lpstr>
      <vt:lpstr>berkleyLimit3CoopBrokerNetProvision</vt:lpstr>
      <vt:lpstr>berkleyLimit3CoverageOptions</vt:lpstr>
      <vt:lpstr>berkleyLimit3HowdenNetProvision</vt:lpstr>
      <vt:lpstr>berkleyLimit3Offered</vt:lpstr>
      <vt:lpstr>berkleyLimit3Premium</vt:lpstr>
      <vt:lpstr>berkleyLimit3Stars</vt:lpstr>
      <vt:lpstr>berkleyLimit3Status</vt:lpstr>
      <vt:lpstr>berkleyRiskManagerGlobalState</vt:lpstr>
      <vt:lpstr>berkleyUsedClauses</vt:lpstr>
      <vt:lpstr>berkleyWpHGPercentage</vt:lpstr>
      <vt:lpstr>berkleyWpHGPremiumNeutral</vt:lpstr>
      <vt:lpstr>berkleyWpHGSelected</vt:lpstr>
      <vt:lpstr>Bilanzsumme</vt:lpstr>
      <vt:lpstr>BilanzsummeGI</vt:lpstr>
      <vt:lpstr>BillanzsummeStartup</vt:lpstr>
      <vt:lpstr>Branche</vt:lpstr>
      <vt:lpstr>BrancheOriginal</vt:lpstr>
      <vt:lpstr>BusinessCode</vt:lpstr>
      <vt:lpstr>Businessplan</vt:lpstr>
      <vt:lpstr>Calc_SanctionedCountry</vt:lpstr>
      <vt:lpstr>Cashflow</vt:lpstr>
      <vt:lpstr>coopbrokerCourtageAIGF</vt:lpstr>
      <vt:lpstr>coopbrokerCourtageAIGFACDigitalAcquisition</vt:lpstr>
      <vt:lpstr>coopbrokerCourtageHPDO</vt:lpstr>
      <vt:lpstr>coopbrokerCourtageHPDODigitalAcquisition</vt:lpstr>
      <vt:lpstr>coopbrokerCourtageWVAG</vt:lpstr>
      <vt:lpstr>coopbrokerCourtageWVAGDigitalAcquisition</vt:lpstr>
      <vt:lpstr>CountryExclusion</vt:lpstr>
      <vt:lpstr>DaughterCompanies</vt:lpstr>
      <vt:lpstr>DaughterInSanctionedCountry</vt:lpstr>
      <vt:lpstr>Deckungssumme1</vt:lpstr>
      <vt:lpstr>Deckungssumme1GI</vt:lpstr>
      <vt:lpstr>Deckungssumme2</vt:lpstr>
      <vt:lpstr>Deckungssumme2GI</vt:lpstr>
      <vt:lpstr>Deckungssumme3</vt:lpstr>
      <vt:lpstr>Deckungssumme3GI</vt:lpstr>
      <vt:lpstr>Drittunternehmen</vt:lpstr>
      <vt:lpstr>dual_MaxDeckungssumme</vt:lpstr>
      <vt:lpstr>dual_MaxUmsatz</vt:lpstr>
      <vt:lpstr>dual_PremiumAdjustment</vt:lpstr>
      <vt:lpstr>dual_Referral</vt:lpstr>
      <vt:lpstr>dual1usedClauses</vt:lpstr>
      <vt:lpstr>dual2usedClauses</vt:lpstr>
      <vt:lpstr>dual3usedClauses</vt:lpstr>
      <vt:lpstr>dualArbitrationCourtPercentage</vt:lpstr>
      <vt:lpstr>dualArbitrationCourtPremiumNeutral</vt:lpstr>
      <vt:lpstr>dualArbitrationCourtSelected</vt:lpstr>
      <vt:lpstr>dualDefaultKlauseln</vt:lpstr>
      <vt:lpstr>dualDoublePerYearPercentage</vt:lpstr>
      <vt:lpstr>dualDoublePerYearPremiumNeutral</vt:lpstr>
      <vt:lpstr>dualDoublePerYearSelected</vt:lpstr>
      <vt:lpstr>dualLimit1Bewertungsfaktor</vt:lpstr>
      <vt:lpstr>dualLimit1CoopBrokerNetProvision</vt:lpstr>
      <vt:lpstr>dualLimit1CoverageOptions</vt:lpstr>
      <vt:lpstr>dualLimit1HowdenNetProvision</vt:lpstr>
      <vt:lpstr>dualLimit1Offered</vt:lpstr>
      <vt:lpstr>dualLimit1Premium</vt:lpstr>
      <vt:lpstr>dualLimit1Stars</vt:lpstr>
      <vt:lpstr>dualLimit1Status</vt:lpstr>
      <vt:lpstr>dualLimit2Bewertungsfaktor</vt:lpstr>
      <vt:lpstr>dualLimit2CoopBrokerNetProvision</vt:lpstr>
      <vt:lpstr>dualLimit2CoverageOptions</vt:lpstr>
      <vt:lpstr>dualLimit2HowdenNetProvision</vt:lpstr>
      <vt:lpstr>dualLimit2Offered</vt:lpstr>
      <vt:lpstr>dualLimit2Premium</vt:lpstr>
      <vt:lpstr>dualLimit2Stars</vt:lpstr>
      <vt:lpstr>dualLimit2Status</vt:lpstr>
      <vt:lpstr>dualLimit3Bewertungsfaktor</vt:lpstr>
      <vt:lpstr>dualLimit3CoopBrokerNetProvision</vt:lpstr>
      <vt:lpstr>dualLimit3CoverageOptions</vt:lpstr>
      <vt:lpstr>dualLimit3HowdenNetProvision</vt:lpstr>
      <vt:lpstr>dualLimit3Offered</vt:lpstr>
      <vt:lpstr>dualLimit3Premium</vt:lpstr>
      <vt:lpstr>dualLimit3Stars</vt:lpstr>
      <vt:lpstr>dualLimit3Status</vt:lpstr>
      <vt:lpstr>dualRiskManagerGlobalState</vt:lpstr>
      <vt:lpstr>dualUsedClauses</vt:lpstr>
      <vt:lpstr>dualWpHGPercentage</vt:lpstr>
      <vt:lpstr>dualWpHGPremiumNeutral</vt:lpstr>
      <vt:lpstr>dualWpHGSelected</vt:lpstr>
      <vt:lpstr>Dunkelverarbeitung</vt:lpstr>
      <vt:lpstr>ergo_Deckungssummenlimit1</vt:lpstr>
      <vt:lpstr>ergo_MaxDeckungssumme</vt:lpstr>
      <vt:lpstr>ergo_MaxUmsatz</vt:lpstr>
      <vt:lpstr>ergo_PremiumAdjustment</vt:lpstr>
      <vt:lpstr>ergo_Referral</vt:lpstr>
      <vt:lpstr>ergo1usedClauses</vt:lpstr>
      <vt:lpstr>ergo2usedClauses</vt:lpstr>
      <vt:lpstr>ergo3usedClauses</vt:lpstr>
      <vt:lpstr>ergoArbitrationCourtPercentage</vt:lpstr>
      <vt:lpstr>ergoArbitrationCourtPremiumNeutral</vt:lpstr>
      <vt:lpstr>ergoArbitrationCourtSelected</vt:lpstr>
      <vt:lpstr>ergoDefaultKlauseln</vt:lpstr>
      <vt:lpstr>ergoDoublePerYearPercentage</vt:lpstr>
      <vt:lpstr>ergoDoublePerYearPremiumNeutral</vt:lpstr>
      <vt:lpstr>ergoDoublePerYearSelected</vt:lpstr>
      <vt:lpstr>ergoLimit1Bewertungsfaktor</vt:lpstr>
      <vt:lpstr>ergoLimit1CoopBrokerNetProvision</vt:lpstr>
      <vt:lpstr>ergoLimit1CoverageOptions</vt:lpstr>
      <vt:lpstr>ergoLimit1HowdenNetProvision</vt:lpstr>
      <vt:lpstr>ergoLimit1Offered</vt:lpstr>
      <vt:lpstr>ergoLimit1Premium</vt:lpstr>
      <vt:lpstr>ergoLimit1Stars</vt:lpstr>
      <vt:lpstr>ergoLimit1Status</vt:lpstr>
      <vt:lpstr>ergoLimit2Bewertungsfaktor</vt:lpstr>
      <vt:lpstr>ergoLimit2CoopBrokerNetProvision</vt:lpstr>
      <vt:lpstr>ergoLimit2CoverageOptions</vt:lpstr>
      <vt:lpstr>ergoLimit2HowdenNetProvision</vt:lpstr>
      <vt:lpstr>ergoLimit2Offered</vt:lpstr>
      <vt:lpstr>ergoLimit2Premium</vt:lpstr>
      <vt:lpstr>ergoLimit2Stars</vt:lpstr>
      <vt:lpstr>ergoLimit2Status</vt:lpstr>
      <vt:lpstr>ergoLimit3Bewertungsfaktor</vt:lpstr>
      <vt:lpstr>ergoLimit3CoopBrokerNetProvision</vt:lpstr>
      <vt:lpstr>ergoLimit3CoverageOptions</vt:lpstr>
      <vt:lpstr>ergoLimit3HowdenNetProvision</vt:lpstr>
      <vt:lpstr>ergoLimit3Offered</vt:lpstr>
      <vt:lpstr>ergoLimit3Premium</vt:lpstr>
      <vt:lpstr>ergoLimit3Stars</vt:lpstr>
      <vt:lpstr>ergoLimit3Status</vt:lpstr>
      <vt:lpstr>ergoRiskManagerGlobalState</vt:lpstr>
      <vt:lpstr>ergoUsedClauses</vt:lpstr>
      <vt:lpstr>ergoWpHGPercentage</vt:lpstr>
      <vt:lpstr>ergoWpHGPremiumNeutral</vt:lpstr>
      <vt:lpstr>ergoWpHGSelected</vt:lpstr>
      <vt:lpstr>Facility150Mio</vt:lpstr>
      <vt:lpstr>FIInstitut</vt:lpstr>
      <vt:lpstr>gemeinnuetzig</vt:lpstr>
      <vt:lpstr>Gesellschaftsform</vt:lpstr>
      <vt:lpstr>GesellschaftsformGI</vt:lpstr>
      <vt:lpstr>giBusinessCode</vt:lpstr>
      <vt:lpstr>giClubRevenue</vt:lpstr>
      <vt:lpstr>giInsurer1</vt:lpstr>
      <vt:lpstr>giInsurer2</vt:lpstr>
      <vt:lpstr>giInsurer3</vt:lpstr>
      <vt:lpstr>giLegalForm</vt:lpstr>
      <vt:lpstr>giLimit1</vt:lpstr>
      <vt:lpstr>giLimit2</vt:lpstr>
      <vt:lpstr>giLimit3</vt:lpstr>
      <vt:lpstr>giNonStartupRevenue</vt:lpstr>
      <vt:lpstr>giOfferedLimit1</vt:lpstr>
      <vt:lpstr>giOfferedLimit2</vt:lpstr>
      <vt:lpstr>giOfferedLimit3</vt:lpstr>
      <vt:lpstr>giPremium1</vt:lpstr>
      <vt:lpstr>giPremium2</vt:lpstr>
      <vt:lpstr>giPremium3</vt:lpstr>
      <vt:lpstr>giStartupRevenue</vt:lpstr>
      <vt:lpstr>globalStateGreen</vt:lpstr>
      <vt:lpstr>globalStateKO</vt:lpstr>
      <vt:lpstr>globalStateReferral</vt:lpstr>
      <vt:lpstr>Gruendungsjahr</vt:lpstr>
      <vt:lpstr>includedArbitrationCourtPercentage</vt:lpstr>
      <vt:lpstr>includedArbitrationCourtPremiumNeutral</vt:lpstr>
      <vt:lpstr>includedArbitrationCourtSelected</vt:lpstr>
      <vt:lpstr>JaAntwort</vt:lpstr>
      <vt:lpstr>KO_Trigger</vt:lpstr>
      <vt:lpstr>liberty_deRiskManagerGlobalState</vt:lpstr>
      <vt:lpstr>liberty_MaxDeckungssumme</vt:lpstr>
      <vt:lpstr>liberty_MaxUmsatz</vt:lpstr>
      <vt:lpstr>liberty1usedClauses</vt:lpstr>
      <vt:lpstr>liberty2usedClauses</vt:lpstr>
      <vt:lpstr>liberty3usedClauses</vt:lpstr>
      <vt:lpstr>libertyArbitrationCourtPercentage</vt:lpstr>
      <vt:lpstr>libertyArbitrationCourtPremiumNeutral</vt:lpstr>
      <vt:lpstr>libertyArbitrationCourtSelected</vt:lpstr>
      <vt:lpstr>libertyClubs_MaxDeckungssumme</vt:lpstr>
      <vt:lpstr>libertyClubs_MaxUmsatz</vt:lpstr>
      <vt:lpstr>libertyde_MinEquityRatio</vt:lpstr>
      <vt:lpstr>libertyde_MinEquityRatio_PremiumAdjustment</vt:lpstr>
      <vt:lpstr>libertyde_PremiumAdjustment</vt:lpstr>
      <vt:lpstr>libertyde_Referral</vt:lpstr>
      <vt:lpstr>libertyDefaultKlauseln</vt:lpstr>
      <vt:lpstr>libertyDoublePerYearPercentage</vt:lpstr>
      <vt:lpstr>libertyDoublePerYearPremiumNeutral</vt:lpstr>
      <vt:lpstr>libertyDoublePerYearSelected</vt:lpstr>
      <vt:lpstr>LibertyEigenkapitalquote</vt:lpstr>
      <vt:lpstr>libertyLimit1Bewertungsfaktor</vt:lpstr>
      <vt:lpstr>libertyLimit1CoopBrokerNetProvision</vt:lpstr>
      <vt:lpstr>libertyLimit1CoverageOptions</vt:lpstr>
      <vt:lpstr>libertyLimit1HowdenNetProvision</vt:lpstr>
      <vt:lpstr>libertyLimit1Offered</vt:lpstr>
      <vt:lpstr>libertyLimit1Premium</vt:lpstr>
      <vt:lpstr>libertyLimit1Stars</vt:lpstr>
      <vt:lpstr>libertyLimit1Status</vt:lpstr>
      <vt:lpstr>libertyLimit2Bewertungsfaktor</vt:lpstr>
      <vt:lpstr>libertyLimit2CoopBrokerNetProvision</vt:lpstr>
      <vt:lpstr>libertyLimit2CoverageOptions</vt:lpstr>
      <vt:lpstr>libertyLimit2HowdenNetProvision</vt:lpstr>
      <vt:lpstr>libertyLimit2Offered</vt:lpstr>
      <vt:lpstr>libertyLimit2Premium</vt:lpstr>
      <vt:lpstr>libertyLimit2Stars</vt:lpstr>
      <vt:lpstr>libertyLimit2Status</vt:lpstr>
      <vt:lpstr>libertyLimit3Bewertungsfaktor</vt:lpstr>
      <vt:lpstr>libertyLimit3CoopBrokerNetProvision</vt:lpstr>
      <vt:lpstr>libertyLimit3CoverageOptions</vt:lpstr>
      <vt:lpstr>libertyLimit3HowdenNetProvision</vt:lpstr>
      <vt:lpstr>libertyLimit3Offered</vt:lpstr>
      <vt:lpstr>libertyLimit3Premium</vt:lpstr>
      <vt:lpstr>libertyLimit3Stars</vt:lpstr>
      <vt:lpstr>libertyLimit3Status</vt:lpstr>
      <vt:lpstr>libertyUsedClauses</vt:lpstr>
      <vt:lpstr>libertyWpHGPercentage</vt:lpstr>
      <vt:lpstr>libertyWpHGPremiumNeutral</vt:lpstr>
      <vt:lpstr>libertyWpHGSelected</vt:lpstr>
      <vt:lpstr>markel_MaxDeckungssumme</vt:lpstr>
      <vt:lpstr>markel_MaxUmsatz</vt:lpstr>
      <vt:lpstr>markel_PremiumAdjustment</vt:lpstr>
      <vt:lpstr>markel_Referral</vt:lpstr>
      <vt:lpstr>markel1usedClauses</vt:lpstr>
      <vt:lpstr>markel2usedClauses</vt:lpstr>
      <vt:lpstr>markel3usedClauses</vt:lpstr>
      <vt:lpstr>markelArbitrationCourtPercentage</vt:lpstr>
      <vt:lpstr>markelArbitrationCourtPremiumNeutral</vt:lpstr>
      <vt:lpstr>markelArbitrationCourtSelected</vt:lpstr>
      <vt:lpstr>markelClubs_MaxDeckungssumme</vt:lpstr>
      <vt:lpstr>markelClubs_MaxUmsatz</vt:lpstr>
      <vt:lpstr>markelDefaultKlauseln</vt:lpstr>
      <vt:lpstr>markelDoublePerYearPercentage</vt:lpstr>
      <vt:lpstr>markelDoublePerYearPremiumNeutral</vt:lpstr>
      <vt:lpstr>markelDoublePerYearSelected</vt:lpstr>
      <vt:lpstr>markelLimit1Bewertungsfaktor</vt:lpstr>
      <vt:lpstr>markelLimit1CoopBrokerNetProvision</vt:lpstr>
      <vt:lpstr>markelLimit1CoverageOptions</vt:lpstr>
      <vt:lpstr>markelLimit1HowdenNetProvision</vt:lpstr>
      <vt:lpstr>markelLimit1Offered</vt:lpstr>
      <vt:lpstr>markelLimit1Premium</vt:lpstr>
      <vt:lpstr>markelLimit1Stars</vt:lpstr>
      <vt:lpstr>markelLimit1Status</vt:lpstr>
      <vt:lpstr>markelLimit2Bewertungsfaktor</vt:lpstr>
      <vt:lpstr>markelLimit2CoopBrokerNetProvision</vt:lpstr>
      <vt:lpstr>markelLimit2CoverageOptions</vt:lpstr>
      <vt:lpstr>markelLimit2HowdenNetProvision</vt:lpstr>
      <vt:lpstr>markelLimit2Offered</vt:lpstr>
      <vt:lpstr>markelLimit2Premium</vt:lpstr>
      <vt:lpstr>markelLimit2Stars</vt:lpstr>
      <vt:lpstr>markelLimit2Status</vt:lpstr>
      <vt:lpstr>markelLimit3Bewertungsfaktor</vt:lpstr>
      <vt:lpstr>markelLimit3CoopBrokerNetProvision</vt:lpstr>
      <vt:lpstr>markelLimit3CoverageOptions</vt:lpstr>
      <vt:lpstr>markelLimit3HowdenNetProvision</vt:lpstr>
      <vt:lpstr>markelLimit3Offered</vt:lpstr>
      <vt:lpstr>markelLimit3Premium</vt:lpstr>
      <vt:lpstr>markelLimit3Stars</vt:lpstr>
      <vt:lpstr>markelLimit3Status</vt:lpstr>
      <vt:lpstr>markelRiskManagerGlobalState</vt:lpstr>
      <vt:lpstr>markelUsedClauses</vt:lpstr>
      <vt:lpstr>markelWpHGPercentage</vt:lpstr>
      <vt:lpstr>markelWpHGPremiumNeutral</vt:lpstr>
      <vt:lpstr>markelWpHGSelected</vt:lpstr>
      <vt:lpstr>NeinAntwort</vt:lpstr>
      <vt:lpstr>Neubeherrschung</vt:lpstr>
      <vt:lpstr>newline_MaxDeckungssumme</vt:lpstr>
      <vt:lpstr>newline_MaxUmsatz</vt:lpstr>
      <vt:lpstr>newline_PremiumAdjustment</vt:lpstr>
      <vt:lpstr>newline_Referral</vt:lpstr>
      <vt:lpstr>newline1usedClauses</vt:lpstr>
      <vt:lpstr>newline2usedClauses</vt:lpstr>
      <vt:lpstr>newline3usedClauses</vt:lpstr>
      <vt:lpstr>newlineArbitrationCourtPercentage</vt:lpstr>
      <vt:lpstr>newlineArbitrationCourtPremiumNeutral</vt:lpstr>
      <vt:lpstr>newlineArbitrationCourtSelected</vt:lpstr>
      <vt:lpstr>newlineDefaultKlauseln</vt:lpstr>
      <vt:lpstr>newlineDoublePerYearPercentage</vt:lpstr>
      <vt:lpstr>newlineDoublePerYearPremiumNeutral</vt:lpstr>
      <vt:lpstr>newlineDoublePerYearSelected</vt:lpstr>
      <vt:lpstr>NewlineEigenkapitalquote</vt:lpstr>
      <vt:lpstr>newlineLimit1Bewertungsfaktor</vt:lpstr>
      <vt:lpstr>newlineLimit1CoopBrokerNetProvision</vt:lpstr>
      <vt:lpstr>newlineLimit1CoverageOptions</vt:lpstr>
      <vt:lpstr>newlineLimit1HowdenNetProvision</vt:lpstr>
      <vt:lpstr>newlineLimit1Offered</vt:lpstr>
      <vt:lpstr>newlineLimit1Premium</vt:lpstr>
      <vt:lpstr>newlineLimit1Stars</vt:lpstr>
      <vt:lpstr>newlineLimit1Status</vt:lpstr>
      <vt:lpstr>newlineLimit2Bewertungsfaktor</vt:lpstr>
      <vt:lpstr>newlineLimit2CoopBrokerNetProvision</vt:lpstr>
      <vt:lpstr>newlineLimit2CoverageOptions</vt:lpstr>
      <vt:lpstr>newlineLimit2HowdenNetProvision</vt:lpstr>
      <vt:lpstr>newlineLimit2Offered</vt:lpstr>
      <vt:lpstr>newlineLimit2Premium</vt:lpstr>
      <vt:lpstr>newlineLimit2Stars</vt:lpstr>
      <vt:lpstr>newlineLimit2Status</vt:lpstr>
      <vt:lpstr>newlineLimit3Bewertungsfaktor</vt:lpstr>
      <vt:lpstr>newlineLimit3CoopBrokerNetProvision</vt:lpstr>
      <vt:lpstr>newlineLimit3CoverageOptions</vt:lpstr>
      <vt:lpstr>newlineLimit3HowdenNetProvision</vt:lpstr>
      <vt:lpstr>newlineLimit3Offered</vt:lpstr>
      <vt:lpstr>newlineLimit3Premium</vt:lpstr>
      <vt:lpstr>newlineLimit3Stars</vt:lpstr>
      <vt:lpstr>newlineLimit3Status</vt:lpstr>
      <vt:lpstr>newlineRiskManagerGlobalState</vt:lpstr>
      <vt:lpstr>newlineUsedClauses</vt:lpstr>
      <vt:lpstr>newlineWpHGPercentage</vt:lpstr>
      <vt:lpstr>newlineWpHGPremiumNeutral</vt:lpstr>
      <vt:lpstr>newlineWpHGSelected</vt:lpstr>
      <vt:lpstr>NichtKonsolidierteUnternehmen</vt:lpstr>
      <vt:lpstr>noOptionPercentage</vt:lpstr>
      <vt:lpstr>noOptionPremiumNeutral</vt:lpstr>
      <vt:lpstr>noOptionSelected</vt:lpstr>
      <vt:lpstr>OfferDeclined</vt:lpstr>
      <vt:lpstr>OfferInProgress</vt:lpstr>
      <vt:lpstr>OfferReady</vt:lpstr>
      <vt:lpstr>OfferReferral</vt:lpstr>
      <vt:lpstr>origin</vt:lpstr>
      <vt:lpstr>plBusinessCode</vt:lpstr>
      <vt:lpstr>plClubRevenue</vt:lpstr>
      <vt:lpstr>plLegalForm</vt:lpstr>
      <vt:lpstr>plLimit1</vt:lpstr>
      <vt:lpstr>plLimit2</vt:lpstr>
      <vt:lpstr>plLimit3</vt:lpstr>
      <vt:lpstr>plNonStartupRevenue</vt:lpstr>
      <vt:lpstr>plStartupRevenue</vt:lpstr>
      <vt:lpstr>PolicenAblauf</vt:lpstr>
      <vt:lpstr>PolicenBeginn</vt:lpstr>
      <vt:lpstr>premiumCollectionType</vt:lpstr>
      <vt:lpstr>Profisport</vt:lpstr>
      <vt:lpstr>'Inhaltliche Bewertung - GI'!RechtsformAngebot</vt:lpstr>
      <vt:lpstr>RechtsformAngebot</vt:lpstr>
      <vt:lpstr>'Inhaltliche Bewertung - GI'!RechtsformGI</vt:lpstr>
      <vt:lpstr>RechtsformGI</vt:lpstr>
      <vt:lpstr>Referral</vt:lpstr>
      <vt:lpstr>RisikoFragen0a</vt:lpstr>
      <vt:lpstr>RisikoFragen0b</vt:lpstr>
      <vt:lpstr>RisikoFragen0c</vt:lpstr>
      <vt:lpstr>RisikoFragen0d</vt:lpstr>
      <vt:lpstr>RisikoFragen0e</vt:lpstr>
      <vt:lpstr>RisikoFragen127</vt:lpstr>
      <vt:lpstr>RisikoFragen18</vt:lpstr>
      <vt:lpstr>RisikoFragen19</vt:lpstr>
      <vt:lpstr>RisikoFragen20</vt:lpstr>
      <vt:lpstr>RisikoFragen21a</vt:lpstr>
      <vt:lpstr>RisikoFragen21b</vt:lpstr>
      <vt:lpstr>RisikoFragen22</vt:lpstr>
      <vt:lpstr>RisikoFragen23a</vt:lpstr>
      <vt:lpstr>RisikoFragen23b</vt:lpstr>
      <vt:lpstr>RisikoFragen23c</vt:lpstr>
      <vt:lpstr>RisikoFragen23d</vt:lpstr>
      <vt:lpstr>RisikoFragen23e</vt:lpstr>
      <vt:lpstr>RisikoFragen24</vt:lpstr>
      <vt:lpstr>RisikoFragen25</vt:lpstr>
      <vt:lpstr>RisikoFragen26a</vt:lpstr>
      <vt:lpstr>RisikoFragen26b</vt:lpstr>
      <vt:lpstr>RisikoFragen27a</vt:lpstr>
      <vt:lpstr>RisikoFragen27b</vt:lpstr>
      <vt:lpstr>RisikoFragen27c</vt:lpstr>
      <vt:lpstr>RisikoFragen27d</vt:lpstr>
      <vt:lpstr>RisikoFragen27e</vt:lpstr>
      <vt:lpstr>RisikoFragen30</vt:lpstr>
      <vt:lpstr>RisikoFragen32</vt:lpstr>
      <vt:lpstr>RisikoFragen33</vt:lpstr>
      <vt:lpstr>RisikoFragen34</vt:lpstr>
      <vt:lpstr>RisikoFragen35</vt:lpstr>
      <vt:lpstr>RisikoFragen35YearBefore</vt:lpstr>
      <vt:lpstr>RisikoFragen36a</vt:lpstr>
      <vt:lpstr>RisikoFragen36aYearBefore</vt:lpstr>
      <vt:lpstr>RisikoFragen37</vt:lpstr>
      <vt:lpstr>RisikoFragen39</vt:lpstr>
      <vt:lpstr>RisikoFragen7</vt:lpstr>
      <vt:lpstr>RisikoFragen8</vt:lpstr>
      <vt:lpstr>RisikoFragen9</vt:lpstr>
      <vt:lpstr>RisikoFragen902</vt:lpstr>
      <vt:lpstr>RisikoFragen95a</vt:lpstr>
      <vt:lpstr>RisikoFragen96</vt:lpstr>
      <vt:lpstr>RisikoFragen99</vt:lpstr>
      <vt:lpstr>RisikoFragenAIGFacility40</vt:lpstr>
      <vt:lpstr>RisikoFragenAIGFacility41</vt:lpstr>
      <vt:lpstr>RisikoFragenAIGFacility42</vt:lpstr>
      <vt:lpstr>RisikoFragenAIGFacility43</vt:lpstr>
      <vt:lpstr>RisikoFragenAIGFacility44</vt:lpstr>
      <vt:lpstr>RisikoFragenAIGFacility46</vt:lpstr>
      <vt:lpstr>RisikoFragenAIGFacility47</vt:lpstr>
      <vt:lpstr>RisikoFragenAIGFacility48</vt:lpstr>
      <vt:lpstr>RisikoFragenAIGFacility49</vt:lpstr>
      <vt:lpstr>RisikoFragenAXAFacility115a</vt:lpstr>
      <vt:lpstr>RisikoFragenAXAFacility115b</vt:lpstr>
      <vt:lpstr>RisikoFragenAXAFacility116a</vt:lpstr>
      <vt:lpstr>RisikoFragenAXAFacility116b</vt:lpstr>
      <vt:lpstr>RisikoFragenAXAFacility116c</vt:lpstr>
      <vt:lpstr>RisikoFragenAXAFacility116d</vt:lpstr>
      <vt:lpstr>RisikoFragenAXAFacility116e</vt:lpstr>
      <vt:lpstr>RisikoFragenAXAFacility117a</vt:lpstr>
      <vt:lpstr>RisikoFragenAXAFacility117b</vt:lpstr>
      <vt:lpstr>RisikoFragenAXAFacility117d</vt:lpstr>
      <vt:lpstr>RisikoFragenAXAFacility118a</vt:lpstr>
      <vt:lpstr>RisikoFragenAXAFacility118b</vt:lpstr>
      <vt:lpstr>RisikoFragenAXAFacility118d</vt:lpstr>
      <vt:lpstr>RisikoFragenAXAFacility119a</vt:lpstr>
      <vt:lpstr>RisikoFragenAXAFacility119b</vt:lpstr>
      <vt:lpstr>RisikoFragenAXAFacility122a</vt:lpstr>
      <vt:lpstr>RisikoFragenAXAFacility122b</vt:lpstr>
      <vt:lpstr>RisikoFragenAXAFacility122d</vt:lpstr>
      <vt:lpstr>RisikoFragenStartUp127</vt:lpstr>
      <vt:lpstr>RisikoFragenStartUp128</vt:lpstr>
      <vt:lpstr>RisikoFragenStartUp129</vt:lpstr>
      <vt:lpstr>RisikoFragenStartUp130</vt:lpstr>
      <vt:lpstr>RisikoFragenStartUp131</vt:lpstr>
      <vt:lpstr>RisikoFragenStartUp132</vt:lpstr>
      <vt:lpstr>RisikoFragenStartUp133</vt:lpstr>
      <vt:lpstr>RisikoFragenStartUp134</vt:lpstr>
      <vt:lpstr>RisikoFragenStartUp135</vt:lpstr>
      <vt:lpstr>RisikoFragenStartUp136</vt:lpstr>
      <vt:lpstr>RisikoFragenStartUp137</vt:lpstr>
      <vt:lpstr>RisikoFragenStartUp138</vt:lpstr>
      <vt:lpstr>RisikoFragenStartUp142</vt:lpstr>
      <vt:lpstr>RisikoFragenStartUp143</vt:lpstr>
      <vt:lpstr>RisikoFragenStartUp144</vt:lpstr>
      <vt:lpstr>RisikoFragenStartUp145</vt:lpstr>
      <vt:lpstr>RisikoFragenStartUp146</vt:lpstr>
      <vt:lpstr>RisikoFragenStartUp147</vt:lpstr>
      <vt:lpstr>RisikoFragenStartUp148</vt:lpstr>
      <vt:lpstr>RisikoFragenStartUp149</vt:lpstr>
      <vt:lpstr>RisikoFragenStartUp150</vt:lpstr>
      <vt:lpstr>RisikoFragenStartUp92</vt:lpstr>
      <vt:lpstr>RisikoFragenStartUp93</vt:lpstr>
      <vt:lpstr>RisikoFragenStartUp94</vt:lpstr>
      <vt:lpstr>RisikoFragenUmsatzSanktionsland</vt:lpstr>
      <vt:lpstr>RisikoFragenUSACAN106</vt:lpstr>
      <vt:lpstr>RisikoFragenUSACAN107</vt:lpstr>
      <vt:lpstr>RisikoFragenUSACAN111</vt:lpstr>
      <vt:lpstr>RisikoFragenUSACAN112</vt:lpstr>
      <vt:lpstr>RisikoFragenUSACAN113</vt:lpstr>
      <vt:lpstr>RisikoFragenUSACAN114</vt:lpstr>
      <vt:lpstr>RisikoFragenVereine100</vt:lpstr>
      <vt:lpstr>RisikoFragenVereine101</vt:lpstr>
      <vt:lpstr>RisikoFragenVereine102</vt:lpstr>
      <vt:lpstr>RisikoFragenVereine103</vt:lpstr>
      <vt:lpstr>RisikoFragenVereine104</vt:lpstr>
      <vt:lpstr>RisikoFragenVereine105</vt:lpstr>
      <vt:lpstr>RisikoFragenVorvertragClaimsForIncreasedLimit</vt:lpstr>
      <vt:lpstr>RisikoFragenVorvertragExtendedReportingPeriod</vt:lpstr>
      <vt:lpstr>RisikoFragenVorvertragInsurer</vt:lpstr>
      <vt:lpstr>RisikoFragenVorvertragNoGapsInCoverage</vt:lpstr>
      <vt:lpstr>Spitzenverband</vt:lpstr>
      <vt:lpstr>StammDaten126</vt:lpstr>
      <vt:lpstr>StammDaten2</vt:lpstr>
      <vt:lpstr>StammDaten3</vt:lpstr>
      <vt:lpstr>StammDaten901</vt:lpstr>
      <vt:lpstr>StartUp</vt:lpstr>
      <vt:lpstr>StatusAIGFacility</vt:lpstr>
      <vt:lpstr>StatusAXAFacility</vt:lpstr>
      <vt:lpstr>StatusBerkley</vt:lpstr>
      <vt:lpstr>StatusDual</vt:lpstr>
      <vt:lpstr>StatusErgo</vt:lpstr>
      <vt:lpstr>StatusLiberty</vt:lpstr>
      <vt:lpstr>StatusMarkel</vt:lpstr>
      <vt:lpstr>StatusNewline</vt:lpstr>
      <vt:lpstr>StatusWVAG</vt:lpstr>
      <vt:lpstr>tenantId</vt:lpstr>
      <vt:lpstr>triggeraigRisikoFragen36aKoValue</vt:lpstr>
      <vt:lpstr>triggeraigStammDaten2RefValue</vt:lpstr>
      <vt:lpstr>triggeraxaRisikoFragen0aValue</vt:lpstr>
      <vt:lpstr>triggeraxaRisikoFragen0bKoValue</vt:lpstr>
      <vt:lpstr>triggeraxaRisikoFragen0bRefValue</vt:lpstr>
      <vt:lpstr>triggeraxaRisikoFragen11KoValue</vt:lpstr>
      <vt:lpstr>triggeraxaRisikoFragen11RefValue</vt:lpstr>
      <vt:lpstr>triggeraxaRisikoFragen18Value</vt:lpstr>
      <vt:lpstr>triggeraxaRisikoFragen19RefValue</vt:lpstr>
      <vt:lpstr>triggeraxaRisikoFragen20RefValue</vt:lpstr>
      <vt:lpstr>triggeraxaRisikoFragen23cValue</vt:lpstr>
      <vt:lpstr>triggeraxaRisikoFragen25Value</vt:lpstr>
      <vt:lpstr>triggeraxaRisikoFragen26aValue</vt:lpstr>
      <vt:lpstr>triggeraxaRisikoFragen32KoValue</vt:lpstr>
      <vt:lpstr>triggeraxaRisikoFragen32RefValue</vt:lpstr>
      <vt:lpstr>triggeraxaRisikoFragen34Value</vt:lpstr>
      <vt:lpstr>triggeraxaRisikoFragen35Value</vt:lpstr>
      <vt:lpstr>triggeraxaRisikoFragen36aKoValue</vt:lpstr>
      <vt:lpstr>triggeraxaRisikoFragen39Value</vt:lpstr>
      <vt:lpstr>triggeraxaRisikoFragen902Value</vt:lpstr>
      <vt:lpstr>triggeraxaRisikoFragen9Value</vt:lpstr>
      <vt:lpstr>triggeraxaRisikoFragenAIGFacility40Value</vt:lpstr>
      <vt:lpstr>triggeraxaRisikoFragenAIGFacility41Value</vt:lpstr>
      <vt:lpstr>triggeraxaRisikoFragenAIGFacility42Value</vt:lpstr>
      <vt:lpstr>triggeraxaRisikoFragenAIGFacility43Value</vt:lpstr>
      <vt:lpstr>triggeraxaRisikoFragenAIGFacility46Value</vt:lpstr>
      <vt:lpstr>triggeraxaRisikoFragenAIGFacility47Value</vt:lpstr>
      <vt:lpstr>triggeraxaRisikoFragenAIGFacility48Value</vt:lpstr>
      <vt:lpstr>triggeraxaRisikoFragenAIGFacility49Value</vt:lpstr>
      <vt:lpstr>triggeraxaRisikoFragenAXAFacility115aValue</vt:lpstr>
      <vt:lpstr>triggeraxaRisikoFragenAXAFacility115bValue</vt:lpstr>
      <vt:lpstr>triggeraxaRisikoFragenAXAFacility116aValue</vt:lpstr>
      <vt:lpstr>triggeraxaRisikoFragenAXAFacility118aValue</vt:lpstr>
      <vt:lpstr>triggeraxaRisikoFragenAXAFacility122aValue</vt:lpstr>
      <vt:lpstr>triggeraxaRisikoFragenUmsatzSanktionslandValue</vt:lpstr>
      <vt:lpstr>triggeraxaRisikoFragenUSACAN111Value</vt:lpstr>
      <vt:lpstr>triggeraxaRisikoFragenUSACAN113Value</vt:lpstr>
      <vt:lpstr>triggeraxaRisikoFragenUSACAN114Value</vt:lpstr>
      <vt:lpstr>triggeraxaRisikoFragenVereine101Value</vt:lpstr>
      <vt:lpstr>triggeraxaRisikoFragenVereine102Value</vt:lpstr>
      <vt:lpstr>triggeraxaRisikoFragenVereine103KoValue</vt:lpstr>
      <vt:lpstr>triggeraxaRisikoFragenVereine104Value</vt:lpstr>
      <vt:lpstr>triggeraxaRisikoFragenVereine105Value</vt:lpstr>
      <vt:lpstr>triggeraxaRisikoFragenVorvertragExtendedReportingPeriodValue</vt:lpstr>
      <vt:lpstr>triggeraxaRisikoFragenVorvertragInsurerValue</vt:lpstr>
      <vt:lpstr>triggeraxaRisikoFragenVorvertragNoGapsInCoverageValue</vt:lpstr>
      <vt:lpstr>triggeraxaStammDaten2RefValue</vt:lpstr>
      <vt:lpstr>triggeraxaStammDaten3KoValue</vt:lpstr>
      <vt:lpstr>triggerBackstopReason</vt:lpstr>
      <vt:lpstr>triggerberkleyRisikoFragen0aValue</vt:lpstr>
      <vt:lpstr>triggerberkleyRisikoFragen0bRefValue</vt:lpstr>
      <vt:lpstr>triggerberkleyRisikoFragen11KoValue</vt:lpstr>
      <vt:lpstr>triggerberkleyRisikoFragen11RefValue</vt:lpstr>
      <vt:lpstr>triggerberkleyRisikoFragen18Value</vt:lpstr>
      <vt:lpstr>triggerberkleyRisikoFragen19RefValue</vt:lpstr>
      <vt:lpstr>triggerberkleyRisikoFragen20RefValue</vt:lpstr>
      <vt:lpstr>triggerberkleyRisikoFragen21aValue</vt:lpstr>
      <vt:lpstr>triggerberkleyRisikoFragen22Value</vt:lpstr>
      <vt:lpstr>triggerberkleyRisikoFragen23cValue</vt:lpstr>
      <vt:lpstr>triggerberkleyRisikoFragen24Value</vt:lpstr>
      <vt:lpstr>triggerberkleyRisikoFragen25Value</vt:lpstr>
      <vt:lpstr>triggerberkleyRisikoFragen26aValue</vt:lpstr>
      <vt:lpstr>triggerberkleyRisikoFragen27aValue</vt:lpstr>
      <vt:lpstr>triggerberkleyRisikoFragen30Value</vt:lpstr>
      <vt:lpstr>triggerberkleyRisikoFragen32RefValue</vt:lpstr>
      <vt:lpstr>triggerberkleyRisikoFragen34Value</vt:lpstr>
      <vt:lpstr>triggerberkleyRisikoFragen35Value</vt:lpstr>
      <vt:lpstr>triggerberkleyRisikoFragen36aKoValue</vt:lpstr>
      <vt:lpstr>triggerberkleyRisikoFragen36bRefValue</vt:lpstr>
      <vt:lpstr>triggerberkleyRisikoFragen39Value</vt:lpstr>
      <vt:lpstr>triggerberkleyRisikoFragen95aValue</vt:lpstr>
      <vt:lpstr>triggerberkleyRisikoFragen97aValue</vt:lpstr>
      <vt:lpstr>triggerberkleyRisikoFragen9Value</vt:lpstr>
      <vt:lpstr>triggerberkleyRisikoFragenAIGFacility40Value</vt:lpstr>
      <vt:lpstr>triggerberkleyRisikoFragenAIGFacility41Value</vt:lpstr>
      <vt:lpstr>triggerberkleyRisikoFragenAIGFacility42Value</vt:lpstr>
      <vt:lpstr>triggerberkleyRisikoFragenAIGFacility43Value</vt:lpstr>
      <vt:lpstr>triggerberkleyRisikoFragenAIGFacility44Value</vt:lpstr>
      <vt:lpstr>triggerberkleyRisikoFragenAIGFacility45Value</vt:lpstr>
      <vt:lpstr>triggerberkleyRisikoFragenAIGFacility46Value</vt:lpstr>
      <vt:lpstr>triggerberkleyRisikoFragenAIGFacility47Value</vt:lpstr>
      <vt:lpstr>triggerberkleyRisikoFragenAIGFacility48Value</vt:lpstr>
      <vt:lpstr>triggerberkleyRisikoFragenAXAFacility115aValue</vt:lpstr>
      <vt:lpstr>triggerberkleyRisikoFragenAXAFacility120Value</vt:lpstr>
      <vt:lpstr>triggerberkleyRisikoFragenStartUp92Value</vt:lpstr>
      <vt:lpstr>triggerberkleyRisikoFragenStartUp94Value</vt:lpstr>
      <vt:lpstr>triggerberkleyRisikoFragenUmsatzSanktionslandValue</vt:lpstr>
      <vt:lpstr>triggerberkleyRisikoFragenUSACAN106Value</vt:lpstr>
      <vt:lpstr>triggerberkleyRisikoFragenUSACAN107Value</vt:lpstr>
      <vt:lpstr>triggerberkleyRisikoFragenUSACAN108Value</vt:lpstr>
      <vt:lpstr>triggerberkleyRisikoFragenUSACAN109Value</vt:lpstr>
      <vt:lpstr>triggerberkleyRisikoFragenUSACAN113Value</vt:lpstr>
      <vt:lpstr>triggerberkleyRisikoFragenUSACAN114Value</vt:lpstr>
      <vt:lpstr>triggerberkleyRisikoFragenVereine101Value</vt:lpstr>
      <vt:lpstr>triggerberkleyRisikoFragenVereine102Value</vt:lpstr>
      <vt:lpstr>triggerberkleyRisikoFragenVereine103RefValue</vt:lpstr>
      <vt:lpstr>triggerberkleyRisikoFragenVereine105Value</vt:lpstr>
      <vt:lpstr>triggerberkleyRisikoFragenVorvertragExtendedReportingPeriodValue</vt:lpstr>
      <vt:lpstr>triggerberkleyRisikoFragenVorvertragInsurerValue</vt:lpstr>
      <vt:lpstr>triggerberkleyRisikoFragenVorvertragNoGapsInCoverageValue</vt:lpstr>
      <vt:lpstr>triggerberkleyStammDaten2RefValue</vt:lpstr>
      <vt:lpstr>triggerberkleyStammDaten3KoValue</vt:lpstr>
      <vt:lpstr>triggerCountryExclusionReason</vt:lpstr>
      <vt:lpstr>triggerDaughterCompaniesReason</vt:lpstr>
      <vt:lpstr>triggerDsReason</vt:lpstr>
      <vt:lpstr>triggerdualRisikoFragen0aValue</vt:lpstr>
      <vt:lpstr>triggerdualRisikoFragen0bRefValue</vt:lpstr>
      <vt:lpstr>triggerdualRisikoFragen11KoValue</vt:lpstr>
      <vt:lpstr>triggerdualRisikoFragen11RefValue</vt:lpstr>
      <vt:lpstr>triggerdualRisikoFragen18Value</vt:lpstr>
      <vt:lpstr>triggerdualRisikoFragen19RefValue</vt:lpstr>
      <vt:lpstr>triggerdualRisikoFragen20Value</vt:lpstr>
      <vt:lpstr>triggerdualRisikoFragen21aValue</vt:lpstr>
      <vt:lpstr>triggerdualRisikoFragen22Value</vt:lpstr>
      <vt:lpstr>triggerdualRisikoFragen23cValue</vt:lpstr>
      <vt:lpstr>triggerdualRisikoFragen24Value</vt:lpstr>
      <vt:lpstr>triggerdualRisikoFragen25Value</vt:lpstr>
      <vt:lpstr>triggerdualRisikoFragen26aValue</vt:lpstr>
      <vt:lpstr>triggerdualRisikoFragen26bValue</vt:lpstr>
      <vt:lpstr>triggerdualRisikoFragen27aValue</vt:lpstr>
      <vt:lpstr>triggerdualRisikoFragen30Value</vt:lpstr>
      <vt:lpstr>triggerdualRisikoFragen32RefValue</vt:lpstr>
      <vt:lpstr>triggerdualRisikoFragen32Value</vt:lpstr>
      <vt:lpstr>triggerdualRisikoFragen34Value</vt:lpstr>
      <vt:lpstr>triggerdualRisikoFragen36aKoValue</vt:lpstr>
      <vt:lpstr>triggerdualRisikoFragen39Value</vt:lpstr>
      <vt:lpstr>triggerdualRisikoFragen9Value</vt:lpstr>
      <vt:lpstr>triggerdualRisikoFragenAIGFacility44Value</vt:lpstr>
      <vt:lpstr>triggerdualRisikoFragenAIGFacility46Value</vt:lpstr>
      <vt:lpstr>triggerdualRisikoFragenStartUp92Value</vt:lpstr>
      <vt:lpstr>triggerdualRisikoFragenStartUp93Value</vt:lpstr>
      <vt:lpstr>triggerdualRisikoFragenStartUp94Value</vt:lpstr>
      <vt:lpstr>triggerdualRisikoFragenUmsatzSanktionslandValue</vt:lpstr>
      <vt:lpstr>triggerdualRisikoFragenVereine101Value</vt:lpstr>
      <vt:lpstr>triggerdualRisikoFragenVereine102Value</vt:lpstr>
      <vt:lpstr>triggerdualRisikoFragenVereine103RefValue</vt:lpstr>
      <vt:lpstr>triggerdualRisikoFragenVereine104Value</vt:lpstr>
      <vt:lpstr>triggerdualRisikoFragenVereine105Value</vt:lpstr>
      <vt:lpstr>triggerdualRisikoFragenVorvertragExtendedReportingPeriodValue</vt:lpstr>
      <vt:lpstr>triggerdualRisikoFragenVorvertragInsurerValue</vt:lpstr>
      <vt:lpstr>triggerdualRisikoFragenVorvertragNoGapsInCoverageValue</vt:lpstr>
      <vt:lpstr>triggerdualStammDaten2RefValue</vt:lpstr>
      <vt:lpstr>triggerdualStammDaten3KoValue</vt:lpstr>
      <vt:lpstr>triggerergoGruendungsjahrValue</vt:lpstr>
      <vt:lpstr>triggerergoRisikoFragen0bKoValue</vt:lpstr>
      <vt:lpstr>triggerergoRisikoFragen11KoValue</vt:lpstr>
      <vt:lpstr>triggerergoRisikoFragen11RefValue</vt:lpstr>
      <vt:lpstr>triggerergoRisikoFragen19RefValue</vt:lpstr>
      <vt:lpstr>triggerergoRisikoFragen20RefValue</vt:lpstr>
      <vt:lpstr>triggerergoRisikoFragen21aValue</vt:lpstr>
      <vt:lpstr>triggerergoRisikoFragen22Value</vt:lpstr>
      <vt:lpstr>triggerergoRisikoFragen23bValue</vt:lpstr>
      <vt:lpstr>triggerergoRisikoFragen23cValue</vt:lpstr>
      <vt:lpstr>triggerergoRisikoFragen25Value</vt:lpstr>
      <vt:lpstr>triggerergoRisikoFragen26aValue</vt:lpstr>
      <vt:lpstr>triggerergoRisikoFragen26bValue</vt:lpstr>
      <vt:lpstr>triggerergoRisikoFragen27aValue</vt:lpstr>
      <vt:lpstr>triggerergoRisikoFragen27cValue</vt:lpstr>
      <vt:lpstr>triggerergoRisikoFragen27dValue</vt:lpstr>
      <vt:lpstr>triggerergoRisikoFragen27eValue</vt:lpstr>
      <vt:lpstr>triggerergoRisikoFragen32KoValue</vt:lpstr>
      <vt:lpstr>triggerergoRisikoFragen32RefValue</vt:lpstr>
      <vt:lpstr>triggerergoRisikoFragen34Value</vt:lpstr>
      <vt:lpstr>triggerergoRisikoFragen36aKoValue</vt:lpstr>
      <vt:lpstr>triggerergoRisikoFragen39Value</vt:lpstr>
      <vt:lpstr>triggerergoRisikoFragen902Value</vt:lpstr>
      <vt:lpstr>triggerergoRisikoFragen9Value</vt:lpstr>
      <vt:lpstr>triggerergoRisikoFragenAIGFacility40Value</vt:lpstr>
      <vt:lpstr>triggerergoRisikoFragenAIGFacility41Value</vt:lpstr>
      <vt:lpstr>triggerergoRisikoFragenAIGFacility42Value</vt:lpstr>
      <vt:lpstr>triggerergoRisikoFragenAIGFacility43Value</vt:lpstr>
      <vt:lpstr>triggerergoRisikoFragenAIGFacility46Value</vt:lpstr>
      <vt:lpstr>triggerergoRisikoFragenAIGFacility47Value</vt:lpstr>
      <vt:lpstr>triggerergoRisikoFragenAIGFacility48Value</vt:lpstr>
      <vt:lpstr>triggerergoRisikoFragenAIGFacility49Value</vt:lpstr>
      <vt:lpstr>triggerergoRisikoFragenAXAFacility115aValue</vt:lpstr>
      <vt:lpstr>triggerergoRisikoFragenAXAFacility115bValue</vt:lpstr>
      <vt:lpstr>triggerergoRisikoFragenAXAFacility116aValue</vt:lpstr>
      <vt:lpstr>triggerergoRisikoFragenAXAFacility118aValue</vt:lpstr>
      <vt:lpstr>triggerergoRisikoFragenAXAFacility118bValue</vt:lpstr>
      <vt:lpstr>triggerergoRisikoFragenAXAFacility118dValue</vt:lpstr>
      <vt:lpstr>triggerergoRisikoFragenAXAFacility119aValue</vt:lpstr>
      <vt:lpstr>triggerergoRisikoFragenAXAFacility120Value</vt:lpstr>
      <vt:lpstr>triggerergoRisikoFragenStartUp92Value</vt:lpstr>
      <vt:lpstr>triggerergoRisikoFragenStartUp93Value</vt:lpstr>
      <vt:lpstr>triggerergoRisikoFragenStartUp94Value</vt:lpstr>
      <vt:lpstr>triggerergoRisikoFragenUmsatzSanktionslandValue</vt:lpstr>
      <vt:lpstr>triggerergoRisikoFragenUSACAN106Value</vt:lpstr>
      <vt:lpstr>triggerergoRisikoFragenUSACAN107Value</vt:lpstr>
      <vt:lpstr>triggerergoRisikoFragenUSACAN108Value</vt:lpstr>
      <vt:lpstr>triggerergoRisikoFragenUSACAN109Value</vt:lpstr>
      <vt:lpstr>triggerergoRisikoFragenUSACAN110Value</vt:lpstr>
      <vt:lpstr>triggerergoRisikoFragenUSACAN111Value</vt:lpstr>
      <vt:lpstr>triggerergoRisikoFragenUSACAN112Value</vt:lpstr>
      <vt:lpstr>triggerergoRisikoFragenUSACAN113Value</vt:lpstr>
      <vt:lpstr>triggerergoRisikoFragenUSACAN114Value</vt:lpstr>
      <vt:lpstr>triggerergoRisikoFragenVereine101Value</vt:lpstr>
      <vt:lpstr>triggerergoRisikoFragenVereine102Value</vt:lpstr>
      <vt:lpstr>triggerergoRisikoFragenVereine103KoValue</vt:lpstr>
      <vt:lpstr>triggerergoRisikoFragenVereine104Value</vt:lpstr>
      <vt:lpstr>triggerergoRisikoFragenVereine105Value</vt:lpstr>
      <vt:lpstr>triggerergoRisikoFragenVorvertragClaimsForIncreasedLimitValue</vt:lpstr>
      <vt:lpstr>triggerergoRisikoFragenVorvertragExtendedReportingPeriodValue</vt:lpstr>
      <vt:lpstr>triggerergoStammDaten2RefValue</vt:lpstr>
      <vt:lpstr>triggerergoStammDaten3KoValue</vt:lpstr>
      <vt:lpstr>triggerergoStammDaten3RefValue</vt:lpstr>
      <vt:lpstr>triggerFacilitiesCriteriaReason</vt:lpstr>
      <vt:lpstr>triggerGruendungsjahrReason</vt:lpstr>
      <vt:lpstr>triggerlibertyRisikoFragen0aValue</vt:lpstr>
      <vt:lpstr>triggerlibertyRisikoFragen0bRefValue</vt:lpstr>
      <vt:lpstr>triggerlibertyRisikoFragen11KoValue</vt:lpstr>
      <vt:lpstr>triggerlibertyRisikoFragen11RefValue</vt:lpstr>
      <vt:lpstr>triggerlibertyRisikoFragen18Value</vt:lpstr>
      <vt:lpstr>triggerlibertyRisikoFragen19RefValue</vt:lpstr>
      <vt:lpstr>triggerlibertyRisikoFragen20KoValue</vt:lpstr>
      <vt:lpstr>triggerlibertyRisikoFragen21aValue</vt:lpstr>
      <vt:lpstr>triggerlibertyRisikoFragen21bValue</vt:lpstr>
      <vt:lpstr>triggerlibertyRisikoFragen23cValue</vt:lpstr>
      <vt:lpstr>triggerlibertyRisikoFragen24Value</vt:lpstr>
      <vt:lpstr>triggerlibertyRisikoFragen25Value</vt:lpstr>
      <vt:lpstr>triggerlibertyRisikoFragen26aValue</vt:lpstr>
      <vt:lpstr>triggerlibertyRisikoFragen26bValue</vt:lpstr>
      <vt:lpstr>triggerlibertyRisikoFragen27aValue</vt:lpstr>
      <vt:lpstr>triggerlibertyRisikoFragen30Value</vt:lpstr>
      <vt:lpstr>triggerlibertyRisikoFragen32KoValue</vt:lpstr>
      <vt:lpstr>triggerlibertyRisikoFragen32RefValue</vt:lpstr>
      <vt:lpstr>triggerlibertyRisikoFragen34Value</vt:lpstr>
      <vt:lpstr>triggerlibertyRisikoFragen36aKoValue</vt:lpstr>
      <vt:lpstr>triggerlibertyRisikoFragen39Value</vt:lpstr>
      <vt:lpstr>triggerlibertyRisikoFragen9Value</vt:lpstr>
      <vt:lpstr>triggerlibertyRisikoFragenAIGFacility40Value</vt:lpstr>
      <vt:lpstr>triggerlibertyRisikoFragenAIGFacility41Value</vt:lpstr>
      <vt:lpstr>triggerlibertyRisikoFragenAIGFacility42Value</vt:lpstr>
      <vt:lpstr>triggerlibertyRisikoFragenAIGFacility43Value</vt:lpstr>
      <vt:lpstr>triggerlibertyRisikoFragenAIGFacility44Value</vt:lpstr>
      <vt:lpstr>triggerlibertyRisikoFragenAIGFacility45Value</vt:lpstr>
      <vt:lpstr>triggerlibertyRisikoFragenAIGFacility46Value</vt:lpstr>
      <vt:lpstr>triggerlibertyRisikoFragenAIGFacility47Value</vt:lpstr>
      <vt:lpstr>triggerlibertyRisikoFragenAIGFacility48Value</vt:lpstr>
      <vt:lpstr>triggerlibertyRisikoFragenAIGFacility49Value</vt:lpstr>
      <vt:lpstr>triggerlibertyRisikoFragenAXAFacility115aValue</vt:lpstr>
      <vt:lpstr>triggerlibertyRisikoFragenAXAFacility115bValue</vt:lpstr>
      <vt:lpstr>triggerlibertyRisikoFragenAXAFacility116aValue</vt:lpstr>
      <vt:lpstr>triggerlibertyRisikoFragenAXAFacility116bValue</vt:lpstr>
      <vt:lpstr>triggerlibertyRisikoFragenAXAFacility116dValue</vt:lpstr>
      <vt:lpstr>triggerlibertyRisikoFragenAXAFacility117aValue</vt:lpstr>
      <vt:lpstr>triggerlibertyRisikoFragenAXAFacility118aValue</vt:lpstr>
      <vt:lpstr>triggerlibertyRisikoFragenAXAFacility118bValue</vt:lpstr>
      <vt:lpstr>triggerlibertyRisikoFragenAXAFacility118dValue</vt:lpstr>
      <vt:lpstr>triggerlibertyRisikoFragenAXAFacility120Value</vt:lpstr>
      <vt:lpstr>triggerlibertyRisikoFragenAXAFacility122aValue</vt:lpstr>
      <vt:lpstr>triggerlibertyRisikoFragenAXAFacility122bValue</vt:lpstr>
      <vt:lpstr>triggerlibertyRisikoFragenAXAFacility122cValue</vt:lpstr>
      <vt:lpstr>triggerlibertyRisikoFragenAXAFacility122dValue</vt:lpstr>
      <vt:lpstr>triggerlibertyRisikoFragenAXAFacility122eValue</vt:lpstr>
      <vt:lpstr>triggerlibertyRisikoFragenStartUp92Value</vt:lpstr>
      <vt:lpstr>triggerlibertyRisikoFragenStartUp93Value</vt:lpstr>
      <vt:lpstr>triggerlibertyRisikoFragenStartUp94Value</vt:lpstr>
      <vt:lpstr>triggerlibertyRisikoFragenUmsatzSanktionslandValue</vt:lpstr>
      <vt:lpstr>triggerlibertyRisikoFragenVereine101Value</vt:lpstr>
      <vt:lpstr>triggerlibertyRisikoFragenVereine102Value</vt:lpstr>
      <vt:lpstr>triggerlibertyRisikoFragenVereine103KoValue</vt:lpstr>
      <vt:lpstr>triggerlibertyRisikoFragenVereine104Value</vt:lpstr>
      <vt:lpstr>triggerlibertyRisikoFragenVereine105Value</vt:lpstr>
      <vt:lpstr>triggerlibertyRisikoFragenVorvertragClaimsForIncreasedLimitValue</vt:lpstr>
      <vt:lpstr>triggerlibertyRisikoFragenVorvertragInsurerValue</vt:lpstr>
      <vt:lpstr>triggerlibertyStammDaten2RefValue</vt:lpstr>
      <vt:lpstr>triggerlibertyStammDaten3KoValue</vt:lpstr>
      <vt:lpstr>triggerlimit1axaBackstopValue</vt:lpstr>
      <vt:lpstr>triggerlimit1axaDsValue</vt:lpstr>
      <vt:lpstr>triggerlimit1axaFacilitiesCriteriaValue</vt:lpstr>
      <vt:lpstr>triggerlimit1axaLimLtRevValue</vt:lpstr>
      <vt:lpstr>triggerlimit1axaMvupValue</vt:lpstr>
      <vt:lpstr>triggerlimit1axaPremiumsCalculatableValue</vt:lpstr>
      <vt:lpstr>triggerlimit1axaSanctionCountriesValue</vt:lpstr>
      <vt:lpstr>triggerlimit1berkleyBackstopValue</vt:lpstr>
      <vt:lpstr>triggerlimit1berkleyDsValue</vt:lpstr>
      <vt:lpstr>triggerlimit1berkleyLimLtRevValue</vt:lpstr>
      <vt:lpstr>triggerlimit1berkleyMvupValue</vt:lpstr>
      <vt:lpstr>triggerlimit1berkleyPremiumsCalculatableValue</vt:lpstr>
      <vt:lpstr>triggerlimit1berkleySanctionCountriesValue</vt:lpstr>
      <vt:lpstr>triggerlimit1dualBackstopValue</vt:lpstr>
      <vt:lpstr>triggerlimit1dualDsValue</vt:lpstr>
      <vt:lpstr>triggerlimit1dualLimLtRevValue</vt:lpstr>
      <vt:lpstr>triggerlimit1dualMvupValue</vt:lpstr>
      <vt:lpstr>triggerlimit1dualPremiumsCalculatableValue</vt:lpstr>
      <vt:lpstr>triggerlimit1dualSanctionCountriesValue</vt:lpstr>
      <vt:lpstr>triggerlimit1ergoBackstopValue</vt:lpstr>
      <vt:lpstr>triggerlimit1ergoDsValue</vt:lpstr>
      <vt:lpstr>triggerlimit1ergoLimLtRevValue</vt:lpstr>
      <vt:lpstr>triggerlimit1ergoMvupValue</vt:lpstr>
      <vt:lpstr>triggerlimit1ergoPremiumsCalculatableValue</vt:lpstr>
      <vt:lpstr>triggerlimit1libertyBackstopValue</vt:lpstr>
      <vt:lpstr>triggerlimit1libertyDsValue</vt:lpstr>
      <vt:lpstr>triggerlimit1libertyLimLtRevValue</vt:lpstr>
      <vt:lpstr>triggerlimit1libertyMvupValue</vt:lpstr>
      <vt:lpstr>triggerlimit1libertyPremiumsCalculatableValue</vt:lpstr>
      <vt:lpstr>triggerlimit1libertySanctionCountriesValue</vt:lpstr>
      <vt:lpstr>triggerlimit1markelBackstopValue</vt:lpstr>
      <vt:lpstr>triggerlimit1markelDsValue</vt:lpstr>
      <vt:lpstr>triggerlimit1markelLimLtRevValue</vt:lpstr>
      <vt:lpstr>triggerlimit1markelMvupValue</vt:lpstr>
      <vt:lpstr>triggerlimit1markelPremiumsCalculatableValue</vt:lpstr>
      <vt:lpstr>triggerlimit1markelSanctionCountriesValue</vt:lpstr>
      <vt:lpstr>triggerlimit1newlineBackstopValue</vt:lpstr>
      <vt:lpstr>triggerlimit1newlineDsValue</vt:lpstr>
      <vt:lpstr>triggerlimit1newlineLimLtRevValue</vt:lpstr>
      <vt:lpstr>triggerlimit1newlineMvupValue</vt:lpstr>
      <vt:lpstr>triggerlimit1newlinePremiumsCalculatableValue</vt:lpstr>
      <vt:lpstr>triggerlimit1newlineSanctionCountriesValue</vt:lpstr>
      <vt:lpstr>triggerlimit1wvagBackstopValue</vt:lpstr>
      <vt:lpstr>triggerlimit1wvagDsValue</vt:lpstr>
      <vt:lpstr>triggerlimit1wvagFacilitiesCriteriaValue</vt:lpstr>
      <vt:lpstr>triggerlimit1wvagLimLtRevValue</vt:lpstr>
      <vt:lpstr>triggerlimit1wvagMvupValue</vt:lpstr>
      <vt:lpstr>triggerlimit1wvagPremiumsCalculatableValue</vt:lpstr>
      <vt:lpstr>triggerlimit1wvagSanctionCountriesValue</vt:lpstr>
      <vt:lpstr>triggerlimit2axaBackstopValue</vt:lpstr>
      <vt:lpstr>triggerlimit2axaDsValue</vt:lpstr>
      <vt:lpstr>triggerlimit2axaFacilitiesCriteriaValue</vt:lpstr>
      <vt:lpstr>triggerlimit2axaLimLtRevValue</vt:lpstr>
      <vt:lpstr>triggerlimit2axaMvupValue</vt:lpstr>
      <vt:lpstr>triggerlimit2axaPremiumsCalculatableValue</vt:lpstr>
      <vt:lpstr>triggerlimit2axaSanctionCountriesValue</vt:lpstr>
      <vt:lpstr>triggerlimit2berkleyBackstopValue</vt:lpstr>
      <vt:lpstr>triggerlimit2berkleyDsValue</vt:lpstr>
      <vt:lpstr>triggerlimit2berkleyLimLtRevValue</vt:lpstr>
      <vt:lpstr>triggerlimit2berkleyMvupValue</vt:lpstr>
      <vt:lpstr>triggerlimit2berkleyPremiumsCalculatableValue</vt:lpstr>
      <vt:lpstr>triggerlimit2berkleySanctionCountriesValue</vt:lpstr>
      <vt:lpstr>triggerlimit2dualBackstopValue</vt:lpstr>
      <vt:lpstr>triggerlimit2dualDsValue</vt:lpstr>
      <vt:lpstr>triggerlimit2dualLimLtRevValue</vt:lpstr>
      <vt:lpstr>triggerlimit2dualMvupValue</vt:lpstr>
      <vt:lpstr>triggerlimit2dualPremiumsCalculatableValue</vt:lpstr>
      <vt:lpstr>triggerlimit2dualSanctionCountriesValue</vt:lpstr>
      <vt:lpstr>triggerlimit2ergoBackstopValue</vt:lpstr>
      <vt:lpstr>triggerlimit2ergoDsValue</vt:lpstr>
      <vt:lpstr>triggerlimit2ergoLimLtRevValue</vt:lpstr>
      <vt:lpstr>triggerlimit2ergoMvupValue</vt:lpstr>
      <vt:lpstr>triggerlimit2ergoPremiumsCalculatableValue</vt:lpstr>
      <vt:lpstr>triggerlimit2libertyBackstopValue</vt:lpstr>
      <vt:lpstr>triggerlimit2libertyDsValue</vt:lpstr>
      <vt:lpstr>triggerlimit2libertyLimLtRevValue</vt:lpstr>
      <vt:lpstr>triggerlimit2libertyMvupValue</vt:lpstr>
      <vt:lpstr>triggerlimit2libertyPremiumsCalculatableValue</vt:lpstr>
      <vt:lpstr>triggerlimit2libertySanctionCountriesValue</vt:lpstr>
      <vt:lpstr>triggerlimit2markelBackstopValue</vt:lpstr>
      <vt:lpstr>triggerlimit2markelDsValue</vt:lpstr>
      <vt:lpstr>triggerlimit2markelLimLtRevValue</vt:lpstr>
      <vt:lpstr>triggerlimit2markelMvupValue</vt:lpstr>
      <vt:lpstr>triggerlimit2markelPremiumsCalculatableValue</vt:lpstr>
      <vt:lpstr>triggerlimit2markelSanctionCountriesValue</vt:lpstr>
      <vt:lpstr>triggerlimit2newlineBackstopValue</vt:lpstr>
      <vt:lpstr>triggerlimit2newlineDsValue</vt:lpstr>
      <vt:lpstr>triggerlimit2newlineLimLtRevValue</vt:lpstr>
      <vt:lpstr>triggerlimit2newlineMvupValue</vt:lpstr>
      <vt:lpstr>triggerlimit2newlinePremiumsCalculatableValue</vt:lpstr>
      <vt:lpstr>triggerlimit2newlineSanctionCountriesValue</vt:lpstr>
      <vt:lpstr>triggerlimit2wvagBackstopValue</vt:lpstr>
      <vt:lpstr>triggerlimit2wvagDsValue</vt:lpstr>
      <vt:lpstr>triggerlimit2wvagFacilitiesCriteriaValue</vt:lpstr>
      <vt:lpstr>triggerlimit2wvagLimLtRevValue</vt:lpstr>
      <vt:lpstr>triggerlimit2wvagMvupValue</vt:lpstr>
      <vt:lpstr>triggerlimit2wvagPremiumsCalculatableValue</vt:lpstr>
      <vt:lpstr>triggerlimit2wvagSanctionCountriesValue</vt:lpstr>
      <vt:lpstr>triggerlimit3axaBackstopValue</vt:lpstr>
      <vt:lpstr>triggerlimit3axaDsValue</vt:lpstr>
      <vt:lpstr>triggerlimit3axaFacilitiesCriteriaValue</vt:lpstr>
      <vt:lpstr>triggerlimit3axaLimLtRevValue</vt:lpstr>
      <vt:lpstr>triggerlimit3axaMvupValue</vt:lpstr>
      <vt:lpstr>triggerlimit3axaPremiumsCalculatableValue</vt:lpstr>
      <vt:lpstr>triggerlimit3axaSanctionCountriesValue</vt:lpstr>
      <vt:lpstr>triggerlimit3berkleyBackstopValue</vt:lpstr>
      <vt:lpstr>triggerlimit3berkleyDsValue</vt:lpstr>
      <vt:lpstr>triggerlimit3berkleyLimLtRevValue</vt:lpstr>
      <vt:lpstr>triggerlimit3berkleyMvupValue</vt:lpstr>
      <vt:lpstr>triggerlimit3berkleyPremiumsCalculatableValue</vt:lpstr>
      <vt:lpstr>triggerlimit3berkleySanctionCountriesValue</vt:lpstr>
      <vt:lpstr>triggerlimit3dualBackstopValue</vt:lpstr>
      <vt:lpstr>triggerlimit3dualDsValue</vt:lpstr>
      <vt:lpstr>triggerlimit3dualLimLtRevValue</vt:lpstr>
      <vt:lpstr>triggerlimit3dualMvupValue</vt:lpstr>
      <vt:lpstr>triggerlimit3dualPremiumsCalculatableValue</vt:lpstr>
      <vt:lpstr>triggerlimit3dualSanctionCountriesValue</vt:lpstr>
      <vt:lpstr>triggerlimit3ergoBackstopValue</vt:lpstr>
      <vt:lpstr>triggerlimit3ergoDsValue</vt:lpstr>
      <vt:lpstr>triggerlimit3ergoLimLtRevValue</vt:lpstr>
      <vt:lpstr>triggerlimit3ergoMvupValue</vt:lpstr>
      <vt:lpstr>triggerlimit3ergoPremiumsCalculatableValue</vt:lpstr>
      <vt:lpstr>triggerlimit3libertyBackstopValue</vt:lpstr>
      <vt:lpstr>triggerlimit3libertyDsValue</vt:lpstr>
      <vt:lpstr>triggerlimit3libertyLimLtRevValue</vt:lpstr>
      <vt:lpstr>triggerlimit3libertyMvupValue</vt:lpstr>
      <vt:lpstr>triggerlimit3libertyPremiumsCalculatableValue</vt:lpstr>
      <vt:lpstr>triggerlimit3libertySanctionCountriesValue</vt:lpstr>
      <vt:lpstr>triggerlimit3markelBackstopValue</vt:lpstr>
      <vt:lpstr>triggerlimit3markelDsValue</vt:lpstr>
      <vt:lpstr>triggerlimit3markelLimLtRevValue</vt:lpstr>
      <vt:lpstr>triggerlimit3markelMvupValue</vt:lpstr>
      <vt:lpstr>triggerlimit3markelPremiumsCalculatableValue</vt:lpstr>
      <vt:lpstr>triggerlimit3markelSanctionCountriesValue</vt:lpstr>
      <vt:lpstr>triggerlimit3newlineBackstopValue</vt:lpstr>
      <vt:lpstr>triggerlimit3newlineDsValue</vt:lpstr>
      <vt:lpstr>triggerlimit3newlineLimLtRevValue</vt:lpstr>
      <vt:lpstr>triggerlimit3newlineMvupValue</vt:lpstr>
      <vt:lpstr>triggerlimit3newlinePremiumsCalculatableValue</vt:lpstr>
      <vt:lpstr>triggerlimit3newlineSanctionCountriesValue</vt:lpstr>
      <vt:lpstr>triggerlimit3wvagBackstopValue</vt:lpstr>
      <vt:lpstr>triggerlimit3wvagDsValue</vt:lpstr>
      <vt:lpstr>triggerlimit3wvagFacilitiesCriteriaValue</vt:lpstr>
      <vt:lpstr>triggerlimit3wvagLimLtRevValue</vt:lpstr>
      <vt:lpstr>triggerlimit3wvagMvupValue</vt:lpstr>
      <vt:lpstr>triggerlimit3wvagPremiumsCalculatableValue</vt:lpstr>
      <vt:lpstr>triggerlimit3wvagSanctionCountriesValue</vt:lpstr>
      <vt:lpstr>triggerLimLtRevReason</vt:lpstr>
      <vt:lpstr>triggermarkelRisikoFragen0aValue</vt:lpstr>
      <vt:lpstr>triggermarkelRisikoFragen0bRefValue</vt:lpstr>
      <vt:lpstr>triggermarkelRisikoFragen11KoValue</vt:lpstr>
      <vt:lpstr>triggermarkelRisikoFragen11RefValue</vt:lpstr>
      <vt:lpstr>triggermarkelRisikoFragen18Value</vt:lpstr>
      <vt:lpstr>triggermarkelRisikoFragen19RefValue</vt:lpstr>
      <vt:lpstr>triggermarkelRisikoFragen20RefValue</vt:lpstr>
      <vt:lpstr>triggermarkelRisikoFragen21aValue</vt:lpstr>
      <vt:lpstr>triggermarkelRisikoFragen23aValue</vt:lpstr>
      <vt:lpstr>triggermarkelRisikoFragen23cValue</vt:lpstr>
      <vt:lpstr>triggermarkelRisikoFragen25Value</vt:lpstr>
      <vt:lpstr>triggermarkelRisikoFragen26aValue</vt:lpstr>
      <vt:lpstr>triggermarkelRisikoFragen27eValue</vt:lpstr>
      <vt:lpstr>triggermarkelRisikoFragen30Value</vt:lpstr>
      <vt:lpstr>triggermarkelRisikoFragen32KoValue</vt:lpstr>
      <vt:lpstr>triggermarkelRisikoFragen32RefValue</vt:lpstr>
      <vt:lpstr>triggermarkelRisikoFragen33Value</vt:lpstr>
      <vt:lpstr>triggermarkelRisikoFragen34Value</vt:lpstr>
      <vt:lpstr>triggermarkelRisikoFragen35Value</vt:lpstr>
      <vt:lpstr>triggermarkelRisikoFragen36aKoValue</vt:lpstr>
      <vt:lpstr>triggermarkelRisikoFragen36bRefValue</vt:lpstr>
      <vt:lpstr>triggermarkelRisikoFragen39Value</vt:lpstr>
      <vt:lpstr>triggermarkelRisikoFragen9Value</vt:lpstr>
      <vt:lpstr>triggermarkelRisikoFragenAIGFacility40Value</vt:lpstr>
      <vt:lpstr>triggermarkelRisikoFragenAIGFacility41Value</vt:lpstr>
      <vt:lpstr>triggermarkelRisikoFragenAIGFacility42Value</vt:lpstr>
      <vt:lpstr>triggermarkelRisikoFragenAIGFacility43Value</vt:lpstr>
      <vt:lpstr>triggermarkelRisikoFragenAIGFacility45Value</vt:lpstr>
      <vt:lpstr>triggermarkelRisikoFragenAIGFacility46Value</vt:lpstr>
      <vt:lpstr>triggermarkelRisikoFragenAIGFacility47Value</vt:lpstr>
      <vt:lpstr>triggermarkelRisikoFragenAIGFacility48Value</vt:lpstr>
      <vt:lpstr>triggermarkelRisikoFragenAIGFacility49Value</vt:lpstr>
      <vt:lpstr>triggermarkelRisikoFragenAXAFacility115aValue</vt:lpstr>
      <vt:lpstr>triggermarkelRisikoFragenAXAFacility115bValue</vt:lpstr>
      <vt:lpstr>triggermarkelRisikoFragenAXAFacility117aValue</vt:lpstr>
      <vt:lpstr>triggermarkelRisikoFragenAXAFacility117bValue</vt:lpstr>
      <vt:lpstr>triggermarkelRisikoFragenAXAFacility117dValue</vt:lpstr>
      <vt:lpstr>triggermarkelRisikoFragenAXAFacility118aValue</vt:lpstr>
      <vt:lpstr>triggermarkelRisikoFragenAXAFacility118bValue</vt:lpstr>
      <vt:lpstr>triggermarkelRisikoFragenAXAFacility118dValue</vt:lpstr>
      <vt:lpstr>triggermarkelRisikoFragenAXAFacility120Value</vt:lpstr>
      <vt:lpstr>triggermarkelRisikoFragenAXAFacility122aValue</vt:lpstr>
      <vt:lpstr>triggermarkelRisikoFragenStartUp142Value</vt:lpstr>
      <vt:lpstr>triggermarkelRisikoFragenStartUp145Value</vt:lpstr>
      <vt:lpstr>triggermarkelRisikoFragenStartUp92Value</vt:lpstr>
      <vt:lpstr>triggermarkelRisikoFragenStartUp93Value</vt:lpstr>
      <vt:lpstr>triggermarkelRisikoFragenStartUp94Value</vt:lpstr>
      <vt:lpstr>triggermarkelRisikoFragenUmsatzSanktionslandValue</vt:lpstr>
      <vt:lpstr>triggermarkelRisikoFragenUSACAN113Value</vt:lpstr>
      <vt:lpstr>triggermarkelRisikoFragenUSACAN114Value</vt:lpstr>
      <vt:lpstr>triggermarkelRisikoFragenVereine101Value</vt:lpstr>
      <vt:lpstr>triggermarkelRisikoFragenVereine102Value</vt:lpstr>
      <vt:lpstr>triggermarkelRisikoFragenVereine103RefValue</vt:lpstr>
      <vt:lpstr>triggermarkelRisikoFragenVorvertragClaimsForIncreasedLimitValue</vt:lpstr>
      <vt:lpstr>triggermarkelRisikoFragenVorvertragExtendedReportingPeriodValue</vt:lpstr>
      <vt:lpstr>triggermarkelRisikoFragenVorvertragInsurerValue</vt:lpstr>
      <vt:lpstr>triggermarkelStammDaten2KoValue</vt:lpstr>
      <vt:lpstr>triggermarkelStammDaten2RefValue</vt:lpstr>
      <vt:lpstr>triggermarkelStammDaten3KoValue</vt:lpstr>
      <vt:lpstr>triggermarkelStammDaten3RefValue</vt:lpstr>
      <vt:lpstr>triggerMvupReason</vt:lpstr>
      <vt:lpstr>triggernewlineCountryExclusionValue</vt:lpstr>
      <vt:lpstr>triggernewlineDaughterCompaniesValue</vt:lpstr>
      <vt:lpstr>triggernewlineRisikoFragen0aValue</vt:lpstr>
      <vt:lpstr>triggernewlineRisikoFragen0bRefValue</vt:lpstr>
      <vt:lpstr>triggernewlineRisikoFragen11KoValue</vt:lpstr>
      <vt:lpstr>triggernewlineRisikoFragen11RefValue</vt:lpstr>
      <vt:lpstr>triggernewlineRisikoFragen18Value</vt:lpstr>
      <vt:lpstr>triggernewlineRisikoFragen19KoValue</vt:lpstr>
      <vt:lpstr>triggernewlineRisikoFragen19RefValue</vt:lpstr>
      <vt:lpstr>triggernewlineRisikoFragen20KoValue</vt:lpstr>
      <vt:lpstr>triggernewlineRisikoFragen20RefValue</vt:lpstr>
      <vt:lpstr>triggernewlineRisikoFragen21aValue</vt:lpstr>
      <vt:lpstr>triggernewlineRisikoFragen22Value</vt:lpstr>
      <vt:lpstr>triggernewlineRisikoFragen23aValue</vt:lpstr>
      <vt:lpstr>triggernewlineRisikoFragen23cValue</vt:lpstr>
      <vt:lpstr>triggernewlineRisikoFragen24Value</vt:lpstr>
      <vt:lpstr>triggernewlineRisikoFragen25Value</vt:lpstr>
      <vt:lpstr>triggernewlineRisikoFragen26aValue</vt:lpstr>
      <vt:lpstr>triggernewlineRisikoFragen27dValue</vt:lpstr>
      <vt:lpstr>triggernewlineRisikoFragen27eValue</vt:lpstr>
      <vt:lpstr>triggernewlineRisikoFragen30Value</vt:lpstr>
      <vt:lpstr>triggernewlineRisikoFragen32RefValue</vt:lpstr>
      <vt:lpstr>triggernewlineRisikoFragen34Value</vt:lpstr>
      <vt:lpstr>triggernewlineRisikoFragen35Value</vt:lpstr>
      <vt:lpstr>triggernewlineRisikoFragen36aKoValue</vt:lpstr>
      <vt:lpstr>triggernewlineRisikoFragen36aRefValue</vt:lpstr>
      <vt:lpstr>triggernewlineRisikoFragen36bKoValue</vt:lpstr>
      <vt:lpstr>triggernewlineRisikoFragen36bRefValue</vt:lpstr>
      <vt:lpstr>triggernewlineRisikoFragen39Value</vt:lpstr>
      <vt:lpstr>triggernewlineRisikoFragen902Value</vt:lpstr>
      <vt:lpstr>triggernewlineRisikoFragen95aValue</vt:lpstr>
      <vt:lpstr>triggernewlineRisikoFragen9Value</vt:lpstr>
      <vt:lpstr>triggernewlineRisikoFragenAIGFacility40Value</vt:lpstr>
      <vt:lpstr>triggernewlineRisikoFragenAIGFacility41Value</vt:lpstr>
      <vt:lpstr>triggernewlineRisikoFragenAIGFacility42Value</vt:lpstr>
      <vt:lpstr>triggernewlineRisikoFragenAIGFacility43Value</vt:lpstr>
      <vt:lpstr>triggernewlineRisikoFragenAIGFacility44Value</vt:lpstr>
      <vt:lpstr>triggernewlineRisikoFragenAIGFacility45Value</vt:lpstr>
      <vt:lpstr>triggernewlineRisikoFragenAIGFacility46KoValue</vt:lpstr>
      <vt:lpstr>triggernewlineRisikoFragenAIGFacility46Value</vt:lpstr>
      <vt:lpstr>triggernewlineRisikoFragenAIGFacility47Value</vt:lpstr>
      <vt:lpstr>triggernewlineRisikoFragenAIGFacility48Value</vt:lpstr>
      <vt:lpstr>triggernewlineRisikoFragenAIGFacility49Value</vt:lpstr>
      <vt:lpstr>triggernewlineRisikoFragenAXAFacility115aValue</vt:lpstr>
      <vt:lpstr>triggernewlineRisikoFragenAXAFacility115bValue</vt:lpstr>
      <vt:lpstr>triggernewlineRisikoFragenAXAFacility118aValue</vt:lpstr>
      <vt:lpstr>triggernewlineRisikoFragenStartUp92Value</vt:lpstr>
      <vt:lpstr>triggernewlineRisikoFragenStartUp93Value</vt:lpstr>
      <vt:lpstr>triggernewlineRisikoFragenStartUp94Value</vt:lpstr>
      <vt:lpstr>triggernewlineRisikoFragenUmsatzSanktionslandValue</vt:lpstr>
      <vt:lpstr>triggernewlineRisikoFragenUSACAN111Value</vt:lpstr>
      <vt:lpstr>triggernewlineRisikoFragenUSACAN113Value</vt:lpstr>
      <vt:lpstr>triggernewlineRisikoFragenVereine101Value</vt:lpstr>
      <vt:lpstr>triggernewlineRisikoFragenVereine102Value</vt:lpstr>
      <vt:lpstr>triggernewlineRisikoFragenVereine103KoValue</vt:lpstr>
      <vt:lpstr>triggernewlineRisikoFragenVereine104Value</vt:lpstr>
      <vt:lpstr>triggernewlineRisikoFragenVereine105Value</vt:lpstr>
      <vt:lpstr>triggernewlineRisikoFragenVorvertragClaimsForIncreasedLimitValue</vt:lpstr>
      <vt:lpstr>triggernewlineRisikoFragenVorvertragExtendedReportingPeriodValue</vt:lpstr>
      <vt:lpstr>triggernewlineRisikoFragenVorvertragInsurerValue</vt:lpstr>
      <vt:lpstr>triggernewlineRisikoFragenVorvertragNoGapsInCoverageValue</vt:lpstr>
      <vt:lpstr>triggernewlineStammDaten2RefValue</vt:lpstr>
      <vt:lpstr>triggernewlineStammDaten3RefValue</vt:lpstr>
      <vt:lpstr>triggerPremiumsCalculatableReason</vt:lpstr>
      <vt:lpstr>triggerRisikoFragen0aReason</vt:lpstr>
      <vt:lpstr>triggerRisikoFragen0bKoReason</vt:lpstr>
      <vt:lpstr>triggerRisikoFragen0bRefReason</vt:lpstr>
      <vt:lpstr>triggerRisikoFragen11KoReason</vt:lpstr>
      <vt:lpstr>triggerRisikoFragen11RefReason</vt:lpstr>
      <vt:lpstr>triggerRisikoFragen127KoReason</vt:lpstr>
      <vt:lpstr>triggerRisikoFragen127RefReason</vt:lpstr>
      <vt:lpstr>triggerRisikoFragen18Reason</vt:lpstr>
      <vt:lpstr>triggerRisikoFragen19KoReason</vt:lpstr>
      <vt:lpstr>triggerRisikoFragen19RefReason</vt:lpstr>
      <vt:lpstr>triggerRisikoFragen20KoReason</vt:lpstr>
      <vt:lpstr>triggerRisikoFragen20RefReason</vt:lpstr>
      <vt:lpstr>triggerRisikoFragen21aReason</vt:lpstr>
      <vt:lpstr>triggerRisikoFragen21bReason</vt:lpstr>
      <vt:lpstr>triggerRisikoFragen22Reason</vt:lpstr>
      <vt:lpstr>triggerRisikoFragen23aReason</vt:lpstr>
      <vt:lpstr>triggerRisikoFragen23bReason</vt:lpstr>
      <vt:lpstr>triggerRisikoFragen23cReason</vt:lpstr>
      <vt:lpstr>triggerRisikoFragen23eReason</vt:lpstr>
      <vt:lpstr>triggerRisikoFragen24Reason</vt:lpstr>
      <vt:lpstr>triggerRisikoFragen25Reason</vt:lpstr>
      <vt:lpstr>triggerRisikoFragen26aReason</vt:lpstr>
      <vt:lpstr>triggerRisikoFragen26bReason</vt:lpstr>
      <vt:lpstr>triggerRisikoFragen27aReason</vt:lpstr>
      <vt:lpstr>triggerRisikoFragen27cReason</vt:lpstr>
      <vt:lpstr>triggerRisikoFragen27dReason</vt:lpstr>
      <vt:lpstr>triggerRisikoFragen27eReason</vt:lpstr>
      <vt:lpstr>triggerRisikoFragen30Reason</vt:lpstr>
      <vt:lpstr>triggerRisikoFragen32KoReason</vt:lpstr>
      <vt:lpstr>triggerRisikoFragen32RefReason</vt:lpstr>
      <vt:lpstr>triggerRisikoFragen33Reason</vt:lpstr>
      <vt:lpstr>triggerRisikoFragen34Reason</vt:lpstr>
      <vt:lpstr>triggerRisikoFragen35Reason</vt:lpstr>
      <vt:lpstr>triggerRisikoFragen36aKoReason</vt:lpstr>
      <vt:lpstr>triggerRisikoFragen36aRefReason</vt:lpstr>
      <vt:lpstr>triggerRisikoFragen36bKoReason</vt:lpstr>
      <vt:lpstr>triggerRisikoFragen36bRefReason</vt:lpstr>
      <vt:lpstr>triggerRisikoFragen39Reason</vt:lpstr>
      <vt:lpstr>triggerRisikoFragen902Reason</vt:lpstr>
      <vt:lpstr>triggerRisikoFragen95aReason</vt:lpstr>
      <vt:lpstr>triggerRisikoFragen97aReason</vt:lpstr>
      <vt:lpstr>triggerRisikoFragen9Reason</vt:lpstr>
      <vt:lpstr>triggerRisikoFragenAIGFacility40Reason</vt:lpstr>
      <vt:lpstr>triggerRisikoFragenAIGFacility41Reason</vt:lpstr>
      <vt:lpstr>triggerRisikoFragenAIGFacility42Reason</vt:lpstr>
      <vt:lpstr>triggerRisikoFragenAIGFacility43Reason</vt:lpstr>
      <vt:lpstr>triggerRisikoFragenAIGFacility44Reason</vt:lpstr>
      <vt:lpstr>triggerRisikoFragenAIGFacility45Reason</vt:lpstr>
      <vt:lpstr>triggerRisikoFragenAIGFacility46KoReason</vt:lpstr>
      <vt:lpstr>triggerRisikoFragenAIGFacility46Reason</vt:lpstr>
      <vt:lpstr>triggerRisikoFragenAIGFacility47Reason</vt:lpstr>
      <vt:lpstr>triggerRisikoFragenAIGFacility48Reason</vt:lpstr>
      <vt:lpstr>triggerRisikoFragenAIGFacility49Reason</vt:lpstr>
      <vt:lpstr>triggerRisikoFragenAXAFacility115aReason</vt:lpstr>
      <vt:lpstr>triggerRisikoFragenAXAFacility115bReason</vt:lpstr>
      <vt:lpstr>triggerRisikoFragenAXAFacility116aReason</vt:lpstr>
      <vt:lpstr>triggerRisikoFragenAXAFacility116bReason</vt:lpstr>
      <vt:lpstr>triggerRisikoFragenAXAFacility116dReason</vt:lpstr>
      <vt:lpstr>triggerRisikoFragenAXAFacility117aReason</vt:lpstr>
      <vt:lpstr>triggerRisikoFragenAXAFacility117bReason</vt:lpstr>
      <vt:lpstr>triggerRisikoFragenAXAFacility117dReason</vt:lpstr>
      <vt:lpstr>triggerRisikoFragenAXAFacility118aReason</vt:lpstr>
      <vt:lpstr>triggerRisikoFragenAXAFacility118bReason</vt:lpstr>
      <vt:lpstr>triggerRisikoFragenAXAFacility118dReason</vt:lpstr>
      <vt:lpstr>triggerRisikoFragenAXAFacility119aReason</vt:lpstr>
      <vt:lpstr>triggerRisikoFragenAXAFacility120Reason</vt:lpstr>
      <vt:lpstr>triggerRisikoFragenAXAFacility122aReason</vt:lpstr>
      <vt:lpstr>triggerRisikoFragenAXAFacility122bReason</vt:lpstr>
      <vt:lpstr>triggerRisikoFragenAXAFacility122cReason</vt:lpstr>
      <vt:lpstr>triggerRisikoFragenAXAFacility122dReason</vt:lpstr>
      <vt:lpstr>triggerRisikoFragenAXAFacility122eReason</vt:lpstr>
      <vt:lpstr>triggerRisikoFragenStartUp142Reason</vt:lpstr>
      <vt:lpstr>triggerRisikoFragenStartUp145Reason</vt:lpstr>
      <vt:lpstr>triggerRisikoFragenStartUp92Reason</vt:lpstr>
      <vt:lpstr>triggerRisikoFragenStartUp93Reason</vt:lpstr>
      <vt:lpstr>triggerRisikoFragenStartUp94Reason</vt:lpstr>
      <vt:lpstr>triggerRisikoFragenUmsatzSanktionslandReason</vt:lpstr>
      <vt:lpstr>triggerRisikoFragenUSACAN106Reason</vt:lpstr>
      <vt:lpstr>triggerRisikoFragenUSACAN107Reason</vt:lpstr>
      <vt:lpstr>triggerRisikoFragenUSACAN108Reason</vt:lpstr>
      <vt:lpstr>triggerRisikoFragenUSACAN109Reason</vt:lpstr>
      <vt:lpstr>triggerRisikoFragenUSACAN110Reason</vt:lpstr>
      <vt:lpstr>triggerRisikoFragenUSACAN111Reason</vt:lpstr>
      <vt:lpstr>triggerRisikoFragenUSACAN112Reason</vt:lpstr>
      <vt:lpstr>triggerRisikoFragenUSACAN113Reason</vt:lpstr>
      <vt:lpstr>triggerRisikoFragenUSACAN114Reason</vt:lpstr>
      <vt:lpstr>triggerRisikoFragenVereine101Reason</vt:lpstr>
      <vt:lpstr>triggerRisikoFragenVereine102Reason</vt:lpstr>
      <vt:lpstr>triggerRisikoFragenVereine103KoReason</vt:lpstr>
      <vt:lpstr>triggerRisikoFragenVereine103RefReason</vt:lpstr>
      <vt:lpstr>triggerRisikoFragenVereine104Reason</vt:lpstr>
      <vt:lpstr>triggerRisikoFragenVereine105Reason</vt:lpstr>
      <vt:lpstr>triggerRisikoFragenVorvertragClaimsForIncreasedLimitReason</vt:lpstr>
      <vt:lpstr>triggerRisikoFragenVorvertragExtendedReportingPeriodReason</vt:lpstr>
      <vt:lpstr>triggerRisikoFragenVorvertragInsurerReason</vt:lpstr>
      <vt:lpstr>triggerRisikoFragenVorvertragNoGapsInCoverageReason</vt:lpstr>
      <vt:lpstr>triggerSanctionCountriesReason</vt:lpstr>
      <vt:lpstr>triggerStammDaten2KoReason</vt:lpstr>
      <vt:lpstr>triggerStammDaten2RefReason</vt:lpstr>
      <vt:lpstr>triggerStammDaten3KoReason</vt:lpstr>
      <vt:lpstr>triggerStammDaten3RefReason</vt:lpstr>
      <vt:lpstr>triggerwvagRisikoFragen0aValue</vt:lpstr>
      <vt:lpstr>triggerwvagRisikoFragen0bRefValue</vt:lpstr>
      <vt:lpstr>triggerwvagRisikoFragen11KoValue</vt:lpstr>
      <vt:lpstr>triggerwvagRisikoFragen11RefValue</vt:lpstr>
      <vt:lpstr>triggerwvagRisikoFragen127KoValue</vt:lpstr>
      <vt:lpstr>triggerwvagRisikoFragen127RefValue</vt:lpstr>
      <vt:lpstr>triggerwvagRisikoFragen18Value</vt:lpstr>
      <vt:lpstr>triggerwvagRisikoFragen19RefValue</vt:lpstr>
      <vt:lpstr>triggerwvagRisikoFragen20RefValue</vt:lpstr>
      <vt:lpstr>triggerwvagRisikoFragen21aValue</vt:lpstr>
      <vt:lpstr>triggerwvagRisikoFragen21bValue</vt:lpstr>
      <vt:lpstr>triggerwvagRisikoFragen22Value</vt:lpstr>
      <vt:lpstr>triggerwvagRisikoFragen23bValue</vt:lpstr>
      <vt:lpstr>triggerwvagRisikoFragen23cValue</vt:lpstr>
      <vt:lpstr>triggerwvagRisikoFragen25Value</vt:lpstr>
      <vt:lpstr>triggerwvagRisikoFragen26aValue</vt:lpstr>
      <vt:lpstr>triggerwvagRisikoFragen26bValue</vt:lpstr>
      <vt:lpstr>triggerwvagRisikoFragen27aValue</vt:lpstr>
      <vt:lpstr>triggerwvagRisikoFragen27cValue</vt:lpstr>
      <vt:lpstr>triggerwvagRisikoFragen27dValue</vt:lpstr>
      <vt:lpstr>triggerwvagRisikoFragen27eValue</vt:lpstr>
      <vt:lpstr>triggerwvagRisikoFragen30Value</vt:lpstr>
      <vt:lpstr>triggerwvagRisikoFragen32RefValue</vt:lpstr>
      <vt:lpstr>triggerwvagRisikoFragen34Value</vt:lpstr>
      <vt:lpstr>triggerwvagRisikoFragen35Value</vt:lpstr>
      <vt:lpstr>triggerwvagRisikoFragen36aKoValue</vt:lpstr>
      <vt:lpstr>triggerwvagRisikoFragen39Value</vt:lpstr>
      <vt:lpstr>triggerwvagRisikoFragen95aValue</vt:lpstr>
      <vt:lpstr>triggerwvagRisikoFragen97aValue</vt:lpstr>
      <vt:lpstr>triggerwvagRisikoFragen9Value</vt:lpstr>
      <vt:lpstr>triggerwvagRisikoFragenAIGFacility40Value</vt:lpstr>
      <vt:lpstr>triggerwvagRisikoFragenAIGFacility41Value</vt:lpstr>
      <vt:lpstr>triggerwvagRisikoFragenAIGFacility42Value</vt:lpstr>
      <vt:lpstr>triggerwvagRisikoFragenAIGFacility43Value</vt:lpstr>
      <vt:lpstr>triggerwvagRisikoFragenAIGFacility44Value</vt:lpstr>
      <vt:lpstr>triggerwvagRisikoFragenAIGFacility46Value</vt:lpstr>
      <vt:lpstr>triggerwvagRisikoFragenAIGFacility47Value</vt:lpstr>
      <vt:lpstr>triggerwvagRisikoFragenAIGFacility48Value</vt:lpstr>
      <vt:lpstr>triggerwvagRisikoFragenAXAFacility115aValue</vt:lpstr>
      <vt:lpstr>triggerwvagRisikoFragenAXAFacility115bValue</vt:lpstr>
      <vt:lpstr>triggerwvagRisikoFragenAXAFacility119aValue</vt:lpstr>
      <vt:lpstr>triggerwvagRisikoFragenAXAFacility120Value</vt:lpstr>
      <vt:lpstr>triggerwvagRisikoFragenStartUp92Value</vt:lpstr>
      <vt:lpstr>triggerwvagRisikoFragenStartUp93Value</vt:lpstr>
      <vt:lpstr>triggerwvagRisikoFragenStartUp94Value</vt:lpstr>
      <vt:lpstr>triggerwvagRisikoFragenUmsatzSanktionslandValue</vt:lpstr>
      <vt:lpstr>triggerwvagRisikoFragenUSACAN111Value</vt:lpstr>
      <vt:lpstr>triggerwvagRisikoFragenUSACAN112Value</vt:lpstr>
      <vt:lpstr>triggerwvagRisikoFragenUSACAN113Value</vt:lpstr>
      <vt:lpstr>triggerwvagRisikoFragenUSACAN114Value</vt:lpstr>
      <vt:lpstr>triggerwvagRisikoFragenVereine102Value</vt:lpstr>
      <vt:lpstr>triggerwvagRisikoFragenVereine103KoValue</vt:lpstr>
      <vt:lpstr>triggerwvagRisikoFragenVereine104Value</vt:lpstr>
      <vt:lpstr>triggerwvagRisikoFragenVorvertragClaimsForIncreasedLimitValue</vt:lpstr>
      <vt:lpstr>triggerwvagRisikoFragenVorvertragExtendedReportingPeriodValue</vt:lpstr>
      <vt:lpstr>triggerwvagRisikoFragenVorvertragInsurerValue</vt:lpstr>
      <vt:lpstr>triggerwvagRisikoFragenVorvertragNoGapsInCoverageValue</vt:lpstr>
      <vt:lpstr>triggerwvagStammDaten2KoValue</vt:lpstr>
      <vt:lpstr>triggerwvagStammDaten2RefValue</vt:lpstr>
      <vt:lpstr>triggerwvagStammDaten3KoValue</vt:lpstr>
      <vt:lpstr>Umsatz</vt:lpstr>
      <vt:lpstr>UmsatzUSA</vt:lpstr>
      <vt:lpstr>USACAN</vt:lpstr>
      <vt:lpstr>USACanada</vt:lpstr>
      <vt:lpstr>USACanadaSalesAssets</vt:lpstr>
      <vt:lpstr>USAufsichtsbehörde</vt:lpstr>
      <vt:lpstr>Vereinsvermögen</vt:lpstr>
      <vt:lpstr>VereinsvermögenGI</vt:lpstr>
      <vt:lpstr>Vorversicherung</vt:lpstr>
      <vt:lpstr>VorvertragOhneUnterbrechung</vt:lpstr>
      <vt:lpstr>wvag_Deckungssummenlimit1</vt:lpstr>
      <vt:lpstr>wvag_Deckungssummenlimit2</vt:lpstr>
      <vt:lpstr>wvag_ErforderlicheEKQ1</vt:lpstr>
      <vt:lpstr>wvag_ErforderlicheEKQ2</vt:lpstr>
      <vt:lpstr>wvag_MaxDeckungssumme</vt:lpstr>
      <vt:lpstr>wvag_MaxUmsatz</vt:lpstr>
      <vt:lpstr>wvag_PremiumAdjustment</vt:lpstr>
      <vt:lpstr>wvag_Referral</vt:lpstr>
      <vt:lpstr>wvag1usedClauses</vt:lpstr>
      <vt:lpstr>wvag2usedClauses</vt:lpstr>
      <vt:lpstr>wvag3usedClauses</vt:lpstr>
      <vt:lpstr>wvagArbitrationCourtPercentage</vt:lpstr>
      <vt:lpstr>wvagArbitrationCourtPremiumNeutral</vt:lpstr>
      <vt:lpstr>wvagArbitrationCourtSelected</vt:lpstr>
      <vt:lpstr>wvagClubs_MaxDeckungssumme</vt:lpstr>
      <vt:lpstr>wvagClubs_MaxUmsatz</vt:lpstr>
      <vt:lpstr>wvagDefaultKlauseln</vt:lpstr>
      <vt:lpstr>wvagDoublePerYearPercentage</vt:lpstr>
      <vt:lpstr>wvagDoublePerYearPremiumNeutral</vt:lpstr>
      <vt:lpstr>wvagDoublePerYearSelected</vt:lpstr>
      <vt:lpstr>WVAGEigenkapitalquote</vt:lpstr>
      <vt:lpstr>wvagLimit1Bewertungsfaktor</vt:lpstr>
      <vt:lpstr>wvagLimit1CoopBrokerNetProvision</vt:lpstr>
      <vt:lpstr>wvagLimit1CoverageOptions</vt:lpstr>
      <vt:lpstr>wvagLimit1HowdenNetProvision</vt:lpstr>
      <vt:lpstr>wvagLimit1Offered</vt:lpstr>
      <vt:lpstr>wvagLimit1Premium</vt:lpstr>
      <vt:lpstr>wvagLimit1Stars</vt:lpstr>
      <vt:lpstr>wvagLimit1Status</vt:lpstr>
      <vt:lpstr>wvagLimit2Bewertungsfaktor</vt:lpstr>
      <vt:lpstr>wvagLimit2CoopBrokerNetProvision</vt:lpstr>
      <vt:lpstr>wvagLimit2CoverageOptions</vt:lpstr>
      <vt:lpstr>wvagLimit2HowdenNetProvision</vt:lpstr>
      <vt:lpstr>wvagLimit2Offered</vt:lpstr>
      <vt:lpstr>wvagLimit2Premium</vt:lpstr>
      <vt:lpstr>wvagLimit2Stars</vt:lpstr>
      <vt:lpstr>wvagLimit2Status</vt:lpstr>
      <vt:lpstr>wvagLimit3Bewertungsfaktor</vt:lpstr>
      <vt:lpstr>wvagLimit3CoopBrokerNetProvision</vt:lpstr>
      <vt:lpstr>wvagLimit3CoverageOptions</vt:lpstr>
      <vt:lpstr>wvagLimit3HowdenNetProvision</vt:lpstr>
      <vt:lpstr>wvagLimit3Offered</vt:lpstr>
      <vt:lpstr>wvagLimit3Premium</vt:lpstr>
      <vt:lpstr>wvagLimit3Stars</vt:lpstr>
      <vt:lpstr>wvagLimit3Status</vt:lpstr>
      <vt:lpstr>wvagRiskManagerGlobalState</vt:lpstr>
      <vt:lpstr>wvagUsedClauses</vt:lpstr>
      <vt:lpstr>wvagWpHGPercentage</vt:lpstr>
      <vt:lpstr>wvagWpHGPremiumNeutral</vt:lpstr>
      <vt:lpstr>wvagWpHGSelected</vt:lpstr>
      <vt:lpstr>Zweifachmaximierung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Jikeli</dc:creator>
  <cp:lastModifiedBy>Maria Oganian</cp:lastModifiedBy>
  <dcterms:created xsi:type="dcterms:W3CDTF">2021-10-21T12:57:43Z</dcterms:created>
  <dcterms:modified xsi:type="dcterms:W3CDTF">2025-11-11T09:27:04Z</dcterms:modified>
</cp:coreProperties>
</file>