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lenorgroup-my.sharepoint.com/personal/andreas_koksrud_telenor_no/Documents/Maler/WLC Design/"/>
    </mc:Choice>
  </mc:AlternateContent>
  <xr:revisionPtr revIDLastSave="531" documentId="11_887EE6B4A507D1C6CFCFC34CD2A14B902D7FFCDA" xr6:coauthVersionLast="47" xr6:coauthVersionMax="47" xr10:uidLastSave="{014280AD-6F71-404D-B042-9171A4A659B4}"/>
  <bookViews>
    <workbookView xWindow="27930" yWindow="0" windowWidth="35010" windowHeight="20985" xr2:uid="{00000000-000D-0000-FFFF-FFFF00000000}"/>
  </bookViews>
  <sheets>
    <sheet name="Design" sheetId="2" r:id="rId1"/>
    <sheet name="Config" sheetId="3" r:id="rId2"/>
    <sheet name="Troubleshoot" sheetId="4" r:id="rId3"/>
    <sheet name="Debug examples" sheetId="7" r:id="rId4"/>
    <sheet name="AP Config" sheetId="6" r:id="rId5"/>
    <sheet name="Site and filter config" sheetId="10" r:id="rId6"/>
    <sheet name="Telemetry" sheetId="11" r:id="rId7"/>
    <sheet name="Design powerpoint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B68" i="3"/>
  <c r="B37" i="2"/>
  <c r="B4" i="11" s="1"/>
  <c r="K13" i="11"/>
  <c r="L13" i="11"/>
  <c r="L2" i="11"/>
  <c r="L11" i="11"/>
  <c r="L12" i="11"/>
  <c r="B11" i="11" l="1"/>
  <c r="B10" i="11"/>
  <c r="B9" i="11"/>
  <c r="B7" i="11"/>
  <c r="B6" i="11"/>
  <c r="B3" i="11"/>
  <c r="B12" i="11"/>
  <c r="K12" i="11" s="1"/>
  <c r="B8" i="11"/>
  <c r="B5" i="11"/>
  <c r="K11" i="11"/>
  <c r="K10" i="11"/>
  <c r="K9" i="11" l="1"/>
  <c r="K8" i="11"/>
  <c r="K7" i="11"/>
  <c r="K6" i="11"/>
  <c r="K5" i="11"/>
  <c r="E3" i="11"/>
  <c r="E4" i="11" s="1"/>
  <c r="E5" i="11" s="1"/>
  <c r="E6" i="11" s="1"/>
  <c r="E7" i="11" s="1"/>
  <c r="D3" i="11"/>
  <c r="C33" i="2"/>
  <c r="B33" i="2"/>
  <c r="B11" i="3"/>
  <c r="A11" i="3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B338" i="3"/>
  <c r="B337" i="3"/>
  <c r="B336" i="3"/>
  <c r="B335" i="3"/>
  <c r="B330" i="3"/>
  <c r="B329" i="3"/>
  <c r="B328" i="3"/>
  <c r="B327" i="3"/>
  <c r="B294" i="3"/>
  <c r="B288" i="3"/>
  <c r="B282" i="3"/>
  <c r="B270" i="3"/>
  <c r="B247" i="3"/>
  <c r="B246" i="3"/>
  <c r="B244" i="3"/>
  <c r="B241" i="3"/>
  <c r="B235" i="3"/>
  <c r="B234" i="3"/>
  <c r="B232" i="3"/>
  <c r="B229" i="3"/>
  <c r="B223" i="3"/>
  <c r="B222" i="3"/>
  <c r="B221" i="3"/>
  <c r="B220" i="3"/>
  <c r="B219" i="3"/>
  <c r="B218" i="3"/>
  <c r="B211" i="3"/>
  <c r="B210" i="3"/>
  <c r="B209" i="3"/>
  <c r="B208" i="3"/>
  <c r="B206" i="3"/>
  <c r="B205" i="3"/>
  <c r="B202" i="3"/>
  <c r="B201" i="3"/>
  <c r="B200" i="3"/>
  <c r="B192" i="3"/>
  <c r="B191" i="3"/>
  <c r="B167" i="3"/>
  <c r="B166" i="3"/>
  <c r="B163" i="3"/>
  <c r="B135" i="3"/>
  <c r="B126" i="3"/>
  <c r="B125" i="3"/>
  <c r="B124" i="3"/>
  <c r="B123" i="3"/>
  <c r="B98" i="3"/>
  <c r="B95" i="3"/>
  <c r="B92" i="3"/>
  <c r="B74" i="3"/>
  <c r="B73" i="3"/>
  <c r="B51" i="3"/>
  <c r="B50" i="3"/>
  <c r="B42" i="3"/>
  <c r="B40" i="3"/>
  <c r="B35" i="3"/>
  <c r="B33" i="3"/>
  <c r="B32" i="3"/>
  <c r="B31" i="3"/>
  <c r="B30" i="3"/>
  <c r="B29" i="3"/>
  <c r="B24" i="3"/>
  <c r="B23" i="3"/>
  <c r="B22" i="3"/>
  <c r="B13" i="3"/>
  <c r="B12" i="3"/>
  <c r="A202" i="3"/>
  <c r="A201" i="3"/>
  <c r="A211" i="3"/>
  <c r="A210" i="3"/>
  <c r="A209" i="3"/>
  <c r="A208" i="3"/>
  <c r="A205" i="3"/>
  <c r="A71" i="2"/>
  <c r="A206" i="3" s="1"/>
  <c r="F71" i="2"/>
  <c r="A338" i="3"/>
  <c r="A337" i="3"/>
  <c r="A336" i="3"/>
  <c r="A335" i="3"/>
  <c r="A330" i="3"/>
  <c r="A329" i="3"/>
  <c r="A328" i="3"/>
  <c r="A327" i="3"/>
  <c r="D4" i="11" l="1"/>
  <c r="L3" i="11"/>
  <c r="K4" i="11"/>
  <c r="K3" i="11"/>
  <c r="K2" i="11"/>
  <c r="A200" i="3"/>
  <c r="B24" i="10"/>
  <c r="C24" i="10" s="1"/>
  <c r="B23" i="10"/>
  <c r="C23" i="10" s="1"/>
  <c r="B22" i="10"/>
  <c r="C22" i="10" s="1"/>
  <c r="C14" i="10"/>
  <c r="B21" i="10"/>
  <c r="C21" i="10" s="1"/>
  <c r="B20" i="10"/>
  <c r="C20" i="10" s="1"/>
  <c r="B19" i="10"/>
  <c r="C19" i="10" s="1"/>
  <c r="B18" i="10"/>
  <c r="C18" i="10" s="1"/>
  <c r="B17" i="10"/>
  <c r="C17" i="10" s="1"/>
  <c r="B16" i="10"/>
  <c r="C16" i="10" s="1"/>
  <c r="B15" i="10"/>
  <c r="C15" i="10" s="1"/>
  <c r="B14" i="10"/>
  <c r="B13" i="10"/>
  <c r="C13" i="10" s="1"/>
  <c r="B12" i="10"/>
  <c r="C12" i="10" s="1"/>
  <c r="B11" i="10"/>
  <c r="B10" i="10"/>
  <c r="C11" i="10" s="1"/>
  <c r="B9" i="10"/>
  <c r="C9" i="10" s="1"/>
  <c r="B8" i="10"/>
  <c r="C8" i="10" s="1"/>
  <c r="B7" i="10"/>
  <c r="C7" i="10" s="1"/>
  <c r="B6" i="10"/>
  <c r="C6" i="10" s="1"/>
  <c r="B5" i="10"/>
  <c r="C5" i="10" s="1"/>
  <c r="B4" i="10"/>
  <c r="C4" i="10" s="1"/>
  <c r="B3" i="10"/>
  <c r="C3" i="10" s="1"/>
  <c r="B2" i="10"/>
  <c r="C2" i="10" s="1"/>
  <c r="D5" i="11" l="1"/>
  <c r="L4" i="11"/>
  <c r="G66" i="10" a="1"/>
  <c r="G66" i="10" s="1"/>
  <c r="C10" i="10"/>
  <c r="G44" i="10" s="1" a="1"/>
  <c r="G44" i="10" s="1"/>
  <c r="G68" i="10" a="1"/>
  <c r="G68" i="10" s="1"/>
  <c r="G77" i="10" a="1"/>
  <c r="G77" i="10" s="1"/>
  <c r="G35" i="10" a="1"/>
  <c r="G35" i="10" s="1"/>
  <c r="I35" i="10" s="1"/>
  <c r="G16" i="10" a="1"/>
  <c r="G16" i="10" s="1"/>
  <c r="H16" i="10" s="1"/>
  <c r="G56" i="10" a="1"/>
  <c r="G56" i="10" s="1"/>
  <c r="G78" i="10" a="1"/>
  <c r="G78" i="10" s="1"/>
  <c r="G25" i="10" a="1"/>
  <c r="G25" i="10" s="1"/>
  <c r="I25" i="10" s="1"/>
  <c r="G84" i="10" a="1"/>
  <c r="G84" i="10" s="1"/>
  <c r="H84" i="10" s="1"/>
  <c r="G47" i="10" a="1"/>
  <c r="G47" i="10" s="1"/>
  <c r="G14" i="10" a="1"/>
  <c r="G14" i="10" s="1"/>
  <c r="I14" i="10" s="1"/>
  <c r="G6" i="10" a="1"/>
  <c r="G6" i="10" s="1"/>
  <c r="G51" i="10" a="1"/>
  <c r="G51" i="10" s="1"/>
  <c r="I51" i="10" s="1"/>
  <c r="G17" i="10" a="1"/>
  <c r="G17" i="10" s="1"/>
  <c r="I17" i="10" s="1"/>
  <c r="G29" i="10" a="1"/>
  <c r="G29" i="10" s="1"/>
  <c r="G36" i="10" a="1"/>
  <c r="G36" i="10" s="1"/>
  <c r="G48" i="10" a="1"/>
  <c r="G48" i="10" s="1"/>
  <c r="G60" i="10" a="1"/>
  <c r="G60" i="10" s="1"/>
  <c r="G72" i="10" a="1"/>
  <c r="G72" i="10" s="1"/>
  <c r="I72" i="10" s="1"/>
  <c r="G91" i="10" a="1"/>
  <c r="G91" i="10" s="1"/>
  <c r="I91" i="10" s="1"/>
  <c r="G3" i="10" a="1"/>
  <c r="G3" i="10" s="1"/>
  <c r="G18" i="10" a="1"/>
  <c r="G18" i="10" s="1"/>
  <c r="G30" i="10" a="1"/>
  <c r="G30" i="10" s="1"/>
  <c r="I16" i="10"/>
  <c r="G37" i="10" a="1"/>
  <c r="G37" i="10" s="1"/>
  <c r="H37" i="10" s="1"/>
  <c r="G49" i="10" a="1"/>
  <c r="G49" i="10" s="1"/>
  <c r="G61" i="10" a="1"/>
  <c r="G61" i="10" s="1"/>
  <c r="H61" i="10" s="1"/>
  <c r="G73" i="10" a="1"/>
  <c r="G73" i="10" s="1"/>
  <c r="I73" i="10" s="1"/>
  <c r="G92" i="10" a="1"/>
  <c r="G92" i="10" s="1"/>
  <c r="G4" i="10" a="1"/>
  <c r="G4" i="10" s="1"/>
  <c r="I4" i="10" s="1"/>
  <c r="G19" i="10" a="1"/>
  <c r="G19" i="10" s="1"/>
  <c r="I19" i="10" s="1"/>
  <c r="G31" i="10" a="1"/>
  <c r="G31" i="10" s="1"/>
  <c r="I31" i="10" s="1"/>
  <c r="G38" i="10" a="1"/>
  <c r="G38" i="10" s="1"/>
  <c r="I38" i="10" s="1"/>
  <c r="G50" i="10" a="1"/>
  <c r="G50" i="10" s="1"/>
  <c r="H50" i="10" s="1"/>
  <c r="G62" i="10" a="1"/>
  <c r="G62" i="10" s="1"/>
  <c r="I62" i="10" s="1"/>
  <c r="G74" i="10" a="1"/>
  <c r="G74" i="10" s="1"/>
  <c r="H74" i="10" s="1"/>
  <c r="G93" i="10" a="1"/>
  <c r="G93" i="10" s="1"/>
  <c r="H93" i="10" s="1"/>
  <c r="G94" i="10" a="1"/>
  <c r="G94" i="10" s="1"/>
  <c r="G9" i="10" a="1"/>
  <c r="G9" i="10" s="1"/>
  <c r="G21" i="10" a="1"/>
  <c r="G21" i="10" s="1"/>
  <c r="I21" i="10" s="1"/>
  <c r="G33" i="10" a="1"/>
  <c r="G33" i="10" s="1"/>
  <c r="I33" i="10" s="1"/>
  <c r="G40" i="10" a="1"/>
  <c r="G40" i="10" s="1"/>
  <c r="G52" i="10" a="1"/>
  <c r="G52" i="10" s="1"/>
  <c r="H52" i="10" s="1"/>
  <c r="G64" i="10" a="1"/>
  <c r="G64" i="10" s="1"/>
  <c r="H64" i="10" s="1"/>
  <c r="G76" i="10" a="1"/>
  <c r="G76" i="10" s="1"/>
  <c r="H76" i="10" s="1"/>
  <c r="G96" i="10" a="1"/>
  <c r="G96" i="10" s="1"/>
  <c r="I96" i="10" s="1"/>
  <c r="G103" i="10" a="1"/>
  <c r="G103" i="10" s="1"/>
  <c r="I103" i="10" s="1"/>
  <c r="G105" i="10" a="1"/>
  <c r="G105" i="10" s="1"/>
  <c r="G95" i="10" a="1"/>
  <c r="G95" i="10" s="1"/>
  <c r="H95" i="10" s="1"/>
  <c r="G80" i="10" a="1"/>
  <c r="G80" i="10" s="1"/>
  <c r="H80" i="10" s="1"/>
  <c r="G81" i="10" a="1"/>
  <c r="G81" i="10" s="1"/>
  <c r="I81" i="10" s="1"/>
  <c r="G15" i="10" a="1"/>
  <c r="G15" i="10" s="1"/>
  <c r="G27" i="10" a="1"/>
  <c r="G27" i="10" s="1"/>
  <c r="G46" i="10" a="1"/>
  <c r="G46" i="10" s="1"/>
  <c r="I46" i="10" s="1"/>
  <c r="G58" i="10" a="1"/>
  <c r="G58" i="10" s="1"/>
  <c r="I58" i="10" s="1"/>
  <c r="G70" i="10" a="1"/>
  <c r="G70" i="10" s="1"/>
  <c r="I70" i="10" s="1"/>
  <c r="G85" i="10" a="1"/>
  <c r="G85" i="10" s="1"/>
  <c r="I85" i="10" s="1"/>
  <c r="G97" i="10" a="1"/>
  <c r="G97" i="10" s="1"/>
  <c r="I97" i="10" s="1"/>
  <c r="H25" i="10"/>
  <c r="H31" i="10"/>
  <c r="G86" i="10" a="1"/>
  <c r="G86" i="10" s="1"/>
  <c r="I86" i="10" s="1"/>
  <c r="G98" i="10" a="1"/>
  <c r="G98" i="10" s="1"/>
  <c r="I98" i="10" s="1"/>
  <c r="G87" i="10" a="1"/>
  <c r="G87" i="10" s="1"/>
  <c r="I87" i="10" s="1"/>
  <c r="G99" i="10" a="1"/>
  <c r="G99" i="10" s="1"/>
  <c r="H99" i="10" s="1"/>
  <c r="G88" i="10" a="1"/>
  <c r="G88" i="10" s="1"/>
  <c r="H88" i="10" s="1"/>
  <c r="G100" i="10" a="1"/>
  <c r="G100" i="10" s="1"/>
  <c r="I100" i="10" s="1"/>
  <c r="G89" i="10" a="1"/>
  <c r="G89" i="10" s="1"/>
  <c r="H89" i="10" s="1"/>
  <c r="G101" i="10" a="1"/>
  <c r="G101" i="10" s="1"/>
  <c r="I101" i="10" s="1"/>
  <c r="H33" i="10"/>
  <c r="G90" i="10" a="1"/>
  <c r="G90" i="10" s="1"/>
  <c r="I90" i="10" s="1"/>
  <c r="G102" i="10" a="1"/>
  <c r="G102" i="10" s="1"/>
  <c r="I102" i="10" s="1"/>
  <c r="G104" i="10" a="1"/>
  <c r="G104" i="10" s="1"/>
  <c r="H104" i="10" s="1"/>
  <c r="H17" i="10"/>
  <c r="G83" i="10" a="1"/>
  <c r="G83" i="10" s="1"/>
  <c r="I83" i="10" s="1"/>
  <c r="I95" i="10"/>
  <c r="I94" i="10"/>
  <c r="H94" i="10"/>
  <c r="I36" i="10"/>
  <c r="H36" i="10"/>
  <c r="I49" i="10"/>
  <c r="H49" i="10"/>
  <c r="I61" i="10"/>
  <c r="H48" i="10"/>
  <c r="I48" i="10"/>
  <c r="I50" i="10"/>
  <c r="H72" i="10"/>
  <c r="I37" i="10"/>
  <c r="I64" i="10"/>
  <c r="I77" i="10"/>
  <c r="H77" i="10"/>
  <c r="I78" i="10"/>
  <c r="H78" i="10"/>
  <c r="H73" i="10"/>
  <c r="H40" i="10"/>
  <c r="I40" i="10"/>
  <c r="I56" i="10"/>
  <c r="H56" i="10"/>
  <c r="I68" i="10"/>
  <c r="H68" i="10"/>
  <c r="I80" i="10"/>
  <c r="I92" i="10"/>
  <c r="H92" i="10"/>
  <c r="I47" i="10"/>
  <c r="H47" i="10"/>
  <c r="I60" i="10"/>
  <c r="H60" i="10"/>
  <c r="I66" i="10"/>
  <c r="H66" i="10"/>
  <c r="I93" i="10"/>
  <c r="I105" i="10"/>
  <c r="H105" i="10"/>
  <c r="B245" i="2"/>
  <c r="D6" i="11" l="1"/>
  <c r="L5" i="11"/>
  <c r="I44" i="10"/>
  <c r="H44" i="10"/>
  <c r="G28" i="10" a="1"/>
  <c r="G28" i="10" s="1"/>
  <c r="G69" i="10" a="1"/>
  <c r="G69" i="10" s="1"/>
  <c r="G67" i="10" a="1"/>
  <c r="G67" i="10" s="1"/>
  <c r="G55" i="10" a="1"/>
  <c r="G55" i="10" s="1"/>
  <c r="H55" i="10" s="1"/>
  <c r="G82" i="10" a="1"/>
  <c r="G82" i="10" s="1"/>
  <c r="G13" i="10" a="1"/>
  <c r="G13" i="10" s="1"/>
  <c r="I99" i="10"/>
  <c r="I74" i="10"/>
  <c r="H103" i="10"/>
  <c r="H51" i="10"/>
  <c r="G59" i="10" a="1"/>
  <c r="G59" i="10" s="1"/>
  <c r="G11" i="10" a="1"/>
  <c r="G11" i="10" s="1"/>
  <c r="G32" i="10" a="1"/>
  <c r="G32" i="10" s="1"/>
  <c r="G41" i="10" a="1"/>
  <c r="G41" i="10" s="1"/>
  <c r="I41" i="10" s="1"/>
  <c r="G22" i="10" a="1"/>
  <c r="G22" i="10" s="1"/>
  <c r="H22" i="10" s="1"/>
  <c r="G45" i="10" a="1"/>
  <c r="G45" i="10" s="1"/>
  <c r="G34" i="10" a="1"/>
  <c r="G34" i="10" s="1"/>
  <c r="G53" i="10" a="1"/>
  <c r="G53" i="10" s="1"/>
  <c r="G12" i="10" a="1"/>
  <c r="G12" i="10" s="1"/>
  <c r="G5" i="10" a="1"/>
  <c r="G5" i="10" s="1"/>
  <c r="H96" i="10"/>
  <c r="G79" i="10" a="1"/>
  <c r="G79" i="10" s="1"/>
  <c r="G75" i="10" a="1"/>
  <c r="G75" i="10" s="1"/>
  <c r="G57" i="10" a="1"/>
  <c r="G57" i="10" s="1"/>
  <c r="G39" i="10" a="1"/>
  <c r="G39" i="10" s="1"/>
  <c r="G54" i="10" a="1"/>
  <c r="G54" i="10" s="1"/>
  <c r="G63" i="10" a="1"/>
  <c r="G63" i="10" s="1"/>
  <c r="G42" i="10" a="1"/>
  <c r="G42" i="10" s="1"/>
  <c r="H90" i="10"/>
  <c r="G8" i="10" a="1"/>
  <c r="G8" i="10" s="1"/>
  <c r="G24" i="10" a="1"/>
  <c r="G24" i="10" s="1"/>
  <c r="G43" i="10" a="1"/>
  <c r="G43" i="10" s="1"/>
  <c r="G2" i="10" a="1"/>
  <c r="G2" i="10" s="1"/>
  <c r="G23" i="10" a="1"/>
  <c r="G23" i="10" s="1"/>
  <c r="G20" i="10" a="1"/>
  <c r="G20" i="10" s="1"/>
  <c r="G65" i="10" a="1"/>
  <c r="G65" i="10" s="1"/>
  <c r="G10" i="10" a="1"/>
  <c r="G10" i="10" s="1"/>
  <c r="G71" i="10" a="1"/>
  <c r="G71" i="10" s="1"/>
  <c r="G7" i="10" a="1"/>
  <c r="G7" i="10" s="1"/>
  <c r="G26" i="10" a="1"/>
  <c r="G26" i="10" s="1"/>
  <c r="H46" i="10"/>
  <c r="H91" i="10"/>
  <c r="I104" i="10"/>
  <c r="I84" i="10"/>
  <c r="H14" i="10"/>
  <c r="H100" i="10"/>
  <c r="H81" i="10"/>
  <c r="H35" i="10"/>
  <c r="I52" i="10"/>
  <c r="H41" i="10"/>
  <c r="I22" i="10"/>
  <c r="H58" i="10"/>
  <c r="I55" i="10"/>
  <c r="H21" i="10"/>
  <c r="H85" i="10"/>
  <c r="H38" i="10"/>
  <c r="H102" i="10"/>
  <c r="I30" i="10"/>
  <c r="H30" i="10"/>
  <c r="H19" i="10"/>
  <c r="I18" i="10"/>
  <c r="H18" i="10"/>
  <c r="H97" i="10"/>
  <c r="H70" i="10"/>
  <c r="H62" i="10"/>
  <c r="H87" i="10"/>
  <c r="H4" i="10"/>
  <c r="H3" i="10"/>
  <c r="I3" i="10"/>
  <c r="H27" i="10"/>
  <c r="I27" i="10"/>
  <c r="H15" i="10"/>
  <c r="I15" i="10"/>
  <c r="I76" i="10"/>
  <c r="I89" i="10"/>
  <c r="I29" i="10"/>
  <c r="H29" i="10"/>
  <c r="I88" i="10"/>
  <c r="H101" i="10"/>
  <c r="H86" i="10"/>
  <c r="H98" i="10"/>
  <c r="H83" i="10"/>
  <c r="A294" i="3"/>
  <c r="A288" i="3"/>
  <c r="A282" i="3"/>
  <c r="A270" i="3"/>
  <c r="A247" i="3"/>
  <c r="A246" i="3"/>
  <c r="A244" i="3"/>
  <c r="A241" i="3"/>
  <c r="A235" i="3"/>
  <c r="A232" i="3"/>
  <c r="A234" i="3"/>
  <c r="A229" i="3"/>
  <c r="A223" i="3"/>
  <c r="A222" i="3"/>
  <c r="A221" i="3"/>
  <c r="A220" i="3"/>
  <c r="A219" i="3"/>
  <c r="A218" i="3"/>
  <c r="L6" i="11" l="1"/>
  <c r="D7" i="11"/>
  <c r="I39" i="10"/>
  <c r="H39" i="10"/>
  <c r="I59" i="10"/>
  <c r="H59" i="10"/>
  <c r="H43" i="10"/>
  <c r="I43" i="10"/>
  <c r="H24" i="10"/>
  <c r="I24" i="10"/>
  <c r="I8" i="10"/>
  <c r="H8" i="10"/>
  <c r="I12" i="10"/>
  <c r="H12" i="10"/>
  <c r="I53" i="10"/>
  <c r="H53" i="10"/>
  <c r="I13" i="10"/>
  <c r="H13" i="10"/>
  <c r="I26" i="10"/>
  <c r="H26" i="10"/>
  <c r="H42" i="10"/>
  <c r="I42" i="10"/>
  <c r="H34" i="10"/>
  <c r="I34" i="10"/>
  <c r="H82" i="10"/>
  <c r="I82" i="10"/>
  <c r="I63" i="10"/>
  <c r="H63" i="10"/>
  <c r="I45" i="10"/>
  <c r="H45" i="10"/>
  <c r="H71" i="10"/>
  <c r="I71" i="10"/>
  <c r="H54" i="10"/>
  <c r="I54" i="10"/>
  <c r="I67" i="10"/>
  <c r="H67" i="10"/>
  <c r="I10" i="10"/>
  <c r="H10" i="10"/>
  <c r="H69" i="10"/>
  <c r="I69" i="10"/>
  <c r="I28" i="10"/>
  <c r="H28" i="10"/>
  <c r="I32" i="10"/>
  <c r="H32" i="10"/>
  <c r="I20" i="10"/>
  <c r="H20" i="10"/>
  <c r="H57" i="10"/>
  <c r="I57" i="10"/>
  <c r="I11" i="10"/>
  <c r="H11" i="10"/>
  <c r="I23" i="10"/>
  <c r="H23" i="10"/>
  <c r="I65" i="10"/>
  <c r="H65" i="10"/>
  <c r="H75" i="10"/>
  <c r="I75" i="10"/>
  <c r="H79" i="10"/>
  <c r="I79" i="10"/>
  <c r="A163" i="3"/>
  <c r="L7" i="11" l="1"/>
  <c r="D8" i="11"/>
  <c r="A167" i="3"/>
  <c r="A166" i="3"/>
  <c r="A73" i="3"/>
  <c r="A74" i="3"/>
  <c r="L8" i="11" l="1"/>
  <c r="D9" i="11"/>
  <c r="A95" i="3"/>
  <c r="A22" i="3"/>
  <c r="A13" i="3"/>
  <c r="A192" i="3"/>
  <c r="A191" i="3"/>
  <c r="A135" i="3"/>
  <c r="A33" i="3"/>
  <c r="A12" i="3"/>
  <c r="A23" i="3"/>
  <c r="L9" i="11" l="1"/>
  <c r="D10" i="11"/>
  <c r="L10" i="11" s="1"/>
  <c r="A126" i="3"/>
  <c r="A125" i="3"/>
  <c r="A124" i="3"/>
  <c r="A123" i="3"/>
  <c r="E30" i="6"/>
  <c r="C30" i="6"/>
  <c r="E29" i="6"/>
  <c r="C29" i="6"/>
  <c r="E28" i="6"/>
  <c r="C28" i="6"/>
  <c r="E27" i="6"/>
  <c r="C27" i="6"/>
  <c r="E26" i="6"/>
  <c r="C26" i="6"/>
  <c r="E25" i="6"/>
  <c r="C25" i="6"/>
  <c r="E24" i="6"/>
  <c r="C24" i="6"/>
  <c r="E23" i="6"/>
  <c r="C23" i="6"/>
  <c r="E22" i="6"/>
  <c r="C22" i="6"/>
  <c r="E21" i="6"/>
  <c r="C21" i="6"/>
  <c r="E20" i="6"/>
  <c r="C20" i="6"/>
  <c r="E19" i="6"/>
  <c r="C19" i="6"/>
  <c r="E18" i="6"/>
  <c r="C18" i="6"/>
  <c r="E17" i="6"/>
  <c r="C17" i="6"/>
  <c r="E16" i="6"/>
  <c r="C16" i="6"/>
  <c r="E15" i="6"/>
  <c r="C15" i="6"/>
  <c r="E14" i="6"/>
  <c r="C14" i="6"/>
  <c r="E13" i="6"/>
  <c r="C13" i="6"/>
  <c r="E12" i="6"/>
  <c r="C12" i="6"/>
  <c r="E11" i="6"/>
  <c r="C11" i="6"/>
  <c r="E10" i="6"/>
  <c r="C10" i="6"/>
  <c r="E9" i="6"/>
  <c r="C9" i="6"/>
  <c r="E8" i="6"/>
  <c r="C8" i="6"/>
  <c r="E7" i="6"/>
  <c r="C7" i="6"/>
  <c r="E6" i="6"/>
  <c r="C6" i="6"/>
  <c r="E5" i="6"/>
  <c r="C5" i="6"/>
  <c r="E4" i="6"/>
  <c r="C4" i="6"/>
  <c r="E3" i="6"/>
  <c r="C3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B63" i="2" l="1"/>
  <c r="B57" i="2" l="1"/>
  <c r="C43" i="2"/>
  <c r="C40" i="2"/>
  <c r="C39" i="2"/>
  <c r="C38" i="2"/>
  <c r="C37" i="2"/>
  <c r="B44" i="3" s="1"/>
  <c r="B43" i="2"/>
  <c r="B40" i="2"/>
  <c r="B39" i="2"/>
  <c r="B38" i="2"/>
  <c r="A44" i="3" s="1"/>
  <c r="C36" i="2"/>
  <c r="B36" i="2"/>
  <c r="A35" i="3"/>
  <c r="A32" i="3"/>
  <c r="A31" i="3"/>
  <c r="A30" i="3"/>
  <c r="A29" i="3"/>
  <c r="A40" i="3"/>
  <c r="A51" i="3"/>
  <c r="A50" i="3"/>
  <c r="A42" i="3"/>
  <c r="A24" i="3"/>
  <c r="B48" i="3" l="1"/>
  <c r="B47" i="3"/>
  <c r="A245" i="2"/>
  <c r="B247" i="2"/>
  <c r="B246" i="2"/>
  <c r="A246" i="2"/>
  <c r="G4" i="6"/>
  <c r="G8" i="6"/>
  <c r="G12" i="6"/>
  <c r="G16" i="6"/>
  <c r="G20" i="6"/>
  <c r="G24" i="6"/>
  <c r="G28" i="6"/>
  <c r="G5" i="6"/>
  <c r="G9" i="6"/>
  <c r="G13" i="6"/>
  <c r="G17" i="6"/>
  <c r="G21" i="6"/>
  <c r="G25" i="6"/>
  <c r="G29" i="6"/>
  <c r="G6" i="6"/>
  <c r="G10" i="6"/>
  <c r="G14" i="6"/>
  <c r="G18" i="6"/>
  <c r="G22" i="6"/>
  <c r="G26" i="6"/>
  <c r="G30" i="6"/>
  <c r="G3" i="6"/>
  <c r="G7" i="6"/>
  <c r="G11" i="6"/>
  <c r="G15" i="6"/>
  <c r="G19" i="6"/>
  <c r="G23" i="6"/>
  <c r="G27" i="6"/>
  <c r="A47" i="3"/>
  <c r="A48" i="3"/>
  <c r="A98" i="3"/>
  <c r="A92" i="3"/>
  <c r="B248" i="2" l="1"/>
  <c r="A248" i="2"/>
  <c r="B225" i="2"/>
  <c r="A225" i="2"/>
  <c r="B226" i="2" l="1"/>
  <c r="A226" i="2"/>
  <c r="A1" i="2" l="1"/>
  <c r="F75" i="2" l="1"/>
  <c r="F74" i="2"/>
  <c r="F73" i="2"/>
  <c r="F72" i="2"/>
  <c r="A251" i="3" l="1"/>
  <c r="B251" i="3"/>
  <c r="A239" i="3"/>
  <c r="B239" i="3"/>
  <c r="A118" i="2"/>
  <c r="B130" i="2"/>
  <c r="B131" i="2" s="1"/>
  <c r="C127" i="2"/>
  <c r="A112" i="2" s="1"/>
  <c r="B127" i="2"/>
  <c r="A111" i="2" s="1"/>
  <c r="A107" i="2"/>
  <c r="A108" i="2"/>
  <c r="B291" i="3" s="1"/>
  <c r="A106" i="2"/>
  <c r="A279" i="3" l="1"/>
  <c r="B279" i="3"/>
  <c r="A285" i="3"/>
  <c r="B285" i="3"/>
  <c r="A291" i="3"/>
  <c r="A115" i="2"/>
  <c r="B249" i="2"/>
  <c r="A249" i="2"/>
  <c r="A247" i="2"/>
  <c r="B244" i="2"/>
  <c r="A244" i="2"/>
  <c r="B243" i="2"/>
  <c r="A242" i="2"/>
  <c r="B241" i="2"/>
  <c r="A241" i="2"/>
  <c r="B240" i="2"/>
  <c r="B239" i="2"/>
  <c r="A239" i="2"/>
  <c r="B238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A223" i="2"/>
  <c r="A219" i="2"/>
  <c r="A218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4" i="2"/>
  <c r="A204" i="2"/>
  <c r="B203" i="2"/>
  <c r="A203" i="2"/>
  <c r="B202" i="2"/>
  <c r="A202" i="2"/>
  <c r="A201" i="2"/>
  <c r="A200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1" i="2"/>
  <c r="A191" i="2"/>
  <c r="B190" i="2"/>
  <c r="A190" i="2"/>
  <c r="B189" i="2"/>
  <c r="A189" i="2"/>
  <c r="B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A170" i="2"/>
  <c r="B163" i="2"/>
  <c r="B145" i="2"/>
  <c r="B144" i="2"/>
  <c r="B143" i="2"/>
  <c r="M115" i="2"/>
  <c r="L115" i="2"/>
  <c r="K115" i="2"/>
  <c r="J115" i="2"/>
  <c r="E115" i="2"/>
  <c r="D115" i="2"/>
  <c r="J101" i="2"/>
  <c r="A131" i="2"/>
  <c r="H6" i="10" s="1"/>
  <c r="A130" i="2"/>
  <c r="F135" i="2" s="1"/>
  <c r="A127" i="2"/>
  <c r="B124" i="2"/>
  <c r="B304" i="3" s="1"/>
  <c r="B123" i="2"/>
  <c r="B303" i="3" s="1"/>
  <c r="B122" i="2"/>
  <c r="B302" i="3" s="1"/>
  <c r="A122" i="2"/>
  <c r="B301" i="3" s="1"/>
  <c r="A73" i="2"/>
  <c r="A72" i="2"/>
  <c r="B62" i="2"/>
  <c r="B58" i="2"/>
  <c r="C46" i="2"/>
  <c r="B46" i="2"/>
  <c r="B236" i="3" l="1"/>
  <c r="B228" i="3"/>
  <c r="B140" i="3"/>
  <c r="B181" i="3"/>
  <c r="B248" i="3"/>
  <c r="B240" i="3"/>
  <c r="E135" i="2"/>
  <c r="I7" i="10"/>
  <c r="H7" i="10"/>
  <c r="H5" i="10"/>
  <c r="H9" i="10"/>
  <c r="I6" i="10"/>
  <c r="I9" i="10"/>
  <c r="I5" i="10"/>
  <c r="I2" i="10"/>
  <c r="H2" i="10"/>
  <c r="D135" i="2"/>
  <c r="A301" i="3"/>
  <c r="A103" i="2"/>
  <c r="B103" i="2" s="1"/>
  <c r="A304" i="3"/>
  <c r="A102" i="2"/>
  <c r="A303" i="3"/>
  <c r="A101" i="2"/>
  <c r="A302" i="3"/>
  <c r="A236" i="3"/>
  <c r="A228" i="3"/>
  <c r="A240" i="3"/>
  <c r="A248" i="3"/>
  <c r="A181" i="3"/>
  <c r="A140" i="3"/>
  <c r="B102" i="2" l="1"/>
  <c r="A262" i="3" s="1"/>
  <c r="B101" i="2"/>
  <c r="A256" i="3" s="1"/>
  <c r="B256" i="3"/>
  <c r="B262" i="3" l="1"/>
</calcChain>
</file>

<file path=xl/sharedStrings.xml><?xml version="1.0" encoding="utf-8"?>
<sst xmlns="http://schemas.openxmlformats.org/spreadsheetml/2006/main" count="1472" uniqueCount="731">
  <si>
    <t>Customer name</t>
  </si>
  <si>
    <t>Lead WiFi Engineer</t>
  </si>
  <si>
    <t>Date</t>
  </si>
  <si>
    <t>High Level Design Drawing</t>
  </si>
  <si>
    <t>General WLC Config</t>
  </si>
  <si>
    <t>wlc1</t>
  </si>
  <si>
    <t>wlc2</t>
  </si>
  <si>
    <t>Default gateway v6</t>
  </si>
  <si>
    <t>Default gateway v4</t>
  </si>
  <si>
    <t>Redundancy mgmt IPv4</t>
  </si>
  <si>
    <t>WLC mgmt DNS</t>
  </si>
  <si>
    <t>Username</t>
  </si>
  <si>
    <t>admin</t>
  </si>
  <si>
    <t>Password / secret</t>
  </si>
  <si>
    <t>{password}</t>
  </si>
  <si>
    <t>WLC Hardware</t>
  </si>
  <si>
    <t>WLC serial number</t>
  </si>
  <si>
    <t>WLC software version</t>
  </si>
  <si>
    <t>Proxy (for SmartLicensing)</t>
  </si>
  <si>
    <t>SmartLicense token</t>
  </si>
  <si>
    <t>(generated at SmartAccount)</t>
  </si>
  <si>
    <t>Multicast IP</t>
  </si>
  <si>
    <t>239.255.1.60</t>
  </si>
  <si>
    <t>239.255.1.61</t>
  </si>
  <si>
    <t>Virtual interface IP</t>
  </si>
  <si>
    <t>192.0.2.1</t>
  </si>
  <si>
    <t>Virtual interface FQDN</t>
  </si>
  <si>
    <t>Mobility group</t>
  </si>
  <si>
    <t>WLC DNS (A-record, IPv4)</t>
  </si>
  <si>
    <t>WLC option 43 (HEX)</t>
  </si>
  <si>
    <t>NTP server</t>
  </si>
  <si>
    <t>DNS server</t>
  </si>
  <si>
    <t>Syslog server</t>
  </si>
  <si>
    <t>(default is 255.255.255.255, so create a dummy address)</t>
  </si>
  <si>
    <t>SNMPv2 RW community</t>
  </si>
  <si>
    <t>web-auth cert pass</t>
  </si>
  <si>
    <t>AAA Servers</t>
  </si>
  <si>
    <t>Server IP</t>
  </si>
  <si>
    <t>Shared secret</t>
  </si>
  <si>
    <t>Port</t>
  </si>
  <si>
    <t>Server group</t>
  </si>
  <si>
    <t>Auth called station ID Type</t>
  </si>
  <si>
    <t>Mac Delimiter</t>
  </si>
  <si>
    <t>CoA (RFC 3576)</t>
  </si>
  <si>
    <t>Server timeout</t>
  </si>
  <si>
    <t>{Secret}</t>
  </si>
  <si>
    <t>1812/1813</t>
  </si>
  <si>
    <t>radius-group</t>
  </si>
  <si>
    <t>AP Name</t>
  </si>
  <si>
    <t>Colon</t>
  </si>
  <si>
    <t>Allowed</t>
  </si>
  <si>
    <t>20sec</t>
  </si>
  <si>
    <t>Disabled</t>
  </si>
  <si>
    <t>dna-spaces-radius-1</t>
  </si>
  <si>
    <t>52.51.31.103</t>
  </si>
  <si>
    <t>(Home -&gt; Captive Portals (tile) -&gt; SSIDs (left menu) -&gt; Configure manually (under one of the SSIDs) -&gt; Section "Radius Server Configuration"</t>
  </si>
  <si>
    <t>dnaspaces-radius-group</t>
  </si>
  <si>
    <t>dna-spaces-radius-2</t>
  </si>
  <si>
    <t>34.241.1.84</t>
  </si>
  <si>
    <t>VLANs</t>
  </si>
  <si>
    <t>VLAN ID</t>
  </si>
  <si>
    <t>Admin status</t>
  </si>
  <si>
    <t>IPv4 address / netmask</t>
  </si>
  <si>
    <t>IPv6 address / mask</t>
  </si>
  <si>
    <t>Vlan1</t>
  </si>
  <si>
    <t>N/A</t>
  </si>
  <si>
    <t>management</t>
  </si>
  <si>
    <t>{vlan-id}</t>
  </si>
  <si>
    <t>Enabled</t>
  </si>
  <si>
    <t>{IP} / {mask}</t>
  </si>
  <si>
    <t>employee</t>
  </si>
  <si>
    <t>byod</t>
  </si>
  <si>
    <t>guest</t>
  </si>
  <si>
    <t>Ports</t>
  </si>
  <si>
    <t>Description</t>
  </si>
  <si>
    <t>Mode</t>
  </si>
  <si>
    <t>Native/access VLAN</t>
  </si>
  <si>
    <t>Allowed VLANs</t>
  </si>
  <si>
    <t>GigabitEthernet1</t>
  </si>
  <si>
    <t>Trunk</t>
  </si>
  <si>
    <t>GigabitEthernet2</t>
  </si>
  <si>
    <t>Access</t>
  </si>
  <si>
    <t>GigabitEthernet3</t>
  </si>
  <si>
    <t>Name</t>
  </si>
  <si>
    <t>Config for DNA-Spaces</t>
  </si>
  <si>
    <t>https://dnaspaces.eu/setup/wirelessnetwork</t>
  </si>
  <si>
    <t>Netflow Template</t>
  </si>
  <si>
    <t>wireless-avc-basic</t>
  </si>
  <si>
    <t>Netflow template: Wireless avc basic</t>
  </si>
  <si>
    <t>Local exporter: enabled</t>
  </si>
  <si>
    <t>Selected: All SSIDs</t>
  </si>
  <si>
    <t>mDNS service policy</t>
  </si>
  <si>
    <t>default-mdns-service-policy</t>
  </si>
  <si>
    <t>Tags config</t>
  </si>
  <si>
    <t>Policy Tag</t>
  </si>
  <si>
    <t>WLAN Profile</t>
  </si>
  <si>
    <t>Policy Profile</t>
  </si>
  <si>
    <t>Maps a set of WLANs (SSID) and Policies (interfaces) to an AP</t>
  </si>
  <si>
    <t>employee-policy</t>
  </si>
  <si>
    <t>byod-policy</t>
  </si>
  <si>
    <t>guest-policy</t>
  </si>
  <si>
    <t>RF Tag</t>
  </si>
  <si>
    <t>RF Profile 2.4GHz</t>
  </si>
  <si>
    <t>RF Profile 5GHz</t>
  </si>
  <si>
    <t>Maps a set of 2.4GHz and 5GHz RF profiles to an AP</t>
  </si>
  <si>
    <t>Site Tag</t>
  </si>
  <si>
    <t>AP Join Profile</t>
  </si>
  <si>
    <t>Flex Profile</t>
  </si>
  <si>
    <t>Maps a set of General AP settings and Flexconnect settings to an AP</t>
  </si>
  <si>
    <t>N/A ("Enable Local Site")</t>
  </si>
  <si>
    <t>Profiles config</t>
  </si>
  <si>
    <t>SSID</t>
  </si>
  <si>
    <t>WLAN ID</t>
  </si>
  <si>
    <t>Radio policy</t>
  </si>
  <si>
    <t>Broadcast</t>
  </si>
  <si>
    <t>Layer 2 security</t>
  </si>
  <si>
    <t>PSK</t>
  </si>
  <si>
    <t>Layer 3 security</t>
  </si>
  <si>
    <t>AAA Auth list</t>
  </si>
  <si>
    <t>Coverage Hole</t>
  </si>
  <si>
    <t>Aironet IE</t>
  </si>
  <si>
    <t>P2P blocking</t>
  </si>
  <si>
    <t>Band Select</t>
  </si>
  <si>
    <t>WMM Policy</t>
  </si>
  <si>
    <t>Yes</t>
  </si>
  <si>
    <t>802.11a only</t>
  </si>
  <si>
    <t>WPA2 Enterprise</t>
  </si>
  <si>
    <t>Required</t>
  </si>
  <si>
    <t>WPA2 Personal</t>
  </si>
  <si>
    <t>Password123</t>
  </si>
  <si>
    <t>802.11b/g only</t>
  </si>
  <si>
    <t>None</t>
  </si>
  <si>
    <t>Web policy</t>
  </si>
  <si>
    <t>Status</t>
  </si>
  <si>
    <t>Encrypted Traffic Analysis</t>
  </si>
  <si>
    <t>Central switching</t>
  </si>
  <si>
    <t>Central auth</t>
  </si>
  <si>
    <t>Central DHCP</t>
  </si>
  <si>
    <t>Central association</t>
  </si>
  <si>
    <t>Radius profiling</t>
  </si>
  <si>
    <t>HTTP TLV caching</t>
  </si>
  <si>
    <t>DHCP TLV caching</t>
  </si>
  <si>
    <t>VLAN</t>
  </si>
  <si>
    <t>Preauth URL</t>
  </si>
  <si>
    <t>AVC flow monitor</t>
  </si>
  <si>
    <t>Session timeout</t>
  </si>
  <si>
    <t>Exclusion timeout</t>
  </si>
  <si>
    <t>DHCP required</t>
  </si>
  <si>
    <t>AAA Override</t>
  </si>
  <si>
    <t>NAC State</t>
  </si>
  <si>
    <t>guest-preauth</t>
  </si>
  <si>
    <t>RF Profiles</t>
  </si>
  <si>
    <t>Mandatory rates</t>
  </si>
  <si>
    <t>Supported rates</t>
  </si>
  <si>
    <t>MCS</t>
  </si>
  <si>
    <t>TPC max (dBm)</t>
  </si>
  <si>
    <t>TPC min (dBm)</t>
  </si>
  <si>
    <t>Power threshold V1</t>
  </si>
  <si>
    <t>DCA channels</t>
  </si>
  <si>
    <t>Channel width</t>
  </si>
  <si>
    <t>RX SOP</t>
  </si>
  <si>
    <t>ATF</t>
  </si>
  <si>
    <t>18, 24, 36, 48, 54</t>
  </si>
  <si>
    <t>All (0 - 31)</t>
  </si>
  <si>
    <t>-70 dBm</t>
  </si>
  <si>
    <t>1, 6, 11</t>
  </si>
  <si>
    <t>20MHz</t>
  </si>
  <si>
    <t>Medium</t>
  </si>
  <si>
    <t>18, 36, 48, 54</t>
  </si>
  <si>
    <t>-65 dBm</t>
  </si>
  <si>
    <t>All (36, 40, 44, 48, 52, 56, 60, 64, 100, 104, 108, 112, 116, 120, 124, 128, 132, 136, 140)</t>
  </si>
  <si>
    <t>LED State</t>
  </si>
  <si>
    <t>TCP MSS Adjust</t>
  </si>
  <si>
    <t>Primary Controller</t>
  </si>
  <si>
    <t>Secondary Controller</t>
  </si>
  <si>
    <t>Data encryption</t>
  </si>
  <si>
    <t>Jumbo MTU</t>
  </si>
  <si>
    <t>Telnet</t>
  </si>
  <si>
    <t>SSH</t>
  </si>
  <si>
    <t>Syslog</t>
  </si>
  <si>
    <t>AP CLI Username</t>
  </si>
  <si>
    <t>AP CLI Password</t>
  </si>
  <si>
    <t>AP CLI Enable</t>
  </si>
  <si>
    <t>AP 802.1x credentials</t>
  </si>
  <si>
    <t>Rogue detection</t>
  </si>
  <si>
    <t>Rogue min RSSI</t>
  </si>
  <si>
    <t>Enabled (1250)</t>
  </si>
  <si>
    <t>Native VLAN</t>
  </si>
  <si>
    <t>Enabled VLANs</t>
  </si>
  <si>
    <t>Fallback radio shutdown</t>
  </si>
  <si>
    <t>{VLANs for SSIDs}</t>
  </si>
  <si>
    <t>Cisco Prime Infrastructure</t>
  </si>
  <si>
    <t>Hostname</t>
  </si>
  <si>
    <t>VMWare VLAN / Network</t>
  </si>
  <si>
    <t>IP</t>
  </si>
  <si>
    <t>Network mask</t>
  </si>
  <si>
    <t>Gateway</t>
  </si>
  <si>
    <t>DNS domain</t>
  </si>
  <si>
    <t>Timezone</t>
  </si>
  <si>
    <t>Europe/Oslo</t>
  </si>
  <si>
    <t>Antall lisenser</t>
  </si>
  <si>
    <t>Smart Lisence</t>
  </si>
  <si>
    <t>SSH login/pass</t>
  </si>
  <si>
    <t xml:space="preserve">admin / </t>
  </si>
  <si>
    <t>HTTPS login/pass</t>
  </si>
  <si>
    <t xml:space="preserve">root / </t>
  </si>
  <si>
    <t>S/N</t>
  </si>
  <si>
    <t>PID</t>
  </si>
  <si>
    <t>SO#</t>
  </si>
  <si>
    <t>FTP-repot IP</t>
  </si>
  <si>
    <t>FTP-repot l/p</t>
  </si>
  <si>
    <t>Mail server</t>
  </si>
  <si>
    <t>CMX</t>
  </si>
  <si>
    <t>MSE-CPI user</t>
  </si>
  <si>
    <t>Firewall rules</t>
  </si>
  <si>
    <t>Source</t>
  </si>
  <si>
    <t>Destination</t>
  </si>
  <si>
    <t>Protocol</t>
  </si>
  <si>
    <t>Application</t>
  </si>
  <si>
    <t>AP</t>
  </si>
  <si>
    <t>ICMP</t>
  </si>
  <si>
    <t>IP Protocol 97</t>
  </si>
  <si>
    <t>EoGRE</t>
  </si>
  <si>
    <t>TCP</t>
  </si>
  <si>
    <t>FTP</t>
  </si>
  <si>
    <t>SFTP</t>
  </si>
  <si>
    <t>SMTP</t>
  </si>
  <si>
    <t>TCP/UDP</t>
  </si>
  <si>
    <t>TACACS+</t>
  </si>
  <si>
    <t>DNS</t>
  </si>
  <si>
    <t>DHCP-server</t>
  </si>
  <si>
    <t>UDP</t>
  </si>
  <si>
    <t>DHCP</t>
  </si>
  <si>
    <t>TFTP</t>
  </si>
  <si>
    <t>HTTP</t>
  </si>
  <si>
    <t>SmartLicensing (tools*.cisco.com)</t>
  </si>
  <si>
    <t>NTP</t>
  </si>
  <si>
    <t>SNMP r/w</t>
  </si>
  <si>
    <t>SNMP traps</t>
  </si>
  <si>
    <t>HTTPS</t>
  </si>
  <si>
    <t>SOAP/XML</t>
  </si>
  <si>
    <t>RADIUS Auth</t>
  </si>
  <si>
    <t>RADIUS Accounting</t>
  </si>
  <si>
    <t>AoA</t>
  </si>
  <si>
    <t>CAPWAP Control</t>
  </si>
  <si>
    <t>CAPWAP Data</t>
  </si>
  <si>
    <t>CAPWAP multicast</t>
  </si>
  <si>
    <t>RLDP</t>
  </si>
  <si>
    <t>NMSP (LOCP TLS)</t>
  </si>
  <si>
    <t>29001-29005</t>
  </si>
  <si>
    <t>TFTP Child threads</t>
  </si>
  <si>
    <t>WLC Basic CLI config</t>
  </si>
  <si>
    <t>Preconfig (console) - To be able to login with SSH</t>
  </si>
  <si>
    <t>Would you like to enter the initial configuration dialog? [yes/no] no</t>
  </si>
  <si>
    <t>Would you like to terminate autoinstall? [yes] yes</t>
  </si>
  <si>
    <t>Press RETURN to get started!</t>
  </si>
  <si>
    <t>Basic config (SSH) - Copy-paste for some basic configuration</t>
  </si>
  <si>
    <t>! IOS Global Parameters</t>
  </si>
  <si>
    <t>do terminal length 40</t>
  </si>
  <si>
    <t>radius-server attribute wireless authentication call-station-id ap-macaddress-ssid</t>
  </si>
  <si>
    <t>service password-encryption</t>
  </si>
  <si>
    <t>aaa session-id common</t>
  </si>
  <si>
    <t>clock timezone CET 1 0</t>
  </si>
  <si>
    <t>clock summer-time CEST recurring last Sun Mar 2:00 last Sun Oct 3:00</t>
  </si>
  <si>
    <t>ip ssh time-out 15</t>
  </si>
  <si>
    <t>line con 0</t>
  </si>
  <si>
    <t xml:space="preserve"> privilege level 15</t>
  </si>
  <si>
    <t xml:space="preserve"> logging synchronous</t>
  </si>
  <si>
    <t xml:space="preserve"> stopbits 1</t>
  </si>
  <si>
    <t xml:space="preserve"> exec-timeout 60 0</t>
  </si>
  <si>
    <t xml:space="preserve"> transport input ssh</t>
  </si>
  <si>
    <t>! Multicast Parameters</t>
  </si>
  <si>
    <t>wireless multicast</t>
  </si>
  <si>
    <t>ip igmp snooping</t>
  </si>
  <si>
    <t>ip igmp snooping querier</t>
  </si>
  <si>
    <t>ipv6 mld snooping</t>
  </si>
  <si>
    <t>! Mobility Configuration</t>
  </si>
  <si>
    <t>wireless mobility dscp 0</t>
  </si>
  <si>
    <t>! Rogue Global config</t>
  </si>
  <si>
    <t>wireless wps rogue adhoc</t>
  </si>
  <si>
    <t>wireless wps rogue ap aaa</t>
  </si>
  <si>
    <t>wireless wps rogue client aaa</t>
  </si>
  <si>
    <t>wireless wps rogue auto-contain level 1</t>
  </si>
  <si>
    <t>no wireless wps rogue client mse</t>
  </si>
  <si>
    <t>no wireless wps rogue ap rldp</t>
  </si>
  <si>
    <t>no wireless wps rogue ap rldp schedule</t>
  </si>
  <si>
    <t>no wireless wps rogue ap ssid auto-contain</t>
  </si>
  <si>
    <t>no wireless wps rogue ap valid-client auto-contain</t>
  </si>
  <si>
    <t>wireless wps rogue auto-contain monitor-ap-only</t>
  </si>
  <si>
    <t>wireless wps rogue security-level custom</t>
  </si>
  <si>
    <t>wireless wps rogue client client-threshold 0</t>
  </si>
  <si>
    <t>! Wireless Global Parameters</t>
  </si>
  <si>
    <t>wireless security dot1x group-key interval 3600</t>
  </si>
  <si>
    <t>ap dot11 5ghz shutdown</t>
  </si>
  <si>
    <t>ap dot11 2 shutdown</t>
  </si>
  <si>
    <t>no ap dot11 2 shutdown</t>
  </si>
  <si>
    <t>no ap dot11 5 shutdown</t>
  </si>
  <si>
    <t>!This command is for VMWare installations</t>
  </si>
  <si>
    <t>show interfaces &lt;if-name&gt;</t>
  </si>
  <si>
    <t>Debug levels</t>
  </si>
  <si>
    <t>2 - Critical</t>
  </si>
  <si>
    <t>3 - Error</t>
  </si>
  <si>
    <t>4 - Warning</t>
  </si>
  <si>
    <t>5 - Notice</t>
  </si>
  <si>
    <t>6 - Info</t>
  </si>
  <si>
    <t>7 - Debug</t>
  </si>
  <si>
    <t>8 - Verbose</t>
  </si>
  <si>
    <t>Radioactive tracing</t>
  </si>
  <si>
    <t>show tech</t>
  </si>
  <si>
    <t>show tech wireless</t>
  </si>
  <si>
    <t>show tech wireless ap</t>
  </si>
  <si>
    <t>show tech wireless datapath ap/client mac-address &lt;mac&gt;</t>
  </si>
  <si>
    <t>show tech wireless multicast</t>
  </si>
  <si>
    <t>show tech wireless qos</t>
  </si>
  <si>
    <t>show tech wireless client</t>
  </si>
  <si>
    <t>show tech wireless fabric</t>
  </si>
  <si>
    <t>AP join</t>
  </si>
  <si>
    <t>show wireless stats ap discovery</t>
  </si>
  <si>
    <t>show wireless stats ap join summary</t>
  </si>
  <si>
    <t>show wireless stats client detail</t>
  </si>
  <si>
    <t>AP tags</t>
  </si>
  <si>
    <t>show ap tag summary</t>
  </si>
  <si>
    <t>show ap name &lt;AP-navn&gt; tag detail</t>
  </si>
  <si>
    <t>License type</t>
  </si>
  <si>
    <t>(air-dna-essentials or air-dna-advantage)</t>
  </si>
  <si>
    <t xml:space="preserve">show wireless stats trace-on-failure </t>
  </si>
  <si>
    <t>Trace-on-failure</t>
  </si>
  <si>
    <t>debug wireless mac 1865.907b.d475 monitor-time 10</t>
  </si>
  <si>
    <t>Show tech commands (everything TAC needs...)</t>
  </si>
  <si>
    <t>Client stats</t>
  </si>
  <si>
    <t>do wireless config vwlc-ssc key-size 2048 signature-algo sha256 password 0 PutInAPrefferredCertPassword123123</t>
  </si>
  <si>
    <t>CustomerName</t>
  </si>
  <si>
    <t>AAA Authentication Mehod</t>
  </si>
  <si>
    <t>AAA authorization method</t>
  </si>
  <si>
    <t>default (see Cat9800 integration guide)</t>
  </si>
  <si>
    <t>AP Filter (auto tagging)</t>
  </si>
  <si>
    <t>Automatic tagging of APs based on AP name</t>
  </si>
  <si>
    <t>AP-LOC1-</t>
  </si>
  <si>
    <t>Filter name</t>
  </si>
  <si>
    <t>AP Name Regex</t>
  </si>
  <si>
    <t>AP Location 1</t>
  </si>
  <si>
    <t>Priority</t>
  </si>
  <si>
    <t>ip dhcp bootp ignore</t>
  </si>
  <si>
    <t>no service pad</t>
  </si>
  <si>
    <t>service tcp-keepalives-in</t>
  </si>
  <si>
    <t>service tcp-keepalives-out</t>
  </si>
  <si>
    <t>service timestamps debug datetime msec localtime</t>
  </si>
  <si>
    <t>service timestamps log datetime msec localtime</t>
  </si>
  <si>
    <t>no logging console</t>
  </si>
  <si>
    <t>no logging monitor</t>
  </si>
  <si>
    <t>configuration mode exclusive auto</t>
  </si>
  <si>
    <t>errdisable recovery cause all</t>
  </si>
  <si>
    <t>errdisable recovery interval 600</t>
  </si>
  <si>
    <t>! NTP hardening</t>
  </si>
  <si>
    <t>ntp access-group serve NTP_DENY</t>
  </si>
  <si>
    <t>ntp access-group serve-only NTP_DENY</t>
  </si>
  <si>
    <t>ntp access-group query-only NTP_DENY</t>
  </si>
  <si>
    <t>ip access-list extended NTP_DENY</t>
  </si>
  <si>
    <t xml:space="preserve"> deny ip any any</t>
  </si>
  <si>
    <t>Misc settings</t>
  </si>
  <si>
    <t>ip access-list extended SNMP_RW_ALLOW</t>
  </si>
  <si>
    <t>CoA</t>
  </si>
  <si>
    <t>ip http authentication local</t>
  </si>
  <si>
    <t>(9800-CL / 9800-L / 9800-40 / 9800-80)</t>
  </si>
  <si>
    <t>Primary uplink (9800-CL)</t>
  </si>
  <si>
    <t>Redundancy port (9800-CL)</t>
  </si>
  <si>
    <t>range TenGigabitEthernet0/0/0-7</t>
  </si>
  <si>
    <t>Primary uplink (9800-80)</t>
  </si>
  <si>
    <t>range TenGigabitEthernet0/0/0-3</t>
  </si>
  <si>
    <t>Primary uplink (9800-40)</t>
  </si>
  <si>
    <t>Service port (9800-L/40/80)</t>
  </si>
  <si>
    <t>GigabitEthernet0</t>
  </si>
  <si>
    <t>Port-channel1</t>
  </si>
  <si>
    <t>Portchannel for uplink ports</t>
  </si>
  <si>
    <t>Service port IPv4</t>
  </si>
  <si>
    <t>ip http server</t>
  </si>
  <si>
    <t>aaa authorization exec default local</t>
  </si>
  <si>
    <t>radius-server attribute wireless authentication call-station-id ap-name-ssid</t>
  </si>
  <si>
    <t>NetConf</t>
  </si>
  <si>
    <t>Telemetry</t>
  </si>
  <si>
    <t>line vty 0 30</t>
  </si>
  <si>
    <t>Interface stats</t>
  </si>
  <si>
    <t>switchport mode trunk</t>
  </si>
  <si>
    <t>channel-group 1 mode active</t>
  </si>
  <si>
    <t>ip address 10.255.255.10 255.255.255.0</t>
  </si>
  <si>
    <t>description management</t>
  </si>
  <si>
    <t>no shutdown</t>
  </si>
  <si>
    <t>name management</t>
  </si>
  <si>
    <t>aaa new-model</t>
  </si>
  <si>
    <t>aaa authentication login default local</t>
  </si>
  <si>
    <t>aaa authentication enable default enable</t>
  </si>
  <si>
    <t>privilege level 15</t>
  </si>
  <si>
    <t>logging synchronous</t>
  </si>
  <si>
    <t>transport input ssh</t>
  </si>
  <si>
    <t>end</t>
  </si>
  <si>
    <t>wr</t>
  </si>
  <si>
    <t>Service port  (9800-CL)</t>
  </si>
  <si>
    <t>Primary uplink (9800-L, fiber)</t>
  </si>
  <si>
    <t>description Out-of-Band</t>
  </si>
  <si>
    <t>Management IPv6</t>
  </si>
  <si>
    <t>Management IPv4</t>
  </si>
  <si>
    <t>Management Netmask</t>
  </si>
  <si>
    <t>255.255.255.0</t>
  </si>
  <si>
    <t>10.255.255.10</t>
  </si>
  <si>
    <t>(N/A if there is direct internet connection) (tools.cisco.com)</t>
  </si>
  <si>
    <t>Jumpstation / remote access</t>
  </si>
  <si>
    <t>{dns-server}</t>
  </si>
  <si>
    <t>Troubleshoot Telemetry (CPI&lt;-&gt;WLC)</t>
  </si>
  <si>
    <t>9800WLC# telnet &lt;Prime_Infrastructure_ip_address&gt; &lt;20828/20830&gt;</t>
  </si>
  <si>
    <t xml:space="preserve">Prime_Infrastructure# ssh &lt;9800_ip_address_added_to_primeinfra&gt; &lt;priv15_username&gt; port 830 </t>
  </si>
  <si>
    <t>The procedure to generate a new self signed trustpoint is as follows:</t>
  </si>
  <si>
    <t>configure terminal</t>
  </si>
  <si>
    <t>no crypto pki trustpoint &lt;trustpoint_name&gt;</t>
  </si>
  <si>
    <t>no ip http server</t>
  </si>
  <si>
    <t>no ip http secure-server</t>
  </si>
  <si>
    <t>ip http secure-server</t>
  </si>
  <si>
    <t>ip http authentication &lt;local/aaa&gt;</t>
  </si>
  <si>
    <t>! use local or aaa as applicable.</t>
  </si>
  <si>
    <t>If you encounter ERR_SSL_VERSION_OR_CIPHER_MISMATCH error from the GUI after a reboot or system crash, we recommend that you regenerate the trustpoint certificate.</t>
  </si>
  <si>
    <t>Generate new self signed trustpoint</t>
  </si>
  <si>
    <t>MAC</t>
  </si>
  <si>
    <t>MAC ::</t>
  </si>
  <si>
    <t>Config primary wlc</t>
  </si>
  <si>
    <t>Config secondary wlc</t>
  </si>
  <si>
    <t>DC8C37639944</t>
  </si>
  <si>
    <t>{snmpv2-rw-community}</t>
  </si>
  <si>
    <t>!!!!!!!!!!!!!!!!!!!!!!!!!!!!!!!!!!!!!!!!!!!!!!!!!!!!!!!!!!!!!!!!!!</t>
  </si>
  <si>
    <t>Service port netmask</t>
  </si>
  <si>
    <t>show logging profile wireless start last 5 minutes</t>
  </si>
  <si>
    <t>Process daemon specific debugging</t>
  </si>
  <si>
    <t>Embedded Packet Capture</t>
  </si>
  <si>
    <t>show wireless device-tracking database ip</t>
  </si>
  <si>
    <t>show platform software system all</t>
  </si>
  <si>
    <t>show facility-alarm status (ta shut på de interfaces som ikke benyttes)</t>
  </si>
  <si>
    <t xml:space="preserve">9800WLC# show telemetry </t>
  </si>
  <si>
    <t>show ap uptime</t>
  </si>
  <si>
    <t>show wireless stats ap history</t>
  </si>
  <si>
    <t>Wireless Client Details</t>
  </si>
  <si>
    <t>show wireless clients history disconnected summary</t>
  </si>
  <si>
    <t>!</t>
  </si>
  <si>
    <t>shutdown</t>
  </si>
  <si>
    <t>interface Vlan 1</t>
  </si>
  <si>
    <t>no ip domain name</t>
  </si>
  <si>
    <t>WLC&gt; enable</t>
  </si>
  <si>
    <t>WLC# configure terminal</t>
  </si>
  <si>
    <t>! Basic config via console</t>
  </si>
  <si>
    <t>crypto key generate rsa</t>
  </si>
  <si>
    <t>switchport trunk native vlan 999</t>
  </si>
  <si>
    <t>{ntp-server1},{ntp-server2}</t>
  </si>
  <si>
    <t>{CPI hostname}</t>
  </si>
  <si>
    <t>{CPI IP}</t>
  </si>
  <si>
    <t>{CPI netmask}</t>
  </si>
  <si>
    <t>{CPI default gw}</t>
  </si>
  <si>
    <t>show logging profile wireless level debug filter mac 1865.907b.d475 start last 5 minutes</t>
  </si>
  <si>
    <t>show log profile wireless filter mac 1865.907b.d475 start last 5 minutes</t>
  </si>
  <si>
    <t>Combined logs (always-on with notice debug level)</t>
  </si>
  <si>
    <t>show log profile wireless filter mac &lt;ap-mac&gt; start last 5 minutes</t>
  </si>
  <si>
    <t>Debug examples</t>
  </si>
  <si>
    <t>Always On: successful client connection</t>
  </si>
  <si>
    <t># show log profile wireless filter mac 0040.96b9.b5c4 to-file output.txt</t>
  </si>
  <si>
    <t>[client-orch-state] [21109]: (note): MAC: f0c1.f10b.8ac1 Client state transition: S_CO_INIT -&gt; S_CO_ASSOCIATING</t>
  </si>
  <si>
    <t>[client-orch-state] [21109]: (note): MAC: f0c1.f10b.8ac1 Client state transition: S_CO_ASSOCIATING -&gt; S_CO_L2_AUTH_IN_PROGRESS</t>
  </si>
  <si>
    <t>[client-auth] [21109]: (note): MAC: f0c1.f10b.8ac1 L2 Authentication initiated. method DOT1X, Policy VLAN 1477,AAA override = 0 , NAC = 0</t>
  </si>
  <si>
    <t>[ewlc-infra-evq] [21109]: (note): Authentication Success. Resolved Policy bitmap:11 for client f0c1.f10b.8ac1</t>
  </si>
  <si>
    <t>[client-keymgmt] [21109]: (note): MAC: f0c1.f10b.8ac1 EAP Key management successful. AKM:DOT1X Cipher:CCMP WPA2</t>
  </si>
  <si>
    <t>[client-orch-sm] [21109]: (note): MAC: f0c1.f10b.8ac1 Mobility discovery triggered. Client mode: Local</t>
  </si>
  <si>
    <t>[dpath_svc] [21109]: (note): MAC: f0c1.f10b.8ac1 Client datapath entry created for ifid 0xa0000001</t>
  </si>
  <si>
    <t>[client-orch-state] [21109]: (note): MAC: f0c1.f10b.8ac1 Client state transition: S_CO_DPATH_PLUMB_IN_PROGRESS -&gt; S_CO_IP_LEARN_IN_PROGRESS</t>
  </si>
  <si>
    <t>[client-iplearn] [21109]: (note): MAC: f0c1.f10b.8ac1 Client IP learn successful. Method: DHCP IP: 192.168.77.200</t>
  </si>
  <si>
    <t>[client-orch-state] [21109]: (note): MAC: f0c1.f10b.8ac1 Client state transition: S_CO_IP_LEARN_IN_PROGRESS -&gt; S_CO_RUN</t>
  </si>
  <si>
    <t>[client-orch-sm] [21109]: (note): MAC: f0c1.f10b.8ac1 Association received. BSSID 7069.5a51.4ec0, old BSSID 0000.0000.0000, WLAN RomanTest, Slot 0 AP 7069.5a51.4ec0, AP4C77.6D9E.6162</t>
  </si>
  <si>
    <t>[dot11] [21109]: (note): MAC: f0c1.f10b.8ac1 Association success. AID 1, Roaming = False, WGB = False, 11r = False, 11w = False AID list: 0x1| 0x0| 0x0| 0x0</t>
  </si>
  <si>
    <t>[client-auth] [21109]: (note): MAC: f0c1.f10b.8ac1 ADD MOBILE sent. Client state flags: 0x71 BSSID: MAC: 7069.5a51.4ec0 capwap IFID: 0x90000004</t>
  </si>
  <si>
    <t>[client-auth] [21109]: (note): MAC: f0c1.f10b.8ac1 L2 Authentication Key Exchange Start. Resolved VLAN: 1477, Audit Session id: 1E27300A0000000E127592C3</t>
  </si>
  <si>
    <t>[client-orch-state] [21109]: (note): MAC: f0c1.f10b.8ac1 Client state transition: S_CO_L2_AUTH_IN_PROGRESS -&gt; S_CO_MOBILITY_DISCOVERY_IN_PROGRESS</t>
  </si>
  <si>
    <t>[mm-client] [21109]: (note): MAC: f0c1.f10b.8ac1 Mobility Successful. Roam Type None, Sub Roam Type MM_SUB_ROAM_TYPE_NONE, Previous BSSID MAC: 0000.0000.0000 Client IFID: 0xa0000001, Client Role: Local PoA: 0x90000004 PoP: 0x0</t>
  </si>
  <si>
    <t>[client-auth] [21109]: (note): MAC: f0c1.f10b.8ac1 ADD MOBILE sent. Client state flags: 0x72 BSSID: MAC: 7069.5a51.4ec0 capwap IFID: 0x90000004</t>
  </si>
  <si>
    <t>[client-orch-state] [21109]: (note): MAC: f0c1.f10b.8ac1 Client state transition: S_CO_MOBILITY_DISCOVERY_IN_PROGRESS -&gt; S_CO_DPATH_PLUMB_IN_PROGRESS</t>
  </si>
  <si>
    <t>[dot11] [21109]: (note): MAC: f0c1.f10b.8ac1 Client datapath entry params - ssid:RomanTest,slot_id:0 bssid ifid: 0x0, radio_ifid: 0x90000003, wlan_ifid: 0xf0400002</t>
  </si>
  <si>
    <t>Always On: client connection failure</t>
  </si>
  <si>
    <t>#sh logging profile wireless filter mac f0c1.f10b.8ac to-file dot1x-failure.txt</t>
  </si>
  <si>
    <t>2019/10/29 09:35:34.048 {wncd_x_R0-0}{1}: [client-orch-sm] [19470]: (note): MAC: f0c1.f10b.8ac1 Association received. BSSID 7069.5a51.4ec0, old BSSID 7069.5a51.4ec0, WLAN RomanTest, Slot 0 AP 7069.5a51.4ec0, AP4C77.6D9E.6162</t>
  </si>
  <si>
    <t>2019/10/29 09:35:34.048 {wncd_x_R0-0}{1}: [client-orch-state] [19470]: (note): MAC: f0c1.f10b.8ac1 Client state transition: S_CO_L2_AUTH_IN_PROGRESS -&gt; S_CO_L2_AUTH_IN_PROGRESS</t>
  </si>
  <si>
    <t>2019/10/29 09:35:34.048 {wncd_x_R0-0}{1}: [dot11] [19470]: (note): MAC: f0c1.f10b.8ac1 Association success. AID 1, Roaming = False, WGB = False, 11r = False, 11w = False AID list: 0x1| 0x0| 0x0| 0x0</t>
  </si>
  <si>
    <t>2019/10/29 09:35:34.048 {wncd_x_R0-0}{1}: [client-auth] [19470]: (note): MAC: f0c1.f10b.8ac1 ADD MOBILE sent. Client state flags: 0x71 BSSID: MAC: 7069.5a51.4ec0 capwap IFID: 0x90000004</t>
  </si>
  <si>
    <t>2019/10/29 09:35:34.051 {wncd_x_R0-0}{1}: [client-auth] [19470]: (note): MAC: f0c1.f10b.8ac1 L2 Authentication initiated. method DOT1X, Policy VLAN 1477,AAA override = 0 , NAC = 0</t>
  </si>
  <si>
    <t>2019/10/29 09:35:34.330 {wncd_x_R0-0}{1}: [errmsg] [19470]: (note): %DOT1X-5-FAIL: Authentication failed for client (f0c1.f10b.8ac1) with reason (Cred Fail) on Interface capwap_90000004 AuditSessionID 000000000000000B16D9A13D Username: drghgdf</t>
  </si>
  <si>
    <t>Always On : AP join failures (Unsupported AP)</t>
  </si>
  <si>
    <t># show log profile wir filter mac &lt;ap radio mac&gt; to-file output.txt</t>
  </si>
  <si>
    <t>[apmgr-capwap-join] [1263]: UUID: 0, ra: 0, TID: 0 (ERR): d824.bde8.3690 Join request not accepted: Unsupported AP Model AIR-LAP1142N-A-K9</t>
  </si>
  <si>
    <t>Always On : AP join failures (Reg Domain failure)</t>
  </si>
  <si>
    <t>[apmgr-capwap-config] [1394]: UUID: 10000000002ed, (ERR): f44e.0597.fb50 Failed to verify reg domain slot. validation of country code(UX) to regulatory domain(-A) error:1</t>
  </si>
  <si>
    <t>[apmgr-capwap-config] [1394]: UUID: 10000000002ed, (ERR): f44e.0597.fb50 Failed to get ap default country code. Get default country code for AP error.</t>
  </si>
  <si>
    <t>[apmgr-capwap-config] [1394]: UUID: 10000000002ed, (ERR): f44e.0597.fb50 Failed to set reg domain check status. country code US is not configured on WLC</t>
  </si>
  <si>
    <t>Always On : AP join failures (Cert Failure)</t>
  </si>
  <si>
    <t>[apmgr-capwap-config] [1394]: UUID: 10000000002ed, (ERR), %PKI-3-CERTIFICATE_INVALID_NOT_YET_VALID: Certificate chain validation has failed. The certificate (SN: 6B4F09560000001763DF) is not yet valid Validity period starts on 22:48:43 IST Sep 9 2014</t>
  </si>
  <si>
    <t>Always On : AP join failures (Discovery to non wireless mgmt interface)</t>
  </si>
  <si>
    <t>{wncmgrd_R0-0}{2}: [capwapac-srvr] [16320]: UUID: 0, ra::0, TID: 0 (ERR): IP:3.3.3.1[5246], Discovery to non wireless mgmt interface</t>
  </si>
  <si>
    <t>show platform software trace wncd 0 chassis active r0 mdns debug</t>
  </si>
  <si>
    <t>sh platform software trace message wncd 0 chassis active r0</t>
  </si>
  <si>
    <t>HA Troublsehooting</t>
  </si>
  <si>
    <t>show tech ha</t>
  </si>
  <si>
    <t>monitor capture cap01 interface GigabitEthernet2 both</t>
  </si>
  <si>
    <t>monitor capture cap01 control-plane both</t>
  </si>
  <si>
    <t>monitor capture cap01 match any</t>
  </si>
  <si>
    <t>monitor capture cap01 buffer size 100 circular</t>
  </si>
  <si>
    <t>monitor capture cap01 limit pps 1000000</t>
  </si>
  <si>
    <t>monitor capture cap01 start</t>
  </si>
  <si>
    <t>monitor capture cap01 stop</t>
  </si>
  <si>
    <t>monitor capture cap01 export bootflash:cap01.pcap</t>
  </si>
  <si>
    <t>monitor capture client_inner_mac inner mac f0c1.f10b.8ac1 interface vlan39 both control-plane both</t>
  </si>
  <si>
    <t>monitor capture client_inner_mac match any</t>
  </si>
  <si>
    <t>monitor capture client_inner_mac start</t>
  </si>
  <si>
    <t>monitor capture client_inner_mac stop</t>
  </si>
  <si>
    <t>monitor capture client_inner_mac export bootflash:inner-mac.pcap</t>
  </si>
  <si>
    <t>show logging profile wireless | inc &lt;something&gt; (&lt;something&gt; can be "RRM", "radio-history-channel" etc)</t>
  </si>
  <si>
    <t>AP config</t>
  </si>
  <si>
    <t>!!!!! Edit this ACL according to where your SSH mgmt-traffic will come from !!!!!!!!!!</t>
  </si>
  <si>
    <t>ip access-list extended VTY_ALLOW</t>
  </si>
  <si>
    <t xml:space="preserve"> permit tcp 192.168.10.0 0.0.0.255 any eq 22 !!!!! Management subnet, example/placeholder !!!!!!!!</t>
  </si>
  <si>
    <t xml:space="preserve"> permit tcp host 10.33.44.55 any eq 22 !!!!! Jumpstation, example/placeholder !!!!!!!!</t>
  </si>
  <si>
    <t xml:space="preserve"> deny ip any any log</t>
  </si>
  <si>
    <t xml:space="preserve"> exec-timeout 5 0</t>
  </si>
  <si>
    <t>ip access-list extended NTP_ALLOW</t>
  </si>
  <si>
    <t>deny ip any any</t>
  </si>
  <si>
    <t>ntp access-group peer NTP_ALLOW</t>
  </si>
  <si>
    <t>wireless client max-user-login 3</t>
  </si>
  <si>
    <t>no wireless mgmt-via-wireless</t>
  </si>
  <si>
    <t>! Alternative VTY_ALLOW ACL when you don't know where mgmt traffic will come from (!)</t>
  </si>
  <si>
    <t>! deny ip x.x.x.x 0.0.0.255 (guest network)</t>
  </si>
  <si>
    <t>! deny ip x.x.x.x 0.0.0.255 (byod network)</t>
  </si>
  <si>
    <t>! deny ip x.x.x.x 0.0.0.255 (employee network)</t>
  </si>
  <si>
    <t>! permit tcp any any eq 22</t>
  </si>
  <si>
    <t>999 (dummy)</t>
  </si>
  <si>
    <t>! TACACS+ config</t>
  </si>
  <si>
    <t xml:space="preserve"> timeout 5</t>
  </si>
  <si>
    <t>ip http authentication aaa login-authentication default</t>
  </si>
  <si>
    <t>ip http authentication aaa exec-authorization default</t>
  </si>
  <si>
    <t xml:space="preserve"> access-class VTY_ALLOW in</t>
  </si>
  <si>
    <t>range TenGigabitEthernet0/1/0-1</t>
  </si>
  <si>
    <t>! VLAN Config</t>
  </si>
  <si>
    <t>! RADIUS config</t>
  </si>
  <si>
    <t xml:space="preserve"> retransmit 5</t>
  </si>
  <si>
    <t>aaa server radius dynamic-author</t>
  </si>
  <si>
    <t xml:space="preserve"> deadtime 5</t>
  </si>
  <si>
    <t xml:space="preserve"> mac-delimiter colon</t>
  </si>
  <si>
    <t>! SSID Config</t>
  </si>
  <si>
    <t xml:space="preserve"> radio dot11a</t>
  </si>
  <si>
    <t xml:space="preserve"> security ft over-the-ds</t>
  </si>
  <si>
    <t xml:space="preserve"> security dot1x authentication-list kid-nps-method</t>
  </si>
  <si>
    <t xml:space="preserve"> wmm require</t>
  </si>
  <si>
    <t xml:space="preserve"> no shutdown</t>
  </si>
  <si>
    <t xml:space="preserve"> no assisted-roaming neighbor-list</t>
  </si>
  <si>
    <t xml:space="preserve"> no bss-transition</t>
  </si>
  <si>
    <t xml:space="preserve"> no bssmaxidle</t>
  </si>
  <si>
    <t xml:space="preserve"> no chd</t>
  </si>
  <si>
    <t xml:space="preserve"> no dms</t>
  </si>
  <si>
    <t xml:space="preserve"> no security wpa akm dot1x</t>
  </si>
  <si>
    <t xml:space="preserve"> security wpa akm psk</t>
  </si>
  <si>
    <t>! Policies config</t>
  </si>
  <si>
    <t xml:space="preserve"> dhcp-tlv-caching</t>
  </si>
  <si>
    <t xml:space="preserve"> http-tlv-caching</t>
  </si>
  <si>
    <t>! Password encryption</t>
  </si>
  <si>
    <t>password encryption aes</t>
  </si>
  <si>
    <t xml:space="preserve">key config-key password-encrypt </t>
  </si>
  <si>
    <t>RandomPasswordForDecrypt293845!</t>
  </si>
  <si>
    <t>{radius-1-ip}</t>
  </si>
  <si>
    <t>{radius-2-ip}</t>
  </si>
  <si>
    <t>Copy-paste column A here for more WLCs</t>
  </si>
  <si>
    <t>Certificate uploading</t>
  </si>
  <si>
    <t>! The certificate must be in PKCS#12 format</t>
  </si>
  <si>
    <t>! Upload to WLC via GUI, Administration -&gt; File Manager -&gt; Create folder "mycerts" -&gt; Upload</t>
  </si>
  <si>
    <t>CAPWAP Mobility</t>
  </si>
  <si>
    <t>Prefix</t>
  </si>
  <si>
    <t>Unique prefix</t>
  </si>
  <si>
    <t>AP names (sorted)</t>
  </si>
  <si>
    <t>Site1-AP01</t>
  </si>
  <si>
    <t>Site1-AP02</t>
  </si>
  <si>
    <t>Site1-AP03</t>
  </si>
  <si>
    <t>Site1-AP04</t>
  </si>
  <si>
    <t>Site1-AP05</t>
  </si>
  <si>
    <t>Site2-AP01</t>
  </si>
  <si>
    <t>Site2-AP02</t>
  </si>
  <si>
    <t>Site2-AP03</t>
  </si>
  <si>
    <t>Site2-AP04</t>
  </si>
  <si>
    <t>Site3-AP01</t>
  </si>
  <si>
    <t>Site4-AP01</t>
  </si>
  <si>
    <t>Site4-AP02</t>
  </si>
  <si>
    <t>Site4-AP03</t>
  </si>
  <si>
    <t>Site4-AP04</t>
  </si>
  <si>
    <t>Site4-AP05</t>
  </si>
  <si>
    <t>Site4-AP06</t>
  </si>
  <si>
    <t>Site4-AP07</t>
  </si>
  <si>
    <t>Site5-AP01</t>
  </si>
  <si>
    <t>Site5-AP02</t>
  </si>
  <si>
    <t>Site6-AP01</t>
  </si>
  <si>
    <t>Seq no</t>
  </si>
  <si>
    <t>Filter</t>
  </si>
  <si>
    <t>Local</t>
  </si>
  <si>
    <t>Flex</t>
  </si>
  <si>
    <t>flex-native-vlan123</t>
  </si>
  <si>
    <t>Site7-AP01</t>
  </si>
  <si>
    <t>Site8-AP01</t>
  </si>
  <si>
    <t>Site8-AP02</t>
  </si>
  <si>
    <t>Redundancy mode</t>
  </si>
  <si>
    <t>Redundancy Port IP</t>
  </si>
  <si>
    <t>169.254.x.x</t>
  </si>
  <si>
    <t>! CWA redirect ACL</t>
  </si>
  <si>
    <t>ip access-list extended cwa-redirect</t>
  </si>
  <si>
    <t xml:space="preserve"> deny udp host &lt;DHCP-server&gt; eq bootps any eq bootpc</t>
  </si>
  <si>
    <t xml:space="preserve"> deny udp any eq bootpc host &lt;DHCP-server&gt; eq bootps</t>
  </si>
  <si>
    <t xml:space="preserve"> deny udp host &lt;DNS-server1&gt; eq domain any range 0 65535</t>
  </si>
  <si>
    <t xml:space="preserve"> deny udp any range 0 65535 host &lt;DNS-server1&gt; eq domain</t>
  </si>
  <si>
    <t xml:space="preserve"> deny udp host &lt;DNS-server2&gt; eq domain any range 0 65535</t>
  </si>
  <si>
    <t xml:space="preserve"> deny udp any range 0 65535 host &lt;DNS-server2&gt; eq domain</t>
  </si>
  <si>
    <t xml:space="preserve"> permit tcp any range 0 65535 any eq www</t>
  </si>
  <si>
    <t xml:space="preserve"> permit tcp any range 0 65535 any eq 443</t>
  </si>
  <si>
    <t xml:space="preserve"> ipv4 arp-proxy</t>
  </si>
  <si>
    <t>Client networks</t>
  </si>
  <si>
    <t>WiFi Tale (Telenor)</t>
  </si>
  <si>
    <t>Internet (77.16.1.124/29 for Telenor)</t>
  </si>
  <si>
    <t>TIP/TLS</t>
  </si>
  <si>
    <t>WiFi Tale (Telia)</t>
  </si>
  <si>
    <t>WiFi Tale (ICE)</t>
  </si>
  <si>
    <t>Internet (217.13.9.76 for ICE)</t>
  </si>
  <si>
    <t>Internet (89.9.88.38, 89.9.88.41, 89.9.92.38, 89.9.92.41 for Telia)</t>
  </si>
  <si>
    <t>wireless country NO</t>
  </si>
  <si>
    <t>{tacacs-1-ip}</t>
  </si>
  <si>
    <t>TACACS-GROUP</t>
  </si>
  <si>
    <t>Andreas Koksrud (andreas.koksrud@telenor.no)</t>
  </si>
  <si>
    <t>crypto pki import guest-redirect.customername.no pkcs12 bootflash:/mycerts/my_certificate.p12 password my_password</t>
  </si>
  <si>
    <t>Ch. 5</t>
  </si>
  <si>
    <t>Ch. 2.4</t>
  </si>
  <si>
    <t>Ch. config 5</t>
  </si>
  <si>
    <t>Ch. config 2.4</t>
  </si>
  <si>
    <t>Chassis number</t>
  </si>
  <si>
    <t>Uplink port(s) neighbor</t>
  </si>
  <si>
    <t>HA port neighbor</t>
  </si>
  <si>
    <t>(Switch+port)</t>
  </si>
  <si>
    <t>logging buffered 40960</t>
  </si>
  <si>
    <t>show wireless mobility summary | inc Mobility MAC Address</t>
  </si>
  <si>
    <t>wireless mobility mac-address 001e.e633.b5ff</t>
  </si>
  <si>
    <t>Sub.ID</t>
  </si>
  <si>
    <t>WLC IP</t>
  </si>
  <si>
    <t>Period (sec)</t>
  </si>
  <si>
    <t>Receiver</t>
  </si>
  <si>
    <t>Module</t>
  </si>
  <si>
    <t>Xpath</t>
  </si>
  <si>
    <t>Cisco-IOS-XE-native</t>
  </si>
  <si>
    <t>/native/version</t>
  </si>
  <si>
    <t>ios</t>
  </si>
  <si>
    <t>RESTCONF path</t>
  </si>
  <si>
    <t>9800 Telemetry config</t>
  </si>
  <si>
    <t>Compatibility notes</t>
  </si>
  <si>
    <t>Software version (main branch)</t>
  </si>
  <si>
    <t>Tested on 17.3.7 (9800-CL)</t>
  </si>
  <si>
    <t>Product ID</t>
  </si>
  <si>
    <t>/native/license/udi/pid</t>
  </si>
  <si>
    <t>openconfig-system</t>
  </si>
  <si>
    <t>/system/state/boot-time</t>
  </si>
  <si>
    <t>oc-sys</t>
  </si>
  <si>
    <t>Last boot time</t>
  </si>
  <si>
    <t>Cisco-IOS-XE-process-cpu-oper</t>
  </si>
  <si>
    <t>CPU% last 5 seconds</t>
  </si>
  <si>
    <t>/cpu-usage/cpu-utilization/five-seconds</t>
  </si>
  <si>
    <t>/cpu-usage/cpu-utilization/one-minute</t>
  </si>
  <si>
    <t>CPU% last 1 minute</t>
  </si>
  <si>
    <t>process-cpu-ios-xe-oper</t>
  </si>
  <si>
    <t>Cisco-IOS-XE-wireless-access-point-oper</t>
  </si>
  <si>
    <t>wireless-access-point-oper</t>
  </si>
  <si>
    <t>/access-point-oper-data/ap-name-mac-map</t>
  </si>
  <si>
    <t>List of interfaces</t>
  </si>
  <si>
    <t>List of clients</t>
  </si>
  <si>
    <t>List of APs</t>
  </si>
  <si>
    <t>Cisco-IOS-XE-wireless-client-oper</t>
  </si>
  <si>
    <t>/native/interface</t>
  </si>
  <si>
    <t>wireless-client-oper</t>
  </si>
  <si>
    <t>Num clients per SSID</t>
  </si>
  <si>
    <t>192.168.10.7</t>
  </si>
  <si>
    <t>/client-oper-data/common-oper-data?fields=ap-name;client-mac;co-state</t>
  </si>
  <si>
    <t>For å skrive inn "?" i IOS config, paste inn første halvdel, deretter Ctrl-V og deretter ?, så kan du paste inn andre halvdel</t>
  </si>
  <si>
    <t>Notater</t>
  </si>
  <si>
    <t>Cisco-IOS-XE-wireless-wlan-global-oper</t>
  </si>
  <si>
    <t>/wlan-global-oper-data/wlan-info</t>
  </si>
  <si>
    <t>wireless-wlan-global-oper</t>
  </si>
  <si>
    <t>Cisco-IOS-XE-wireless-wlan-cfg</t>
  </si>
  <si>
    <t>wireless-wlan-cfg</t>
  </si>
  <si>
    <t>List of configured SSIDs</t>
  </si>
  <si>
    <t>/wlan-cfg-data/wlan-cfg-entries/wlan-cfg-entry?fields=wlan-id;apf-vap-id-data/ssid</t>
  </si>
  <si>
    <t>Cisco-IOS-XE-wireless-ap-global-oper</t>
  </si>
  <si>
    <t>wireless-ap-global-oper</t>
  </si>
  <si>
    <t>Client stats per SSID</t>
  </si>
  <si>
    <t>/ap-global-oper-data/wlan-client-stats</t>
  </si>
  <si>
    <t>{{host}}</t>
  </si>
  <si>
    <t>test</t>
  </si>
  <si>
    <t>Cisco-IOS-XE-device-hardware-oper</t>
  </si>
  <si>
    <t>device-hardware-xe-oper</t>
  </si>
  <si>
    <t>/device-hardware-data/device-hardware</t>
  </si>
  <si>
    <t>Physical label</t>
  </si>
  <si>
    <t>SSO or N+1</t>
  </si>
  <si>
    <t>!! Shows e.g.: Mobility MAC Address: 001e.e633.b5ff  -- copy to next line AND to HA</t>
  </si>
  <si>
    <t>tel-1337-ap01</t>
  </si>
  <si>
    <t>tel-1337-ap02</t>
  </si>
  <si>
    <t>tel-1337-ap03</t>
  </si>
  <si>
    <t>tel-1337-ap04</t>
  </si>
  <si>
    <t>tel-1337-ap05</t>
  </si>
  <si>
    <t>tel-1337-ap06</t>
  </si>
  <si>
    <t>tel-1337-ap07</t>
  </si>
  <si>
    <t>tel-1337-ap08</t>
  </si>
  <si>
    <t>tel-1337-ap09</t>
  </si>
  <si>
    <t>tel-1337-ap10</t>
  </si>
  <si>
    <t>tel-1337-ap11</t>
  </si>
  <si>
    <t>tel-1337-ap12</t>
  </si>
  <si>
    <t>tel-1337-ap13</t>
  </si>
  <si>
    <t>tel-1337-ap14</t>
  </si>
  <si>
    <t>tel-1337-ap15</t>
  </si>
  <si>
    <t>tel-1337-ap16</t>
  </si>
  <si>
    <t>tel-1337-ap17</t>
  </si>
  <si>
    <t>tel-1337-ap18</t>
  </si>
  <si>
    <t>tel-1337-ap19</t>
  </si>
  <si>
    <t>tel-1337-ap20</t>
  </si>
  <si>
    <t>tel-1337-ap21</t>
  </si>
  <si>
    <t>tel-1337-ap22</t>
  </si>
  <si>
    <t>tel-1337-ap23</t>
  </si>
  <si>
    <t>tel-1337-ap24</t>
  </si>
  <si>
    <t>tel-1337-ap25</t>
  </si>
  <si>
    <t>tel-1337-ap26</t>
  </si>
  <si>
    <t>tel-1337-ap27</t>
  </si>
  <si>
    <t>tel-1337-ap28</t>
  </si>
  <si>
    <t>WLC AP-name</t>
  </si>
  <si>
    <t>Config ap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</si>
</sst>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yy"/>
  </numFmts>
  <fonts count="20" x14ac:knownFonts="1">
    <font>
      <sz val="11"/>
      <color theme="1"/>
      <name val="Calibri"/>
      <family val="2"/>
      <scheme val="minor"/>
    </font>
    <font>
      <u/>
      <sz val="11.65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FF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FF00"/>
      <name val="Consolas"/>
      <family val="3"/>
    </font>
    <font>
      <sz val="10"/>
      <color theme="1"/>
      <name val="Cascadia Code"/>
      <family val="3"/>
    </font>
  </fonts>
  <fills count="2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805"/>
        <bgColor indexed="64"/>
      </patternFill>
    </fill>
    <fill>
      <patternFill patternType="solid">
        <fgColor rgb="FFFFA6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2" borderId="13" applyNumberFormat="0" applyAlignment="0" applyProtection="0"/>
  </cellStyleXfs>
  <cellXfs count="9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6" fillId="0" borderId="0" xfId="0" applyFont="1"/>
    <xf numFmtId="0" fontId="2" fillId="3" borderId="3" xfId="0" applyFont="1" applyFill="1" applyBorder="1"/>
    <xf numFmtId="0" fontId="0" fillId="3" borderId="3" xfId="0" applyFill="1" applyBorder="1"/>
    <xf numFmtId="0" fontId="6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3" xfId="0" applyFont="1" applyFill="1" applyBorder="1"/>
    <xf numFmtId="0" fontId="0" fillId="5" borderId="3" xfId="0" applyFill="1" applyBorder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0" borderId="3" xfId="0" applyBorder="1" applyAlignment="1">
      <alignment horizontal="left"/>
    </xf>
    <xf numFmtId="0" fontId="0" fillId="8" borderId="0" xfId="0" applyFill="1"/>
    <xf numFmtId="0" fontId="2" fillId="8" borderId="3" xfId="0" applyFont="1" applyFill="1" applyBorder="1"/>
    <xf numFmtId="0" fontId="0" fillId="8" borderId="3" xfId="0" applyFill="1" applyBorder="1"/>
    <xf numFmtId="0" fontId="0" fillId="0" borderId="3" xfId="0" quotePrefix="1" applyBorder="1"/>
    <xf numFmtId="0" fontId="8" fillId="0" borderId="3" xfId="0" applyFont="1" applyBorder="1"/>
    <xf numFmtId="0" fontId="8" fillId="0" borderId="3" xfId="0" applyFont="1" applyBorder="1" applyAlignment="1">
      <alignment horizontal="left"/>
    </xf>
    <xf numFmtId="0" fontId="0" fillId="0" borderId="3" xfId="0" applyBorder="1" applyAlignment="1">
      <alignment vertical="center"/>
    </xf>
    <xf numFmtId="0" fontId="3" fillId="9" borderId="0" xfId="0" applyFont="1" applyFill="1"/>
    <xf numFmtId="0" fontId="0" fillId="9" borderId="0" xfId="0" applyFill="1"/>
    <xf numFmtId="0" fontId="2" fillId="10" borderId="3" xfId="0" applyFont="1" applyFill="1" applyBorder="1"/>
    <xf numFmtId="0" fontId="0" fillId="10" borderId="3" xfId="0" applyFill="1" applyBorder="1" applyAlignment="1">
      <alignment horizontal="left"/>
    </xf>
    <xf numFmtId="0" fontId="0" fillId="10" borderId="0" xfId="0" applyFill="1"/>
    <xf numFmtId="0" fontId="0" fillId="0" borderId="0" xfId="0" applyAlignment="1">
      <alignment horizontal="left"/>
    </xf>
    <xf numFmtId="0" fontId="3" fillId="11" borderId="0" xfId="0" applyFont="1" applyFill="1"/>
    <xf numFmtId="0" fontId="0" fillId="11" borderId="0" xfId="0" applyFill="1"/>
    <xf numFmtId="0" fontId="9" fillId="12" borderId="3" xfId="0" applyFont="1" applyFill="1" applyBorder="1"/>
    <xf numFmtId="0" fontId="4" fillId="12" borderId="3" xfId="0" applyFont="1" applyFill="1" applyBorder="1" applyAlignment="1">
      <alignment horizontal="left"/>
    </xf>
    <xf numFmtId="0" fontId="4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3" xfId="0" applyFont="1" applyFill="1" applyBorder="1"/>
    <xf numFmtId="0" fontId="0" fillId="14" borderId="3" xfId="0" applyFill="1" applyBorder="1" applyAlignment="1">
      <alignment horizontal="left"/>
    </xf>
    <xf numFmtId="0" fontId="0" fillId="14" borderId="0" xfId="0" applyFill="1"/>
    <xf numFmtId="0" fontId="1" fillId="0" borderId="0" xfId="1" applyAlignment="1" applyProtection="1"/>
    <xf numFmtId="0" fontId="0" fillId="0" borderId="15" xfId="0" applyBorder="1"/>
    <xf numFmtId="0" fontId="11" fillId="15" borderId="0" xfId="0" applyFont="1" applyFill="1"/>
    <xf numFmtId="0" fontId="10" fillId="16" borderId="0" xfId="0" applyFont="1" applyFill="1"/>
    <xf numFmtId="0" fontId="11" fillId="16" borderId="0" xfId="0" applyFont="1" applyFill="1"/>
    <xf numFmtId="0" fontId="12" fillId="15" borderId="0" xfId="0" applyFont="1" applyFill="1"/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center" indent="1"/>
    </xf>
    <xf numFmtId="0" fontId="0" fillId="17" borderId="0" xfId="0" applyFill="1" applyAlignment="1">
      <alignment horizontal="left" vertical="center" indent="1"/>
    </xf>
    <xf numFmtId="0" fontId="0" fillId="18" borderId="0" xfId="0" applyFill="1" applyAlignment="1">
      <alignment horizontal="left" vertical="center" indent="1"/>
    </xf>
    <xf numFmtId="0" fontId="0" fillId="19" borderId="0" xfId="0" applyFill="1" applyAlignment="1">
      <alignment horizontal="left" vertical="center" indent="1"/>
    </xf>
    <xf numFmtId="0" fontId="0" fillId="20" borderId="0" xfId="0" applyFill="1" applyAlignment="1">
      <alignment horizontal="left" vertical="center" indent="1"/>
    </xf>
    <xf numFmtId="0" fontId="0" fillId="21" borderId="0" xfId="0" applyFill="1" applyAlignment="1">
      <alignment horizontal="left" vertical="center" indent="1"/>
    </xf>
    <xf numFmtId="0" fontId="0" fillId="22" borderId="0" xfId="0" applyFill="1" applyAlignment="1">
      <alignment horizontal="left" vertical="center" indent="1"/>
    </xf>
    <xf numFmtId="0" fontId="0" fillId="23" borderId="0" xfId="0" applyFill="1" applyAlignment="1">
      <alignment horizontal="left" vertical="center" indent="1"/>
    </xf>
    <xf numFmtId="0" fontId="13" fillId="0" borderId="0" xfId="0" applyFont="1" applyAlignment="1">
      <alignment horizontal="left" vertical="center" indent="2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0" fillId="0" borderId="12" xfId="0" applyBorder="1"/>
    <xf numFmtId="0" fontId="2" fillId="8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/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12" fillId="15" borderId="0" xfId="0" applyNumberFormat="1" applyFont="1" applyFill="1"/>
    <xf numFmtId="0" fontId="15" fillId="0" borderId="16" xfId="0" applyFont="1" applyBorder="1"/>
    <xf numFmtId="0" fontId="0" fillId="0" borderId="16" xfId="0" applyBorder="1"/>
    <xf numFmtId="0" fontId="16" fillId="0" borderId="16" xfId="0" applyFont="1" applyBorder="1"/>
    <xf numFmtId="11" fontId="12" fillId="15" borderId="0" xfId="0" applyNumberFormat="1" applyFont="1" applyFill="1"/>
    <xf numFmtId="0" fontId="11" fillId="15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8" fillId="15" borderId="0" xfId="0" applyFont="1" applyFill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2" borderId="8" xfId="2" applyBorder="1" applyAlignment="1">
      <alignment horizontal="left"/>
    </xf>
    <xf numFmtId="0" fontId="5" fillId="2" borderId="9" xfId="2" applyBorder="1" applyAlignment="1">
      <alignment horizontal="left"/>
    </xf>
    <xf numFmtId="0" fontId="5" fillId="2" borderId="3" xfId="2" applyBorder="1" applyAlignment="1">
      <alignment horizontal="left"/>
    </xf>
    <xf numFmtId="0" fontId="5" fillId="2" borderId="1" xfId="2" applyBorder="1" applyAlignment="1">
      <alignment horizontal="left"/>
    </xf>
    <xf numFmtId="164" fontId="5" fillId="2" borderId="6" xfId="2" applyNumberFormat="1" applyBorder="1" applyAlignment="1">
      <alignment horizontal="left"/>
    </xf>
    <xf numFmtId="164" fontId="5" fillId="2" borderId="2" xfId="2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</cellXfs>
  <cellStyles count="3">
    <cellStyle name="Hyperlink" xfId="1" builtinId="8"/>
    <cellStyle name="Input" xfId="2" builtinId="20"/>
    <cellStyle name="Normal" xfId="0" builtinId="0"/>
  </cellStyles>
  <dxfs count="43"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"/>
        <family val="3"/>
        <scheme val="none"/>
      </font>
      <alignment horizontal="general" vertical="center" textRotation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FF00"/>
        <name val="Consolas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9" defaultPivotStyle="PivotStyleLight16"/>
  <colors>
    <mruColors>
      <color rgb="FF00FF00"/>
      <color rgb="FFDB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19050</xdr:rowOff>
    </xdr:from>
    <xdr:to>
      <xdr:col>4</xdr:col>
      <xdr:colOff>0</xdr:colOff>
      <xdr:row>3</xdr:row>
      <xdr:rowOff>56367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226CC3-AAEC-43CF-B627-717148DD4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72200" y="361950"/>
          <a:ext cx="1533525" cy="413555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23</xdr:row>
      <xdr:rowOff>102671</xdr:rowOff>
    </xdr:from>
    <xdr:to>
      <xdr:col>1</xdr:col>
      <xdr:colOff>180975</xdr:colOff>
      <xdr:row>27</xdr:row>
      <xdr:rowOff>183931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BC895954-CD13-4CD8-9D98-DA4CC6F7D427}"/>
            </a:ext>
          </a:extLst>
        </xdr:cNvPr>
        <xdr:cNvGrpSpPr/>
      </xdr:nvGrpSpPr>
      <xdr:grpSpPr>
        <a:xfrm>
          <a:off x="571500" y="1581150"/>
          <a:ext cx="1628775" cy="0"/>
          <a:chOff x="2381250" y="4883563"/>
          <a:chExt cx="1409700" cy="1058799"/>
        </a:xfrm>
      </xdr:grpSpPr>
      <xdr:sp macro="" textlink="">
        <xdr:nvSpPr>
          <xdr:cNvPr id="12" name="Flowchart: Alternate Process 11">
            <a:extLst>
              <a:ext uri="{FF2B5EF4-FFF2-40B4-BE49-F238E27FC236}">
                <a16:creationId xmlns:a16="http://schemas.microsoft.com/office/drawing/2014/main" id="{C8389841-B394-4320-B462-2B175C0BB2F5}"/>
              </a:ext>
            </a:extLst>
          </xdr:cNvPr>
          <xdr:cNvSpPr/>
        </xdr:nvSpPr>
        <xdr:spPr>
          <a:xfrm>
            <a:off x="2381250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WLC</a:t>
            </a:r>
          </a:p>
        </xdr:txBody>
      </xdr:sp>
      <xdr:sp macro="" textlink="$C$32">
        <xdr:nvSpPr>
          <xdr:cNvPr id="8" name="WLC2-navn">
            <a:extLst>
              <a:ext uri="{FF2B5EF4-FFF2-40B4-BE49-F238E27FC236}">
                <a16:creationId xmlns:a16="http://schemas.microsoft.com/office/drawing/2014/main" id="{4374213C-5244-4C4A-9499-24BB1EE90D0B}"/>
              </a:ext>
            </a:extLst>
          </xdr:cNvPr>
          <xdr:cNvSpPr txBox="1"/>
        </xdr:nvSpPr>
        <xdr:spPr>
          <a:xfrm>
            <a:off x="2471738" y="528437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4F9BD0A3-AAA6-421F-8009-45B2BFA645F5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wlc2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C$37">
        <xdr:nvSpPr>
          <xdr:cNvPr id="10" name="WLC2-IP">
            <a:extLst>
              <a:ext uri="{FF2B5EF4-FFF2-40B4-BE49-F238E27FC236}">
                <a16:creationId xmlns:a16="http://schemas.microsoft.com/office/drawing/2014/main" id="{3CC5465B-E5BB-49AF-A8D9-B217FBDC28DC}"/>
              </a:ext>
            </a:extLst>
          </xdr:cNvPr>
          <xdr:cNvSpPr txBox="1"/>
        </xdr:nvSpPr>
        <xdr:spPr>
          <a:xfrm>
            <a:off x="2471738" y="555069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30BC5B1E-8699-4D08-AFB7-4153ADA6B692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{wlc2-ipv4}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0</xdr:col>
      <xdr:colOff>571500</xdr:colOff>
      <xdr:row>18</xdr:row>
      <xdr:rowOff>149639</xdr:rowOff>
    </xdr:from>
    <xdr:to>
      <xdr:col>1</xdr:col>
      <xdr:colOff>180975</xdr:colOff>
      <xdr:row>23</xdr:row>
      <xdr:rowOff>52553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B8185AC-496A-4B78-9093-A403FA6C55E0}"/>
            </a:ext>
          </a:extLst>
        </xdr:cNvPr>
        <xdr:cNvGrpSpPr/>
      </xdr:nvGrpSpPr>
      <xdr:grpSpPr>
        <a:xfrm>
          <a:off x="571500" y="1581150"/>
          <a:ext cx="1628775" cy="0"/>
          <a:chOff x="4143375" y="4883563"/>
          <a:chExt cx="1409700" cy="1058799"/>
        </a:xfrm>
      </xdr:grpSpPr>
      <xdr:sp macro="" textlink="">
        <xdr:nvSpPr>
          <xdr:cNvPr id="11" name="Flowchart: Alternate Process 10">
            <a:extLst>
              <a:ext uri="{FF2B5EF4-FFF2-40B4-BE49-F238E27FC236}">
                <a16:creationId xmlns:a16="http://schemas.microsoft.com/office/drawing/2014/main" id="{3F2D5268-39E5-4103-967D-8F224309FC48}"/>
              </a:ext>
            </a:extLst>
          </xdr:cNvPr>
          <xdr:cNvSpPr/>
        </xdr:nvSpPr>
        <xdr:spPr>
          <a:xfrm>
            <a:off x="4143375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WLC</a:t>
            </a:r>
          </a:p>
        </xdr:txBody>
      </xdr:sp>
      <xdr:sp macro="" textlink="$B$32">
        <xdr:nvSpPr>
          <xdr:cNvPr id="7" name="WLC1-navn">
            <a:extLst>
              <a:ext uri="{FF2B5EF4-FFF2-40B4-BE49-F238E27FC236}">
                <a16:creationId xmlns:a16="http://schemas.microsoft.com/office/drawing/2014/main" id="{778E9674-A461-4F6F-8AA3-D97D32C68872}"/>
              </a:ext>
            </a:extLst>
          </xdr:cNvPr>
          <xdr:cNvSpPr txBox="1"/>
        </xdr:nvSpPr>
        <xdr:spPr>
          <a:xfrm>
            <a:off x="4148138" y="5272468"/>
            <a:ext cx="1400175" cy="2190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C4496F9D-81D8-45A7-927A-96B3F751B611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wlc1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B$37">
        <xdr:nvSpPr>
          <xdr:cNvPr id="9" name="WLC1-IP">
            <a:extLst>
              <a:ext uri="{FF2B5EF4-FFF2-40B4-BE49-F238E27FC236}">
                <a16:creationId xmlns:a16="http://schemas.microsoft.com/office/drawing/2014/main" id="{DA31F61C-8B32-4B31-8760-410BBAF93457}"/>
              </a:ext>
            </a:extLst>
          </xdr:cNvPr>
          <xdr:cNvSpPr txBox="1"/>
        </xdr:nvSpPr>
        <xdr:spPr>
          <a:xfrm>
            <a:off x="4157663" y="5524501"/>
            <a:ext cx="13811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30B6EC48-C59C-42EA-B741-68605439D7A6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{wlc1-ipv4}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1</xdr:col>
      <xdr:colOff>1009650</xdr:colOff>
      <xdr:row>21</xdr:row>
      <xdr:rowOff>28574</xdr:rowOff>
    </xdr:from>
    <xdr:to>
      <xdr:col>3</xdr:col>
      <xdr:colOff>247649</xdr:colOff>
      <xdr:row>22</xdr:row>
      <xdr:rowOff>133349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79787F46-70C5-433E-9F82-DA443B7FE9FB}"/>
            </a:ext>
          </a:extLst>
        </xdr:cNvPr>
        <xdr:cNvGrpSpPr/>
      </xdr:nvGrpSpPr>
      <xdr:grpSpPr>
        <a:xfrm>
          <a:off x="3028950" y="1581150"/>
          <a:ext cx="3552824" cy="0"/>
          <a:chOff x="3971925" y="4391024"/>
          <a:chExt cx="3467099" cy="295275"/>
        </a:xfrm>
      </xdr:grpSpPr>
      <xdr:sp macro="" textlink="">
        <xdr:nvSpPr>
          <xdr:cNvPr id="17" name="Flowchart: Alternate Process 16">
            <a:extLst>
              <a:ext uri="{FF2B5EF4-FFF2-40B4-BE49-F238E27FC236}">
                <a16:creationId xmlns:a16="http://schemas.microsoft.com/office/drawing/2014/main" id="{EBD553A6-9ECD-4FFD-8BB5-A8586272E1FD}"/>
              </a:ext>
            </a:extLst>
          </xdr:cNvPr>
          <xdr:cNvSpPr/>
        </xdr:nvSpPr>
        <xdr:spPr>
          <a:xfrm>
            <a:off x="4133849" y="4435889"/>
            <a:ext cx="3305175" cy="18373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US" sz="1400"/>
          </a:p>
        </xdr:txBody>
      </xdr:sp>
      <xdr:sp macro="" textlink="$B$79">
        <xdr:nvSpPr>
          <xdr:cNvPr id="18" name="WLC1-navn">
            <a:extLst>
              <a:ext uri="{FF2B5EF4-FFF2-40B4-BE49-F238E27FC236}">
                <a16:creationId xmlns:a16="http://schemas.microsoft.com/office/drawing/2014/main" id="{B2068B47-0A95-4F8B-99D3-C1CE7C9CCC8A}"/>
              </a:ext>
            </a:extLst>
          </xdr:cNvPr>
          <xdr:cNvSpPr txBox="1"/>
        </xdr:nvSpPr>
        <xdr:spPr>
          <a:xfrm>
            <a:off x="5734050" y="4409261"/>
            <a:ext cx="671513" cy="2294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fld id="{F154B3C6-7E99-4265-A4A6-9251FBF74F6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{vlan-id}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A$79">
        <xdr:nvSpPr>
          <xdr:cNvPr id="19" name="WLC1-IP">
            <a:extLst>
              <a:ext uri="{FF2B5EF4-FFF2-40B4-BE49-F238E27FC236}">
                <a16:creationId xmlns:a16="http://schemas.microsoft.com/office/drawing/2014/main" id="{8C49B876-80DF-43BD-BD53-172A1EC6637A}"/>
              </a:ext>
            </a:extLst>
          </xdr:cNvPr>
          <xdr:cNvSpPr txBox="1"/>
        </xdr:nvSpPr>
        <xdr:spPr>
          <a:xfrm>
            <a:off x="3971925" y="4410317"/>
            <a:ext cx="1604963" cy="218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r"/>
            <a:fld id="{B3FA5052-843E-4989-AF96-093856C2EF4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management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FE8F6D5A-B6F6-45B1-A6D1-8EE0B2B7E383}"/>
              </a:ext>
            </a:extLst>
          </xdr:cNvPr>
          <xdr:cNvSpPr txBox="1"/>
        </xdr:nvSpPr>
        <xdr:spPr>
          <a:xfrm>
            <a:off x="5410201" y="4391024"/>
            <a:ext cx="53340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: vlan </a:t>
            </a:r>
          </a:p>
        </xdr:txBody>
      </xdr:sp>
    </xdr:grpSp>
    <xdr:clientData/>
  </xdr:twoCellAnchor>
  <xdr:twoCellAnchor>
    <xdr:from>
      <xdr:col>1</xdr:col>
      <xdr:colOff>1162050</xdr:colOff>
      <xdr:row>21</xdr:row>
      <xdr:rowOff>180974</xdr:rowOff>
    </xdr:from>
    <xdr:to>
      <xdr:col>3</xdr:col>
      <xdr:colOff>400049</xdr:colOff>
      <xdr:row>23</xdr:row>
      <xdr:rowOff>95249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ADAA3E9-A006-4BB7-BF26-076BCACCABF9}"/>
            </a:ext>
          </a:extLst>
        </xdr:cNvPr>
        <xdr:cNvGrpSpPr/>
      </xdr:nvGrpSpPr>
      <xdr:grpSpPr>
        <a:xfrm>
          <a:off x="3181350" y="1581150"/>
          <a:ext cx="3552824" cy="0"/>
          <a:chOff x="3971925" y="4391024"/>
          <a:chExt cx="3467099" cy="295275"/>
        </a:xfrm>
      </xdr:grpSpPr>
      <xdr:sp macro="" textlink="">
        <xdr:nvSpPr>
          <xdr:cNvPr id="23" name="Flowchart: Alternate Process 22">
            <a:extLst>
              <a:ext uri="{FF2B5EF4-FFF2-40B4-BE49-F238E27FC236}">
                <a16:creationId xmlns:a16="http://schemas.microsoft.com/office/drawing/2014/main" id="{0B8ADFDD-BF2B-48E0-A767-4819E24F5E0B}"/>
              </a:ext>
            </a:extLst>
          </xdr:cNvPr>
          <xdr:cNvSpPr/>
        </xdr:nvSpPr>
        <xdr:spPr>
          <a:xfrm>
            <a:off x="4133849" y="4435889"/>
            <a:ext cx="3305175" cy="18373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US" sz="1400"/>
          </a:p>
        </xdr:txBody>
      </xdr:sp>
      <xdr:sp macro="" textlink="$B$80">
        <xdr:nvSpPr>
          <xdr:cNvPr id="24" name="WLC1-navn">
            <a:extLst>
              <a:ext uri="{FF2B5EF4-FFF2-40B4-BE49-F238E27FC236}">
                <a16:creationId xmlns:a16="http://schemas.microsoft.com/office/drawing/2014/main" id="{8EB3DFEF-A4D6-4270-9BA3-5D4E3EFEE39D}"/>
              </a:ext>
            </a:extLst>
          </xdr:cNvPr>
          <xdr:cNvSpPr txBox="1"/>
        </xdr:nvSpPr>
        <xdr:spPr>
          <a:xfrm>
            <a:off x="5734050" y="4409261"/>
            <a:ext cx="671513" cy="2294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fld id="{91051B2C-6254-4085-9B11-5AADE5A160E9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{vlan-id}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A$80">
        <xdr:nvSpPr>
          <xdr:cNvPr id="25" name="WLC1-IP">
            <a:extLst>
              <a:ext uri="{FF2B5EF4-FFF2-40B4-BE49-F238E27FC236}">
                <a16:creationId xmlns:a16="http://schemas.microsoft.com/office/drawing/2014/main" id="{5A6FEEC3-06FC-4D73-8413-93B85A06BAF0}"/>
              </a:ext>
            </a:extLst>
          </xdr:cNvPr>
          <xdr:cNvSpPr txBox="1"/>
        </xdr:nvSpPr>
        <xdr:spPr>
          <a:xfrm>
            <a:off x="3971925" y="4410317"/>
            <a:ext cx="1604963" cy="218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r"/>
            <a:fld id="{DD888E04-4FEE-4CF0-AA8E-0666E25A0984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employee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2F8B8A60-FB49-4655-B8F8-F6B8AF8B8B5F}"/>
              </a:ext>
            </a:extLst>
          </xdr:cNvPr>
          <xdr:cNvSpPr txBox="1"/>
        </xdr:nvSpPr>
        <xdr:spPr>
          <a:xfrm>
            <a:off x="5410201" y="4391024"/>
            <a:ext cx="53340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: vlan </a:t>
            </a:r>
          </a:p>
        </xdr:txBody>
      </xdr:sp>
    </xdr:grpSp>
    <xdr:clientData/>
  </xdr:twoCellAnchor>
  <xdr:twoCellAnchor>
    <xdr:from>
      <xdr:col>1</xdr:col>
      <xdr:colOff>1314450</xdr:colOff>
      <xdr:row>22</xdr:row>
      <xdr:rowOff>142874</xdr:rowOff>
    </xdr:from>
    <xdr:to>
      <xdr:col>3</xdr:col>
      <xdr:colOff>552449</xdr:colOff>
      <xdr:row>24</xdr:row>
      <xdr:rowOff>57149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F2EBC338-25A5-478B-BF50-9050D188553A}"/>
            </a:ext>
          </a:extLst>
        </xdr:cNvPr>
        <xdr:cNvGrpSpPr/>
      </xdr:nvGrpSpPr>
      <xdr:grpSpPr>
        <a:xfrm>
          <a:off x="3333750" y="1581150"/>
          <a:ext cx="3552824" cy="0"/>
          <a:chOff x="3971925" y="4391024"/>
          <a:chExt cx="3467099" cy="295275"/>
        </a:xfrm>
      </xdr:grpSpPr>
      <xdr:sp macro="" textlink="">
        <xdr:nvSpPr>
          <xdr:cNvPr id="28" name="Flowchart: Alternate Process 27">
            <a:extLst>
              <a:ext uri="{FF2B5EF4-FFF2-40B4-BE49-F238E27FC236}">
                <a16:creationId xmlns:a16="http://schemas.microsoft.com/office/drawing/2014/main" id="{D8900701-E5D8-4DB9-AAAB-B56A5685A143}"/>
              </a:ext>
            </a:extLst>
          </xdr:cNvPr>
          <xdr:cNvSpPr/>
        </xdr:nvSpPr>
        <xdr:spPr>
          <a:xfrm>
            <a:off x="4133849" y="4435889"/>
            <a:ext cx="3305175" cy="18373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US" sz="1400"/>
          </a:p>
        </xdr:txBody>
      </xdr:sp>
      <xdr:sp macro="" textlink="$B$81">
        <xdr:nvSpPr>
          <xdr:cNvPr id="29" name="WLC1-navn">
            <a:extLst>
              <a:ext uri="{FF2B5EF4-FFF2-40B4-BE49-F238E27FC236}">
                <a16:creationId xmlns:a16="http://schemas.microsoft.com/office/drawing/2014/main" id="{BD945C7A-E4F2-4D45-B309-3C0FAC3892D8}"/>
              </a:ext>
            </a:extLst>
          </xdr:cNvPr>
          <xdr:cNvSpPr txBox="1"/>
        </xdr:nvSpPr>
        <xdr:spPr>
          <a:xfrm>
            <a:off x="5734050" y="4409261"/>
            <a:ext cx="671513" cy="2294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fld id="{31B579AC-1221-45F4-AF18-9119B90B06C2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{vlan-id}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A$81">
        <xdr:nvSpPr>
          <xdr:cNvPr id="30" name="WLC1-IP">
            <a:extLst>
              <a:ext uri="{FF2B5EF4-FFF2-40B4-BE49-F238E27FC236}">
                <a16:creationId xmlns:a16="http://schemas.microsoft.com/office/drawing/2014/main" id="{FE7B62CF-D53F-40EB-8D7A-5720CEC6F0FC}"/>
              </a:ext>
            </a:extLst>
          </xdr:cNvPr>
          <xdr:cNvSpPr txBox="1"/>
        </xdr:nvSpPr>
        <xdr:spPr>
          <a:xfrm>
            <a:off x="3971925" y="4410317"/>
            <a:ext cx="1604963" cy="218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r"/>
            <a:fld id="{B04BEBFE-E389-474E-9E3B-13F725B11222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byod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916C708F-9ADC-4558-9864-64CF0ACFF2AD}"/>
              </a:ext>
            </a:extLst>
          </xdr:cNvPr>
          <xdr:cNvSpPr txBox="1"/>
        </xdr:nvSpPr>
        <xdr:spPr>
          <a:xfrm>
            <a:off x="5410201" y="4391024"/>
            <a:ext cx="53340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: vlan </a:t>
            </a:r>
          </a:p>
        </xdr:txBody>
      </xdr:sp>
    </xdr:grpSp>
    <xdr:clientData/>
  </xdr:twoCellAnchor>
  <xdr:twoCellAnchor>
    <xdr:from>
      <xdr:col>1</xdr:col>
      <xdr:colOff>1466850</xdr:colOff>
      <xdr:row>23</xdr:row>
      <xdr:rowOff>104774</xdr:rowOff>
    </xdr:from>
    <xdr:to>
      <xdr:col>3</xdr:col>
      <xdr:colOff>704849</xdr:colOff>
      <xdr:row>25</xdr:row>
      <xdr:rowOff>19049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411E4696-565E-4863-B56F-2B64A2189519}"/>
            </a:ext>
          </a:extLst>
        </xdr:cNvPr>
        <xdr:cNvGrpSpPr/>
      </xdr:nvGrpSpPr>
      <xdr:grpSpPr>
        <a:xfrm>
          <a:off x="3486150" y="1581150"/>
          <a:ext cx="3552824" cy="0"/>
          <a:chOff x="3971925" y="4391024"/>
          <a:chExt cx="3467099" cy="295275"/>
        </a:xfrm>
      </xdr:grpSpPr>
      <xdr:sp macro="" textlink="">
        <xdr:nvSpPr>
          <xdr:cNvPr id="33" name="Flowchart: Alternate Process 32">
            <a:extLst>
              <a:ext uri="{FF2B5EF4-FFF2-40B4-BE49-F238E27FC236}">
                <a16:creationId xmlns:a16="http://schemas.microsoft.com/office/drawing/2014/main" id="{ABEB1AC1-29A9-47E0-B0A6-7770582892A1}"/>
              </a:ext>
            </a:extLst>
          </xdr:cNvPr>
          <xdr:cNvSpPr/>
        </xdr:nvSpPr>
        <xdr:spPr>
          <a:xfrm>
            <a:off x="4133849" y="4435889"/>
            <a:ext cx="3305175" cy="18373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US" sz="1400"/>
          </a:p>
        </xdr:txBody>
      </xdr:sp>
      <xdr:sp macro="" textlink="$B$82">
        <xdr:nvSpPr>
          <xdr:cNvPr id="34" name="WLC1-navn">
            <a:extLst>
              <a:ext uri="{FF2B5EF4-FFF2-40B4-BE49-F238E27FC236}">
                <a16:creationId xmlns:a16="http://schemas.microsoft.com/office/drawing/2014/main" id="{16C3CDA4-5CB2-4FCA-9703-FA500FEAAF2F}"/>
              </a:ext>
            </a:extLst>
          </xdr:cNvPr>
          <xdr:cNvSpPr txBox="1"/>
        </xdr:nvSpPr>
        <xdr:spPr>
          <a:xfrm>
            <a:off x="5734050" y="4409261"/>
            <a:ext cx="671513" cy="2294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fld id="{8FD07DF3-CC24-4EA8-9C35-10046F867099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{vlan-id}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A$82">
        <xdr:nvSpPr>
          <xdr:cNvPr id="35" name="WLC1-IP">
            <a:extLst>
              <a:ext uri="{FF2B5EF4-FFF2-40B4-BE49-F238E27FC236}">
                <a16:creationId xmlns:a16="http://schemas.microsoft.com/office/drawing/2014/main" id="{2B86A4F8-CCB7-4076-95A2-1CB3EE46E47E}"/>
              </a:ext>
            </a:extLst>
          </xdr:cNvPr>
          <xdr:cNvSpPr txBox="1"/>
        </xdr:nvSpPr>
        <xdr:spPr>
          <a:xfrm>
            <a:off x="3971925" y="4410317"/>
            <a:ext cx="1604963" cy="218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r"/>
            <a:fld id="{224B3831-E6F1-4A50-8D8F-5E65555C45E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guest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96B846E1-FD16-43B2-816C-7792979F3F22}"/>
              </a:ext>
            </a:extLst>
          </xdr:cNvPr>
          <xdr:cNvSpPr txBox="1"/>
        </xdr:nvSpPr>
        <xdr:spPr>
          <a:xfrm>
            <a:off x="5410201" y="4391024"/>
            <a:ext cx="53340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: vlan </a:t>
            </a:r>
          </a:p>
        </xdr:txBody>
      </xdr:sp>
    </xdr:grpSp>
    <xdr:clientData/>
  </xdr:twoCellAnchor>
  <xdr:twoCellAnchor>
    <xdr:from>
      <xdr:col>4</xdr:col>
      <xdr:colOff>200025</xdr:colOff>
      <xdr:row>18</xdr:row>
      <xdr:rowOff>149638</xdr:rowOff>
    </xdr:from>
    <xdr:to>
      <xdr:col>5</xdr:col>
      <xdr:colOff>390525</xdr:colOff>
      <xdr:row>27</xdr:row>
      <xdr:rowOff>171449</xdr:rowOff>
    </xdr:to>
    <xdr:sp macro="" textlink="">
      <xdr:nvSpPr>
        <xdr:cNvPr id="38" name="Flowchart: Alternate Process 37">
          <a:extLst>
            <a:ext uri="{FF2B5EF4-FFF2-40B4-BE49-F238E27FC236}">
              <a16:creationId xmlns:a16="http://schemas.microsoft.com/office/drawing/2014/main" id="{303F1455-30A6-47BB-A413-948769BDFAAA}"/>
            </a:ext>
          </a:extLst>
        </xdr:cNvPr>
        <xdr:cNvSpPr/>
      </xdr:nvSpPr>
      <xdr:spPr>
        <a:xfrm>
          <a:off x="7724775" y="4359688"/>
          <a:ext cx="1409700" cy="1736311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Core</a:t>
          </a:r>
        </a:p>
        <a:p>
          <a:pPr algn="ctr"/>
          <a:r>
            <a:rPr lang="en-US" sz="1400"/>
            <a:t>network</a:t>
          </a:r>
        </a:p>
        <a:p>
          <a:pPr algn="ctr"/>
          <a:r>
            <a:rPr lang="en-US" sz="1400"/>
            <a:t>and</a:t>
          </a:r>
          <a:endParaRPr lang="en-US" sz="1400" baseline="0"/>
        </a:p>
        <a:p>
          <a:pPr algn="ctr"/>
          <a:r>
            <a:rPr lang="en-US" sz="1400" baseline="0"/>
            <a:t>firewall</a:t>
          </a:r>
          <a:endParaRPr lang="en-US" sz="1400"/>
        </a:p>
      </xdr:txBody>
    </xdr:sp>
    <xdr:clientData/>
  </xdr:twoCellAnchor>
  <xdr:twoCellAnchor>
    <xdr:from>
      <xdr:col>6</xdr:col>
      <xdr:colOff>57149</xdr:colOff>
      <xdr:row>20</xdr:row>
      <xdr:rowOff>187739</xdr:rowOff>
    </xdr:from>
    <xdr:to>
      <xdr:col>9</xdr:col>
      <xdr:colOff>914400</xdr:colOff>
      <xdr:row>22</xdr:row>
      <xdr:rowOff>9525</xdr:rowOff>
    </xdr:to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DDB35B1D-CF7B-4F0F-A26C-E6E7DC3765BC}"/>
            </a:ext>
          </a:extLst>
        </xdr:cNvPr>
        <xdr:cNvSpPr/>
      </xdr:nvSpPr>
      <xdr:spPr>
        <a:xfrm>
          <a:off x="9816611" y="4210220"/>
          <a:ext cx="4410808" cy="20278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Server network(s)</a:t>
          </a:r>
        </a:p>
      </xdr:txBody>
    </xdr:sp>
    <xdr:clientData/>
  </xdr:twoCellAnchor>
  <xdr:twoCellAnchor>
    <xdr:from>
      <xdr:col>6</xdr:col>
      <xdr:colOff>57149</xdr:colOff>
      <xdr:row>19</xdr:row>
      <xdr:rowOff>54389</xdr:rowOff>
    </xdr:from>
    <xdr:to>
      <xdr:col>9</xdr:col>
      <xdr:colOff>914400</xdr:colOff>
      <xdr:row>20</xdr:row>
      <xdr:rowOff>66675</xdr:rowOff>
    </xdr:to>
    <xdr:sp macro="" textlink="">
      <xdr:nvSpPr>
        <xdr:cNvPr id="46" name="Flowchart: Alternate Process 45">
          <a:extLst>
            <a:ext uri="{FF2B5EF4-FFF2-40B4-BE49-F238E27FC236}">
              <a16:creationId xmlns:a16="http://schemas.microsoft.com/office/drawing/2014/main" id="{51898CB3-5471-47FF-A86E-0E3780D9F1DD}"/>
            </a:ext>
          </a:extLst>
        </xdr:cNvPr>
        <xdr:cNvSpPr/>
      </xdr:nvSpPr>
      <xdr:spPr>
        <a:xfrm>
          <a:off x="9816611" y="3886370"/>
          <a:ext cx="4410808" cy="20278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points network(s)</a:t>
          </a:r>
        </a:p>
      </xdr:txBody>
    </xdr:sp>
    <xdr:clientData/>
  </xdr:twoCellAnchor>
  <xdr:twoCellAnchor>
    <xdr:from>
      <xdr:col>6</xdr:col>
      <xdr:colOff>9525</xdr:colOff>
      <xdr:row>23</xdr:row>
      <xdr:rowOff>102671</xdr:rowOff>
    </xdr:from>
    <xdr:to>
      <xdr:col>7</xdr:col>
      <xdr:colOff>171450</xdr:colOff>
      <xdr:row>27</xdr:row>
      <xdr:rowOff>183931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23198DA0-59B9-4ED2-9461-73D8FC4A9CE9}"/>
            </a:ext>
          </a:extLst>
        </xdr:cNvPr>
        <xdr:cNvGrpSpPr/>
      </xdr:nvGrpSpPr>
      <xdr:grpSpPr>
        <a:xfrm>
          <a:off x="11296650" y="1581150"/>
          <a:ext cx="1409700" cy="0"/>
          <a:chOff x="2381250" y="4883563"/>
          <a:chExt cx="1409700" cy="1058799"/>
        </a:xfrm>
      </xdr:grpSpPr>
      <xdr:sp macro="" textlink="">
        <xdr:nvSpPr>
          <xdr:cNvPr id="52" name="Flowchart: Alternate Process 51">
            <a:extLst>
              <a:ext uri="{FF2B5EF4-FFF2-40B4-BE49-F238E27FC236}">
                <a16:creationId xmlns:a16="http://schemas.microsoft.com/office/drawing/2014/main" id="{EDE6AA81-B94C-446E-B2F7-0B7AB24E1F8A}"/>
              </a:ext>
            </a:extLst>
          </xdr:cNvPr>
          <xdr:cNvSpPr/>
        </xdr:nvSpPr>
        <xdr:spPr>
          <a:xfrm>
            <a:off x="2381250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ISE</a:t>
            </a:r>
          </a:p>
        </xdr:txBody>
      </xdr:sp>
      <xdr:sp macro="" textlink="$A$72">
        <xdr:nvSpPr>
          <xdr:cNvPr id="53" name="WLC2-navn">
            <a:extLst>
              <a:ext uri="{FF2B5EF4-FFF2-40B4-BE49-F238E27FC236}">
                <a16:creationId xmlns:a16="http://schemas.microsoft.com/office/drawing/2014/main" id="{271BFC8C-51C9-43CB-A770-516ECB060ECC}"/>
              </a:ext>
            </a:extLst>
          </xdr:cNvPr>
          <xdr:cNvSpPr txBox="1"/>
        </xdr:nvSpPr>
        <xdr:spPr>
          <a:xfrm>
            <a:off x="2471738" y="528437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/>
          <a:p>
            <a:pPr algn="ctr"/>
            <a:fld id="{91C479F9-417E-4989-BB13-F1AD6A4D2017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customername-radius-1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B$72">
        <xdr:nvSpPr>
          <xdr:cNvPr id="54" name="WLC2-IP">
            <a:extLst>
              <a:ext uri="{FF2B5EF4-FFF2-40B4-BE49-F238E27FC236}">
                <a16:creationId xmlns:a16="http://schemas.microsoft.com/office/drawing/2014/main" id="{8AB35DB0-AF9C-47CD-A92B-29DA77A95E89}"/>
              </a:ext>
            </a:extLst>
          </xdr:cNvPr>
          <xdr:cNvSpPr txBox="1"/>
        </xdr:nvSpPr>
        <xdr:spPr>
          <a:xfrm>
            <a:off x="2471738" y="555069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8FEC660A-B91A-4894-A1CB-4633C8C5CDA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{radius-1-ip}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7</xdr:col>
      <xdr:colOff>311028</xdr:colOff>
      <xdr:row>23</xdr:row>
      <xdr:rowOff>102671</xdr:rowOff>
    </xdr:from>
    <xdr:to>
      <xdr:col>8</xdr:col>
      <xdr:colOff>492003</xdr:colOff>
      <xdr:row>27</xdr:row>
      <xdr:rowOff>183931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77B792E-F294-4CF2-BC12-65CB28D4F269}"/>
            </a:ext>
          </a:extLst>
        </xdr:cNvPr>
        <xdr:cNvGrpSpPr/>
      </xdr:nvGrpSpPr>
      <xdr:grpSpPr>
        <a:xfrm>
          <a:off x="12845928" y="1581150"/>
          <a:ext cx="1409700" cy="0"/>
          <a:chOff x="2381250" y="4883563"/>
          <a:chExt cx="1409700" cy="1058799"/>
        </a:xfrm>
      </xdr:grpSpPr>
      <xdr:sp macro="" textlink="">
        <xdr:nvSpPr>
          <xdr:cNvPr id="56" name="Flowchart: Alternate Process 55">
            <a:extLst>
              <a:ext uri="{FF2B5EF4-FFF2-40B4-BE49-F238E27FC236}">
                <a16:creationId xmlns:a16="http://schemas.microsoft.com/office/drawing/2014/main" id="{5EA4AC2F-2061-46C3-BBB5-ACEB1CCAF0C0}"/>
              </a:ext>
            </a:extLst>
          </xdr:cNvPr>
          <xdr:cNvSpPr/>
        </xdr:nvSpPr>
        <xdr:spPr>
          <a:xfrm>
            <a:off x="2381250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CPI</a:t>
            </a:r>
          </a:p>
        </xdr:txBody>
      </xdr:sp>
      <xdr:sp macro="" textlink="$B$138">
        <xdr:nvSpPr>
          <xdr:cNvPr id="57" name="WLC2-navn">
            <a:extLst>
              <a:ext uri="{FF2B5EF4-FFF2-40B4-BE49-F238E27FC236}">
                <a16:creationId xmlns:a16="http://schemas.microsoft.com/office/drawing/2014/main" id="{04AE48AD-2847-484B-B8D8-F2CD87DE05F3}"/>
              </a:ext>
            </a:extLst>
          </xdr:cNvPr>
          <xdr:cNvSpPr txBox="1"/>
        </xdr:nvSpPr>
        <xdr:spPr>
          <a:xfrm>
            <a:off x="2471738" y="528437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/>
          <a:p>
            <a:pPr algn="ctr"/>
            <a:fld id="{09114315-6793-4067-8C25-568447031584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{CPI hostname}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B$140">
        <xdr:nvSpPr>
          <xdr:cNvPr id="58" name="WLC2-IP">
            <a:extLst>
              <a:ext uri="{FF2B5EF4-FFF2-40B4-BE49-F238E27FC236}">
                <a16:creationId xmlns:a16="http://schemas.microsoft.com/office/drawing/2014/main" id="{497179B7-A0E0-4398-8C79-C0200A4974AE}"/>
              </a:ext>
            </a:extLst>
          </xdr:cNvPr>
          <xdr:cNvSpPr txBox="1"/>
        </xdr:nvSpPr>
        <xdr:spPr>
          <a:xfrm>
            <a:off x="2471738" y="555069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A267EEFA-FC05-4FF4-9330-E87822297457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{CPI IP}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8</xdr:col>
      <xdr:colOff>618392</xdr:colOff>
      <xdr:row>23</xdr:row>
      <xdr:rowOff>102671</xdr:rowOff>
    </xdr:from>
    <xdr:to>
      <xdr:col>9</xdr:col>
      <xdr:colOff>951767</xdr:colOff>
      <xdr:row>27</xdr:row>
      <xdr:rowOff>183931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A3D1C2CC-C6F8-470F-8A85-EDD396BA4BA3}"/>
            </a:ext>
          </a:extLst>
        </xdr:cNvPr>
        <xdr:cNvGrpSpPr/>
      </xdr:nvGrpSpPr>
      <xdr:grpSpPr>
        <a:xfrm>
          <a:off x="14382017" y="1581150"/>
          <a:ext cx="1409700" cy="0"/>
          <a:chOff x="2381250" y="4883563"/>
          <a:chExt cx="1409700" cy="1058799"/>
        </a:xfrm>
      </xdr:grpSpPr>
      <xdr:sp macro="" textlink="">
        <xdr:nvSpPr>
          <xdr:cNvPr id="60" name="Flowchart: Alternate Process 59">
            <a:extLst>
              <a:ext uri="{FF2B5EF4-FFF2-40B4-BE49-F238E27FC236}">
                <a16:creationId xmlns:a16="http://schemas.microsoft.com/office/drawing/2014/main" id="{FBC4EBD6-E371-41EE-95BD-89DE37E3CB26}"/>
              </a:ext>
            </a:extLst>
          </xdr:cNvPr>
          <xdr:cNvSpPr/>
        </xdr:nvSpPr>
        <xdr:spPr>
          <a:xfrm>
            <a:off x="2381250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CMX</a:t>
            </a:r>
          </a:p>
        </xdr:txBody>
      </xdr:sp>
      <xdr:sp macro="" textlink="$B$158">
        <xdr:nvSpPr>
          <xdr:cNvPr id="61" name="WLC2-navn">
            <a:extLst>
              <a:ext uri="{FF2B5EF4-FFF2-40B4-BE49-F238E27FC236}">
                <a16:creationId xmlns:a16="http://schemas.microsoft.com/office/drawing/2014/main" id="{D3C1224F-D70D-49B0-BA36-1E920CAC7953}"/>
              </a:ext>
            </a:extLst>
          </xdr:cNvPr>
          <xdr:cNvSpPr txBox="1"/>
        </xdr:nvSpPr>
        <xdr:spPr>
          <a:xfrm>
            <a:off x="2471738" y="528437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/>
          <a:p>
            <a:pPr algn="ctr"/>
            <a:fld id="{7E8CF496-22C4-4B7A-9DA2-F7747B3FC45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 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$B$160">
        <xdr:nvSpPr>
          <xdr:cNvPr id="62" name="WLC2-IP">
            <a:extLst>
              <a:ext uri="{FF2B5EF4-FFF2-40B4-BE49-F238E27FC236}">
                <a16:creationId xmlns:a16="http://schemas.microsoft.com/office/drawing/2014/main" id="{176ACDAD-68F0-4311-9B79-C8667AF246A3}"/>
              </a:ext>
            </a:extLst>
          </xdr:cNvPr>
          <xdr:cNvSpPr txBox="1"/>
        </xdr:nvSpPr>
        <xdr:spPr>
          <a:xfrm>
            <a:off x="2471738" y="5550695"/>
            <a:ext cx="1228725" cy="195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0BC2D27B-A974-4381-834C-7B1545720BA7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 </a:t>
            </a:fld>
            <a:endParaRPr lang="en-US" sz="11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7</xdr:col>
      <xdr:colOff>276225</xdr:colOff>
      <xdr:row>13</xdr:row>
      <xdr:rowOff>7421</xdr:rowOff>
    </xdr:from>
    <xdr:to>
      <xdr:col>7</xdr:col>
      <xdr:colOff>1133475</xdr:colOff>
      <xdr:row>16</xdr:row>
      <xdr:rowOff>28575</xdr:rowOff>
    </xdr:to>
    <xdr:sp macro="" textlink="">
      <xdr:nvSpPr>
        <xdr:cNvPr id="64" name="Flowchart: Alternate Process 63">
          <a:extLst>
            <a:ext uri="{FF2B5EF4-FFF2-40B4-BE49-F238E27FC236}">
              <a16:creationId xmlns:a16="http://schemas.microsoft.com/office/drawing/2014/main" id="{29CFE926-96AA-4AF8-914F-F513611070E7}"/>
            </a:ext>
          </a:extLst>
        </xdr:cNvPr>
        <xdr:cNvSpPr/>
      </xdr:nvSpPr>
      <xdr:spPr>
        <a:xfrm>
          <a:off x="11277600" y="3264971"/>
          <a:ext cx="857250" cy="59265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/>
        </a:p>
      </xdr:txBody>
    </xdr:sp>
    <xdr:clientData/>
  </xdr:twoCellAnchor>
  <xdr:twoCellAnchor>
    <xdr:from>
      <xdr:col>7</xdr:col>
      <xdr:colOff>428625</xdr:colOff>
      <xdr:row>13</xdr:row>
      <xdr:rowOff>159821</xdr:rowOff>
    </xdr:from>
    <xdr:to>
      <xdr:col>8</xdr:col>
      <xdr:colOff>57150</xdr:colOff>
      <xdr:row>16</xdr:row>
      <xdr:rowOff>180975</xdr:rowOff>
    </xdr:to>
    <xdr:sp macro="" textlink="">
      <xdr:nvSpPr>
        <xdr:cNvPr id="67" name="Flowchart: Alternate Process 66">
          <a:extLst>
            <a:ext uri="{FF2B5EF4-FFF2-40B4-BE49-F238E27FC236}">
              <a16:creationId xmlns:a16="http://schemas.microsoft.com/office/drawing/2014/main" id="{70F3441E-0F4B-4116-B0CB-56BF04696107}"/>
            </a:ext>
          </a:extLst>
        </xdr:cNvPr>
        <xdr:cNvSpPr/>
      </xdr:nvSpPr>
      <xdr:spPr>
        <a:xfrm>
          <a:off x="11430000" y="3417371"/>
          <a:ext cx="857250" cy="59265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/>
        </a:p>
      </xdr:txBody>
    </xdr:sp>
    <xdr:clientData/>
  </xdr:twoCellAnchor>
  <xdr:twoCellAnchor>
    <xdr:from>
      <xdr:col>7</xdr:col>
      <xdr:colOff>581025</xdr:colOff>
      <xdr:row>14</xdr:row>
      <xdr:rowOff>121721</xdr:rowOff>
    </xdr:from>
    <xdr:to>
      <xdr:col>8</xdr:col>
      <xdr:colOff>209550</xdr:colOff>
      <xdr:row>17</xdr:row>
      <xdr:rowOff>142875</xdr:rowOff>
    </xdr:to>
    <xdr:sp macro="" textlink="">
      <xdr:nvSpPr>
        <xdr:cNvPr id="68" name="Flowchart: Alternate Process 67">
          <a:extLst>
            <a:ext uri="{FF2B5EF4-FFF2-40B4-BE49-F238E27FC236}">
              <a16:creationId xmlns:a16="http://schemas.microsoft.com/office/drawing/2014/main" id="{15929E24-ACD6-4414-83B7-27418B4891B0}"/>
            </a:ext>
          </a:extLst>
        </xdr:cNvPr>
        <xdr:cNvSpPr/>
      </xdr:nvSpPr>
      <xdr:spPr>
        <a:xfrm>
          <a:off x="11582400" y="3569771"/>
          <a:ext cx="857250" cy="59265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Access</a:t>
          </a:r>
        </a:p>
        <a:p>
          <a:pPr algn="ctr"/>
          <a:r>
            <a:rPr lang="en-US" sz="1400"/>
            <a:t>Points</a:t>
          </a:r>
        </a:p>
      </xdr:txBody>
    </xdr:sp>
    <xdr:clientData/>
  </xdr:twoCellAnchor>
  <xdr:twoCellAnchor>
    <xdr:from>
      <xdr:col>5</xdr:col>
      <xdr:colOff>838200</xdr:colOff>
      <xdr:row>10</xdr:row>
      <xdr:rowOff>104775</xdr:rowOff>
    </xdr:from>
    <xdr:to>
      <xdr:col>7</xdr:col>
      <xdr:colOff>428625</xdr:colOff>
      <xdr:row>11</xdr:row>
      <xdr:rowOff>104775</xdr:rowOff>
    </xdr:to>
    <xdr:sp macro="" textlink="$B$101">
      <xdr:nvSpPr>
        <xdr:cNvPr id="69" name="WLC1-navn">
          <a:extLst>
            <a:ext uri="{FF2B5EF4-FFF2-40B4-BE49-F238E27FC236}">
              <a16:creationId xmlns:a16="http://schemas.microsoft.com/office/drawing/2014/main" id="{0C9F974B-B989-4F97-82CE-65228AE165DA}"/>
            </a:ext>
          </a:extLst>
        </xdr:cNvPr>
        <xdr:cNvSpPr txBox="1"/>
      </xdr:nvSpPr>
      <xdr:spPr>
        <a:xfrm>
          <a:off x="9582150" y="2790825"/>
          <a:ext cx="18478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3EBF5B12-C8C3-4270-B807-A42C1A3326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CustomerName-employee</a:t>
          </a:fld>
          <a:endParaRPr lang="en-US" sz="12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1076325</xdr:colOff>
      <xdr:row>8</xdr:row>
      <xdr:rowOff>123825</xdr:rowOff>
    </xdr:from>
    <xdr:to>
      <xdr:col>8</xdr:col>
      <xdr:colOff>447675</xdr:colOff>
      <xdr:row>9</xdr:row>
      <xdr:rowOff>123825</xdr:rowOff>
    </xdr:to>
    <xdr:sp macro="" textlink="$B$102">
      <xdr:nvSpPr>
        <xdr:cNvPr id="70" name="WLC1-navn">
          <a:extLst>
            <a:ext uri="{FF2B5EF4-FFF2-40B4-BE49-F238E27FC236}">
              <a16:creationId xmlns:a16="http://schemas.microsoft.com/office/drawing/2014/main" id="{6B0F6EFA-E811-444E-BFDD-F01BAD6A34E4}"/>
            </a:ext>
          </a:extLst>
        </xdr:cNvPr>
        <xdr:cNvSpPr txBox="1"/>
      </xdr:nvSpPr>
      <xdr:spPr>
        <a:xfrm>
          <a:off x="10829925" y="2428875"/>
          <a:ext cx="18478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DDC452EB-6866-4D9C-AC15-DB5DF39FC60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CustomerName-byod</a:t>
          </a:fld>
          <a:endParaRPr lang="en-US" sz="12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7</xdr:col>
      <xdr:colOff>1085850</xdr:colOff>
      <xdr:row>10</xdr:row>
      <xdr:rowOff>152400</xdr:rowOff>
    </xdr:from>
    <xdr:to>
      <xdr:col>9</xdr:col>
      <xdr:colOff>628650</xdr:colOff>
      <xdr:row>11</xdr:row>
      <xdr:rowOff>152400</xdr:rowOff>
    </xdr:to>
    <xdr:sp macro="" textlink="$B$103">
      <xdr:nvSpPr>
        <xdr:cNvPr id="71" name="WLC1-navn">
          <a:extLst>
            <a:ext uri="{FF2B5EF4-FFF2-40B4-BE49-F238E27FC236}">
              <a16:creationId xmlns:a16="http://schemas.microsoft.com/office/drawing/2014/main" id="{DC5566DC-DC9F-48BA-BE0F-67D3B64C796A}"/>
            </a:ext>
          </a:extLst>
        </xdr:cNvPr>
        <xdr:cNvSpPr txBox="1"/>
      </xdr:nvSpPr>
      <xdr:spPr>
        <a:xfrm>
          <a:off x="12087225" y="2838450"/>
          <a:ext cx="18478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A4A49D1B-6E7E-491A-80B7-257AA70893D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CustomerName-guest</a:t>
          </a:fld>
          <a:endParaRPr lang="en-US" sz="12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1280746</xdr:colOff>
      <xdr:row>8</xdr:row>
      <xdr:rowOff>180975</xdr:rowOff>
    </xdr:from>
    <xdr:to>
      <xdr:col>5</xdr:col>
      <xdr:colOff>794971</xdr:colOff>
      <xdr:row>17</xdr:row>
      <xdr:rowOff>0</xdr:rowOff>
    </xdr:to>
    <xdr:sp macro="" textlink="">
      <xdr:nvSpPr>
        <xdr:cNvPr id="74" name="Cloud 73">
          <a:extLst>
            <a:ext uri="{FF2B5EF4-FFF2-40B4-BE49-F238E27FC236}">
              <a16:creationId xmlns:a16="http://schemas.microsoft.com/office/drawing/2014/main" id="{8BDF9033-3383-46BE-8F78-CBAC158252ED}"/>
            </a:ext>
          </a:extLst>
        </xdr:cNvPr>
        <xdr:cNvSpPr/>
      </xdr:nvSpPr>
      <xdr:spPr>
        <a:xfrm>
          <a:off x="7318131" y="1917456"/>
          <a:ext cx="2225186" cy="1533525"/>
        </a:xfrm>
        <a:prstGeom prst="clou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@</a:t>
          </a:r>
        </a:p>
      </xdr:txBody>
    </xdr:sp>
    <xdr:clientData/>
  </xdr:twoCellAnchor>
  <xdr:twoCellAnchor>
    <xdr:from>
      <xdr:col>1</xdr:col>
      <xdr:colOff>1552576</xdr:colOff>
      <xdr:row>9</xdr:row>
      <xdr:rowOff>35339</xdr:rowOff>
    </xdr:from>
    <xdr:to>
      <xdr:col>2</xdr:col>
      <xdr:colOff>1838326</xdr:colOff>
      <xdr:row>10</xdr:row>
      <xdr:rowOff>180975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2A835BCB-DA24-4F5C-BE3A-A934C97D6C8F}"/>
            </a:ext>
          </a:extLst>
        </xdr:cNvPr>
        <xdr:cNvGrpSpPr/>
      </xdr:nvGrpSpPr>
      <xdr:grpSpPr>
        <a:xfrm>
          <a:off x="3571876" y="1581150"/>
          <a:ext cx="2486025" cy="0"/>
          <a:chOff x="4143375" y="4883563"/>
          <a:chExt cx="1409700" cy="1058799"/>
        </a:xfrm>
      </xdr:grpSpPr>
      <xdr:sp macro="" textlink="">
        <xdr:nvSpPr>
          <xdr:cNvPr id="76" name="Flowchart: Alternate Process 75">
            <a:extLst>
              <a:ext uri="{FF2B5EF4-FFF2-40B4-BE49-F238E27FC236}">
                <a16:creationId xmlns:a16="http://schemas.microsoft.com/office/drawing/2014/main" id="{99DE8D78-1701-4ADA-A061-CC5A335D2407}"/>
              </a:ext>
            </a:extLst>
          </xdr:cNvPr>
          <xdr:cNvSpPr/>
        </xdr:nvSpPr>
        <xdr:spPr>
          <a:xfrm>
            <a:off x="4143375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DNA-Spaces</a:t>
            </a:r>
            <a:r>
              <a:rPr lang="en-US" sz="1400"/>
              <a:t>:</a:t>
            </a:r>
            <a:r>
              <a:rPr lang="en-US" sz="1400" baseline="0"/>
              <a:t> </a:t>
            </a:r>
            <a:endParaRPr lang="en-US" sz="1400"/>
          </a:p>
        </xdr:txBody>
      </xdr:sp>
      <xdr:sp macro="" textlink="$B$74">
        <xdr:nvSpPr>
          <xdr:cNvPr id="78" name="WLC1-IP">
            <a:extLst>
              <a:ext uri="{FF2B5EF4-FFF2-40B4-BE49-F238E27FC236}">
                <a16:creationId xmlns:a16="http://schemas.microsoft.com/office/drawing/2014/main" id="{40C5DE6F-E918-44CC-9C1B-FE68EBA0958A}"/>
              </a:ext>
            </a:extLst>
          </xdr:cNvPr>
          <xdr:cNvSpPr txBox="1"/>
        </xdr:nvSpPr>
        <xdr:spPr>
          <a:xfrm>
            <a:off x="4650741" y="5050080"/>
            <a:ext cx="835205" cy="8230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fld id="{FCD8B280-0C54-44DD-A4D9-3B506898ACE2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52.51.31.103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1</xdr:col>
      <xdr:colOff>1552576</xdr:colOff>
      <xdr:row>11</xdr:row>
      <xdr:rowOff>44864</xdr:rowOff>
    </xdr:from>
    <xdr:to>
      <xdr:col>2</xdr:col>
      <xdr:colOff>1838326</xdr:colOff>
      <xdr:row>13</xdr:row>
      <xdr:rowOff>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53F55409-6C87-43A5-9365-E1EC684CD041}"/>
            </a:ext>
          </a:extLst>
        </xdr:cNvPr>
        <xdr:cNvGrpSpPr/>
      </xdr:nvGrpSpPr>
      <xdr:grpSpPr>
        <a:xfrm>
          <a:off x="3571876" y="1581150"/>
          <a:ext cx="2486025" cy="0"/>
          <a:chOff x="4143375" y="4883563"/>
          <a:chExt cx="1409700" cy="1058799"/>
        </a:xfrm>
      </xdr:grpSpPr>
      <xdr:sp macro="" textlink="">
        <xdr:nvSpPr>
          <xdr:cNvPr id="87" name="Flowchart: Alternate Process 86">
            <a:extLst>
              <a:ext uri="{FF2B5EF4-FFF2-40B4-BE49-F238E27FC236}">
                <a16:creationId xmlns:a16="http://schemas.microsoft.com/office/drawing/2014/main" id="{FF0A3FEB-B0B0-4548-827F-977B846F6FF8}"/>
              </a:ext>
            </a:extLst>
          </xdr:cNvPr>
          <xdr:cNvSpPr/>
        </xdr:nvSpPr>
        <xdr:spPr>
          <a:xfrm>
            <a:off x="4143375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DNA-Spaces</a:t>
            </a:r>
            <a:r>
              <a:rPr lang="en-US" sz="1400"/>
              <a:t>:</a:t>
            </a:r>
            <a:r>
              <a:rPr lang="en-US" sz="1400" baseline="0"/>
              <a:t> </a:t>
            </a:r>
            <a:endParaRPr lang="en-US" sz="1400"/>
          </a:p>
        </xdr:txBody>
      </xdr:sp>
      <xdr:sp macro="" textlink="$B$75">
        <xdr:nvSpPr>
          <xdr:cNvPr id="88" name="WLC1-IP">
            <a:extLst>
              <a:ext uri="{FF2B5EF4-FFF2-40B4-BE49-F238E27FC236}">
                <a16:creationId xmlns:a16="http://schemas.microsoft.com/office/drawing/2014/main" id="{538F57BE-AE6C-491F-BE9C-FC1C01CC1196}"/>
              </a:ext>
            </a:extLst>
          </xdr:cNvPr>
          <xdr:cNvSpPr txBox="1"/>
        </xdr:nvSpPr>
        <xdr:spPr>
          <a:xfrm>
            <a:off x="4643410" y="5050080"/>
            <a:ext cx="835205" cy="8230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fld id="{4A5FDEB6-48FA-4E42-850D-32F8A9FAB701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34.241.1.84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1</xdr:col>
      <xdr:colOff>1552576</xdr:colOff>
      <xdr:row>13</xdr:row>
      <xdr:rowOff>44864</xdr:rowOff>
    </xdr:from>
    <xdr:to>
      <xdr:col>2</xdr:col>
      <xdr:colOff>1838326</xdr:colOff>
      <xdr:row>15</xdr:row>
      <xdr:rowOff>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8364AC9A-47E6-42F7-B725-85A7E6124E0A}"/>
            </a:ext>
          </a:extLst>
        </xdr:cNvPr>
        <xdr:cNvGrpSpPr/>
      </xdr:nvGrpSpPr>
      <xdr:grpSpPr>
        <a:xfrm>
          <a:off x="3571876" y="1581150"/>
          <a:ext cx="2486025" cy="0"/>
          <a:chOff x="4143375" y="4883563"/>
          <a:chExt cx="1409700" cy="1058799"/>
        </a:xfrm>
      </xdr:grpSpPr>
      <xdr:sp macro="" textlink="">
        <xdr:nvSpPr>
          <xdr:cNvPr id="90" name="Flowchart: Alternate Process 89">
            <a:extLst>
              <a:ext uri="{FF2B5EF4-FFF2-40B4-BE49-F238E27FC236}">
                <a16:creationId xmlns:a16="http://schemas.microsoft.com/office/drawing/2014/main" id="{420FA90D-8B42-4FEA-94C8-3B6D6ED2BAD0}"/>
              </a:ext>
            </a:extLst>
          </xdr:cNvPr>
          <xdr:cNvSpPr/>
        </xdr:nvSpPr>
        <xdr:spPr>
          <a:xfrm>
            <a:off x="4143375" y="4883563"/>
            <a:ext cx="1409700" cy="105879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SkyLabs:</a:t>
            </a:r>
            <a:r>
              <a:rPr lang="en-US" sz="1200" baseline="0"/>
              <a:t> </a:t>
            </a:r>
            <a:endParaRPr lang="en-US" sz="1200"/>
          </a:p>
        </xdr:txBody>
      </xdr:sp>
      <xdr:sp macro="" textlink="#REF!">
        <xdr:nvSpPr>
          <xdr:cNvPr id="91" name="WLC1-IP">
            <a:extLst>
              <a:ext uri="{FF2B5EF4-FFF2-40B4-BE49-F238E27FC236}">
                <a16:creationId xmlns:a16="http://schemas.microsoft.com/office/drawing/2014/main" id="{33D6B515-1E7B-434F-A8E9-7F0039FE91E2}"/>
              </a:ext>
            </a:extLst>
          </xdr:cNvPr>
          <xdr:cNvSpPr txBox="1"/>
        </xdr:nvSpPr>
        <xdr:spPr>
          <a:xfrm>
            <a:off x="4477325" y="5031458"/>
            <a:ext cx="835205" cy="8230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l"/>
            <a:fld id="{68164476-BFE7-4CB7-A044-490BB3E84E3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188.166.130.167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1</xdr:col>
      <xdr:colOff>1552576</xdr:colOff>
      <xdr:row>15</xdr:row>
      <xdr:rowOff>44864</xdr:rowOff>
    </xdr:from>
    <xdr:to>
      <xdr:col>2</xdr:col>
      <xdr:colOff>1838326</xdr:colOff>
      <xdr:row>17</xdr:row>
      <xdr:rowOff>0</xdr:rowOff>
    </xdr:to>
    <xdr:sp macro="" textlink="">
      <xdr:nvSpPr>
        <xdr:cNvPr id="93" name="Flowchart: Alternate Process 92">
          <a:extLst>
            <a:ext uri="{FF2B5EF4-FFF2-40B4-BE49-F238E27FC236}">
              <a16:creationId xmlns:a16="http://schemas.microsoft.com/office/drawing/2014/main" id="{9266540C-EE64-44CF-B628-2F77C73D650A}"/>
            </a:ext>
          </a:extLst>
        </xdr:cNvPr>
        <xdr:cNvSpPr/>
      </xdr:nvSpPr>
      <xdr:spPr>
        <a:xfrm>
          <a:off x="3352801" y="3683414"/>
          <a:ext cx="2400300" cy="33613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SmartLicensing:</a:t>
          </a:r>
          <a:r>
            <a:rPr lang="en-US" sz="1200" baseline="0"/>
            <a:t> tools*.cisco.com</a:t>
          </a:r>
          <a:endParaRPr lang="en-US" sz="1200"/>
        </a:p>
      </xdr:txBody>
    </xdr:sp>
    <xdr:clientData/>
  </xdr:twoCellAnchor>
  <xdr:twoCellAnchor>
    <xdr:from>
      <xdr:col>1</xdr:col>
      <xdr:colOff>176214</xdr:colOff>
      <xdr:row>20</xdr:row>
      <xdr:rowOff>171336</xdr:rowOff>
    </xdr:from>
    <xdr:to>
      <xdr:col>1</xdr:col>
      <xdr:colOff>1183105</xdr:colOff>
      <xdr:row>22</xdr:row>
      <xdr:rowOff>115302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CB366FAE-2029-445E-83AB-5727B47337C5}"/>
            </a:ext>
          </a:extLst>
        </xdr:cNvPr>
        <xdr:cNvCxnSpPr>
          <a:stCxn id="7" idx="3"/>
        </xdr:cNvCxnSpPr>
      </xdr:nvCxnSpPr>
      <xdr:spPr>
        <a:xfrm>
          <a:off x="1975938" y="4191889"/>
          <a:ext cx="1006891" cy="32496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23</xdr:row>
      <xdr:rowOff>105276</xdr:rowOff>
    </xdr:from>
    <xdr:to>
      <xdr:col>1</xdr:col>
      <xdr:colOff>1273342</xdr:colOff>
      <xdr:row>25</xdr:row>
      <xdr:rowOff>143301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E7662774-D3FB-4616-BF56-371C9D5E7B76}"/>
            </a:ext>
          </a:extLst>
        </xdr:cNvPr>
        <xdr:cNvCxnSpPr>
          <a:stCxn id="12" idx="3"/>
        </xdr:cNvCxnSpPr>
      </xdr:nvCxnSpPr>
      <xdr:spPr>
        <a:xfrm flipV="1">
          <a:off x="1980699" y="4697329"/>
          <a:ext cx="1092367" cy="4190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646697</xdr:colOff>
      <xdr:row>23</xdr:row>
      <xdr:rowOff>20052</xdr:rowOff>
    </xdr:from>
    <xdr:to>
      <xdr:col>4</xdr:col>
      <xdr:colOff>200025</xdr:colOff>
      <xdr:row>23</xdr:row>
      <xdr:rowOff>65294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3BBDE74C-5D17-47B2-9277-9C02B90AA828}"/>
            </a:ext>
          </a:extLst>
        </xdr:cNvPr>
        <xdr:cNvCxnSpPr>
          <a:stCxn id="38" idx="1"/>
        </xdr:cNvCxnSpPr>
      </xdr:nvCxnSpPr>
      <xdr:spPr>
        <a:xfrm flipH="1" flipV="1">
          <a:off x="6677526" y="4612105"/>
          <a:ext cx="1047249" cy="4524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19</xdr:row>
      <xdr:rowOff>152400</xdr:rowOff>
    </xdr:from>
    <xdr:to>
      <xdr:col>6</xdr:col>
      <xdr:colOff>57149</xdr:colOff>
      <xdr:row>19</xdr:row>
      <xdr:rowOff>155782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FCE879E-E29F-4336-9314-33C9F9CA1943}"/>
            </a:ext>
          </a:extLst>
        </xdr:cNvPr>
        <xdr:cNvCxnSpPr>
          <a:stCxn id="46" idx="1"/>
        </xdr:cNvCxnSpPr>
      </xdr:nvCxnSpPr>
      <xdr:spPr>
        <a:xfrm flipH="1" flipV="1">
          <a:off x="9119821" y="3984381"/>
          <a:ext cx="696790" cy="338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381001</xdr:colOff>
      <xdr:row>21</xdr:row>
      <xdr:rowOff>95250</xdr:rowOff>
    </xdr:from>
    <xdr:to>
      <xdr:col>6</xdr:col>
      <xdr:colOff>57149</xdr:colOff>
      <xdr:row>21</xdr:row>
      <xdr:rowOff>98632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397847B-2164-483F-860D-654FA640D923}"/>
            </a:ext>
          </a:extLst>
        </xdr:cNvPr>
        <xdr:cNvCxnSpPr>
          <a:stCxn id="42" idx="1"/>
        </xdr:cNvCxnSpPr>
      </xdr:nvCxnSpPr>
      <xdr:spPr>
        <a:xfrm flipH="1" flipV="1">
          <a:off x="9129347" y="4308231"/>
          <a:ext cx="687264" cy="338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710711</xdr:colOff>
      <xdr:row>22</xdr:row>
      <xdr:rowOff>14654</xdr:rowOff>
    </xdr:from>
    <xdr:to>
      <xdr:col>6</xdr:col>
      <xdr:colOff>713276</xdr:colOff>
      <xdr:row>23</xdr:row>
      <xdr:rowOff>102671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B201B0F5-5620-4D0F-AC03-2E915CBED093}"/>
            </a:ext>
          </a:extLst>
        </xdr:cNvPr>
        <xdr:cNvCxnSpPr>
          <a:stCxn id="52" idx="0"/>
        </xdr:cNvCxnSpPr>
      </xdr:nvCxnSpPr>
      <xdr:spPr>
        <a:xfrm flipH="1" flipV="1">
          <a:off x="10470173" y="4418135"/>
          <a:ext cx="2565" cy="27851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1016977</xdr:colOff>
      <xdr:row>22</xdr:row>
      <xdr:rowOff>9525</xdr:rowOff>
    </xdr:from>
    <xdr:to>
      <xdr:col>7</xdr:col>
      <xdr:colOff>1016978</xdr:colOff>
      <xdr:row>23</xdr:row>
      <xdr:rowOff>102671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523C9FD2-6DB7-4192-A7DF-59858EEECA32}"/>
            </a:ext>
          </a:extLst>
        </xdr:cNvPr>
        <xdr:cNvCxnSpPr>
          <a:stCxn id="56" idx="0"/>
          <a:endCxn id="42" idx="2"/>
        </xdr:cNvCxnSpPr>
      </xdr:nvCxnSpPr>
      <xdr:spPr>
        <a:xfrm flipH="1" flipV="1">
          <a:off x="12022015" y="4413006"/>
          <a:ext cx="1" cy="28364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249115</xdr:colOff>
      <xdr:row>22</xdr:row>
      <xdr:rowOff>14654</xdr:rowOff>
    </xdr:from>
    <xdr:to>
      <xdr:col>9</xdr:col>
      <xdr:colOff>251680</xdr:colOff>
      <xdr:row>23</xdr:row>
      <xdr:rowOff>102671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79930C30-A52D-41C5-B178-1686755F0374}"/>
            </a:ext>
          </a:extLst>
        </xdr:cNvPr>
        <xdr:cNvCxnSpPr/>
      </xdr:nvCxnSpPr>
      <xdr:spPr>
        <a:xfrm flipH="1" flipV="1">
          <a:off x="13562134" y="4418135"/>
          <a:ext cx="2565" cy="27851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1003788</xdr:colOff>
      <xdr:row>17</xdr:row>
      <xdr:rowOff>161192</xdr:rowOff>
    </xdr:from>
    <xdr:to>
      <xdr:col>7</xdr:col>
      <xdr:colOff>1006353</xdr:colOff>
      <xdr:row>19</xdr:row>
      <xdr:rowOff>58709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EA9271D8-3EDF-48CB-AEF9-0C99856E037D}"/>
            </a:ext>
          </a:extLst>
        </xdr:cNvPr>
        <xdr:cNvCxnSpPr/>
      </xdr:nvCxnSpPr>
      <xdr:spPr>
        <a:xfrm flipH="1" flipV="1">
          <a:off x="12008826" y="3612173"/>
          <a:ext cx="2565" cy="27851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898647</xdr:colOff>
      <xdr:row>16</xdr:row>
      <xdr:rowOff>188867</xdr:rowOff>
    </xdr:from>
    <xdr:to>
      <xdr:col>4</xdr:col>
      <xdr:colOff>903410</xdr:colOff>
      <xdr:row>18</xdr:row>
      <xdr:rowOff>149638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256E0EE1-7A0B-40E6-945A-1A438FF0DA2D}"/>
            </a:ext>
          </a:extLst>
        </xdr:cNvPr>
        <xdr:cNvCxnSpPr>
          <a:stCxn id="38" idx="0"/>
          <a:endCxn id="74" idx="1"/>
        </xdr:cNvCxnSpPr>
      </xdr:nvCxnSpPr>
      <xdr:spPr>
        <a:xfrm flipH="1" flipV="1">
          <a:off x="8430724" y="3449348"/>
          <a:ext cx="4763" cy="3417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1838326</xdr:colOff>
      <xdr:row>10</xdr:row>
      <xdr:rowOff>12907</xdr:rowOff>
    </xdr:from>
    <xdr:to>
      <xdr:col>3</xdr:col>
      <xdr:colOff>1287648</xdr:colOff>
      <xdr:row>12</xdr:row>
      <xdr:rowOff>185738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4D8ACFEC-A8DC-4274-AF7C-27DE82B3CEF4}"/>
            </a:ext>
          </a:extLst>
        </xdr:cNvPr>
        <xdr:cNvCxnSpPr>
          <a:stCxn id="76" idx="3"/>
          <a:endCxn id="74" idx="2"/>
        </xdr:cNvCxnSpPr>
      </xdr:nvCxnSpPr>
      <xdr:spPr>
        <a:xfrm>
          <a:off x="5758230" y="2130388"/>
          <a:ext cx="1566803" cy="55383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1838326</xdr:colOff>
      <xdr:row>12</xdr:row>
      <xdr:rowOff>22432</xdr:rowOff>
    </xdr:from>
    <xdr:to>
      <xdr:col>3</xdr:col>
      <xdr:colOff>1287648</xdr:colOff>
      <xdr:row>12</xdr:row>
      <xdr:rowOff>185738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C6EAD0B6-5D61-47D2-A23D-183B6ABFC8A1}"/>
            </a:ext>
          </a:extLst>
        </xdr:cNvPr>
        <xdr:cNvCxnSpPr>
          <a:stCxn id="87" idx="3"/>
          <a:endCxn id="74" idx="2"/>
        </xdr:cNvCxnSpPr>
      </xdr:nvCxnSpPr>
      <xdr:spPr>
        <a:xfrm>
          <a:off x="5758230" y="2520913"/>
          <a:ext cx="1566803" cy="1633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1838326</xdr:colOff>
      <xdr:row>12</xdr:row>
      <xdr:rowOff>185738</xdr:rowOff>
    </xdr:from>
    <xdr:to>
      <xdr:col>3</xdr:col>
      <xdr:colOff>1287648</xdr:colOff>
      <xdr:row>14</xdr:row>
      <xdr:rowOff>22432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630A2FD-61B6-4907-ADC8-6A4034A8FEC5}"/>
            </a:ext>
          </a:extLst>
        </xdr:cNvPr>
        <xdr:cNvCxnSpPr>
          <a:stCxn id="90" idx="3"/>
          <a:endCxn id="74" idx="2"/>
        </xdr:cNvCxnSpPr>
      </xdr:nvCxnSpPr>
      <xdr:spPr>
        <a:xfrm flipV="1">
          <a:off x="5758230" y="2684219"/>
          <a:ext cx="1566803" cy="21769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1838326</xdr:colOff>
      <xdr:row>12</xdr:row>
      <xdr:rowOff>185738</xdr:rowOff>
    </xdr:from>
    <xdr:to>
      <xdr:col>3</xdr:col>
      <xdr:colOff>1287648</xdr:colOff>
      <xdr:row>16</xdr:row>
      <xdr:rowOff>22432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A2F5755E-FB0F-44E9-A16E-8C931185CF3D}"/>
            </a:ext>
          </a:extLst>
        </xdr:cNvPr>
        <xdr:cNvCxnSpPr>
          <a:stCxn id="93" idx="3"/>
          <a:endCxn id="74" idx="2"/>
        </xdr:cNvCxnSpPr>
      </xdr:nvCxnSpPr>
      <xdr:spPr>
        <a:xfrm flipV="1">
          <a:off x="5758230" y="2684219"/>
          <a:ext cx="1566803" cy="59869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750643</xdr:colOff>
      <xdr:row>11</xdr:row>
      <xdr:rowOff>104775</xdr:rowOff>
    </xdr:from>
    <xdr:to>
      <xdr:col>6</xdr:col>
      <xdr:colOff>1121019</xdr:colOff>
      <xdr:row>13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9198E565-103C-40BF-97B8-CCF41E944E58}"/>
            </a:ext>
          </a:extLst>
        </xdr:cNvPr>
        <xdr:cNvCxnSpPr>
          <a:stCxn id="69" idx="2"/>
        </xdr:cNvCxnSpPr>
      </xdr:nvCxnSpPr>
      <xdr:spPr>
        <a:xfrm>
          <a:off x="10510105" y="2412756"/>
          <a:ext cx="370376" cy="276225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754674</xdr:colOff>
      <xdr:row>9</xdr:row>
      <xdr:rowOff>123825</xdr:rowOff>
    </xdr:from>
    <xdr:to>
      <xdr:col>7</xdr:col>
      <xdr:colOff>762000</xdr:colOff>
      <xdr:row>11</xdr:row>
      <xdr:rowOff>117231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3EA6C56-8383-4D7B-9D18-63ABF3B04B5E}"/>
            </a:ext>
          </a:extLst>
        </xdr:cNvPr>
        <xdr:cNvCxnSpPr>
          <a:stCxn id="70" idx="2"/>
        </xdr:cNvCxnSpPr>
      </xdr:nvCxnSpPr>
      <xdr:spPr>
        <a:xfrm>
          <a:off x="11759712" y="2050806"/>
          <a:ext cx="7326" cy="374406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490903</xdr:colOff>
      <xdr:row>11</xdr:row>
      <xdr:rowOff>152400</xdr:rowOff>
    </xdr:from>
    <xdr:to>
      <xdr:col>8</xdr:col>
      <xdr:colOff>780317</xdr:colOff>
      <xdr:row>13</xdr:row>
      <xdr:rowOff>29307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6D3047ED-F11D-4B80-8BD0-75514A0C74B1}"/>
            </a:ext>
          </a:extLst>
        </xdr:cNvPr>
        <xdr:cNvCxnSpPr>
          <a:stCxn id="71" idx="2"/>
        </xdr:cNvCxnSpPr>
      </xdr:nvCxnSpPr>
      <xdr:spPr>
        <a:xfrm flipH="1">
          <a:off x="12726865" y="2460381"/>
          <a:ext cx="289414" cy="257907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491490</xdr:colOff>
      <xdr:row>13</xdr:row>
      <xdr:rowOff>30481</xdr:rowOff>
    </xdr:from>
    <xdr:to>
      <xdr:col>8</xdr:col>
      <xdr:colOff>617220</xdr:colOff>
      <xdr:row>13</xdr:row>
      <xdr:rowOff>68580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E26F9773-8D53-4AB6-9744-54F9990AE232}"/>
            </a:ext>
          </a:extLst>
        </xdr:cNvPr>
        <xdr:cNvCxnSpPr/>
      </xdr:nvCxnSpPr>
      <xdr:spPr>
        <a:xfrm flipH="1" flipV="1">
          <a:off x="12729210" y="2720341"/>
          <a:ext cx="125730" cy="38099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263769</xdr:colOff>
      <xdr:row>13</xdr:row>
      <xdr:rowOff>73269</xdr:rowOff>
    </xdr:from>
    <xdr:to>
      <xdr:col>8</xdr:col>
      <xdr:colOff>615461</xdr:colOff>
      <xdr:row>14</xdr:row>
      <xdr:rowOff>161192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CD968397-A19F-42D7-9CC8-1C7EE2942759}"/>
            </a:ext>
          </a:extLst>
        </xdr:cNvPr>
        <xdr:cNvCxnSpPr/>
      </xdr:nvCxnSpPr>
      <xdr:spPr>
        <a:xfrm flipH="1">
          <a:off x="12499731" y="2762250"/>
          <a:ext cx="351692" cy="278423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758190</xdr:colOff>
      <xdr:row>11</xdr:row>
      <xdr:rowOff>53340</xdr:rowOff>
    </xdr:from>
    <xdr:to>
      <xdr:col>7</xdr:col>
      <xdr:colOff>845820</xdr:colOff>
      <xdr:row>11</xdr:row>
      <xdr:rowOff>118112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56116DBD-31E2-49CD-9664-F273A754C5C7}"/>
            </a:ext>
          </a:extLst>
        </xdr:cNvPr>
        <xdr:cNvCxnSpPr/>
      </xdr:nvCxnSpPr>
      <xdr:spPr>
        <a:xfrm flipH="1">
          <a:off x="11765280" y="2362200"/>
          <a:ext cx="87630" cy="64772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811530</xdr:colOff>
      <xdr:row>11</xdr:row>
      <xdr:rowOff>58029</xdr:rowOff>
    </xdr:from>
    <xdr:to>
      <xdr:col>7</xdr:col>
      <xdr:colOff>840251</xdr:colOff>
      <xdr:row>12</xdr:row>
      <xdr:rowOff>156210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F78982E4-D210-4127-9853-F41A2955AC39}"/>
            </a:ext>
          </a:extLst>
        </xdr:cNvPr>
        <xdr:cNvCxnSpPr/>
      </xdr:nvCxnSpPr>
      <xdr:spPr>
        <a:xfrm flipH="1">
          <a:off x="11818620" y="2366889"/>
          <a:ext cx="28721" cy="288681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1116330</xdr:colOff>
      <xdr:row>12</xdr:row>
      <xdr:rowOff>106680</xdr:rowOff>
    </xdr:from>
    <xdr:to>
      <xdr:col>6</xdr:col>
      <xdr:colOff>1116330</xdr:colOff>
      <xdr:row>13</xdr:row>
      <xdr:rowOff>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21B913FD-A3BF-4DC1-B683-7D620520618F}"/>
            </a:ext>
          </a:extLst>
        </xdr:cNvPr>
        <xdr:cNvCxnSpPr/>
      </xdr:nvCxnSpPr>
      <xdr:spPr>
        <a:xfrm>
          <a:off x="10873740" y="2606040"/>
          <a:ext cx="0" cy="83822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1118382</xdr:colOff>
      <xdr:row>12</xdr:row>
      <xdr:rowOff>107559</xdr:rowOff>
    </xdr:from>
    <xdr:to>
      <xdr:col>7</xdr:col>
      <xdr:colOff>220980</xdr:colOff>
      <xdr:row>14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78A3FF9-77B8-4990-A380-DD672BF43DFB}"/>
            </a:ext>
          </a:extLst>
        </xdr:cNvPr>
        <xdr:cNvCxnSpPr/>
      </xdr:nvCxnSpPr>
      <xdr:spPr>
        <a:xfrm>
          <a:off x="10875792" y="2606919"/>
          <a:ext cx="352278" cy="288681"/>
        </a:xfrm>
        <a:prstGeom prst="line">
          <a:avLst/>
        </a:prstGeom>
        <a:ln w="12700">
          <a:solidFill>
            <a:srgbClr val="DBD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847396</xdr:colOff>
      <xdr:row>22</xdr:row>
      <xdr:rowOff>19707</xdr:rowOff>
    </xdr:from>
    <xdr:to>
      <xdr:col>4</xdr:col>
      <xdr:colOff>111672</xdr:colOff>
      <xdr:row>23</xdr:row>
      <xdr:rowOff>59121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B8FDB836-C8D9-4440-AAF2-DDAE4F8DC5FE}"/>
            </a:ext>
          </a:extLst>
        </xdr:cNvPr>
        <xdr:cNvSpPr txBox="1"/>
      </xdr:nvSpPr>
      <xdr:spPr>
        <a:xfrm rot="174231">
          <a:off x="6877706" y="4414345"/>
          <a:ext cx="762000" cy="229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ysClr val="windowText" lastClr="000000"/>
              </a:solidFill>
            </a:rPr>
            <a:t>Trunk</a:t>
          </a:r>
        </a:p>
      </xdr:txBody>
    </xdr:sp>
    <xdr:clientData/>
  </xdr:twoCellAnchor>
  <xdr:twoCellAnchor>
    <xdr:from>
      <xdr:col>1</xdr:col>
      <xdr:colOff>402021</xdr:colOff>
      <xdr:row>23</xdr:row>
      <xdr:rowOff>93282</xdr:rowOff>
    </xdr:from>
    <xdr:to>
      <xdr:col>1</xdr:col>
      <xdr:colOff>1164021</xdr:colOff>
      <xdr:row>24</xdr:row>
      <xdr:rowOff>132696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CC311DA8-7324-4805-A298-1BAB2FDA2B70}"/>
            </a:ext>
          </a:extLst>
        </xdr:cNvPr>
        <xdr:cNvSpPr txBox="1"/>
      </xdr:nvSpPr>
      <xdr:spPr>
        <a:xfrm rot="20434977">
          <a:off x="2201918" y="4678420"/>
          <a:ext cx="762000" cy="229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ysClr val="windowText" lastClr="000000"/>
              </a:solidFill>
            </a:rPr>
            <a:t>Trunk</a:t>
          </a:r>
        </a:p>
      </xdr:txBody>
    </xdr:sp>
    <xdr:clientData/>
  </xdr:twoCellAnchor>
  <xdr:twoCellAnchor>
    <xdr:from>
      <xdr:col>1</xdr:col>
      <xdr:colOff>377057</xdr:colOff>
      <xdr:row>20</xdr:row>
      <xdr:rowOff>153714</xdr:rowOff>
    </xdr:from>
    <xdr:to>
      <xdr:col>1</xdr:col>
      <xdr:colOff>1139057</xdr:colOff>
      <xdr:row>22</xdr:row>
      <xdr:rowOff>2628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EA379F9-E10B-4EC7-B0D0-89D3FA963D83}"/>
            </a:ext>
          </a:extLst>
        </xdr:cNvPr>
        <xdr:cNvSpPr txBox="1"/>
      </xdr:nvSpPr>
      <xdr:spPr>
        <a:xfrm rot="1095468">
          <a:off x="2176954" y="4167352"/>
          <a:ext cx="762000" cy="229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ysClr val="windowText" lastClr="000000"/>
              </a:solidFill>
            </a:rPr>
            <a:t>Trunk</a:t>
          </a:r>
        </a:p>
      </xdr:txBody>
    </xdr:sp>
    <xdr:clientData/>
  </xdr:twoCellAnchor>
  <xdr:twoCellAnchor>
    <xdr:from>
      <xdr:col>1</xdr:col>
      <xdr:colOff>1158395</xdr:colOff>
      <xdr:row>19</xdr:row>
      <xdr:rowOff>27060</xdr:rowOff>
    </xdr:from>
    <xdr:to>
      <xdr:col>2</xdr:col>
      <xdr:colOff>41302</xdr:colOff>
      <xdr:row>24</xdr:row>
      <xdr:rowOff>86178</xdr:rowOff>
    </xdr:to>
    <xdr:sp macro="" textlink="">
      <xdr:nvSpPr>
        <xdr:cNvPr id="150" name="Arc 149">
          <a:extLst>
            <a:ext uri="{FF2B5EF4-FFF2-40B4-BE49-F238E27FC236}">
              <a16:creationId xmlns:a16="http://schemas.microsoft.com/office/drawing/2014/main" id="{E39686B6-F479-4925-8620-7663EF718434}"/>
            </a:ext>
          </a:extLst>
        </xdr:cNvPr>
        <xdr:cNvSpPr/>
      </xdr:nvSpPr>
      <xdr:spPr>
        <a:xfrm rot="11028741">
          <a:off x="2958119" y="3857113"/>
          <a:ext cx="998459" cy="1011618"/>
        </a:xfrm>
        <a:prstGeom prst="arc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1870869</xdr:colOff>
      <xdr:row>21</xdr:row>
      <xdr:rowOff>79770</xdr:rowOff>
    </xdr:from>
    <xdr:to>
      <xdr:col>3</xdr:col>
      <xdr:colOff>726805</xdr:colOff>
      <xdr:row>28</xdr:row>
      <xdr:rowOff>74263</xdr:rowOff>
    </xdr:to>
    <xdr:sp macro="" textlink="">
      <xdr:nvSpPr>
        <xdr:cNvPr id="154" name="Arc 153">
          <a:extLst>
            <a:ext uri="{FF2B5EF4-FFF2-40B4-BE49-F238E27FC236}">
              <a16:creationId xmlns:a16="http://schemas.microsoft.com/office/drawing/2014/main" id="{2C909711-12A1-431C-A5B9-59291A312D0F}"/>
            </a:ext>
          </a:extLst>
        </xdr:cNvPr>
        <xdr:cNvSpPr/>
      </xdr:nvSpPr>
      <xdr:spPr>
        <a:xfrm rot="21304299">
          <a:off x="5786145" y="4290823"/>
          <a:ext cx="971489" cy="1327993"/>
        </a:xfrm>
        <a:prstGeom prst="arc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146198</xdr:colOff>
      <xdr:row>34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8198" cy="6581775"/>
        </a:xfrm>
        <a:prstGeom prst="rect">
          <a:avLst/>
        </a:prstGeom>
      </xdr:spPr>
    </xdr:pic>
    <xdr:clientData/>
  </xdr:twoCellAnchor>
  <xdr:twoCellAnchor editAs="oneCell">
    <xdr:from>
      <xdr:col>20</xdr:col>
      <xdr:colOff>533399</xdr:colOff>
      <xdr:row>0</xdr:row>
      <xdr:rowOff>0</xdr:rowOff>
    </xdr:from>
    <xdr:to>
      <xdr:col>37</xdr:col>
      <xdr:colOff>466724</xdr:colOff>
      <xdr:row>34</xdr:row>
      <xdr:rowOff>86772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725399" y="0"/>
          <a:ext cx="10296525" cy="65637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21</xdr:col>
      <xdr:colOff>3836</xdr:colOff>
      <xdr:row>74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6858000"/>
          <a:ext cx="12805436" cy="7248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9:E249" totalsRowShown="0" headerRowDxfId="42">
  <autoFilter ref="A169:E249" xr:uid="{00000000-0009-0000-0100-000001000000}">
    <filterColumn colId="4">
      <filters>
        <filter val="WiFi Tale (ICE)"/>
        <filter val="WiFi Tale (Telenor)"/>
        <filter val="WiFi Tale (Telia)"/>
      </filters>
    </filterColumn>
  </autoFilter>
  <tableColumns count="5">
    <tableColumn id="1" xr3:uid="{00000000-0010-0000-0000-000001000000}" name="Source"/>
    <tableColumn id="2" xr3:uid="{00000000-0010-0000-0000-000002000000}" name="Destination"/>
    <tableColumn id="3" xr3:uid="{00000000-0010-0000-0000-000003000000}" name="Protocol"/>
    <tableColumn id="4" xr3:uid="{00000000-0010-0000-0000-000004000000}" name="Port" dataDxfId="41"/>
    <tableColumn id="5" xr3:uid="{00000000-0010-0000-0000-000005000000}" name="Applicat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K30" totalsRowShown="0" dataDxfId="1">
  <autoFilter ref="A2:K30" xr:uid="{00000000-0009-0000-0100-000003000000}"/>
  <tableColumns count="11">
    <tableColumn id="1" xr3:uid="{00000000-0010-0000-0200-000001000000}" name="AP Name" dataDxfId="11"/>
    <tableColumn id="2" xr3:uid="{00000000-0010-0000-0200-000002000000}" name="MAC" dataDxfId="10"/>
    <tableColumn id="3" xr3:uid="{00000000-0010-0000-0200-000003000000}" name="MAC ::" dataDxfId="9">
      <calculatedColumnFormula>IF(Table3[[#This Row],[MAC]]&lt;&gt;"",LEFT(B3,2) &amp; (":") &amp; MID(B3,3,2) &amp; (":") &amp; MID(B3,5,2) &amp; (":") &amp; MID(B3,7,2) &amp; (":") &amp; MID(B3,9,2) &amp; (":") &amp; RIGHT(B3,2),"")</calculatedColumnFormula>
    </tableColumn>
    <tableColumn id="4" xr3:uid="{00000000-0010-0000-0200-000004000000}" name="WLC AP-name" dataDxfId="0">
      <calculatedColumnFormula>IF(Table3[[#This Row],[MAC]]&lt;&gt;"",CONCATENATE("AP",UPPER(LEFT(TRIM(B3),4)),"-",UPPER(LEFT(RIGHT(TRIM(B3),8),4)),"-",UPPER(RIGHT(TRIM(B3),4))),"")</calculatedColumnFormula>
    </tableColumn>
    <tableColumn id="5" xr3:uid="{00000000-0010-0000-0200-000005000000}" name="Config ap name" dataDxfId="8">
      <calculatedColumnFormula>IF(AND(Table3[[#This Row],[AP Name]]&lt;&gt;"",Table3[[#This Row],[WLC AP-name]]&lt;&gt;""),CONCATENATE("ap name ",D3," name ",A3),"")</calculatedColumnFormula>
    </tableColumn>
    <tableColumn id="6" xr3:uid="{00000000-0010-0000-0200-000006000000}" name="Config primary wlc" dataDxfId="7">
      <calculatedColumnFormula>IF(Table3[[#This Row],[AP Name]]&lt;&gt;"",CONCATENATE("ap name ",A3," controller primary ",Design!$B$32," ",Design!$B$37),"")</calculatedColumnFormula>
    </tableColumn>
    <tableColumn id="7" xr3:uid="{00000000-0010-0000-0200-000007000000}" name="Config secondary wlc" dataDxfId="6">
      <calculatedColumnFormula>IF(Table3[[#This Row],[AP Name]]&lt;&gt;"",CONCATENATE("ap name ",A3," controller secondary ",Design!$C$32," ",Design!$C$37),"")</calculatedColumnFormula>
    </tableColumn>
    <tableColumn id="8" xr3:uid="{8641635A-6A3A-481D-A36B-D76BED8DB15D}" name="Ch. 5" dataDxfId="5"/>
    <tableColumn id="9" xr3:uid="{74586AE9-2AB2-4050-A7F0-392530F0524D}" name="Ch. 2.4" dataDxfId="4"/>
    <tableColumn id="10" xr3:uid="{6318CD54-A99C-4FD1-AF29-A0018B72C2D9}" name="Ch. config 5" dataDxfId="3">
      <calculatedColumnFormula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calculatedColumnFormula>
    </tableColumn>
    <tableColumn id="11" xr3:uid="{835231C7-B1F5-4077-81F3-6F118E14225C}" name="Ch. config 2.4" dataDxfId="2">
      <calculatedColumnFormula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24" totalsRowShown="0" headerRowDxfId="40" dataDxfId="39">
  <autoFilter ref="A1:C24" xr:uid="{00000000-0009-0000-0100-000004000000}"/>
  <tableColumns count="3">
    <tableColumn id="1" xr3:uid="{00000000-0010-0000-0300-000001000000}" name="AP names (sorted)" dataDxfId="38"/>
    <tableColumn id="2" xr3:uid="{00000000-0010-0000-0300-000002000000}" name="Prefix" dataDxfId="37">
      <calculatedColumnFormula>LEFT(A2,FIND("-",A2)-1)</calculatedColumnFormula>
    </tableColumn>
    <tableColumn id="3" xr3:uid="{00000000-0010-0000-0300-000003000000}" name="Unique prefix" dataDxfId="36">
      <calculatedColumnFormula>IF(B2&lt;&gt;B1,B2,"")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F1:I105" totalsRowShown="0" headerRowDxfId="35" dataDxfId="34">
  <autoFilter ref="F1:I105" xr:uid="{00000000-0009-0000-0100-000005000000}"/>
  <tableColumns count="4">
    <tableColumn id="1" xr3:uid="{00000000-0010-0000-0400-000001000000}" name="Seq no" dataDxfId="33"/>
    <tableColumn id="2" xr3:uid="{00000000-0010-0000-0400-000002000000}" name="Filter" dataDxfId="32">
      <calculatedColumnFormula array="1">INDEX(Table4[Unique prefix],SMALL(IF(Table4[Unique prefix]&lt;&gt;"",ROW(Table4[Unique prefix])-ROW(INDEX(Table4[Unique prefix],1,1))+1),ROWS($G$2:G2)))</calculatedColumnFormula>
    </tableColumn>
    <tableColumn id="3" xr3:uid="{00000000-0010-0000-0400-000003000000}" name="Local" dataDxfId="31">
      <calculatedColumnFormula>IF(ISERROR(G2),"","wireless tag site "&amp;G2&amp;CHAR(10)&amp;" ap-profile "&amp;Design!A115&amp;CHAR(10)&amp;" description "&amp;G2&amp;CHAR(10)&amp;"ap filter name "&amp;G2&amp;CHAR(10)&amp;" ap name-regex "&amp;G2&amp;CHAR(10)&amp;" tag policy "&amp;Design!A122&amp;CHAR(10)&amp;" tag rf "&amp;Design!A127&amp;CHAR(10)&amp;" tag site "&amp;G2&amp;CHAR(10)&amp;"ap filter priority "&amp;F2&amp;" filter-name "&amp;G2)</calculatedColumnFormula>
    </tableColumn>
    <tableColumn id="4" xr3:uid="{00000000-0010-0000-0400-000004000000}" name="Flex" dataDxfId="30">
      <calculatedColumnFormula>IF(ISERROR(G2),"","wireless tag site "&amp;G2&amp;CHAR(10)&amp;" ap-profile "&amp;Design!A115&amp;CHAR(10)&amp;" description "&amp;G2&amp;CHAR(10)&amp;" no local-site"&amp;CHAR(10)&amp;" flex-profile "&amp;Design!A118&amp;CHAR(10)&amp;"ap filter name "&amp;G2&amp;CHAR(10)&amp;" ap name-regex "&amp;G2&amp;CHAR(10)&amp;" tag policy "&amp;Design!A122&amp;CHAR(10)&amp;" tag rf "&amp;Design!A127&amp;CHAR(10)&amp;" tag site "&amp;G2&amp;CHAR(10)&amp;"ap filter priority "&amp;F2&amp;" filter-name "&amp;G2)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0206D5-CA0D-48FF-AC5D-7C0D18990A7A}" name="Table6" displayName="Table6" ref="A1:M13" totalsRowShown="0" dataDxfId="29">
  <autoFilter ref="A1:M13" xr:uid="{480206D5-CA0D-48FF-AC5D-7C0D18990A7A}"/>
  <tableColumns count="13">
    <tableColumn id="1" xr3:uid="{CB3AAB32-59D9-4C43-B574-A957E952F729}" name="Sub.ID" dataDxfId="28"/>
    <tableColumn id="2" xr3:uid="{AA086857-463B-46CB-8BEF-E3C821BD1252}" name="WLC IP" dataDxfId="27">
      <calculatedColumnFormula>Design!$B$37</calculatedColumnFormula>
    </tableColumn>
    <tableColumn id="3" xr3:uid="{2D9CDB97-DE96-4F61-AF5E-9151B8C97690}" name="Period (sec)" dataDxfId="26"/>
    <tableColumn id="4" xr3:uid="{DA89D229-F608-4FDC-80A1-A87B716A3620}" name="Receiver" dataDxfId="25"/>
    <tableColumn id="5" xr3:uid="{412CEFAF-0A89-4F51-B6E8-1B6054F82048}" name="Port" dataDxfId="24"/>
    <tableColumn id="6" xr3:uid="{F9E46DAA-8E33-441D-A144-27B1D74440AA}" name="Module" dataDxfId="23"/>
    <tableColumn id="7" xr3:uid="{342B5405-72D2-4B59-868B-E83EA2C8A7CF}" name="Xpath" dataDxfId="22"/>
    <tableColumn id="8" xr3:uid="{B419A454-E4B7-427C-A6FC-D831793CE791}" name="Prefix" dataDxfId="21"/>
    <tableColumn id="9" xr3:uid="{9CD09A1B-B8C9-4E40-B203-A73A13EB1D0C}" name="Description" dataDxfId="20"/>
    <tableColumn id="10" xr3:uid="{7DFDBECD-E1AB-4518-8078-60CE658247BE}" name="Compatibility notes" dataDxfId="19"/>
    <tableColumn id="11" xr3:uid="{0E3F98F0-5939-42BF-A405-0494876AC371}" name="RESTCONF path" dataDxfId="18">
      <calculatedColumnFormula>"https://"&amp;Table6[[#This Row],[WLC IP]]&amp;"/restconf/data/"&amp;Table6[[#This Row],[Module]]&amp;":"&amp;RIGHT(Table6[[#This Row],[Xpath]],LEN(Table6[[#This Row],[Xpath]])-1)</calculatedColumnFormula>
    </tableColumn>
    <tableColumn id="12" xr3:uid="{01D7F5F4-B1DD-4DC4-AF77-9E3A5F4CE35D}" name="9800 Telemetry config" dataDxfId="17">
      <calculatedColumnFormula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calculatedColumnFormula>
    </tableColumn>
    <tableColumn id="13" xr3:uid="{B1993824-6ECF-4457-B0BB-7270DB3081CE}" name="Notater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naspaces.eu/setup/wirelessnetwor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49"/>
  <sheetViews>
    <sheetView tabSelected="1" zoomScaleNormal="100" workbookViewId="0">
      <pane ySplit="5" topLeftCell="A6" activePane="bottomLeft" state="frozen"/>
      <selection activeCell="A310" sqref="A310"/>
      <selection pane="bottomLeft" activeCell="A95" sqref="A95:XFD95"/>
    </sheetView>
  </sheetViews>
  <sheetFormatPr defaultRowHeight="15" outlineLevelRow="1" x14ac:dyDescent="0.25"/>
  <cols>
    <col min="1" max="1" width="30.28515625" customWidth="1"/>
    <col min="2" max="2" width="33" customWidth="1"/>
    <col min="3" max="3" width="31.7109375" customWidth="1"/>
    <col min="4" max="4" width="25.85546875" customWidth="1"/>
    <col min="5" max="5" width="22" customWidth="1"/>
    <col min="6" max="6" width="26.42578125" bestFit="1" customWidth="1"/>
    <col min="7" max="7" width="18.7109375" bestFit="1" customWidth="1"/>
    <col min="8" max="8" width="18.42578125" customWidth="1"/>
    <col min="9" max="9" width="16.140625" bestFit="1" customWidth="1"/>
    <col min="10" max="10" width="16.5703125" bestFit="1" customWidth="1"/>
    <col min="11" max="11" width="16" bestFit="1" customWidth="1"/>
    <col min="12" max="12" width="15.42578125" bestFit="1" customWidth="1"/>
    <col min="13" max="13" width="16.42578125" bestFit="1" customWidth="1"/>
    <col min="14" max="14" width="20" bestFit="1" customWidth="1"/>
    <col min="15" max="15" width="17" bestFit="1" customWidth="1"/>
    <col min="16" max="16" width="14.7109375" bestFit="1" customWidth="1"/>
    <col min="17" max="17" width="26.5703125" bestFit="1" customWidth="1"/>
    <col min="18" max="18" width="13.28515625" bestFit="1" customWidth="1"/>
    <col min="19" max="19" width="9.85546875" bestFit="1" customWidth="1"/>
  </cols>
  <sheetData>
    <row r="1" spans="1:3" s="69" customFormat="1" ht="29.25" thickBot="1" x14ac:dyDescent="0.5">
      <c r="A1" s="70" t="str">
        <f>"WLC9800 design - "&amp;B2&amp;" ("&amp;TEXT(B4,"DD.mm.åååå")&amp;")"</f>
        <v>WLC9800 design - CustomerName (04.05.2025)</v>
      </c>
    </row>
    <row r="2" spans="1:3" x14ac:dyDescent="0.25">
      <c r="A2" s="4" t="s">
        <v>0</v>
      </c>
      <c r="B2" s="81" t="s">
        <v>331</v>
      </c>
      <c r="C2" s="82"/>
    </row>
    <row r="3" spans="1:3" x14ac:dyDescent="0.25">
      <c r="A3" s="3" t="s">
        <v>1</v>
      </c>
      <c r="B3" s="83" t="s">
        <v>629</v>
      </c>
      <c r="C3" s="84"/>
    </row>
    <row r="4" spans="1:3" ht="15.75" thickBot="1" x14ac:dyDescent="0.3">
      <c r="A4" s="2" t="s">
        <v>2</v>
      </c>
      <c r="B4" s="85">
        <v>45781</v>
      </c>
      <c r="C4" s="86"/>
    </row>
    <row r="5" spans="1:3" s="44" customFormat="1" ht="15.75" thickBot="1" x14ac:dyDescent="0.3"/>
    <row r="6" spans="1:3" collapsed="1" x14ac:dyDescent="0.25"/>
    <row r="7" spans="1:3" s="18" customFormat="1" ht="18.75" x14ac:dyDescent="0.3">
      <c r="A7" s="17" t="s">
        <v>3</v>
      </c>
    </row>
    <row r="8" spans="1:3" hidden="1" outlineLevel="1" x14ac:dyDescent="0.25"/>
    <row r="9" spans="1:3" hidden="1" outlineLevel="1" x14ac:dyDescent="0.25"/>
    <row r="10" spans="1:3" hidden="1" outlineLevel="1" x14ac:dyDescent="0.25"/>
    <row r="11" spans="1:3" hidden="1" outlineLevel="1" x14ac:dyDescent="0.25"/>
    <row r="12" spans="1:3" hidden="1" outlineLevel="1" x14ac:dyDescent="0.25"/>
    <row r="13" spans="1:3" hidden="1" outlineLevel="1" x14ac:dyDescent="0.25"/>
    <row r="14" spans="1:3" hidden="1" outlineLevel="1" x14ac:dyDescent="0.25"/>
    <row r="15" spans="1:3" hidden="1" outlineLevel="1" x14ac:dyDescent="0.25"/>
    <row r="16" spans="1:3" hidden="1" outlineLevel="1" x14ac:dyDescent="0.25"/>
    <row r="17" spans="1:3" hidden="1" outlineLevel="1" x14ac:dyDescent="0.25"/>
    <row r="18" spans="1:3" hidden="1" outlineLevel="1" x14ac:dyDescent="0.25"/>
    <row r="19" spans="1:3" hidden="1" outlineLevel="1" x14ac:dyDescent="0.25"/>
    <row r="20" spans="1:3" hidden="1" outlineLevel="1" x14ac:dyDescent="0.25"/>
    <row r="21" spans="1:3" hidden="1" outlineLevel="1" x14ac:dyDescent="0.25"/>
    <row r="22" spans="1:3" hidden="1" outlineLevel="1" x14ac:dyDescent="0.25"/>
    <row r="23" spans="1:3" hidden="1" outlineLevel="1" x14ac:dyDescent="0.25"/>
    <row r="24" spans="1:3" hidden="1" outlineLevel="1" x14ac:dyDescent="0.25"/>
    <row r="25" spans="1:3" hidden="1" outlineLevel="1" x14ac:dyDescent="0.25"/>
    <row r="26" spans="1:3" hidden="1" outlineLevel="1" x14ac:dyDescent="0.25"/>
    <row r="27" spans="1:3" hidden="1" outlineLevel="1" x14ac:dyDescent="0.25"/>
    <row r="28" spans="1:3" hidden="1" outlineLevel="1" x14ac:dyDescent="0.25"/>
    <row r="29" spans="1:3" hidden="1" outlineLevel="1" x14ac:dyDescent="0.25"/>
    <row r="30" spans="1:3" collapsed="1" x14ac:dyDescent="0.25"/>
    <row r="31" spans="1:3" s="16" customFormat="1" ht="18.75" x14ac:dyDescent="0.3">
      <c r="A31" s="15" t="s">
        <v>4</v>
      </c>
    </row>
    <row r="32" spans="1:3" s="20" customFormat="1" outlineLevel="1" x14ac:dyDescent="0.25">
      <c r="A32" s="21" t="s">
        <v>192</v>
      </c>
      <c r="B32" s="62" t="s">
        <v>5</v>
      </c>
      <c r="C32" s="62" t="s">
        <v>6</v>
      </c>
    </row>
    <row r="33" spans="1:3" outlineLevel="1" x14ac:dyDescent="0.25">
      <c r="A33" s="1" t="s">
        <v>698</v>
      </c>
      <c r="B33" s="63" t="str">
        <f>B32</f>
        <v>wlc1</v>
      </c>
      <c r="C33" s="63" t="str">
        <f>C32</f>
        <v>wlc2</v>
      </c>
    </row>
    <row r="34" spans="1:3" outlineLevel="1" x14ac:dyDescent="0.25">
      <c r="A34" s="1" t="s">
        <v>635</v>
      </c>
      <c r="B34" s="63">
        <v>1</v>
      </c>
      <c r="C34" s="63">
        <v>2</v>
      </c>
    </row>
    <row r="35" spans="1:3" outlineLevel="1" x14ac:dyDescent="0.25">
      <c r="A35" s="1" t="s">
        <v>341</v>
      </c>
      <c r="B35" s="63">
        <v>2</v>
      </c>
      <c r="C35" s="63">
        <v>1</v>
      </c>
    </row>
    <row r="36" spans="1:3" outlineLevel="1" x14ac:dyDescent="0.25">
      <c r="A36" s="1" t="s">
        <v>399</v>
      </c>
      <c r="B36" s="63" t="str">
        <f>"{"&amp;B$32&amp;"-ipv6}"</f>
        <v>{wlc1-ipv6}</v>
      </c>
      <c r="C36" s="63" t="str">
        <f>"{"&amp;C$32&amp;"-ipv6}"</f>
        <v>{wlc2-ipv6}</v>
      </c>
    </row>
    <row r="37" spans="1:3" s="64" customFormat="1" outlineLevel="1" x14ac:dyDescent="0.25">
      <c r="A37" s="65" t="s">
        <v>400</v>
      </c>
      <c r="B37" s="63" t="str">
        <f>"{"&amp;B$32&amp;"-ipv4}"</f>
        <v>{wlc1-ipv4}</v>
      </c>
      <c r="C37" s="66" t="str">
        <f>"{"&amp;C$32&amp;"-ipv4}"</f>
        <v>{wlc2-ipv4}</v>
      </c>
    </row>
    <row r="38" spans="1:3" outlineLevel="1" x14ac:dyDescent="0.25">
      <c r="A38" s="1" t="s">
        <v>401</v>
      </c>
      <c r="B38" s="63" t="str">
        <f>"{"&amp;B$32&amp;"-netmask}"</f>
        <v>{wlc1-netmask}</v>
      </c>
      <c r="C38" s="63" t="str">
        <f>"{"&amp;C$32&amp;"-netmask}"</f>
        <v>{wlc2-netmask}</v>
      </c>
    </row>
    <row r="39" spans="1:3" outlineLevel="1" x14ac:dyDescent="0.25">
      <c r="A39" s="1" t="s">
        <v>7</v>
      </c>
      <c r="B39" s="63" t="str">
        <f>"{"&amp;B$32&amp;"-mgmt-gw-v6}"</f>
        <v>{wlc1-mgmt-gw-v6}</v>
      </c>
      <c r="C39" s="63" t="str">
        <f>"{"&amp;C$32&amp;"-mgmt-gw-v6}"</f>
        <v>{wlc2-mgmt-gw-v6}</v>
      </c>
    </row>
    <row r="40" spans="1:3" outlineLevel="1" x14ac:dyDescent="0.25">
      <c r="A40" s="1" t="s">
        <v>8</v>
      </c>
      <c r="B40" s="63" t="str">
        <f>"{"&amp;B$32&amp;"-mgmt-gw-v4}"</f>
        <v>{wlc1-mgmt-gw-v4}</v>
      </c>
      <c r="C40" s="63" t="str">
        <f>"{"&amp;C$32&amp;"-mgmt-gw-v4}"</f>
        <v>{wlc2-mgmt-gw-v4}</v>
      </c>
    </row>
    <row r="41" spans="1:3" outlineLevel="1" x14ac:dyDescent="0.25">
      <c r="A41" s="1" t="s">
        <v>604</v>
      </c>
      <c r="B41" s="87" t="s">
        <v>699</v>
      </c>
      <c r="C41" s="88"/>
    </row>
    <row r="42" spans="1:3" outlineLevel="1" x14ac:dyDescent="0.25">
      <c r="A42" s="1" t="s">
        <v>605</v>
      </c>
      <c r="B42" s="63" t="s">
        <v>606</v>
      </c>
      <c r="C42" s="63" t="s">
        <v>606</v>
      </c>
    </row>
    <row r="43" spans="1:3" outlineLevel="1" x14ac:dyDescent="0.25">
      <c r="A43" s="1" t="s">
        <v>9</v>
      </c>
      <c r="B43" s="63" t="str">
        <f>"{"&amp;B$32&amp;"-redundancy-mgmt-ipv4}"</f>
        <v>{wlc1-redundancy-mgmt-ipv4}</v>
      </c>
      <c r="C43" s="63" t="str">
        <f>"{"&amp;C$32&amp;"-redundancy-mgmt-ipv4}"</f>
        <v>{wlc2-redundancy-mgmt-ipv4}</v>
      </c>
    </row>
    <row r="44" spans="1:3" outlineLevel="1" x14ac:dyDescent="0.25">
      <c r="A44" s="1" t="s">
        <v>374</v>
      </c>
      <c r="B44" s="63" t="s">
        <v>403</v>
      </c>
      <c r="C44" s="63" t="s">
        <v>403</v>
      </c>
    </row>
    <row r="45" spans="1:3" outlineLevel="1" x14ac:dyDescent="0.25">
      <c r="A45" s="1" t="s">
        <v>427</v>
      </c>
      <c r="B45" s="63" t="s">
        <v>402</v>
      </c>
      <c r="C45" s="63" t="s">
        <v>402</v>
      </c>
    </row>
    <row r="46" spans="1:3" outlineLevel="1" x14ac:dyDescent="0.25">
      <c r="A46" s="1" t="s">
        <v>10</v>
      </c>
      <c r="B46" s="63" t="str">
        <f>B$32&amp;"."&amp;LOWER($B$2)&amp;".no"</f>
        <v>wlc1.customername.no</v>
      </c>
      <c r="C46" s="63" t="str">
        <f>C$32&amp;"."&amp;LOWER($B$2)&amp;".no"</f>
        <v>wlc2.customername.no</v>
      </c>
    </row>
    <row r="47" spans="1:3" outlineLevel="1" x14ac:dyDescent="0.25">
      <c r="A47" s="1" t="s">
        <v>11</v>
      </c>
      <c r="B47" s="87" t="s">
        <v>12</v>
      </c>
      <c r="C47" s="88"/>
    </row>
    <row r="48" spans="1:3" outlineLevel="1" x14ac:dyDescent="0.25">
      <c r="A48" s="1" t="s">
        <v>13</v>
      </c>
      <c r="B48" s="87" t="s">
        <v>14</v>
      </c>
      <c r="C48" s="88"/>
    </row>
    <row r="49" spans="1:3" outlineLevel="1" x14ac:dyDescent="0.25">
      <c r="A49" s="1" t="s">
        <v>15</v>
      </c>
      <c r="B49" s="63" t="s">
        <v>363</v>
      </c>
      <c r="C49" s="63" t="s">
        <v>363</v>
      </c>
    </row>
    <row r="50" spans="1:3" outlineLevel="1" x14ac:dyDescent="0.25">
      <c r="A50" s="1" t="s">
        <v>16</v>
      </c>
      <c r="B50" s="63"/>
      <c r="C50" s="63"/>
    </row>
    <row r="51" spans="1:3" outlineLevel="1" x14ac:dyDescent="0.25">
      <c r="A51" s="1" t="s">
        <v>17</v>
      </c>
      <c r="B51" s="87"/>
      <c r="C51" s="88"/>
    </row>
    <row r="52" spans="1:3" outlineLevel="1" x14ac:dyDescent="0.25">
      <c r="A52" s="1" t="s">
        <v>18</v>
      </c>
      <c r="B52" s="87" t="s">
        <v>404</v>
      </c>
      <c r="C52" s="88"/>
    </row>
    <row r="53" spans="1:3" outlineLevel="1" x14ac:dyDescent="0.25">
      <c r="A53" s="1" t="s">
        <v>323</v>
      </c>
      <c r="B53" s="87" t="s">
        <v>324</v>
      </c>
      <c r="C53" s="88"/>
    </row>
    <row r="54" spans="1:3" outlineLevel="1" x14ac:dyDescent="0.25">
      <c r="A54" s="1" t="s">
        <v>19</v>
      </c>
      <c r="B54" s="63" t="s">
        <v>20</v>
      </c>
      <c r="C54" s="63" t="s">
        <v>20</v>
      </c>
    </row>
    <row r="55" spans="1:3" outlineLevel="1" x14ac:dyDescent="0.25">
      <c r="A55" s="1" t="s">
        <v>21</v>
      </c>
      <c r="B55" s="63" t="s">
        <v>22</v>
      </c>
      <c r="C55" s="63" t="s">
        <v>23</v>
      </c>
    </row>
    <row r="56" spans="1:3" outlineLevel="1" x14ac:dyDescent="0.25">
      <c r="A56" s="1" t="s">
        <v>24</v>
      </c>
      <c r="B56" s="87" t="s">
        <v>25</v>
      </c>
      <c r="C56" s="88"/>
    </row>
    <row r="57" spans="1:3" outlineLevel="1" x14ac:dyDescent="0.25">
      <c r="A57" s="1" t="s">
        <v>26</v>
      </c>
      <c r="B57" s="87" t="str">
        <f>"N/A (or guest-redirect."&amp;LOWER($B$2)&amp;".no)"</f>
        <v>N/A (or guest-redirect.customername.no)</v>
      </c>
      <c r="C57" s="88"/>
    </row>
    <row r="58" spans="1:3" outlineLevel="1" x14ac:dyDescent="0.25">
      <c r="A58" s="1" t="s">
        <v>27</v>
      </c>
      <c r="B58" s="87" t="str">
        <f>LOWER($B$2)</f>
        <v>customername</v>
      </c>
      <c r="C58" s="88"/>
    </row>
    <row r="59" spans="1:3" outlineLevel="1" x14ac:dyDescent="0.25">
      <c r="A59" s="1" t="s">
        <v>405</v>
      </c>
      <c r="B59" s="87"/>
      <c r="C59" s="88"/>
    </row>
    <row r="60" spans="1:3" outlineLevel="1" x14ac:dyDescent="0.25">
      <c r="A60" s="1" t="s">
        <v>636</v>
      </c>
      <c r="B60" s="63" t="s">
        <v>638</v>
      </c>
      <c r="C60" s="63" t="s">
        <v>638</v>
      </c>
    </row>
    <row r="61" spans="1:3" outlineLevel="1" x14ac:dyDescent="0.25">
      <c r="A61" s="1" t="s">
        <v>637</v>
      </c>
      <c r="B61" s="63" t="s">
        <v>638</v>
      </c>
      <c r="C61" s="63" t="s">
        <v>638</v>
      </c>
    </row>
    <row r="62" spans="1:3" outlineLevel="1" x14ac:dyDescent="0.25">
      <c r="A62" s="1" t="s">
        <v>28</v>
      </c>
      <c r="B62" s="87" t="str">
        <f>"CISCO-CAPWAP-CONTROLLER."&amp;LOWER($B$2)&amp;".no: "&amp;$B$37</f>
        <v>CISCO-CAPWAP-CONTROLLER.customername.no: {wlc1-ipv4}</v>
      </c>
      <c r="C62" s="88"/>
    </row>
    <row r="63" spans="1:3" outlineLevel="1" x14ac:dyDescent="0.25">
      <c r="A63" s="1" t="s">
        <v>29</v>
      </c>
      <c r="B63" s="87" t="str">
        <f>IF(B37&lt;&gt;"{wlc1-ipv4}","F104"&amp;DEC2HEX(_xlfn.NUMBERVALUE(LEFT(B$37,SEARCH(".",B$37,1)-1)),2)&amp;DEC2HEX(_xlfn.NUMBERVALUE(MID(B$37,SEARCH(".",B$37,1)+1,SEARCH(".",B$37,SEARCH(".",B$37,1)+1)-SEARCH(".",B$37,1)-1)),2)&amp;DEC2HEX(_xlfn.NUMBERVALUE(MID(B$37,SEARCH(".",B37,SEARCH(".",B37,1)+1)+1,SEARCH(".",B37,SEARCH(".",B37,SEARCH(".",B37,1)+1)+1)-SEARCH(".",B37,SEARCH(".",B37,1)+1)-1)),2)&amp;DEC2HEX(_xlfn.NUMBERVALUE(RIGHT(B37,LEN(B37)-SEARCH(".",B37,SEARCH(".",B37,SEARCH(".",B37,1)+1)+1))),2),"N/A")</f>
        <v>N/A</v>
      </c>
      <c r="C63" s="88"/>
    </row>
    <row r="64" spans="1:3" outlineLevel="1" x14ac:dyDescent="0.25">
      <c r="A64" s="1" t="s">
        <v>30</v>
      </c>
      <c r="B64" s="87" t="s">
        <v>448</v>
      </c>
      <c r="C64" s="88"/>
    </row>
    <row r="65" spans="1:11" outlineLevel="1" x14ac:dyDescent="0.25">
      <c r="A65" s="1" t="s">
        <v>31</v>
      </c>
      <c r="B65" s="87" t="s">
        <v>406</v>
      </c>
      <c r="C65" s="88"/>
    </row>
    <row r="66" spans="1:11" outlineLevel="1" x14ac:dyDescent="0.25">
      <c r="A66" s="1" t="s">
        <v>32</v>
      </c>
      <c r="B66" s="87" t="s">
        <v>33</v>
      </c>
      <c r="C66" s="88"/>
    </row>
    <row r="67" spans="1:11" outlineLevel="1" x14ac:dyDescent="0.25">
      <c r="A67" s="1" t="s">
        <v>34</v>
      </c>
      <c r="B67" s="87" t="s">
        <v>425</v>
      </c>
      <c r="C67" s="88"/>
    </row>
    <row r="68" spans="1:11" outlineLevel="1" x14ac:dyDescent="0.25">
      <c r="A68" s="1" t="s">
        <v>35</v>
      </c>
      <c r="B68" s="87"/>
      <c r="C68" s="88"/>
    </row>
    <row r="69" spans="1:11" outlineLevel="1" x14ac:dyDescent="0.25"/>
    <row r="70" spans="1:11" s="20" customFormat="1" outlineLevel="1" x14ac:dyDescent="0.25">
      <c r="A70" s="21" t="s">
        <v>36</v>
      </c>
      <c r="B70" s="22" t="s">
        <v>37</v>
      </c>
      <c r="C70" s="22" t="s">
        <v>38</v>
      </c>
      <c r="D70" s="22" t="s">
        <v>39</v>
      </c>
      <c r="E70" s="22" t="s">
        <v>40</v>
      </c>
      <c r="F70" s="22" t="s">
        <v>332</v>
      </c>
      <c r="G70" s="22" t="s">
        <v>333</v>
      </c>
      <c r="H70" s="22" t="s">
        <v>41</v>
      </c>
      <c r="I70" s="22" t="s">
        <v>42</v>
      </c>
      <c r="J70" s="22" t="s">
        <v>43</v>
      </c>
      <c r="K70" s="22" t="s">
        <v>44</v>
      </c>
    </row>
    <row r="71" spans="1:11" outlineLevel="1" x14ac:dyDescent="0.25">
      <c r="A71" s="1" t="str">
        <f>LOWER($B$2&amp;"-tacacs-1")</f>
        <v>customername-tacacs-1</v>
      </c>
      <c r="B71" s="1" t="s">
        <v>627</v>
      </c>
      <c r="C71" s="1" t="s">
        <v>45</v>
      </c>
      <c r="D71" s="1" t="s">
        <v>46</v>
      </c>
      <c r="E71" s="1" t="s">
        <v>628</v>
      </c>
      <c r="F71" s="1" t="str">
        <f t="shared" ref="F71:F75" si="0">E71&amp;"-method"</f>
        <v>TACACS-GROUP-method</v>
      </c>
      <c r="G71" s="1" t="s">
        <v>334</v>
      </c>
      <c r="H71" s="1" t="s">
        <v>48</v>
      </c>
      <c r="I71" s="1" t="s">
        <v>49</v>
      </c>
      <c r="J71" s="1" t="s">
        <v>50</v>
      </c>
      <c r="K71" s="1" t="s">
        <v>51</v>
      </c>
    </row>
    <row r="72" spans="1:11" outlineLevel="1" x14ac:dyDescent="0.25">
      <c r="A72" s="1" t="str">
        <f>LOWER($B$2&amp;"-RADIUS-1")</f>
        <v>customername-radius-1</v>
      </c>
      <c r="B72" s="1" t="s">
        <v>566</v>
      </c>
      <c r="C72" s="1" t="s">
        <v>45</v>
      </c>
      <c r="D72" s="1" t="s">
        <v>46</v>
      </c>
      <c r="E72" s="1" t="s">
        <v>47</v>
      </c>
      <c r="F72" s="1" t="str">
        <f t="shared" si="0"/>
        <v>radius-group-method</v>
      </c>
      <c r="G72" s="1" t="s">
        <v>334</v>
      </c>
      <c r="H72" s="1" t="s">
        <v>48</v>
      </c>
      <c r="I72" s="1" t="s">
        <v>49</v>
      </c>
      <c r="J72" s="1" t="s">
        <v>50</v>
      </c>
      <c r="K72" s="1" t="s">
        <v>51</v>
      </c>
    </row>
    <row r="73" spans="1:11" outlineLevel="1" x14ac:dyDescent="0.25">
      <c r="A73" s="1" t="str">
        <f>LOWER($B$2&amp;"-RADIUS-2")</f>
        <v>customername-radius-2</v>
      </c>
      <c r="B73" s="1" t="s">
        <v>567</v>
      </c>
      <c r="C73" s="1" t="s">
        <v>45</v>
      </c>
      <c r="D73" s="1" t="s">
        <v>46</v>
      </c>
      <c r="E73" s="1" t="s">
        <v>47</v>
      </c>
      <c r="F73" s="1" t="str">
        <f t="shared" si="0"/>
        <v>radius-group-method</v>
      </c>
      <c r="G73" s="1" t="s">
        <v>334</v>
      </c>
      <c r="H73" s="1" t="s">
        <v>48</v>
      </c>
      <c r="I73" s="1" t="s">
        <v>49</v>
      </c>
      <c r="J73" s="1" t="s">
        <v>50</v>
      </c>
      <c r="K73" s="1" t="s">
        <v>51</v>
      </c>
    </row>
    <row r="74" spans="1:11" outlineLevel="1" x14ac:dyDescent="0.25">
      <c r="A74" s="1" t="s">
        <v>53</v>
      </c>
      <c r="B74" s="1" t="s">
        <v>54</v>
      </c>
      <c r="C74" s="1" t="s">
        <v>55</v>
      </c>
      <c r="D74" s="1" t="s">
        <v>46</v>
      </c>
      <c r="E74" s="1" t="s">
        <v>56</v>
      </c>
      <c r="F74" s="1" t="str">
        <f t="shared" si="0"/>
        <v>dnaspaces-radius-group-method</v>
      </c>
      <c r="G74" s="1"/>
      <c r="H74" s="1" t="s">
        <v>48</v>
      </c>
      <c r="I74" s="1" t="s">
        <v>49</v>
      </c>
      <c r="J74" s="1" t="s">
        <v>52</v>
      </c>
      <c r="K74" s="1" t="s">
        <v>51</v>
      </c>
    </row>
    <row r="75" spans="1:11" outlineLevel="1" x14ac:dyDescent="0.25">
      <c r="A75" s="1" t="s">
        <v>57</v>
      </c>
      <c r="B75" s="1" t="s">
        <v>58</v>
      </c>
      <c r="C75" s="1" t="s">
        <v>55</v>
      </c>
      <c r="D75" s="1" t="s">
        <v>46</v>
      </c>
      <c r="E75" s="1" t="s">
        <v>56</v>
      </c>
      <c r="F75" s="1" t="str">
        <f t="shared" si="0"/>
        <v>dnaspaces-radius-group-method</v>
      </c>
      <c r="G75" s="1"/>
      <c r="H75" s="1" t="s">
        <v>48</v>
      </c>
      <c r="I75" s="1" t="s">
        <v>49</v>
      </c>
      <c r="J75" s="1" t="s">
        <v>52</v>
      </c>
      <c r="K75" s="1" t="s">
        <v>51</v>
      </c>
    </row>
    <row r="76" spans="1:11" outlineLevel="1" x14ac:dyDescent="0.25"/>
    <row r="77" spans="1:11" s="20" customFormat="1" outlineLevel="1" x14ac:dyDescent="0.25">
      <c r="A77" s="21" t="s">
        <v>59</v>
      </c>
      <c r="B77" s="22" t="s">
        <v>60</v>
      </c>
      <c r="C77" s="22" t="s">
        <v>61</v>
      </c>
      <c r="D77" s="22" t="s">
        <v>62</v>
      </c>
      <c r="E77" s="22" t="s">
        <v>63</v>
      </c>
    </row>
    <row r="78" spans="1:11" outlineLevel="1" x14ac:dyDescent="0.25">
      <c r="A78" s="24" t="s">
        <v>64</v>
      </c>
      <c r="B78" s="25">
        <v>1</v>
      </c>
      <c r="C78" s="24" t="s">
        <v>52</v>
      </c>
      <c r="D78" s="24" t="s">
        <v>65</v>
      </c>
      <c r="E78" s="24" t="s">
        <v>65</v>
      </c>
    </row>
    <row r="79" spans="1:11" outlineLevel="1" x14ac:dyDescent="0.25">
      <c r="A79" s="1" t="s">
        <v>66</v>
      </c>
      <c r="B79" s="19" t="s">
        <v>67</v>
      </c>
      <c r="C79" s="1" t="s">
        <v>68</v>
      </c>
      <c r="D79" s="1" t="s">
        <v>69</v>
      </c>
      <c r="E79" s="1"/>
    </row>
    <row r="80" spans="1:11" outlineLevel="1" x14ac:dyDescent="0.25">
      <c r="A80" s="1" t="s">
        <v>70</v>
      </c>
      <c r="B80" s="19" t="s">
        <v>67</v>
      </c>
      <c r="C80" s="1" t="s">
        <v>68</v>
      </c>
      <c r="D80" s="1"/>
      <c r="E80" s="1"/>
    </row>
    <row r="81" spans="1:6" outlineLevel="1" x14ac:dyDescent="0.25">
      <c r="A81" s="1" t="s">
        <v>71</v>
      </c>
      <c r="B81" s="19" t="s">
        <v>67</v>
      </c>
      <c r="C81" s="1" t="s">
        <v>68</v>
      </c>
      <c r="D81" s="1"/>
      <c r="E81" s="1"/>
    </row>
    <row r="82" spans="1:6" outlineLevel="1" x14ac:dyDescent="0.25">
      <c r="A82" s="1" t="s">
        <v>72</v>
      </c>
      <c r="B82" s="19" t="s">
        <v>67</v>
      </c>
      <c r="C82" s="1" t="s">
        <v>68</v>
      </c>
      <c r="D82" s="1"/>
      <c r="E82" s="1"/>
    </row>
    <row r="83" spans="1:6" outlineLevel="1" x14ac:dyDescent="0.25"/>
    <row r="84" spans="1:6" s="20" customFormat="1" outlineLevel="1" x14ac:dyDescent="0.25">
      <c r="A84" s="21" t="s">
        <v>73</v>
      </c>
      <c r="B84" s="22" t="s">
        <v>74</v>
      </c>
      <c r="C84" s="22" t="s">
        <v>75</v>
      </c>
      <c r="D84" s="22" t="s">
        <v>76</v>
      </c>
      <c r="E84" s="22" t="s">
        <v>77</v>
      </c>
    </row>
    <row r="85" spans="1:6" outlineLevel="1" x14ac:dyDescent="0.25">
      <c r="A85" s="1" t="s">
        <v>78</v>
      </c>
      <c r="B85" s="1" t="s">
        <v>364</v>
      </c>
      <c r="C85" s="1" t="s">
        <v>79</v>
      </c>
      <c r="D85" s="19" t="s">
        <v>533</v>
      </c>
      <c r="E85" s="19"/>
    </row>
    <row r="86" spans="1:6" outlineLevel="1" x14ac:dyDescent="0.25">
      <c r="A86" s="1" t="s">
        <v>539</v>
      </c>
      <c r="B86" s="1" t="s">
        <v>397</v>
      </c>
      <c r="C86" s="1" t="s">
        <v>79</v>
      </c>
      <c r="D86" s="19" t="s">
        <v>533</v>
      </c>
      <c r="E86" s="19"/>
    </row>
    <row r="87" spans="1:6" outlineLevel="1" x14ac:dyDescent="0.25">
      <c r="A87" s="1" t="s">
        <v>368</v>
      </c>
      <c r="B87" s="1" t="s">
        <v>369</v>
      </c>
      <c r="C87" s="1" t="s">
        <v>79</v>
      </c>
      <c r="D87" s="19" t="s">
        <v>533</v>
      </c>
      <c r="E87" s="19"/>
    </row>
    <row r="88" spans="1:6" outlineLevel="1" x14ac:dyDescent="0.25">
      <c r="A88" s="1" t="s">
        <v>366</v>
      </c>
      <c r="B88" s="1" t="s">
        <v>367</v>
      </c>
      <c r="C88" s="1" t="s">
        <v>79</v>
      </c>
      <c r="D88" s="19" t="s">
        <v>533</v>
      </c>
      <c r="E88" s="19"/>
    </row>
    <row r="89" spans="1:6" outlineLevel="1" x14ac:dyDescent="0.25">
      <c r="A89" s="1" t="s">
        <v>371</v>
      </c>
      <c r="B89" s="1" t="s">
        <v>370</v>
      </c>
      <c r="C89" s="1" t="s">
        <v>81</v>
      </c>
      <c r="D89" s="19" t="s">
        <v>65</v>
      </c>
      <c r="E89" s="19" t="s">
        <v>65</v>
      </c>
    </row>
    <row r="90" spans="1:6" outlineLevel="1" x14ac:dyDescent="0.25">
      <c r="A90" s="1" t="s">
        <v>80</v>
      </c>
      <c r="B90" s="1" t="s">
        <v>396</v>
      </c>
      <c r="C90" s="1" t="s">
        <v>81</v>
      </c>
      <c r="D90" s="19" t="s">
        <v>533</v>
      </c>
      <c r="E90" s="19" t="s">
        <v>65</v>
      </c>
      <c r="F90" s="61"/>
    </row>
    <row r="91" spans="1:6" outlineLevel="1" x14ac:dyDescent="0.25">
      <c r="A91" s="1" t="s">
        <v>82</v>
      </c>
      <c r="B91" s="1" t="s">
        <v>365</v>
      </c>
      <c r="C91" s="1" t="s">
        <v>81</v>
      </c>
      <c r="D91" s="19" t="s">
        <v>533</v>
      </c>
      <c r="E91" s="19" t="s">
        <v>65</v>
      </c>
    </row>
    <row r="92" spans="1:6" outlineLevel="1" x14ac:dyDescent="0.25">
      <c r="A92" s="1" t="s">
        <v>372</v>
      </c>
      <c r="B92" s="1" t="s">
        <v>373</v>
      </c>
      <c r="C92" s="1" t="s">
        <v>79</v>
      </c>
      <c r="D92" s="19" t="s">
        <v>533</v>
      </c>
      <c r="E92" s="19"/>
    </row>
    <row r="93" spans="1:6" outlineLevel="1" x14ac:dyDescent="0.25"/>
    <row r="94" spans="1:6" s="20" customFormat="1" outlineLevel="1" x14ac:dyDescent="0.25">
      <c r="A94" s="21" t="s">
        <v>359</v>
      </c>
      <c r="B94" s="22" t="s">
        <v>83</v>
      </c>
      <c r="C94" s="22"/>
      <c r="D94" s="22"/>
      <c r="E94" s="22"/>
    </row>
    <row r="95" spans="1:6" ht="15.75" outlineLevel="1" x14ac:dyDescent="0.25">
      <c r="A95" s="1" t="s">
        <v>84</v>
      </c>
      <c r="B95" s="1"/>
      <c r="C95" s="43" t="s">
        <v>85</v>
      </c>
      <c r="D95" s="1"/>
      <c r="E95" s="1"/>
    </row>
    <row r="96" spans="1:6" outlineLevel="1" x14ac:dyDescent="0.25">
      <c r="A96" s="26" t="s">
        <v>86</v>
      </c>
      <c r="B96" s="26" t="s">
        <v>87</v>
      </c>
      <c r="C96" s="1" t="s">
        <v>88</v>
      </c>
      <c r="D96" s="1" t="s">
        <v>89</v>
      </c>
      <c r="E96" s="1" t="s">
        <v>90</v>
      </c>
    </row>
    <row r="97" spans="1:19" outlineLevel="1" x14ac:dyDescent="0.25">
      <c r="A97" s="1" t="s">
        <v>91</v>
      </c>
      <c r="B97" s="1" t="s">
        <v>92</v>
      </c>
      <c r="C97" s="1"/>
      <c r="D97" s="1"/>
      <c r="E97" s="1"/>
    </row>
    <row r="99" spans="1:19" s="11" customFormat="1" ht="18.75" x14ac:dyDescent="0.3">
      <c r="A99" s="10" t="s">
        <v>110</v>
      </c>
    </row>
    <row r="100" spans="1:19" s="14" customFormat="1" outlineLevel="1" x14ac:dyDescent="0.25">
      <c r="A100" s="12" t="s">
        <v>95</v>
      </c>
      <c r="B100" s="13" t="s">
        <v>111</v>
      </c>
      <c r="C100" s="13" t="s">
        <v>112</v>
      </c>
      <c r="D100" s="13" t="s">
        <v>68</v>
      </c>
      <c r="E100" s="13" t="s">
        <v>113</v>
      </c>
      <c r="F100" s="13" t="s">
        <v>114</v>
      </c>
      <c r="G100" s="13" t="s">
        <v>115</v>
      </c>
      <c r="H100" s="13" t="s">
        <v>116</v>
      </c>
      <c r="I100" s="13" t="s">
        <v>117</v>
      </c>
      <c r="J100" s="13" t="s">
        <v>118</v>
      </c>
      <c r="K100" s="13" t="s">
        <v>119</v>
      </c>
      <c r="L100" s="13" t="s">
        <v>120</v>
      </c>
      <c r="M100" s="13" t="s">
        <v>121</v>
      </c>
      <c r="N100" s="13" t="s">
        <v>122</v>
      </c>
      <c r="O100" s="13" t="s">
        <v>123</v>
      </c>
    </row>
    <row r="101" spans="1:19" outlineLevel="1" x14ac:dyDescent="0.25">
      <c r="A101" s="1" t="str">
        <f>B122</f>
        <v>CustomerName-employee</v>
      </c>
      <c r="B101" s="1" t="str">
        <f>A101</f>
        <v>CustomerName-employee</v>
      </c>
      <c r="C101" s="19">
        <v>17</v>
      </c>
      <c r="D101" s="1" t="s">
        <v>124</v>
      </c>
      <c r="E101" s="1" t="s">
        <v>125</v>
      </c>
      <c r="F101" s="1" t="s">
        <v>68</v>
      </c>
      <c r="G101" s="1" t="s">
        <v>126</v>
      </c>
      <c r="H101" s="1" t="s">
        <v>65</v>
      </c>
      <c r="I101" s="1" t="s">
        <v>65</v>
      </c>
      <c r="J101" s="1" t="str">
        <f>E72</f>
        <v>radius-group</v>
      </c>
      <c r="K101" s="1" t="s">
        <v>68</v>
      </c>
      <c r="L101" s="1" t="s">
        <v>52</v>
      </c>
      <c r="M101" s="1" t="s">
        <v>68</v>
      </c>
      <c r="N101" s="1" t="s">
        <v>68</v>
      </c>
      <c r="O101" s="1" t="s">
        <v>127</v>
      </c>
    </row>
    <row r="102" spans="1:19" outlineLevel="1" x14ac:dyDescent="0.25">
      <c r="A102" s="1" t="str">
        <f>B123</f>
        <v>CustomerName-byod</v>
      </c>
      <c r="B102" s="1" t="str">
        <f>A102</f>
        <v>CustomerName-byod</v>
      </c>
      <c r="C102" s="19">
        <v>18</v>
      </c>
      <c r="D102" s="1" t="s">
        <v>124</v>
      </c>
      <c r="E102" s="1" t="s">
        <v>125</v>
      </c>
      <c r="F102" s="1" t="s">
        <v>68</v>
      </c>
      <c r="G102" s="1" t="s">
        <v>128</v>
      </c>
      <c r="H102" s="1" t="s">
        <v>129</v>
      </c>
      <c r="I102" s="1" t="s">
        <v>65</v>
      </c>
      <c r="J102" s="1" t="s">
        <v>65</v>
      </c>
      <c r="K102" s="1" t="s">
        <v>68</v>
      </c>
      <c r="L102" s="1" t="s">
        <v>52</v>
      </c>
      <c r="M102" s="1" t="s">
        <v>68</v>
      </c>
      <c r="N102" s="1" t="s">
        <v>68</v>
      </c>
      <c r="O102" s="1" t="s">
        <v>127</v>
      </c>
    </row>
    <row r="103" spans="1:19" outlineLevel="1" x14ac:dyDescent="0.25">
      <c r="A103" s="1" t="str">
        <f>B124</f>
        <v>CustomerName-guest</v>
      </c>
      <c r="B103" s="1" t="str">
        <f>A103</f>
        <v>CustomerName-guest</v>
      </c>
      <c r="C103" s="19">
        <v>19</v>
      </c>
      <c r="D103" s="1" t="s">
        <v>124</v>
      </c>
      <c r="E103" s="1" t="s">
        <v>130</v>
      </c>
      <c r="F103" s="1" t="s">
        <v>68</v>
      </c>
      <c r="G103" s="1" t="s">
        <v>131</v>
      </c>
      <c r="H103" s="1" t="s">
        <v>65</v>
      </c>
      <c r="I103" s="1" t="s">
        <v>132</v>
      </c>
      <c r="J103" s="1" t="s">
        <v>65</v>
      </c>
      <c r="K103" s="1" t="s">
        <v>52</v>
      </c>
      <c r="L103" s="1" t="s">
        <v>52</v>
      </c>
      <c r="M103" s="1" t="s">
        <v>68</v>
      </c>
      <c r="N103" s="1" t="s">
        <v>68</v>
      </c>
      <c r="O103" s="1" t="s">
        <v>127</v>
      </c>
    </row>
    <row r="104" spans="1:19" outlineLevel="1" x14ac:dyDescent="0.25"/>
    <row r="105" spans="1:19" s="14" customFormat="1" outlineLevel="1" x14ac:dyDescent="0.25">
      <c r="A105" s="12" t="s">
        <v>96</v>
      </c>
      <c r="B105" s="13" t="s">
        <v>133</v>
      </c>
      <c r="C105" s="13" t="s">
        <v>134</v>
      </c>
      <c r="D105" s="13" t="s">
        <v>135</v>
      </c>
      <c r="E105" s="13" t="s">
        <v>136</v>
      </c>
      <c r="F105" s="13" t="s">
        <v>137</v>
      </c>
      <c r="G105" s="13" t="s">
        <v>138</v>
      </c>
      <c r="H105" s="13" t="s">
        <v>139</v>
      </c>
      <c r="I105" s="13" t="s">
        <v>140</v>
      </c>
      <c r="J105" s="13" t="s">
        <v>141</v>
      </c>
      <c r="K105" s="13" t="s">
        <v>142</v>
      </c>
      <c r="L105" s="13" t="s">
        <v>143</v>
      </c>
      <c r="M105" s="13" t="s">
        <v>144</v>
      </c>
      <c r="N105" s="13" t="s">
        <v>145</v>
      </c>
      <c r="O105" s="13" t="s">
        <v>146</v>
      </c>
      <c r="P105" s="13" t="s">
        <v>147</v>
      </c>
      <c r="Q105" s="13" t="s">
        <v>91</v>
      </c>
      <c r="R105" s="13" t="s">
        <v>148</v>
      </c>
      <c r="S105" s="13" t="s">
        <v>149</v>
      </c>
    </row>
    <row r="106" spans="1:19" outlineLevel="1" x14ac:dyDescent="0.25">
      <c r="A106" s="1" t="str">
        <f>C122</f>
        <v>employee-policy</v>
      </c>
      <c r="B106" s="1" t="s">
        <v>68</v>
      </c>
      <c r="C106" s="1" t="s">
        <v>52</v>
      </c>
      <c r="D106" s="1" t="s">
        <v>68</v>
      </c>
      <c r="E106" s="1" t="s">
        <v>68</v>
      </c>
      <c r="F106" s="1" t="s">
        <v>68</v>
      </c>
      <c r="G106" s="1" t="s">
        <v>68</v>
      </c>
      <c r="H106" s="1" t="s">
        <v>68</v>
      </c>
      <c r="I106" s="1" t="s">
        <v>68</v>
      </c>
      <c r="J106" s="1" t="s">
        <v>68</v>
      </c>
      <c r="K106" s="1" t="s">
        <v>70</v>
      </c>
      <c r="L106" s="1" t="s">
        <v>65</v>
      </c>
      <c r="M106" s="1" t="s">
        <v>87</v>
      </c>
      <c r="N106" s="19">
        <v>43200</v>
      </c>
      <c r="O106" s="19">
        <v>60</v>
      </c>
      <c r="P106" s="1" t="s">
        <v>68</v>
      </c>
      <c r="Q106" s="1" t="s">
        <v>92</v>
      </c>
      <c r="R106" s="1" t="s">
        <v>52</v>
      </c>
      <c r="S106" s="1" t="s">
        <v>52</v>
      </c>
    </row>
    <row r="107" spans="1:19" outlineLevel="1" x14ac:dyDescent="0.25">
      <c r="A107" s="1" t="str">
        <f>C123</f>
        <v>byod-policy</v>
      </c>
      <c r="B107" s="1" t="s">
        <v>68</v>
      </c>
      <c r="C107" s="1" t="s">
        <v>52</v>
      </c>
      <c r="D107" s="1" t="s">
        <v>68</v>
      </c>
      <c r="E107" s="1" t="s">
        <v>68</v>
      </c>
      <c r="F107" s="1" t="s">
        <v>68</v>
      </c>
      <c r="G107" s="1" t="s">
        <v>68</v>
      </c>
      <c r="H107" s="1" t="s">
        <v>68</v>
      </c>
      <c r="I107" s="1" t="s">
        <v>68</v>
      </c>
      <c r="J107" s="1" t="s">
        <v>68</v>
      </c>
      <c r="K107" s="1" t="s">
        <v>71</v>
      </c>
      <c r="L107" s="1" t="s">
        <v>65</v>
      </c>
      <c r="M107" s="1" t="s">
        <v>87</v>
      </c>
      <c r="N107" s="19">
        <v>43200</v>
      </c>
      <c r="O107" s="19">
        <v>60</v>
      </c>
      <c r="P107" s="1" t="s">
        <v>68</v>
      </c>
      <c r="Q107" s="1" t="s">
        <v>92</v>
      </c>
      <c r="R107" s="1" t="s">
        <v>52</v>
      </c>
      <c r="S107" s="1" t="s">
        <v>52</v>
      </c>
    </row>
    <row r="108" spans="1:19" outlineLevel="1" x14ac:dyDescent="0.25">
      <c r="A108" s="1" t="str">
        <f>C124</f>
        <v>guest-policy</v>
      </c>
      <c r="B108" s="1" t="s">
        <v>68</v>
      </c>
      <c r="C108" s="1" t="s">
        <v>52</v>
      </c>
      <c r="D108" s="1" t="s">
        <v>68</v>
      </c>
      <c r="E108" s="1" t="s">
        <v>68</v>
      </c>
      <c r="F108" s="1" t="s">
        <v>68</v>
      </c>
      <c r="G108" s="1" t="s">
        <v>68</v>
      </c>
      <c r="H108" s="1" t="s">
        <v>68</v>
      </c>
      <c r="I108" s="1" t="s">
        <v>68</v>
      </c>
      <c r="J108" s="1" t="s">
        <v>68</v>
      </c>
      <c r="K108" s="1" t="s">
        <v>72</v>
      </c>
      <c r="L108" s="1" t="s">
        <v>150</v>
      </c>
      <c r="M108" s="1" t="s">
        <v>87</v>
      </c>
      <c r="N108" s="19">
        <v>43200</v>
      </c>
      <c r="O108" s="19">
        <v>60</v>
      </c>
      <c r="P108" s="1" t="s">
        <v>68</v>
      </c>
      <c r="Q108" s="1" t="s">
        <v>131</v>
      </c>
      <c r="R108" s="1" t="s">
        <v>68</v>
      </c>
      <c r="S108" s="1" t="s">
        <v>68</v>
      </c>
    </row>
    <row r="109" spans="1:19" outlineLevel="1" x14ac:dyDescent="0.25"/>
    <row r="110" spans="1:19" s="14" customFormat="1" outlineLevel="1" x14ac:dyDescent="0.25">
      <c r="A110" s="12" t="s">
        <v>151</v>
      </c>
      <c r="B110" s="13" t="s">
        <v>152</v>
      </c>
      <c r="C110" s="13" t="s">
        <v>153</v>
      </c>
      <c r="D110" s="13" t="s">
        <v>154</v>
      </c>
      <c r="E110" s="13" t="s">
        <v>155</v>
      </c>
      <c r="F110" s="13" t="s">
        <v>156</v>
      </c>
      <c r="G110" s="13" t="s">
        <v>157</v>
      </c>
      <c r="H110" s="13" t="s">
        <v>158</v>
      </c>
      <c r="I110" s="13" t="s">
        <v>159</v>
      </c>
      <c r="J110" s="13" t="s">
        <v>160</v>
      </c>
      <c r="K110" s="13" t="s">
        <v>161</v>
      </c>
    </row>
    <row r="111" spans="1:19" outlineLevel="1" x14ac:dyDescent="0.25">
      <c r="A111" s="1" t="str">
        <f>B127</f>
        <v>CustomerName-rf-24ghz</v>
      </c>
      <c r="B111" s="19">
        <v>12</v>
      </c>
      <c r="C111" s="19" t="s">
        <v>162</v>
      </c>
      <c r="D111" s="1" t="s">
        <v>163</v>
      </c>
      <c r="E111" s="19">
        <v>30</v>
      </c>
      <c r="F111" s="19">
        <v>7</v>
      </c>
      <c r="G111" s="23" t="s">
        <v>164</v>
      </c>
      <c r="H111" s="1" t="s">
        <v>165</v>
      </c>
      <c r="I111" s="1" t="s">
        <v>166</v>
      </c>
      <c r="J111" s="1" t="s">
        <v>167</v>
      </c>
      <c r="K111" s="1" t="s">
        <v>52</v>
      </c>
    </row>
    <row r="112" spans="1:19" outlineLevel="1" x14ac:dyDescent="0.25">
      <c r="A112" s="1" t="str">
        <f>C127</f>
        <v>CustomerName-rf-5ghz</v>
      </c>
      <c r="B112" s="19">
        <v>12</v>
      </c>
      <c r="C112" s="1" t="s">
        <v>168</v>
      </c>
      <c r="D112" s="1" t="s">
        <v>163</v>
      </c>
      <c r="E112" s="19">
        <v>30</v>
      </c>
      <c r="F112" s="19">
        <v>7</v>
      </c>
      <c r="G112" s="23" t="s">
        <v>169</v>
      </c>
      <c r="H112" s="1" t="s">
        <v>170</v>
      </c>
      <c r="I112" s="1" t="s">
        <v>166</v>
      </c>
      <c r="J112" s="1" t="s">
        <v>167</v>
      </c>
      <c r="K112" s="1" t="s">
        <v>52</v>
      </c>
    </row>
    <row r="113" spans="1:16" outlineLevel="1" x14ac:dyDescent="0.25"/>
    <row r="114" spans="1:16" s="14" customFormat="1" outlineLevel="1" x14ac:dyDescent="0.25">
      <c r="A114" s="12" t="s">
        <v>106</v>
      </c>
      <c r="B114" s="13" t="s">
        <v>171</v>
      </c>
      <c r="C114" s="13" t="s">
        <v>172</v>
      </c>
      <c r="D114" s="13" t="s">
        <v>173</v>
      </c>
      <c r="E114" s="13" t="s">
        <v>174</v>
      </c>
      <c r="F114" s="13" t="s">
        <v>175</v>
      </c>
      <c r="G114" s="13" t="s">
        <v>176</v>
      </c>
      <c r="H114" s="13" t="s">
        <v>177</v>
      </c>
      <c r="I114" s="13" t="s">
        <v>178</v>
      </c>
      <c r="J114" s="13" t="s">
        <v>179</v>
      </c>
      <c r="K114" s="13" t="s">
        <v>180</v>
      </c>
      <c r="L114" s="13" t="s">
        <v>181</v>
      </c>
      <c r="M114" s="13" t="s">
        <v>182</v>
      </c>
      <c r="N114" s="13" t="s">
        <v>183</v>
      </c>
      <c r="O114" s="13" t="s">
        <v>184</v>
      </c>
      <c r="P114" s="13" t="s">
        <v>185</v>
      </c>
    </row>
    <row r="115" spans="1:16" outlineLevel="1" x14ac:dyDescent="0.25">
      <c r="A115" s="1" t="str">
        <f>B130</f>
        <v>CustomerName-ap-profile</v>
      </c>
      <c r="B115" s="1" t="s">
        <v>68</v>
      </c>
      <c r="C115" s="1" t="s">
        <v>186</v>
      </c>
      <c r="D115" s="1" t="str">
        <f>$B$32&amp;" / "&amp;$B$37</f>
        <v>wlc1 / {wlc1-ipv4}</v>
      </c>
      <c r="E115" s="1" t="str">
        <f>$C$32&amp;" / "&amp;$C$37</f>
        <v>wlc2 / {wlc2-ipv4}</v>
      </c>
      <c r="F115" s="1" t="s">
        <v>68</v>
      </c>
      <c r="G115" s="1" t="s">
        <v>52</v>
      </c>
      <c r="H115" s="1" t="s">
        <v>52</v>
      </c>
      <c r="I115" s="1" t="s">
        <v>68</v>
      </c>
      <c r="J115" s="1" t="str">
        <f>$B$66</f>
        <v>(default is 255.255.255.255, so create a dummy address)</v>
      </c>
      <c r="K115" s="1" t="str">
        <f>$B$47</f>
        <v>admin</v>
      </c>
      <c r="L115" s="1" t="str">
        <f>$B$48</f>
        <v>{password}</v>
      </c>
      <c r="M115" s="1" t="str">
        <f>$B$48</f>
        <v>{password}</v>
      </c>
      <c r="N115" s="1" t="s">
        <v>52</v>
      </c>
      <c r="O115" s="1" t="s">
        <v>68</v>
      </c>
      <c r="P115" s="19">
        <v>-70</v>
      </c>
    </row>
    <row r="116" spans="1:16" outlineLevel="1" x14ac:dyDescent="0.25"/>
    <row r="117" spans="1:16" s="14" customFormat="1" outlineLevel="1" x14ac:dyDescent="0.25">
      <c r="A117" s="12" t="s">
        <v>107</v>
      </c>
      <c r="B117" s="13" t="s">
        <v>187</v>
      </c>
      <c r="C117" s="13" t="s">
        <v>188</v>
      </c>
      <c r="D117" s="13" t="s">
        <v>189</v>
      </c>
    </row>
    <row r="118" spans="1:16" outlineLevel="1" x14ac:dyDescent="0.25">
      <c r="A118" s="1" t="str">
        <f>C131</f>
        <v>flex-native-vlan123</v>
      </c>
      <c r="B118" s="19">
        <v>1</v>
      </c>
      <c r="C118" s="1" t="s">
        <v>190</v>
      </c>
      <c r="D118" s="1" t="s">
        <v>52</v>
      </c>
    </row>
    <row r="120" spans="1:16" s="18" customFormat="1" ht="18.75" x14ac:dyDescent="0.3">
      <c r="A120" s="17" t="s">
        <v>93</v>
      </c>
    </row>
    <row r="121" spans="1:16" s="9" customFormat="1" hidden="1" outlineLevel="1" x14ac:dyDescent="0.25">
      <c r="A121" s="6" t="s">
        <v>94</v>
      </c>
      <c r="B121" s="7" t="s">
        <v>95</v>
      </c>
      <c r="C121" s="7" t="s">
        <v>96</v>
      </c>
      <c r="D121" s="8" t="s">
        <v>97</v>
      </c>
    </row>
    <row r="122" spans="1:16" hidden="1" outlineLevel="1" x14ac:dyDescent="0.25">
      <c r="A122" s="78" t="str">
        <f>$B$2&amp;"-policy-tag"</f>
        <v>CustomerName-policy-tag</v>
      </c>
      <c r="B122" s="1" t="str">
        <f>$B$2&amp;"-employee"</f>
        <v>CustomerName-employee</v>
      </c>
      <c r="C122" s="1" t="s">
        <v>98</v>
      </c>
      <c r="D122" s="5"/>
    </row>
    <row r="123" spans="1:16" hidden="1" outlineLevel="1" x14ac:dyDescent="0.25">
      <c r="A123" s="79"/>
      <c r="B123" s="1" t="str">
        <f>$B$2&amp;"-byod"</f>
        <v>CustomerName-byod</v>
      </c>
      <c r="C123" s="1" t="s">
        <v>99</v>
      </c>
      <c r="D123" s="5"/>
    </row>
    <row r="124" spans="1:16" hidden="1" outlineLevel="1" x14ac:dyDescent="0.25">
      <c r="A124" s="80"/>
      <c r="B124" s="1" t="str">
        <f>$B$2&amp;"-guest"</f>
        <v>CustomerName-guest</v>
      </c>
      <c r="C124" s="1" t="s">
        <v>100</v>
      </c>
      <c r="D124" s="5"/>
    </row>
    <row r="125" spans="1:16" hidden="1" outlineLevel="1" x14ac:dyDescent="0.25">
      <c r="D125" s="5"/>
    </row>
    <row r="126" spans="1:16" s="9" customFormat="1" hidden="1" outlineLevel="1" x14ac:dyDescent="0.25">
      <c r="A126" s="6" t="s">
        <v>101</v>
      </c>
      <c r="B126" s="7" t="s">
        <v>102</v>
      </c>
      <c r="C126" s="7" t="s">
        <v>103</v>
      </c>
      <c r="D126" s="8" t="s">
        <v>104</v>
      </c>
    </row>
    <row r="127" spans="1:16" hidden="1" outlineLevel="1" x14ac:dyDescent="0.25">
      <c r="A127" s="1" t="str">
        <f>$B$2&amp;"-default-rf-tag"</f>
        <v>CustomerName-default-rf-tag</v>
      </c>
      <c r="B127" s="1" t="str">
        <f>$B$2&amp;"-rf-24ghz"</f>
        <v>CustomerName-rf-24ghz</v>
      </c>
      <c r="C127" s="1" t="str">
        <f>$B$2&amp;"-rf-5ghz"</f>
        <v>CustomerName-rf-5ghz</v>
      </c>
      <c r="D127" s="5"/>
    </row>
    <row r="128" spans="1:16" hidden="1" outlineLevel="1" x14ac:dyDescent="0.25">
      <c r="D128" s="5"/>
    </row>
    <row r="129" spans="1:7" s="9" customFormat="1" hidden="1" outlineLevel="1" x14ac:dyDescent="0.25">
      <c r="A129" s="6" t="s">
        <v>105</v>
      </c>
      <c r="B129" s="7" t="s">
        <v>106</v>
      </c>
      <c r="C129" s="7" t="s">
        <v>107</v>
      </c>
      <c r="D129" s="8" t="s">
        <v>108</v>
      </c>
    </row>
    <row r="130" spans="1:7" hidden="1" outlineLevel="1" x14ac:dyDescent="0.25">
      <c r="A130" s="1" t="str">
        <f>$B$2&amp;"-local-site"</f>
        <v>CustomerName-local-site</v>
      </c>
      <c r="B130" s="1" t="str">
        <f>$B$2&amp;"-ap-profile"</f>
        <v>CustomerName-ap-profile</v>
      </c>
      <c r="C130" s="1" t="s">
        <v>109</v>
      </c>
      <c r="D130" s="5"/>
    </row>
    <row r="131" spans="1:7" hidden="1" outlineLevel="1" x14ac:dyDescent="0.25">
      <c r="A131" s="1" t="str">
        <f>$B$2&amp;"-flex-site"</f>
        <v>CustomerName-flex-site</v>
      </c>
      <c r="B131" s="1" t="str">
        <f>B130</f>
        <v>CustomerName-ap-profile</v>
      </c>
      <c r="C131" s="1" t="s">
        <v>600</v>
      </c>
      <c r="D131" s="5"/>
    </row>
    <row r="132" spans="1:7" hidden="1" outlineLevel="1" x14ac:dyDescent="0.25">
      <c r="D132" s="5"/>
    </row>
    <row r="133" spans="1:7" s="9" customFormat="1" hidden="1" outlineLevel="1" x14ac:dyDescent="0.25">
      <c r="A133" s="6" t="s">
        <v>335</v>
      </c>
      <c r="G133" s="8" t="s">
        <v>336</v>
      </c>
    </row>
    <row r="134" spans="1:7" s="9" customFormat="1" hidden="1" outlineLevel="1" x14ac:dyDescent="0.25">
      <c r="A134" s="6" t="s">
        <v>338</v>
      </c>
      <c r="B134" s="7" t="s">
        <v>341</v>
      </c>
      <c r="C134" s="7" t="s">
        <v>339</v>
      </c>
      <c r="D134" s="7" t="s">
        <v>94</v>
      </c>
      <c r="E134" s="7" t="s">
        <v>101</v>
      </c>
      <c r="F134" s="7" t="s">
        <v>105</v>
      </c>
    </row>
    <row r="135" spans="1:7" hidden="1" outlineLevel="1" x14ac:dyDescent="0.25">
      <c r="A135" s="1" t="s">
        <v>340</v>
      </c>
      <c r="B135" s="19">
        <v>10</v>
      </c>
      <c r="C135" s="1" t="s">
        <v>337</v>
      </c>
      <c r="D135" s="1" t="str">
        <f>A122</f>
        <v>CustomerName-policy-tag</v>
      </c>
      <c r="E135" s="1" t="str">
        <f>A127</f>
        <v>CustomerName-default-rf-tag</v>
      </c>
      <c r="F135" s="1" t="str">
        <f>A130</f>
        <v>CustomerName-local-site</v>
      </c>
    </row>
    <row r="136" spans="1:7" collapsed="1" x14ac:dyDescent="0.25"/>
    <row r="137" spans="1:7" s="28" customFormat="1" ht="18.75" x14ac:dyDescent="0.3">
      <c r="A137" s="27" t="s">
        <v>191</v>
      </c>
    </row>
    <row r="138" spans="1:7" s="31" customFormat="1" hidden="1" outlineLevel="1" x14ac:dyDescent="0.25">
      <c r="A138" s="29" t="s">
        <v>192</v>
      </c>
      <c r="B138" s="30" t="s">
        <v>449</v>
      </c>
    </row>
    <row r="139" spans="1:7" hidden="1" outlineLevel="1" x14ac:dyDescent="0.25">
      <c r="A139" s="1" t="s">
        <v>193</v>
      </c>
      <c r="B139" s="19"/>
    </row>
    <row r="140" spans="1:7" hidden="1" outlineLevel="1" x14ac:dyDescent="0.25">
      <c r="A140" s="1" t="s">
        <v>194</v>
      </c>
      <c r="B140" s="19" t="s">
        <v>450</v>
      </c>
    </row>
    <row r="141" spans="1:7" hidden="1" outlineLevel="1" x14ac:dyDescent="0.25">
      <c r="A141" s="1" t="s">
        <v>195</v>
      </c>
      <c r="B141" s="19" t="s">
        <v>451</v>
      </c>
    </row>
    <row r="142" spans="1:7" hidden="1" outlineLevel="1" x14ac:dyDescent="0.25">
      <c r="A142" s="1" t="s">
        <v>196</v>
      </c>
      <c r="B142" s="19" t="s">
        <v>452</v>
      </c>
    </row>
    <row r="143" spans="1:7" hidden="1" outlineLevel="1" x14ac:dyDescent="0.25">
      <c r="A143" s="1" t="s">
        <v>197</v>
      </c>
      <c r="B143" s="19" t="str">
        <f>LOWER($B$2)&amp;".no"</f>
        <v>customername.no</v>
      </c>
    </row>
    <row r="144" spans="1:7" hidden="1" outlineLevel="1" x14ac:dyDescent="0.25">
      <c r="A144" s="1" t="s">
        <v>31</v>
      </c>
      <c r="B144" s="19" t="str">
        <f>IF($B$65&lt;&gt;"",$B$65,"")</f>
        <v>{dns-server}</v>
      </c>
    </row>
    <row r="145" spans="1:2" hidden="1" outlineLevel="1" x14ac:dyDescent="0.25">
      <c r="A145" s="1" t="s">
        <v>30</v>
      </c>
      <c r="B145" s="19" t="str">
        <f>IF($B$64&lt;&gt;"",$B$64,"")</f>
        <v>{ntp-server1},{ntp-server2}</v>
      </c>
    </row>
    <row r="146" spans="1:2" hidden="1" outlineLevel="1" x14ac:dyDescent="0.25">
      <c r="A146" s="1" t="s">
        <v>198</v>
      </c>
      <c r="B146" s="19" t="s">
        <v>199</v>
      </c>
    </row>
    <row r="147" spans="1:2" hidden="1" outlineLevel="1" x14ac:dyDescent="0.25">
      <c r="A147" s="1" t="s">
        <v>200</v>
      </c>
      <c r="B147" s="19" t="s">
        <v>201</v>
      </c>
    </row>
    <row r="148" spans="1:2" hidden="1" outlineLevel="1" x14ac:dyDescent="0.25">
      <c r="A148" s="1" t="s">
        <v>202</v>
      </c>
      <c r="B148" s="19" t="s">
        <v>203</v>
      </c>
    </row>
    <row r="149" spans="1:2" hidden="1" outlineLevel="1" x14ac:dyDescent="0.25">
      <c r="A149" s="1" t="s">
        <v>204</v>
      </c>
      <c r="B149" s="19" t="s">
        <v>205</v>
      </c>
    </row>
    <row r="150" spans="1:2" hidden="1" outlineLevel="1" x14ac:dyDescent="0.25">
      <c r="A150" s="1" t="s">
        <v>206</v>
      </c>
      <c r="B150" s="19"/>
    </row>
    <row r="151" spans="1:2" hidden="1" outlineLevel="1" x14ac:dyDescent="0.25">
      <c r="A151" s="1" t="s">
        <v>207</v>
      </c>
      <c r="B151" s="19"/>
    </row>
    <row r="152" spans="1:2" hidden="1" outlineLevel="1" x14ac:dyDescent="0.25">
      <c r="A152" s="1" t="s">
        <v>208</v>
      </c>
      <c r="B152" s="19"/>
    </row>
    <row r="153" spans="1:2" hidden="1" outlineLevel="1" x14ac:dyDescent="0.25">
      <c r="A153" s="1" t="s">
        <v>209</v>
      </c>
      <c r="B153" s="19"/>
    </row>
    <row r="154" spans="1:2" hidden="1" outlineLevel="1" x14ac:dyDescent="0.25">
      <c r="A154" s="1" t="s">
        <v>210</v>
      </c>
      <c r="B154" s="19"/>
    </row>
    <row r="155" spans="1:2" hidden="1" outlineLevel="1" x14ac:dyDescent="0.25">
      <c r="A155" s="1" t="s">
        <v>211</v>
      </c>
      <c r="B155" s="19"/>
    </row>
    <row r="156" spans="1:2" collapsed="1" x14ac:dyDescent="0.25"/>
    <row r="157" spans="1:2" s="39" customFormat="1" ht="18.75" x14ac:dyDescent="0.3">
      <c r="A157" s="38" t="s">
        <v>212</v>
      </c>
    </row>
    <row r="158" spans="1:2" s="42" customFormat="1" hidden="1" outlineLevel="1" x14ac:dyDescent="0.25">
      <c r="A158" s="40" t="s">
        <v>192</v>
      </c>
      <c r="B158" s="41"/>
    </row>
    <row r="159" spans="1:2" hidden="1" outlineLevel="1" x14ac:dyDescent="0.25">
      <c r="A159" s="1" t="s">
        <v>193</v>
      </c>
      <c r="B159" s="19"/>
    </row>
    <row r="160" spans="1:2" hidden="1" outlineLevel="1" x14ac:dyDescent="0.25">
      <c r="A160" s="1" t="s">
        <v>194</v>
      </c>
      <c r="B160" s="19"/>
    </row>
    <row r="161" spans="1:5" hidden="1" outlineLevel="1" x14ac:dyDescent="0.25">
      <c r="A161" s="1" t="s">
        <v>195</v>
      </c>
      <c r="B161" s="19"/>
    </row>
    <row r="162" spans="1:5" hidden="1" outlineLevel="1" x14ac:dyDescent="0.25">
      <c r="A162" s="1" t="s">
        <v>196</v>
      </c>
      <c r="B162" s="19"/>
    </row>
    <row r="163" spans="1:5" hidden="1" outlineLevel="1" x14ac:dyDescent="0.25">
      <c r="A163" s="1" t="s">
        <v>197</v>
      </c>
      <c r="B163" s="19" t="str">
        <f>LOWER($B$2)&amp;".no"</f>
        <v>customername.no</v>
      </c>
    </row>
    <row r="164" spans="1:5" hidden="1" outlineLevel="1" x14ac:dyDescent="0.25">
      <c r="A164" s="1" t="s">
        <v>213</v>
      </c>
      <c r="B164" s="19"/>
    </row>
    <row r="165" spans="1:5" hidden="1" outlineLevel="1" x14ac:dyDescent="0.25">
      <c r="A165" s="1" t="s">
        <v>202</v>
      </c>
      <c r="B165" s="19" t="s">
        <v>203</v>
      </c>
    </row>
    <row r="166" spans="1:5" hidden="1" outlineLevel="1" x14ac:dyDescent="0.25">
      <c r="A166" s="1" t="s">
        <v>204</v>
      </c>
      <c r="B166" s="19" t="s">
        <v>205</v>
      </c>
    </row>
    <row r="167" spans="1:5" collapsed="1" x14ac:dyDescent="0.25"/>
    <row r="168" spans="1:5" s="34" customFormat="1" ht="18.75" x14ac:dyDescent="0.3">
      <c r="A168" s="33" t="s">
        <v>214</v>
      </c>
    </row>
    <row r="169" spans="1:5" s="37" customFormat="1" outlineLevel="1" x14ac:dyDescent="0.25">
      <c r="A169" s="35" t="s">
        <v>215</v>
      </c>
      <c r="B169" s="36" t="s">
        <v>216</v>
      </c>
      <c r="C169" s="37" t="s">
        <v>217</v>
      </c>
      <c r="D169" s="37" t="s">
        <v>39</v>
      </c>
      <c r="E169" s="37" t="s">
        <v>218</v>
      </c>
    </row>
    <row r="170" spans="1:5" hidden="1" outlineLevel="1" x14ac:dyDescent="0.25">
      <c r="A170" t="str">
        <f>"Jumpstation"&amp;IF($B$59&lt;&gt;""," ("&amp;$B$59&amp;")",)</f>
        <v>Jumpstation</v>
      </c>
      <c r="B170" t="s">
        <v>219</v>
      </c>
      <c r="C170" t="s">
        <v>220</v>
      </c>
      <c r="D170" s="32" t="s">
        <v>65</v>
      </c>
      <c r="E170" t="s">
        <v>220</v>
      </c>
    </row>
    <row r="171" spans="1:5" hidden="1" outlineLevel="1" x14ac:dyDescent="0.25">
      <c r="A171" t="str">
        <f>"WLC"&amp;IF($B$37&lt;&gt;""," ("&amp;$B$37&amp;IF($C$37&lt;&gt;"","/"&amp;$C$37,)&amp;")",)</f>
        <v>WLC ({wlc1-ipv4}/{wlc2-ipv4})</v>
      </c>
      <c r="B171" t="str">
        <f>"WLC"&amp;IF($B$37&lt;&gt;""," ("&amp;$B$37&amp;IF($C$37&lt;&gt;"","/"&amp;$C$37,)&amp;")",)</f>
        <v>WLC ({wlc1-ipv4}/{wlc2-ipv4})</v>
      </c>
      <c r="C171" t="s">
        <v>221</v>
      </c>
      <c r="D171" s="32" t="s">
        <v>65</v>
      </c>
      <c r="E171" t="s">
        <v>222</v>
      </c>
    </row>
    <row r="172" spans="1:5" hidden="1" outlineLevel="1" x14ac:dyDescent="0.25">
      <c r="A172" t="str">
        <f>"WLC"&amp;IF($B$37&lt;&gt;""," ("&amp;$B$37&amp;IF($C$37&lt;&gt;"","/"&amp;$C$37,)&amp;")",)</f>
        <v>WLC ({wlc1-ipv4}/{wlc2-ipv4})</v>
      </c>
      <c r="B172" t="str">
        <f>"CPI"&amp;IF($B$140&lt;&gt;""," ("&amp;$B$140&amp;")",)</f>
        <v>CPI ({CPI IP})</v>
      </c>
      <c r="C172" t="s">
        <v>223</v>
      </c>
      <c r="D172" s="32">
        <v>21</v>
      </c>
      <c r="E172" t="s">
        <v>224</v>
      </c>
    </row>
    <row r="173" spans="1:5" hidden="1" outlineLevel="1" x14ac:dyDescent="0.25">
      <c r="A173" t="str">
        <f>"CMX"&amp;IF($B$160&lt;&gt;""," ("&amp;$B$160&amp;")",)</f>
        <v>CMX</v>
      </c>
      <c r="B173" t="str">
        <f>"CPI"&amp;IF($B$140&lt;&gt;""," ("&amp;$B$140&amp;")",)</f>
        <v>CPI ({CPI IP})</v>
      </c>
      <c r="C173" t="s">
        <v>223</v>
      </c>
      <c r="D173" s="32">
        <v>21</v>
      </c>
      <c r="E173" t="s">
        <v>224</v>
      </c>
    </row>
    <row r="174" spans="1:5" hidden="1" outlineLevel="1" x14ac:dyDescent="0.25">
      <c r="A174" t="str">
        <f>"WLC"&amp;IF($B$37&lt;&gt;""," ("&amp;$B$37&amp;IF($C$37&lt;&gt;"","/"&amp;$C$37,)&amp;")",)</f>
        <v>WLC ({wlc1-ipv4}/{wlc2-ipv4})</v>
      </c>
      <c r="B174" t="str">
        <f t="shared" ref="B174:B179" si="1">"FTP-server"&amp;IF($B$153&lt;&gt;""," ("&amp;$B$153&amp;")",)</f>
        <v>FTP-server</v>
      </c>
      <c r="C174" t="s">
        <v>223</v>
      </c>
      <c r="D174" s="32">
        <v>21</v>
      </c>
      <c r="E174" t="s">
        <v>224</v>
      </c>
    </row>
    <row r="175" spans="1:5" hidden="1" outlineLevel="1" x14ac:dyDescent="0.25">
      <c r="A175" t="str">
        <f>"CPI"&amp;IF($B$140&lt;&gt;""," ("&amp;$B$140&amp;")",)</f>
        <v>CPI ({CPI IP})</v>
      </c>
      <c r="B175" t="str">
        <f t="shared" si="1"/>
        <v>FTP-server</v>
      </c>
      <c r="C175" t="s">
        <v>223</v>
      </c>
      <c r="D175" s="32">
        <v>21</v>
      </c>
      <c r="E175" t="s">
        <v>224</v>
      </c>
    </row>
    <row r="176" spans="1:5" hidden="1" outlineLevel="1" x14ac:dyDescent="0.25">
      <c r="A176" t="str">
        <f>"CMX"&amp;IF($B$160&lt;&gt;""," ("&amp;$B$160&amp;")",)</f>
        <v>CMX</v>
      </c>
      <c r="B176" t="str">
        <f t="shared" si="1"/>
        <v>FTP-server</v>
      </c>
      <c r="C176" t="s">
        <v>223</v>
      </c>
      <c r="D176" s="32">
        <v>21</v>
      </c>
      <c r="E176" t="s">
        <v>224</v>
      </c>
    </row>
    <row r="177" spans="1:5" hidden="1" outlineLevel="1" x14ac:dyDescent="0.25">
      <c r="A177" t="str">
        <f>"WLC"&amp;IF($B$37&lt;&gt;""," ("&amp;$B$37&amp;IF($C$37&lt;&gt;"","/"&amp;$C$37,)&amp;")",)</f>
        <v>WLC ({wlc1-ipv4}/{wlc2-ipv4})</v>
      </c>
      <c r="B177" t="str">
        <f t="shared" si="1"/>
        <v>FTP-server</v>
      </c>
      <c r="C177" t="s">
        <v>223</v>
      </c>
      <c r="D177" s="32">
        <v>22</v>
      </c>
      <c r="E177" t="s">
        <v>225</v>
      </c>
    </row>
    <row r="178" spans="1:5" hidden="1" outlineLevel="1" x14ac:dyDescent="0.25">
      <c r="A178" t="str">
        <f>"CPI"&amp;IF($B$140&lt;&gt;""," ("&amp;$B$140&amp;")",)</f>
        <v>CPI ({CPI IP})</v>
      </c>
      <c r="B178" t="str">
        <f t="shared" si="1"/>
        <v>FTP-server</v>
      </c>
      <c r="C178" t="s">
        <v>223</v>
      </c>
      <c r="D178" s="32">
        <v>22</v>
      </c>
      <c r="E178" t="s">
        <v>225</v>
      </c>
    </row>
    <row r="179" spans="1:5" hidden="1" outlineLevel="1" x14ac:dyDescent="0.25">
      <c r="A179" t="str">
        <f>"CMX"&amp;IF($B$160&lt;&gt;""," ("&amp;$B$160&amp;")",)</f>
        <v>CMX</v>
      </c>
      <c r="B179" t="str">
        <f t="shared" si="1"/>
        <v>FTP-server</v>
      </c>
      <c r="C179" t="s">
        <v>223</v>
      </c>
      <c r="D179" s="32">
        <v>22</v>
      </c>
      <c r="E179" t="s">
        <v>225</v>
      </c>
    </row>
    <row r="180" spans="1:5" hidden="1" outlineLevel="1" x14ac:dyDescent="0.25">
      <c r="A180" t="str">
        <f>"Jumpstation"&amp;IF($B$59&lt;&gt;""," ("&amp;$B$59&amp;")",)</f>
        <v>Jumpstation</v>
      </c>
      <c r="B180" t="s">
        <v>219</v>
      </c>
      <c r="C180" t="s">
        <v>223</v>
      </c>
      <c r="D180" s="32">
        <v>22</v>
      </c>
      <c r="E180" t="s">
        <v>178</v>
      </c>
    </row>
    <row r="181" spans="1:5" hidden="1" outlineLevel="1" x14ac:dyDescent="0.25">
      <c r="A181" t="str">
        <f>"Jumpstation"&amp;IF($B$59&lt;&gt;""," ("&amp;$B$59&amp;")",)</f>
        <v>Jumpstation</v>
      </c>
      <c r="B181" t="str">
        <f>"WLC"&amp;IF($B$37&lt;&gt;""," ("&amp;$B$37&amp;IF($C$37&lt;&gt;"","/"&amp;$C$37,)&amp;")",)</f>
        <v>WLC ({wlc1-ipv4}/{wlc2-ipv4})</v>
      </c>
      <c r="C181" t="s">
        <v>223</v>
      </c>
      <c r="D181" s="32">
        <v>22</v>
      </c>
      <c r="E181" t="s">
        <v>178</v>
      </c>
    </row>
    <row r="182" spans="1:5" hidden="1" outlineLevel="1" x14ac:dyDescent="0.25">
      <c r="A182" t="str">
        <f>"Jumpstation"&amp;IF($B$59&lt;&gt;""," ("&amp;$B$59&amp;")",)</f>
        <v>Jumpstation</v>
      </c>
      <c r="B182" t="str">
        <f>"CMX"&amp;IF($B$160&lt;&gt;""," ("&amp;$B$160&amp;")",)</f>
        <v>CMX</v>
      </c>
      <c r="C182" t="s">
        <v>223</v>
      </c>
      <c r="D182" s="32">
        <v>22</v>
      </c>
      <c r="E182" t="s">
        <v>178</v>
      </c>
    </row>
    <row r="183" spans="1:5" hidden="1" outlineLevel="1" x14ac:dyDescent="0.25">
      <c r="A183" t="str">
        <f>"Jumpstation"&amp;IF($B$59&lt;&gt;""," ("&amp;$B$59&amp;")",)</f>
        <v>Jumpstation</v>
      </c>
      <c r="B183" t="str">
        <f>"CPI"&amp;IF($B$140&lt;&gt;""," ("&amp;$B$140&amp;")",)</f>
        <v>CPI ({CPI IP})</v>
      </c>
      <c r="C183" t="s">
        <v>223</v>
      </c>
      <c r="D183" s="32">
        <v>22</v>
      </c>
      <c r="E183" t="s">
        <v>178</v>
      </c>
    </row>
    <row r="184" spans="1:5" hidden="1" outlineLevel="1" x14ac:dyDescent="0.25">
      <c r="A184" t="str">
        <f>"CPI"&amp;IF($B$140&lt;&gt;""," ("&amp;$B$140&amp;")",)</f>
        <v>CPI ({CPI IP})</v>
      </c>
      <c r="B184" t="str">
        <f>"Mail server"&amp;IF($B$155&lt;&gt;""," ("&amp;$B$155&amp;")",)</f>
        <v>Mail server</v>
      </c>
      <c r="C184" t="s">
        <v>223</v>
      </c>
      <c r="D184" s="32">
        <v>25</v>
      </c>
      <c r="E184" t="s">
        <v>226</v>
      </c>
    </row>
    <row r="185" spans="1:5" hidden="1" outlineLevel="1" x14ac:dyDescent="0.25">
      <c r="A185" t="str">
        <f>"WLC"&amp;IF($B$37&lt;&gt;""," ("&amp;$B$37&amp;IF($C$37&lt;&gt;"","/"&amp;$C$37,)&amp;")",)</f>
        <v>WLC ({wlc1-ipv4}/{wlc2-ipv4})</v>
      </c>
      <c r="B185" t="e">
        <f>"ISE"&amp;IF($B$72&lt;&gt;""," ("&amp;$B$72&amp;IF(#REF!&lt;&gt;"","/"&amp;#REF!,)&amp;")",)</f>
        <v>#REF!</v>
      </c>
      <c r="C185" t="s">
        <v>227</v>
      </c>
      <c r="D185" s="32">
        <v>49</v>
      </c>
      <c r="E185" t="s">
        <v>228</v>
      </c>
    </row>
    <row r="186" spans="1:5" hidden="1" outlineLevel="1" x14ac:dyDescent="0.25">
      <c r="A186" t="str">
        <f>"CMX"&amp;IF($B$160&lt;&gt;""," ("&amp;$B$160&amp;")",)</f>
        <v>CMX</v>
      </c>
      <c r="B186" t="e">
        <f>"ISE"&amp;IF($B$72&lt;&gt;""," ("&amp;$B$72&amp;IF(#REF!&lt;&gt;"","/"&amp;#REF!,)&amp;")",)</f>
        <v>#REF!</v>
      </c>
      <c r="C186" t="s">
        <v>227</v>
      </c>
      <c r="D186" s="32">
        <v>49</v>
      </c>
      <c r="E186" t="s">
        <v>228</v>
      </c>
    </row>
    <row r="187" spans="1:5" hidden="1" outlineLevel="1" x14ac:dyDescent="0.25">
      <c r="A187" t="str">
        <f>"CPI"&amp;IF($B$140&lt;&gt;""," ("&amp;$B$140&amp;")",)</f>
        <v>CPI ({CPI IP})</v>
      </c>
      <c r="B187" t="e">
        <f>"ISE"&amp;IF($B$72&lt;&gt;""," ("&amp;$B$72&amp;IF(#REF!&lt;&gt;"","/"&amp;#REF!,)&amp;")",)</f>
        <v>#REF!</v>
      </c>
      <c r="C187" t="s">
        <v>227</v>
      </c>
      <c r="D187" s="32">
        <v>49</v>
      </c>
      <c r="E187" t="s">
        <v>228</v>
      </c>
    </row>
    <row r="188" spans="1:5" hidden="1" outlineLevel="1" x14ac:dyDescent="0.25">
      <c r="A188" t="s">
        <v>219</v>
      </c>
      <c r="B188" t="str">
        <f>"DNS-server"&amp;IF($B$65&lt;&gt;""," ("&amp;$B$65&amp;")",)</f>
        <v>DNS-server ({dns-server})</v>
      </c>
      <c r="C188" t="s">
        <v>227</v>
      </c>
      <c r="D188" s="32">
        <v>53</v>
      </c>
      <c r="E188" t="s">
        <v>229</v>
      </c>
    </row>
    <row r="189" spans="1:5" hidden="1" outlineLevel="1" x14ac:dyDescent="0.25">
      <c r="A189" t="str">
        <f>"WLC"&amp;IF($B$37&lt;&gt;""," ("&amp;$B$37&amp;IF($C$37&lt;&gt;"","/"&amp;$C$37,)&amp;")",)</f>
        <v>WLC ({wlc1-ipv4}/{wlc2-ipv4})</v>
      </c>
      <c r="B189" t="str">
        <f>"DNS-server"&amp;IF($B$65&lt;&gt;""," ("&amp;$B$65&amp;")",)</f>
        <v>DNS-server ({dns-server})</v>
      </c>
      <c r="C189" t="s">
        <v>227</v>
      </c>
      <c r="D189" s="32">
        <v>53</v>
      </c>
      <c r="E189" t="s">
        <v>229</v>
      </c>
    </row>
    <row r="190" spans="1:5" hidden="1" outlineLevel="1" x14ac:dyDescent="0.25">
      <c r="A190" t="str">
        <f>"CMX"&amp;IF($B$160&lt;&gt;""," ("&amp;$B$160&amp;")",)</f>
        <v>CMX</v>
      </c>
      <c r="B190" t="str">
        <f>"DNS-server"&amp;IF($B$65&lt;&gt;""," ("&amp;$B$65&amp;")",)</f>
        <v>DNS-server ({dns-server})</v>
      </c>
      <c r="C190" t="s">
        <v>227</v>
      </c>
      <c r="D190" s="32">
        <v>53</v>
      </c>
      <c r="E190" t="s">
        <v>229</v>
      </c>
    </row>
    <row r="191" spans="1:5" hidden="1" outlineLevel="1" x14ac:dyDescent="0.25">
      <c r="A191" t="str">
        <f>"CPI"&amp;IF($B$140&lt;&gt;""," ("&amp;$B$140&amp;")",)</f>
        <v>CPI ({CPI IP})</v>
      </c>
      <c r="B191" t="str">
        <f>"DNS-server"&amp;IF($B$65&lt;&gt;""," ("&amp;$B$65&amp;")",)</f>
        <v>DNS-server ({dns-server})</v>
      </c>
      <c r="C191" t="s">
        <v>227</v>
      </c>
      <c r="D191" s="32">
        <v>53</v>
      </c>
      <c r="E191" t="s">
        <v>229</v>
      </c>
    </row>
    <row r="192" spans="1:5" hidden="1" outlineLevel="1" x14ac:dyDescent="0.25">
      <c r="A192" t="s">
        <v>219</v>
      </c>
      <c r="B192" t="s">
        <v>230</v>
      </c>
      <c r="C192" t="s">
        <v>231</v>
      </c>
      <c r="D192" s="32">
        <v>68</v>
      </c>
      <c r="E192" t="s">
        <v>232</v>
      </c>
    </row>
    <row r="193" spans="1:5" hidden="1" outlineLevel="1" x14ac:dyDescent="0.25">
      <c r="A193" t="str">
        <f>"WLC"&amp;IF($B$37&lt;&gt;""," ("&amp;$B$37&amp;IF($C$37&lt;&gt;"","/"&amp;$C$37,)&amp;")",)</f>
        <v>WLC ({wlc1-ipv4}/{wlc2-ipv4})</v>
      </c>
      <c r="B193" t="str">
        <f>"CPI"&amp;IF($B$140&lt;&gt;""," ("&amp;$B$140&amp;")",)</f>
        <v>CPI ({CPI IP})</v>
      </c>
      <c r="C193" t="s">
        <v>231</v>
      </c>
      <c r="D193" s="32">
        <v>69</v>
      </c>
      <c r="E193" t="s">
        <v>233</v>
      </c>
    </row>
    <row r="194" spans="1:5" hidden="1" outlineLevel="1" x14ac:dyDescent="0.25">
      <c r="A194" t="str">
        <f>"CMX"&amp;IF($B$160&lt;&gt;""," ("&amp;$B$160&amp;")",)</f>
        <v>CMX</v>
      </c>
      <c r="B194" t="str">
        <f>"CPI"&amp;IF($B$140&lt;&gt;""," ("&amp;$B$140&amp;")",)</f>
        <v>CPI ({CPI IP})</v>
      </c>
      <c r="C194" t="s">
        <v>231</v>
      </c>
      <c r="D194" s="32">
        <v>69</v>
      </c>
      <c r="E194" t="s">
        <v>233</v>
      </c>
    </row>
    <row r="195" spans="1:5" hidden="1" outlineLevel="1" x14ac:dyDescent="0.25">
      <c r="A195" t="str">
        <f>"Jumpstation"&amp;IF($B$59&lt;&gt;""," ("&amp;$B$59&amp;")",)</f>
        <v>Jumpstation</v>
      </c>
      <c r="B195" t="str">
        <f>"WLC"&amp;IF($B$37&lt;&gt;""," ("&amp;$B$37&amp;IF($C$37&lt;&gt;"","/"&amp;$C$37,)&amp;")",)</f>
        <v>WLC ({wlc1-ipv4}/{wlc2-ipv4})</v>
      </c>
      <c r="C195" t="s">
        <v>223</v>
      </c>
      <c r="D195" s="32">
        <v>80</v>
      </c>
      <c r="E195" t="s">
        <v>234</v>
      </c>
    </row>
    <row r="196" spans="1:5" hidden="1" outlineLevel="1" x14ac:dyDescent="0.25">
      <c r="A196" t="str">
        <f>"Jumpstation"&amp;IF($B$59&lt;&gt;""," ("&amp;$B$59&amp;")",)</f>
        <v>Jumpstation</v>
      </c>
      <c r="B196" t="str">
        <f>"CPI"&amp;IF($B$140&lt;&gt;""," ("&amp;$B$140&amp;")",)</f>
        <v>CPI ({CPI IP})</v>
      </c>
      <c r="C196" t="s">
        <v>223</v>
      </c>
      <c r="D196" s="32">
        <v>80</v>
      </c>
      <c r="E196" t="s">
        <v>234</v>
      </c>
    </row>
    <row r="197" spans="1:5" hidden="1" outlineLevel="1" x14ac:dyDescent="0.25">
      <c r="A197" t="str">
        <f>"Jumpstation"&amp;IF($B$59&lt;&gt;""," ("&amp;$B$59&amp;")",)</f>
        <v>Jumpstation</v>
      </c>
      <c r="B197" t="str">
        <f>"CMX"&amp;IF($B$160&lt;&gt;""," ("&amp;$B$160&amp;")",)</f>
        <v>CMX</v>
      </c>
      <c r="C197" t="s">
        <v>223</v>
      </c>
      <c r="D197" s="32">
        <v>80</v>
      </c>
      <c r="E197" t="s">
        <v>234</v>
      </c>
    </row>
    <row r="198" spans="1:5" hidden="1" outlineLevel="1" x14ac:dyDescent="0.25">
      <c r="A198" t="str">
        <f>"CPI"&amp;IF($B$140&lt;&gt;""," ("&amp;$B$140&amp;")",)</f>
        <v>CPI ({CPI IP})</v>
      </c>
      <c r="B198" t="str">
        <f>"CMX"&amp;IF($B$160&lt;&gt;""," ("&amp;$B$160&amp;")",)</f>
        <v>CMX</v>
      </c>
      <c r="C198" t="s">
        <v>223</v>
      </c>
      <c r="D198" s="32">
        <v>80</v>
      </c>
      <c r="E198" t="s">
        <v>234</v>
      </c>
    </row>
    <row r="199" spans="1:5" hidden="1" outlineLevel="1" x14ac:dyDescent="0.25">
      <c r="A199" t="str">
        <f>"WLC"&amp;IF($B$37&lt;&gt;""," ("&amp;$B$37&amp;IF($C$37&lt;&gt;"","/"&amp;$C$37,)&amp;")",)</f>
        <v>WLC ({wlc1-ipv4}/{wlc2-ipv4})</v>
      </c>
      <c r="B199" t="s">
        <v>235</v>
      </c>
      <c r="C199" t="s">
        <v>223</v>
      </c>
      <c r="D199" s="32">
        <v>80</v>
      </c>
      <c r="E199" t="s">
        <v>234</v>
      </c>
    </row>
    <row r="200" spans="1:5" hidden="1" outlineLevel="1" x14ac:dyDescent="0.25">
      <c r="A200" t="str">
        <f>"CMX"&amp;IF($B$160&lt;&gt;""," ("&amp;$B$160&amp;")",)</f>
        <v>CMX</v>
      </c>
      <c r="B200" t="s">
        <v>235</v>
      </c>
      <c r="C200" t="s">
        <v>223</v>
      </c>
      <c r="D200" s="32">
        <v>80</v>
      </c>
      <c r="E200" t="s">
        <v>234</v>
      </c>
    </row>
    <row r="201" spans="1:5" hidden="1" outlineLevel="1" x14ac:dyDescent="0.25">
      <c r="A201" t="str">
        <f>"CPI"&amp;IF($B$140&lt;&gt;""," ("&amp;$B$140&amp;")",)</f>
        <v>CPI ({CPI IP})</v>
      </c>
      <c r="B201" t="s">
        <v>235</v>
      </c>
      <c r="C201" t="s">
        <v>223</v>
      </c>
      <c r="D201" s="32">
        <v>80</v>
      </c>
      <c r="E201" t="s">
        <v>234</v>
      </c>
    </row>
    <row r="202" spans="1:5" hidden="1" outlineLevel="1" x14ac:dyDescent="0.25">
      <c r="A202" t="str">
        <f>"WLC"&amp;IF($B$37&lt;&gt;""," ("&amp;$B$37&amp;IF($C$37&lt;&gt;"","/"&amp;$C$37,)&amp;")",)</f>
        <v>WLC ({wlc1-ipv4}/{wlc2-ipv4})</v>
      </c>
      <c r="B202" t="str">
        <f>"NTP-server"&amp;IF($B$64&lt;&gt;""," ("&amp;$B$64&amp;")",)</f>
        <v>NTP-server ({ntp-server1},{ntp-server2})</v>
      </c>
      <c r="C202" t="s">
        <v>231</v>
      </c>
      <c r="D202" s="32">
        <v>123</v>
      </c>
      <c r="E202" t="s">
        <v>236</v>
      </c>
    </row>
    <row r="203" spans="1:5" hidden="1" outlineLevel="1" x14ac:dyDescent="0.25">
      <c r="A203" t="str">
        <f>"CMX"&amp;IF($B$160&lt;&gt;""," ("&amp;$B$160&amp;")",)</f>
        <v>CMX</v>
      </c>
      <c r="B203" t="str">
        <f>"NTP-server"&amp;IF($B$64&lt;&gt;""," ("&amp;$B$64&amp;")",)</f>
        <v>NTP-server ({ntp-server1},{ntp-server2})</v>
      </c>
      <c r="C203" t="s">
        <v>231</v>
      </c>
      <c r="D203" s="32">
        <v>123</v>
      </c>
      <c r="E203" t="s">
        <v>236</v>
      </c>
    </row>
    <row r="204" spans="1:5" hidden="1" outlineLevel="1" x14ac:dyDescent="0.25">
      <c r="A204" t="str">
        <f>"CPI"&amp;IF($B$140&lt;&gt;""," ("&amp;$B$140&amp;")",)</f>
        <v>CPI ({CPI IP})</v>
      </c>
      <c r="B204" t="str">
        <f>"NTP-server"&amp;IF($B$64&lt;&gt;""," ("&amp;$B$64&amp;")",)</f>
        <v>NTP-server ({ntp-server1},{ntp-server2})</v>
      </c>
      <c r="C204" t="s">
        <v>231</v>
      </c>
      <c r="D204" s="32">
        <v>123</v>
      </c>
      <c r="E204" t="s">
        <v>236</v>
      </c>
    </row>
    <row r="205" spans="1:5" outlineLevel="1" x14ac:dyDescent="0.25">
      <c r="A205" t="s">
        <v>618</v>
      </c>
      <c r="B205" t="s">
        <v>620</v>
      </c>
      <c r="C205" t="s">
        <v>223</v>
      </c>
      <c r="D205" s="32">
        <v>143</v>
      </c>
      <c r="E205" t="s">
        <v>619</v>
      </c>
    </row>
    <row r="206" spans="1:5" outlineLevel="1" x14ac:dyDescent="0.25">
      <c r="A206" t="s">
        <v>618</v>
      </c>
      <c r="B206" t="s">
        <v>625</v>
      </c>
      <c r="C206" t="s">
        <v>223</v>
      </c>
      <c r="D206" s="32">
        <v>143</v>
      </c>
      <c r="E206" t="s">
        <v>622</v>
      </c>
    </row>
    <row r="207" spans="1:5" outlineLevel="1" x14ac:dyDescent="0.25">
      <c r="A207" t="s">
        <v>618</v>
      </c>
      <c r="B207" t="s">
        <v>624</v>
      </c>
      <c r="C207" t="s">
        <v>223</v>
      </c>
      <c r="D207" s="32">
        <v>143</v>
      </c>
      <c r="E207" t="s">
        <v>623</v>
      </c>
    </row>
    <row r="208" spans="1:5" hidden="1" outlineLevel="1" x14ac:dyDescent="0.25">
      <c r="A208" t="str">
        <f>"CPI"&amp;IF($B$140&lt;&gt;""," ("&amp;$B$140&amp;")",)</f>
        <v>CPI ({CPI IP})</v>
      </c>
      <c r="B208" t="str">
        <f>"WLC"&amp;IF($B$37&lt;&gt;""," ("&amp;$B$37&amp;IF($C$37&lt;&gt;"","/"&amp;$C$37,)&amp;")",)</f>
        <v>WLC ({wlc1-ipv4}/{wlc2-ipv4})</v>
      </c>
      <c r="C208" t="s">
        <v>231</v>
      </c>
      <c r="D208" s="32">
        <v>161</v>
      </c>
      <c r="E208" t="s">
        <v>237</v>
      </c>
    </row>
    <row r="209" spans="1:5" hidden="1" outlineLevel="1" x14ac:dyDescent="0.25">
      <c r="A209" t="str">
        <f>"CPI"&amp;IF($B$140&lt;&gt;""," ("&amp;$B$140&amp;")",)</f>
        <v>CPI ({CPI IP})</v>
      </c>
      <c r="B209" t="str">
        <f>"CMX"&amp;IF($B$160&lt;&gt;""," ("&amp;$B$160&amp;")",)</f>
        <v>CMX</v>
      </c>
      <c r="C209" t="s">
        <v>231</v>
      </c>
      <c r="D209" s="32">
        <v>161</v>
      </c>
      <c r="E209" t="s">
        <v>237</v>
      </c>
    </row>
    <row r="210" spans="1:5" hidden="1" outlineLevel="1" x14ac:dyDescent="0.25">
      <c r="A210" t="str">
        <f>"WLC"&amp;IF($B$37&lt;&gt;""," ("&amp;$B$37&amp;IF($C$37&lt;&gt;"","/"&amp;$C$37,)&amp;")",)</f>
        <v>WLC ({wlc1-ipv4}/{wlc2-ipv4})</v>
      </c>
      <c r="B210" t="str">
        <f>"CPI"&amp;IF($B$140&lt;&gt;""," ("&amp;$B$140&amp;")",)</f>
        <v>CPI ({CPI IP})</v>
      </c>
      <c r="C210" t="s">
        <v>231</v>
      </c>
      <c r="D210" s="32">
        <v>162</v>
      </c>
      <c r="E210" t="s">
        <v>238</v>
      </c>
    </row>
    <row r="211" spans="1:5" hidden="1" outlineLevel="1" x14ac:dyDescent="0.25">
      <c r="A211" t="str">
        <f>"CMX"&amp;IF($B$160&lt;&gt;""," ("&amp;$B$160&amp;")",)</f>
        <v>CMX</v>
      </c>
      <c r="B211" t="str">
        <f>"CPI"&amp;IF($B$140&lt;&gt;""," ("&amp;$B$140&amp;")",)</f>
        <v>CPI ({CPI IP})</v>
      </c>
      <c r="C211" t="s">
        <v>231</v>
      </c>
      <c r="D211" s="32">
        <v>162</v>
      </c>
      <c r="E211" t="s">
        <v>238</v>
      </c>
    </row>
    <row r="212" spans="1:5" hidden="1" outlineLevel="1" x14ac:dyDescent="0.25">
      <c r="A212" t="str">
        <f>"Jumpstation"&amp;IF($B$59&lt;&gt;""," ("&amp;$B$59&amp;")",)</f>
        <v>Jumpstation</v>
      </c>
      <c r="B212" t="str">
        <f>"WLC"&amp;IF($B$37&lt;&gt;""," ("&amp;$B$37&amp;IF($C$37&lt;&gt;"","/"&amp;$C$37,)&amp;")",)</f>
        <v>WLC ({wlc1-ipv4}/{wlc2-ipv4})</v>
      </c>
      <c r="C212" t="s">
        <v>223</v>
      </c>
      <c r="D212" s="32">
        <v>443</v>
      </c>
      <c r="E212" t="s">
        <v>239</v>
      </c>
    </row>
    <row r="213" spans="1:5" hidden="1" outlineLevel="1" x14ac:dyDescent="0.25">
      <c r="A213" t="str">
        <f>"Jumpstation"&amp;IF($B$59&lt;&gt;""," ("&amp;$B$59&amp;")",)</f>
        <v>Jumpstation</v>
      </c>
      <c r="B213" t="str">
        <f>"CMX"&amp;IF($B$160&lt;&gt;""," ("&amp;$B$160&amp;")",)</f>
        <v>CMX</v>
      </c>
      <c r="C213" t="s">
        <v>223</v>
      </c>
      <c r="D213" s="32">
        <v>443</v>
      </c>
      <c r="E213" t="s">
        <v>239</v>
      </c>
    </row>
    <row r="214" spans="1:5" hidden="1" outlineLevel="1" x14ac:dyDescent="0.25">
      <c r="A214" t="str">
        <f>"Jumpstation"&amp;IF($B$59&lt;&gt;""," ("&amp;$B$59&amp;")",)</f>
        <v>Jumpstation</v>
      </c>
      <c r="B214" t="str">
        <f>"CPI"&amp;IF($B$140&lt;&gt;""," ("&amp;$B$140&amp;")",)</f>
        <v>CPI ({CPI IP})</v>
      </c>
      <c r="C214" t="s">
        <v>223</v>
      </c>
      <c r="D214" s="32">
        <v>443</v>
      </c>
      <c r="E214" t="s">
        <v>239</v>
      </c>
    </row>
    <row r="215" spans="1:5" hidden="1" outlineLevel="1" x14ac:dyDescent="0.25">
      <c r="A215" t="str">
        <f>"CPI"&amp;IF($B$140&lt;&gt;""," ("&amp;$B$140&amp;")",)</f>
        <v>CPI ({CPI IP})</v>
      </c>
      <c r="B215" t="str">
        <f>"CMX"&amp;IF($B$160&lt;&gt;""," ("&amp;$B$160&amp;")",)</f>
        <v>CMX</v>
      </c>
      <c r="C215" t="s">
        <v>223</v>
      </c>
      <c r="D215" s="32">
        <v>443</v>
      </c>
      <c r="E215" t="s">
        <v>239</v>
      </c>
    </row>
    <row r="216" spans="1:5" hidden="1" outlineLevel="1" x14ac:dyDescent="0.25">
      <c r="A216" t="str">
        <f>"CPI"&amp;IF($B$140&lt;&gt;""," ("&amp;$B$140&amp;")",)</f>
        <v>CPI ({CPI IP})</v>
      </c>
      <c r="B216" t="str">
        <f>"CMX"&amp;IF($B$160&lt;&gt;""," ("&amp;$B$160&amp;")",)</f>
        <v>CMX</v>
      </c>
      <c r="C216" t="s">
        <v>223</v>
      </c>
      <c r="D216" s="32">
        <v>443</v>
      </c>
      <c r="E216" t="s">
        <v>240</v>
      </c>
    </row>
    <row r="217" spans="1:5" hidden="1" outlineLevel="1" x14ac:dyDescent="0.25">
      <c r="A217" t="str">
        <f>"WLC"&amp;IF($B$37&lt;&gt;""," ("&amp;$B$37&amp;IF($C$37&lt;&gt;"","/"&amp;$C$37,)&amp;")",)</f>
        <v>WLC ({wlc1-ipv4}/{wlc2-ipv4})</v>
      </c>
      <c r="B217" t="s">
        <v>235</v>
      </c>
      <c r="C217" t="s">
        <v>223</v>
      </c>
      <c r="D217" s="32">
        <v>443</v>
      </c>
      <c r="E217" t="s">
        <v>239</v>
      </c>
    </row>
    <row r="218" spans="1:5" hidden="1" outlineLevel="1" x14ac:dyDescent="0.25">
      <c r="A218" t="str">
        <f>"CMX"&amp;IF($B$160&lt;&gt;""," ("&amp;$B$160&amp;")",)</f>
        <v>CMX</v>
      </c>
      <c r="B218" t="s">
        <v>235</v>
      </c>
      <c r="C218" t="s">
        <v>223</v>
      </c>
      <c r="D218" s="32">
        <v>443</v>
      </c>
      <c r="E218" t="s">
        <v>239</v>
      </c>
    </row>
    <row r="219" spans="1:5" hidden="1" outlineLevel="1" x14ac:dyDescent="0.25">
      <c r="A219" t="str">
        <f>"CPI"&amp;IF($B$140&lt;&gt;""," ("&amp;$B$140&amp;")",)</f>
        <v>CPI ({CPI IP})</v>
      </c>
      <c r="B219" t="s">
        <v>235</v>
      </c>
      <c r="C219" t="s">
        <v>223</v>
      </c>
      <c r="D219" s="32">
        <v>443</v>
      </c>
      <c r="E219" t="s">
        <v>239</v>
      </c>
    </row>
    <row r="220" spans="1:5" outlineLevel="1" x14ac:dyDescent="0.25">
      <c r="A220" t="s">
        <v>618</v>
      </c>
      <c r="B220" t="s">
        <v>620</v>
      </c>
      <c r="C220" t="s">
        <v>231</v>
      </c>
      <c r="D220" s="32">
        <v>500</v>
      </c>
      <c r="E220" t="s">
        <v>619</v>
      </c>
    </row>
    <row r="221" spans="1:5" outlineLevel="1" x14ac:dyDescent="0.25">
      <c r="A221" t="s">
        <v>618</v>
      </c>
      <c r="B221" t="s">
        <v>625</v>
      </c>
      <c r="C221" t="s">
        <v>231</v>
      </c>
      <c r="D221" s="32">
        <v>500</v>
      </c>
      <c r="E221" t="s">
        <v>622</v>
      </c>
    </row>
    <row r="222" spans="1:5" outlineLevel="1" x14ac:dyDescent="0.25">
      <c r="A222" t="s">
        <v>618</v>
      </c>
      <c r="B222" t="s">
        <v>624</v>
      </c>
      <c r="C222" t="s">
        <v>231</v>
      </c>
      <c r="D222" s="32">
        <v>500</v>
      </c>
      <c r="E222" t="s">
        <v>623</v>
      </c>
    </row>
    <row r="223" spans="1:5" hidden="1" outlineLevel="1" x14ac:dyDescent="0.25">
      <c r="A223" t="str">
        <f>"WLC"&amp;IF($B$37&lt;&gt;""," ("&amp;$B$37&amp;IF($C$37&lt;&gt;"","/"&amp;$C$37,)&amp;")",)</f>
        <v>WLC ({wlc1-ipv4}/{wlc2-ipv4})</v>
      </c>
      <c r="B223" t="s">
        <v>32</v>
      </c>
      <c r="C223" t="s">
        <v>231</v>
      </c>
      <c r="D223" s="32">
        <v>514</v>
      </c>
      <c r="E223" t="s">
        <v>179</v>
      </c>
    </row>
    <row r="224" spans="1:5" hidden="1" outlineLevel="1" x14ac:dyDescent="0.25">
      <c r="A224" t="s">
        <v>219</v>
      </c>
      <c r="B224" t="s">
        <v>32</v>
      </c>
      <c r="C224" t="s">
        <v>231</v>
      </c>
      <c r="D224" s="32">
        <v>514</v>
      </c>
      <c r="E224" t="s">
        <v>179</v>
      </c>
    </row>
    <row r="225" spans="1:5" hidden="1" outlineLevel="1" x14ac:dyDescent="0.25">
      <c r="A225" t="str">
        <f>"CPI"&amp;IF($B$140&lt;&gt;""," ("&amp;$B$140&amp;")",)</f>
        <v>CPI ({CPI IP})</v>
      </c>
      <c r="B225" t="str">
        <f>"WLC"&amp;IF($B$37&lt;&gt;""," ("&amp;$B$37&amp;IF($C$37&lt;&gt;"","/"&amp;$C$37,)&amp;")",)</f>
        <v>WLC ({wlc1-ipv4}/{wlc2-ipv4})</v>
      </c>
      <c r="C225" t="s">
        <v>223</v>
      </c>
      <c r="D225" s="32">
        <v>830</v>
      </c>
      <c r="E225" t="s">
        <v>378</v>
      </c>
    </row>
    <row r="226" spans="1:5" hidden="1" outlineLevel="1" x14ac:dyDescent="0.25">
      <c r="A226" t="e">
        <f>"ISE"&amp;IF($B$72&lt;&gt;""," ("&amp;$B$72&amp;IF(#REF!&lt;&gt;"","/"&amp;#REF!,)&amp;")",)</f>
        <v>#REF!</v>
      </c>
      <c r="B226" t="str">
        <f>"WLC"&amp;IF($B$37&lt;&gt;""," ("&amp;$B$37&amp;IF($C$37&lt;&gt;"","/"&amp;$C$37,)&amp;")",)</f>
        <v>WLC ({wlc1-ipv4}/{wlc2-ipv4})</v>
      </c>
      <c r="C226" t="s">
        <v>231</v>
      </c>
      <c r="D226" s="32">
        <v>1700</v>
      </c>
      <c r="E226" t="s">
        <v>361</v>
      </c>
    </row>
    <row r="227" spans="1:5" hidden="1" outlineLevel="1" x14ac:dyDescent="0.25">
      <c r="A227" t="str">
        <f t="shared" ref="A227:A233" si="2">"WLC"&amp;IF($B$37&lt;&gt;""," ("&amp;$B$37&amp;IF($C$37&lt;&gt;"","/"&amp;$C$37,)&amp;")",)</f>
        <v>WLC ({wlc1-ipv4}/{wlc2-ipv4})</v>
      </c>
      <c r="B227" t="e">
        <f>"SkyLabs "&amp;IF(#REF!&lt;&gt;""," ("&amp;#REF!&amp;")",)</f>
        <v>#REF!</v>
      </c>
      <c r="C227" t="s">
        <v>231</v>
      </c>
      <c r="D227" s="32">
        <v>1812</v>
      </c>
      <c r="E227" t="s">
        <v>241</v>
      </c>
    </row>
    <row r="228" spans="1:5" hidden="1" outlineLevel="1" x14ac:dyDescent="0.25">
      <c r="A228" t="str">
        <f t="shared" si="2"/>
        <v>WLC ({wlc1-ipv4}/{wlc2-ipv4})</v>
      </c>
      <c r="B228" t="str">
        <f>"DNA-Spaces "&amp;IF($B$74&lt;&gt;""," ("&amp;$B$74&amp;IF($B$75&lt;&gt;"","/"&amp;$B$75,)&amp;")",)</f>
        <v>DNA-Spaces  (52.51.31.103/34.241.1.84)</v>
      </c>
      <c r="C228" t="s">
        <v>231</v>
      </c>
      <c r="D228" s="32">
        <v>1812</v>
      </c>
      <c r="E228" t="s">
        <v>241</v>
      </c>
    </row>
    <row r="229" spans="1:5" hidden="1" outlineLevel="1" x14ac:dyDescent="0.25">
      <c r="A229" t="str">
        <f t="shared" si="2"/>
        <v>WLC ({wlc1-ipv4}/{wlc2-ipv4})</v>
      </c>
      <c r="B229" t="e">
        <f>"ISE"&amp;IF($B$72&lt;&gt;""," ("&amp;$B$72&amp;IF(#REF!&lt;&gt;"","/"&amp;#REF!,)&amp;")",)</f>
        <v>#REF!</v>
      </c>
      <c r="C229" t="s">
        <v>231</v>
      </c>
      <c r="D229" s="32">
        <v>1812</v>
      </c>
      <c r="E229" t="s">
        <v>241</v>
      </c>
    </row>
    <row r="230" spans="1:5" hidden="1" outlineLevel="1" x14ac:dyDescent="0.25">
      <c r="A230" t="str">
        <f t="shared" si="2"/>
        <v>WLC ({wlc1-ipv4}/{wlc2-ipv4})</v>
      </c>
      <c r="B230" t="e">
        <f>"SkyLabs "&amp;IF(#REF!&lt;&gt;""," ("&amp;#REF!&amp;")",)</f>
        <v>#REF!</v>
      </c>
      <c r="C230" t="s">
        <v>231</v>
      </c>
      <c r="D230" s="32">
        <v>1813</v>
      </c>
      <c r="E230" t="s">
        <v>242</v>
      </c>
    </row>
    <row r="231" spans="1:5" hidden="1" outlineLevel="1" x14ac:dyDescent="0.25">
      <c r="A231" t="str">
        <f t="shared" si="2"/>
        <v>WLC ({wlc1-ipv4}/{wlc2-ipv4})</v>
      </c>
      <c r="B231" t="str">
        <f>"DNA-Spaces "&amp;IF($B$74&lt;&gt;""," ("&amp;$B$74&amp;IF($B$75&lt;&gt;"","/"&amp;$B$75,)&amp;")",)</f>
        <v>DNA-Spaces  (52.51.31.103/34.241.1.84)</v>
      </c>
      <c r="C231" t="s">
        <v>231</v>
      </c>
      <c r="D231" s="32">
        <v>1813</v>
      </c>
      <c r="E231" t="s">
        <v>242</v>
      </c>
    </row>
    <row r="232" spans="1:5" hidden="1" outlineLevel="1" x14ac:dyDescent="0.25">
      <c r="A232" t="str">
        <f t="shared" si="2"/>
        <v>WLC ({wlc1-ipv4}/{wlc2-ipv4})</v>
      </c>
      <c r="B232" t="e">
        <f>"ISE"&amp;IF($B$72&lt;&gt;""," ("&amp;$B$72&amp;IF(#REF!&lt;&gt;"","/"&amp;#REF!,)&amp;")",)</f>
        <v>#REF!</v>
      </c>
      <c r="C232" t="s">
        <v>231</v>
      </c>
      <c r="D232" s="32">
        <v>1813</v>
      </c>
      <c r="E232" t="s">
        <v>242</v>
      </c>
    </row>
    <row r="233" spans="1:5" hidden="1" outlineLevel="1" x14ac:dyDescent="0.25">
      <c r="A233" t="str">
        <f t="shared" si="2"/>
        <v>WLC ({wlc1-ipv4}/{wlc2-ipv4})</v>
      </c>
      <c r="B233" t="str">
        <f>"CMX"&amp;IF($B$160&lt;&gt;""," ("&amp;$B$160&amp;")",)</f>
        <v>CMX</v>
      </c>
      <c r="C233" t="s">
        <v>231</v>
      </c>
      <c r="D233" s="32">
        <v>2003</v>
      </c>
      <c r="E233" t="s">
        <v>243</v>
      </c>
    </row>
    <row r="234" spans="1:5" outlineLevel="1" x14ac:dyDescent="0.25">
      <c r="A234" t="s">
        <v>618</v>
      </c>
      <c r="B234" t="s">
        <v>620</v>
      </c>
      <c r="C234" t="s">
        <v>231</v>
      </c>
      <c r="D234" s="32">
        <v>4500</v>
      </c>
      <c r="E234" t="s">
        <v>619</v>
      </c>
    </row>
    <row r="235" spans="1:5" outlineLevel="1" x14ac:dyDescent="0.25">
      <c r="A235" t="s">
        <v>618</v>
      </c>
      <c r="B235" t="s">
        <v>625</v>
      </c>
      <c r="C235" t="s">
        <v>231</v>
      </c>
      <c r="D235" s="32">
        <v>4500</v>
      </c>
      <c r="E235" t="s">
        <v>622</v>
      </c>
    </row>
    <row r="236" spans="1:5" outlineLevel="1" x14ac:dyDescent="0.25">
      <c r="A236" t="s">
        <v>618</v>
      </c>
      <c r="B236" t="s">
        <v>624</v>
      </c>
      <c r="C236" t="s">
        <v>231</v>
      </c>
      <c r="D236" s="32">
        <v>4500</v>
      </c>
      <c r="E236" t="s">
        <v>623</v>
      </c>
    </row>
    <row r="237" spans="1:5" hidden="1" outlineLevel="1" x14ac:dyDescent="0.25">
      <c r="A237" t="s">
        <v>618</v>
      </c>
      <c r="B237" t="s">
        <v>620</v>
      </c>
      <c r="C237" t="s">
        <v>227</v>
      </c>
      <c r="D237" s="32">
        <v>5061</v>
      </c>
      <c r="E237" t="s">
        <v>621</v>
      </c>
    </row>
    <row r="238" spans="1:5" hidden="1" outlineLevel="1" x14ac:dyDescent="0.25">
      <c r="A238" t="s">
        <v>219</v>
      </c>
      <c r="B238" t="str">
        <f>"WLC"&amp;IF($B$37&lt;&gt;""," ("&amp;$B$37&amp;IF($C$37&lt;&gt;"","/"&amp;$C$37,)&amp;")",)</f>
        <v>WLC ({wlc1-ipv4}/{wlc2-ipv4})</v>
      </c>
      <c r="C238" t="s">
        <v>231</v>
      </c>
      <c r="D238" s="32">
        <v>5246</v>
      </c>
      <c r="E238" t="s">
        <v>244</v>
      </c>
    </row>
    <row r="239" spans="1:5" hidden="1" outlineLevel="1" x14ac:dyDescent="0.25">
      <c r="A239" t="str">
        <f>"WLC"&amp;IF($B$37&lt;&gt;""," ("&amp;$B$37&amp;IF($C$37&lt;&gt;"","/"&amp;$C$37,)&amp;")",)</f>
        <v>WLC ({wlc1-ipv4}/{wlc2-ipv4})</v>
      </c>
      <c r="B239" t="str">
        <f>"WLC"&amp;IF($B$37&lt;&gt;""," ("&amp;$B$37&amp;IF($C$37&lt;&gt;"","/"&amp;$C$37,)&amp;")",)</f>
        <v>WLC ({wlc1-ipv4}/{wlc2-ipv4})</v>
      </c>
      <c r="C239" t="s">
        <v>231</v>
      </c>
      <c r="D239" s="32">
        <v>5246</v>
      </c>
      <c r="E239" t="s">
        <v>244</v>
      </c>
    </row>
    <row r="240" spans="1:5" hidden="1" outlineLevel="1" x14ac:dyDescent="0.25">
      <c r="A240" t="s">
        <v>219</v>
      </c>
      <c r="B240" t="str">
        <f>"WLC"&amp;IF($B$37&lt;&gt;""," ("&amp;$B$37&amp;IF($C$37&lt;&gt;"","/"&amp;$C$37,)&amp;")",)</f>
        <v>WLC ({wlc1-ipv4}/{wlc2-ipv4})</v>
      </c>
      <c r="C240" t="s">
        <v>231</v>
      </c>
      <c r="D240" s="32">
        <v>5247</v>
      </c>
      <c r="E240" t="s">
        <v>245</v>
      </c>
    </row>
    <row r="241" spans="1:5" hidden="1" outlineLevel="1" x14ac:dyDescent="0.25">
      <c r="A241" t="str">
        <f>"WLC"&amp;IF($B$37&lt;&gt;""," ("&amp;$B$37&amp;IF($C$37&lt;&gt;"","/"&amp;$C$37,)&amp;")",)</f>
        <v>WLC ({wlc1-ipv4}/{wlc2-ipv4})</v>
      </c>
      <c r="B241" t="str">
        <f>"WLC"&amp;IF($B$37&lt;&gt;""," ("&amp;$B$37&amp;IF($C$37&lt;&gt;"","/"&amp;$C$37,)&amp;")",)</f>
        <v>WLC ({wlc1-ipv4}/{wlc2-ipv4})</v>
      </c>
      <c r="C241" t="s">
        <v>231</v>
      </c>
      <c r="D241" s="32">
        <v>5247</v>
      </c>
      <c r="E241" t="s">
        <v>245</v>
      </c>
    </row>
    <row r="242" spans="1:5" hidden="1" outlineLevel="1" x14ac:dyDescent="0.25">
      <c r="A242" t="str">
        <f>"WLC"&amp;IF($B$37&lt;&gt;""," ("&amp;$B$37&amp;IF($C$37&lt;&gt;"","/"&amp;$C$37,)&amp;")",)</f>
        <v>WLC ({wlc1-ipv4}/{wlc2-ipv4})</v>
      </c>
      <c r="B242" t="s">
        <v>219</v>
      </c>
      <c r="C242" t="s">
        <v>231</v>
      </c>
      <c r="D242" s="32">
        <v>5248</v>
      </c>
      <c r="E242" t="s">
        <v>246</v>
      </c>
    </row>
    <row r="243" spans="1:5" hidden="1" outlineLevel="1" x14ac:dyDescent="0.25">
      <c r="A243" t="s">
        <v>219</v>
      </c>
      <c r="B243" t="str">
        <f>"WLC"&amp;IF($B$37&lt;&gt;""," ("&amp;$B$37&amp;IF($C$37&lt;&gt;"","/"&amp;$C$37,)&amp;")",)</f>
        <v>WLC ({wlc1-ipv4}/{wlc2-ipv4})</v>
      </c>
      <c r="C243" t="s">
        <v>231</v>
      </c>
      <c r="D243" s="32">
        <v>6352</v>
      </c>
      <c r="E243" t="s">
        <v>247</v>
      </c>
    </row>
    <row r="244" spans="1:5" hidden="1" outlineLevel="1" x14ac:dyDescent="0.25">
      <c r="A244" t="str">
        <f>"CPI"&amp;IF($B$140&lt;&gt;""," ("&amp;$B$140&amp;")",)</f>
        <v>CPI ({CPI IP})</v>
      </c>
      <c r="B244" t="str">
        <f>"CMX"&amp;IF($B$160&lt;&gt;""," ("&amp;$B$160&amp;")",)</f>
        <v>CMX</v>
      </c>
      <c r="C244" t="s">
        <v>223</v>
      </c>
      <c r="D244" s="32">
        <v>8001</v>
      </c>
      <c r="E244" t="s">
        <v>239</v>
      </c>
    </row>
    <row r="245" spans="1:5" hidden="1" outlineLevel="1" x14ac:dyDescent="0.25">
      <c r="A245" t="str">
        <f>"WLC"&amp;IF($B$37&lt;&gt;""," ("&amp;$B$37&amp;IF($C$37&lt;&gt;"","/"&amp;$C$37,)&amp;")",)</f>
        <v>WLC ({wlc1-ipv4}/{wlc2-ipv4})</v>
      </c>
      <c r="B245" t="str">
        <f>"CMX"&amp;IF($B$160&lt;&gt;""," ("&amp;$B$160&amp;")",)</f>
        <v>CMX</v>
      </c>
      <c r="C245" t="s">
        <v>223</v>
      </c>
      <c r="D245" s="32">
        <v>16113</v>
      </c>
      <c r="E245" t="s">
        <v>248</v>
      </c>
    </row>
    <row r="246" spans="1:5" hidden="1" outlineLevel="1" x14ac:dyDescent="0.25">
      <c r="A246" t="str">
        <f>"WLC"&amp;IF($B$37&lt;&gt;""," ("&amp;$B$37&amp;IF($C$37&lt;&gt;"","/"&amp;$C$37,)&amp;")",)</f>
        <v>WLC ({wlc1-ipv4}/{wlc2-ipv4})</v>
      </c>
      <c r="B246" t="str">
        <f>"WLC"&amp;IF($B$37&lt;&gt;""," ("&amp;$B$37&amp;IF($C$37&lt;&gt;"","/"&amp;$C$37,)&amp;")",)</f>
        <v>WLC ({wlc1-ipv4}/{wlc2-ipv4})</v>
      </c>
      <c r="C246" t="s">
        <v>231</v>
      </c>
      <c r="D246" s="32">
        <v>16666</v>
      </c>
      <c r="E246" t="s">
        <v>572</v>
      </c>
    </row>
    <row r="247" spans="1:5" hidden="1" outlineLevel="1" x14ac:dyDescent="0.25">
      <c r="A247" t="str">
        <f>"WLC"&amp;IF($B$37&lt;&gt;""," ("&amp;$B$37&amp;IF($C$37&lt;&gt;"","/"&amp;$C$37,)&amp;")",)</f>
        <v>WLC ({wlc1-ipv4}/{wlc2-ipv4})</v>
      </c>
      <c r="B247" t="str">
        <f>"WLC"&amp;IF($B$37&lt;&gt;""," ("&amp;$B$37&amp;IF($C$37&lt;&gt;"","/"&amp;$C$37,)&amp;")",)</f>
        <v>WLC ({wlc1-ipv4}/{wlc2-ipv4})</v>
      </c>
      <c r="C247" t="s">
        <v>231</v>
      </c>
      <c r="D247" s="32">
        <v>16667</v>
      </c>
      <c r="E247" t="s">
        <v>572</v>
      </c>
    </row>
    <row r="248" spans="1:5" hidden="1" outlineLevel="1" x14ac:dyDescent="0.25">
      <c r="A248" t="str">
        <f>"WLC"&amp;IF($B$37&lt;&gt;""," ("&amp;$B$37&amp;IF($C$37&lt;&gt;"","/"&amp;$C$37,)&amp;")",)</f>
        <v>WLC ({wlc1-ipv4}/{wlc2-ipv4})</v>
      </c>
      <c r="B248" t="str">
        <f>"CPI"&amp;IF($B$140&lt;&gt;""," ("&amp;$B$140&amp;")",)</f>
        <v>CPI ({CPI IP})</v>
      </c>
      <c r="C248" t="s">
        <v>223</v>
      </c>
      <c r="D248" s="32">
        <v>20830</v>
      </c>
      <c r="E248" t="s">
        <v>379</v>
      </c>
    </row>
    <row r="249" spans="1:5" hidden="1" outlineLevel="1" x14ac:dyDescent="0.25">
      <c r="A249" t="str">
        <f>"WLC"&amp;IF($B$37&lt;&gt;""," ("&amp;$B$37&amp;IF($C$37&lt;&gt;"","/"&amp;$C$37,)&amp;")",)</f>
        <v>WLC ({wlc1-ipv4}/{wlc2-ipv4})</v>
      </c>
      <c r="B249" t="str">
        <f>"CPI"&amp;IF($B$140&lt;&gt;""," ("&amp;$B$140&amp;")",)</f>
        <v>CPI ({CPI IP})</v>
      </c>
      <c r="C249" t="s">
        <v>231</v>
      </c>
      <c r="D249" s="32" t="s">
        <v>249</v>
      </c>
      <c r="E249" t="s">
        <v>250</v>
      </c>
    </row>
  </sheetData>
  <mergeCells count="21">
    <mergeCell ref="B62:C62"/>
    <mergeCell ref="B65:C65"/>
    <mergeCell ref="B67:C67"/>
    <mergeCell ref="B53:C53"/>
    <mergeCell ref="B66:C66"/>
    <mergeCell ref="A122:A124"/>
    <mergeCell ref="B2:C2"/>
    <mergeCell ref="B3:C3"/>
    <mergeCell ref="B4:C4"/>
    <mergeCell ref="B47:C47"/>
    <mergeCell ref="B68:C68"/>
    <mergeCell ref="B63:C63"/>
    <mergeCell ref="B64:C64"/>
    <mergeCell ref="B59:C59"/>
    <mergeCell ref="B48:C48"/>
    <mergeCell ref="B51:C51"/>
    <mergeCell ref="B56:C56"/>
    <mergeCell ref="B57:C57"/>
    <mergeCell ref="B41:C41"/>
    <mergeCell ref="B52:C52"/>
    <mergeCell ref="B58:C58"/>
  </mergeCells>
  <phoneticPr fontId="7" type="noConversion"/>
  <hyperlinks>
    <hyperlink ref="C95" r:id="rId1" xr:uid="{00000000-0004-0000-0000-000000000000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3"/>
  <sheetViews>
    <sheetView workbookViewId="0">
      <selection activeCell="A5" sqref="A5"/>
    </sheetView>
  </sheetViews>
  <sheetFormatPr defaultRowHeight="15" x14ac:dyDescent="0.25"/>
  <cols>
    <col min="1" max="1" width="133" customWidth="1"/>
    <col min="2" max="4" width="129.42578125" customWidth="1"/>
  </cols>
  <sheetData>
    <row r="1" spans="1:4" s="69" customFormat="1" ht="24" thickBot="1" x14ac:dyDescent="0.4">
      <c r="A1" s="68" t="s">
        <v>251</v>
      </c>
    </row>
    <row r="2" spans="1:4" s="47" customFormat="1" x14ac:dyDescent="0.25">
      <c r="A2" s="46" t="s">
        <v>252</v>
      </c>
      <c r="B2" s="47" t="s">
        <v>568</v>
      </c>
      <c r="C2" s="47" t="s">
        <v>568</v>
      </c>
      <c r="D2" s="47" t="s">
        <v>568</v>
      </c>
    </row>
    <row r="3" spans="1:4" s="45" customFormat="1" x14ac:dyDescent="0.25">
      <c r="A3" s="48" t="s">
        <v>253</v>
      </c>
      <c r="B3" s="48" t="s">
        <v>253</v>
      </c>
    </row>
    <row r="4" spans="1:4" s="45" customFormat="1" x14ac:dyDescent="0.25">
      <c r="A4" s="48" t="s">
        <v>254</v>
      </c>
      <c r="B4" s="48" t="s">
        <v>254</v>
      </c>
    </row>
    <row r="5" spans="1:4" s="45" customFormat="1" x14ac:dyDescent="0.25">
      <c r="A5" s="48" t="s">
        <v>255</v>
      </c>
      <c r="B5" s="48" t="s">
        <v>255</v>
      </c>
    </row>
    <row r="6" spans="1:4" s="45" customFormat="1" x14ac:dyDescent="0.25">
      <c r="A6" s="67" t="s">
        <v>443</v>
      </c>
      <c r="B6" s="67" t="s">
        <v>443</v>
      </c>
    </row>
    <row r="7" spans="1:4" s="45" customFormat="1" x14ac:dyDescent="0.25">
      <c r="A7" s="67" t="s">
        <v>444</v>
      </c>
      <c r="B7" s="67" t="s">
        <v>444</v>
      </c>
    </row>
    <row r="8" spans="1:4" s="45" customFormat="1" x14ac:dyDescent="0.25">
      <c r="A8" s="67" t="s">
        <v>426</v>
      </c>
      <c r="B8" s="67" t="s">
        <v>426</v>
      </c>
    </row>
    <row r="9" spans="1:4" s="45" customFormat="1" x14ac:dyDescent="0.25">
      <c r="A9" s="67" t="s">
        <v>445</v>
      </c>
      <c r="B9" s="67" t="s">
        <v>445</v>
      </c>
    </row>
    <row r="10" spans="1:4" s="45" customFormat="1" x14ac:dyDescent="0.25">
      <c r="A10" s="67" t="s">
        <v>426</v>
      </c>
      <c r="B10" s="67" t="s">
        <v>426</v>
      </c>
    </row>
    <row r="11" spans="1:4" s="45" customFormat="1" x14ac:dyDescent="0.25">
      <c r="A11" s="48" t="str">
        <f>"chassis 1 renumber "&amp;Design!B$34</f>
        <v>chassis 1 renumber 1</v>
      </c>
      <c r="B11" s="48" t="str">
        <f>"chassis 1 renumber "&amp;Design!C$34</f>
        <v>chassis 1 renumber 2</v>
      </c>
    </row>
    <row r="12" spans="1:4" s="45" customFormat="1" x14ac:dyDescent="0.25">
      <c r="A12" s="48" t="str">
        <f>"hostname "&amp;Design!B32</f>
        <v>hostname wlc1</v>
      </c>
      <c r="B12" s="48" t="str">
        <f>"hostname "&amp;Design!C32</f>
        <v>hostname wlc2</v>
      </c>
    </row>
    <row r="13" spans="1:4" s="45" customFormat="1" x14ac:dyDescent="0.25">
      <c r="A13" s="48" t="str">
        <f>"ip domain name "&amp;LOWER(Design!$B$2)&amp;".no"</f>
        <v>ip domain name customername.no</v>
      </c>
      <c r="B13" s="48" t="str">
        <f>"ip domain name "&amp;LOWER(Design!$B$2)&amp;".no"</f>
        <v>ip domain name customername.no</v>
      </c>
    </row>
    <row r="14" spans="1:4" s="45" customFormat="1" x14ac:dyDescent="0.25">
      <c r="A14" s="67" t="s">
        <v>446</v>
      </c>
      <c r="B14" s="67" t="s">
        <v>446</v>
      </c>
    </row>
    <row r="15" spans="1:4" s="45" customFormat="1" x14ac:dyDescent="0.25">
      <c r="A15" s="72">
        <v>4096</v>
      </c>
      <c r="B15" s="72">
        <v>4096</v>
      </c>
    </row>
    <row r="16" spans="1:4" s="45" customFormat="1" x14ac:dyDescent="0.25">
      <c r="A16" s="67" t="s">
        <v>439</v>
      </c>
      <c r="B16" s="67" t="s">
        <v>439</v>
      </c>
    </row>
    <row r="17" spans="1:2" s="45" customFormat="1" x14ac:dyDescent="0.25">
      <c r="A17" s="67" t="s">
        <v>442</v>
      </c>
      <c r="B17" s="67" t="s">
        <v>442</v>
      </c>
    </row>
    <row r="18" spans="1:2" s="45" customFormat="1" x14ac:dyDescent="0.25">
      <c r="A18" s="67" t="s">
        <v>439</v>
      </c>
      <c r="B18" s="67" t="s">
        <v>439</v>
      </c>
    </row>
    <row r="19" spans="1:2" s="45" customFormat="1" x14ac:dyDescent="0.25">
      <c r="A19" s="67" t="s">
        <v>441</v>
      </c>
      <c r="B19" s="67" t="s">
        <v>441</v>
      </c>
    </row>
    <row r="20" spans="1:2" s="45" customFormat="1" x14ac:dyDescent="0.25">
      <c r="A20" s="67" t="s">
        <v>440</v>
      </c>
      <c r="B20" s="67" t="s">
        <v>440</v>
      </c>
    </row>
    <row r="21" spans="1:2" s="45" customFormat="1" x14ac:dyDescent="0.25">
      <c r="A21" s="48" t="s">
        <v>439</v>
      </c>
      <c r="B21" s="48" t="s">
        <v>439</v>
      </c>
    </row>
    <row r="22" spans="1:2" s="45" customFormat="1" x14ac:dyDescent="0.25">
      <c r="A22" s="48" t="str">
        <f>"interface "&amp;IF(Design!B49="9800-CL",Design!$A$85,IF(Design!B49="9800-L",Design!$A$86,IF(Design!B49="9800-40",Design!$A$87,IF(Design!B49="9800-80",Design!$A$88,"Unknown model, check 'show interfaces'"))))</f>
        <v>interface Unknown model, check 'show interfaces'</v>
      </c>
      <c r="B22" s="48" t="str">
        <f>"interface "&amp;IF(Design!C49="9800-CL",Design!$A$85,IF(Design!C49="9800-L",Design!$A$86,IF(Design!C49="9800-40",Design!$A$87,IF(Design!C49="9800-80",Design!$A$88,"Unknown model, check 'show interfaces'"))))</f>
        <v>interface Unknown model, check 'show interfaces'</v>
      </c>
    </row>
    <row r="23" spans="1:2" s="45" customFormat="1" x14ac:dyDescent="0.25">
      <c r="A23" s="48" t="str">
        <f>"description Uplink"</f>
        <v>description Uplink</v>
      </c>
      <c r="B23" s="48" t="str">
        <f>"description Uplink"</f>
        <v>description Uplink</v>
      </c>
    </row>
    <row r="24" spans="1:2" s="45" customFormat="1" x14ac:dyDescent="0.25">
      <c r="A24" s="48" t="str">
        <f>"switchport trunk allowed vlan "&amp;Design!$B$79&amp;","&amp;Design!$B$80&amp;","&amp;Design!$B$81&amp;","&amp;Design!$B$82</f>
        <v>switchport trunk allowed vlan {vlan-id},{vlan-id},{vlan-id},{vlan-id}</v>
      </c>
      <c r="B24" s="48" t="str">
        <f>"switchport trunk allowed vlan "&amp;Design!$B$79&amp;","&amp;Design!$B$80&amp;","&amp;Design!$B$81&amp;","&amp;Design!$B$82</f>
        <v>switchport trunk allowed vlan {vlan-id},{vlan-id},{vlan-id},{vlan-id}</v>
      </c>
    </row>
    <row r="25" spans="1:2" s="45" customFormat="1" x14ac:dyDescent="0.25">
      <c r="A25" s="48" t="s">
        <v>382</v>
      </c>
      <c r="B25" s="48" t="s">
        <v>382</v>
      </c>
    </row>
    <row r="26" spans="1:2" s="45" customFormat="1" x14ac:dyDescent="0.25">
      <c r="A26" s="48" t="s">
        <v>383</v>
      </c>
      <c r="B26" s="48" t="s">
        <v>383</v>
      </c>
    </row>
    <row r="27" spans="1:2" s="45" customFormat="1" x14ac:dyDescent="0.25">
      <c r="A27" s="48" t="s">
        <v>447</v>
      </c>
      <c r="B27" s="48" t="s">
        <v>447</v>
      </c>
    </row>
    <row r="28" spans="1:2" s="45" customFormat="1" x14ac:dyDescent="0.25">
      <c r="A28" s="48" t="s">
        <v>439</v>
      </c>
      <c r="B28" s="48" t="s">
        <v>439</v>
      </c>
    </row>
    <row r="29" spans="1:2" s="45" customFormat="1" x14ac:dyDescent="0.25">
      <c r="A29" s="48" t="str">
        <f>IF(Design!B49="9800-CL","!","interface Port-channel1")</f>
        <v>interface Port-channel1</v>
      </c>
      <c r="B29" s="48" t="str">
        <f>IF(Design!C49="9800-CL","!","interface Port-channel1")</f>
        <v>interface Port-channel1</v>
      </c>
    </row>
    <row r="30" spans="1:2" s="45" customFormat="1" x14ac:dyDescent="0.25">
      <c r="A30" s="48" t="str">
        <f>IF(Design!B49="9800-CL","!","description Uplink")</f>
        <v>description Uplink</v>
      </c>
      <c r="B30" s="48" t="str">
        <f>IF(Design!C49="9800-CL","!","description Uplink")</f>
        <v>description Uplink</v>
      </c>
    </row>
    <row r="31" spans="1:2" s="45" customFormat="1" x14ac:dyDescent="0.25">
      <c r="A31" s="48" t="str">
        <f>IF(Design!B49="9800-CL","!","switchport trunk allowed vlan "&amp;Design!$B$79&amp;","&amp;Design!$B$80&amp;","&amp;Design!$B$81&amp;","&amp;Design!$B$82)</f>
        <v>switchport trunk allowed vlan {vlan-id},{vlan-id},{vlan-id},{vlan-id}</v>
      </c>
      <c r="B31" s="48" t="str">
        <f>IF(Design!C49="9800-CL","!","switchport trunk allowed vlan "&amp;Design!$B$79&amp;","&amp;Design!$B$80&amp;","&amp;Design!$B$81&amp;","&amp;Design!$B$82)</f>
        <v>switchport trunk allowed vlan {vlan-id},{vlan-id},{vlan-id},{vlan-id}</v>
      </c>
    </row>
    <row r="32" spans="1:2" s="45" customFormat="1" x14ac:dyDescent="0.25">
      <c r="A32" s="48" t="str">
        <f>IF(Design!B49="9800-CL","!","switchport mode trunk")</f>
        <v>switchport mode trunk</v>
      </c>
      <c r="B32" s="48" t="str">
        <f>IF(Design!C49="9800-CL","!","switchport mode trunk")</f>
        <v>switchport mode trunk</v>
      </c>
    </row>
    <row r="33" spans="1:2" s="45" customFormat="1" x14ac:dyDescent="0.25">
      <c r="A33" s="48" t="str">
        <f>IF(Design!B49="9800-CL","!","switchport trunk native vlan 999")</f>
        <v>switchport trunk native vlan 999</v>
      </c>
      <c r="B33" s="48" t="str">
        <f>IF(Design!C49="9800-CL","!","switchport trunk native vlan 999")</f>
        <v>switchport trunk native vlan 999</v>
      </c>
    </row>
    <row r="34" spans="1:2" s="45" customFormat="1" x14ac:dyDescent="0.25">
      <c r="A34" s="48" t="s">
        <v>439</v>
      </c>
      <c r="B34" s="48" t="s">
        <v>439</v>
      </c>
    </row>
    <row r="35" spans="1:2" s="45" customFormat="1" x14ac:dyDescent="0.25">
      <c r="A35" s="48" t="str">
        <f>"interface "&amp;IF(Design!B49="9800-CL","GigabitEthernet2","GigabitEthernet0")</f>
        <v>interface GigabitEthernet0</v>
      </c>
      <c r="B35" s="48" t="str">
        <f>"interface "&amp;IF(Design!C49="9800-CL","GigabitEthernet2","GigabitEthernet0")</f>
        <v>interface GigabitEthernet0</v>
      </c>
    </row>
    <row r="36" spans="1:2" s="45" customFormat="1" x14ac:dyDescent="0.25">
      <c r="A36" s="48" t="s">
        <v>398</v>
      </c>
      <c r="B36" s="48" t="s">
        <v>398</v>
      </c>
    </row>
    <row r="37" spans="1:2" s="45" customFormat="1" x14ac:dyDescent="0.25">
      <c r="A37" s="48" t="s">
        <v>384</v>
      </c>
      <c r="B37" s="48" t="s">
        <v>384</v>
      </c>
    </row>
    <row r="38" spans="1:2" s="45" customFormat="1" x14ac:dyDescent="0.25">
      <c r="A38" s="48" t="s">
        <v>440</v>
      </c>
      <c r="B38" s="48" t="s">
        <v>440</v>
      </c>
    </row>
    <row r="39" spans="1:2" s="45" customFormat="1" x14ac:dyDescent="0.25">
      <c r="A39" s="48" t="s">
        <v>439</v>
      </c>
      <c r="B39" s="48" t="s">
        <v>439</v>
      </c>
    </row>
    <row r="40" spans="1:2" s="45" customFormat="1" x14ac:dyDescent="0.25">
      <c r="A40" s="48" t="str">
        <f>"vlan "&amp;Design!$B$79</f>
        <v>vlan {vlan-id}</v>
      </c>
      <c r="B40" s="48" t="str">
        <f>"vlan "&amp;Design!$B$79</f>
        <v>vlan {vlan-id}</v>
      </c>
    </row>
    <row r="41" spans="1:2" s="45" customFormat="1" x14ac:dyDescent="0.25">
      <c r="A41" s="48" t="s">
        <v>387</v>
      </c>
      <c r="B41" s="48" t="s">
        <v>387</v>
      </c>
    </row>
    <row r="42" spans="1:2" s="45" customFormat="1" x14ac:dyDescent="0.25">
      <c r="A42" s="48" t="str">
        <f>"interface vlan "&amp;Design!$B$79</f>
        <v>interface vlan {vlan-id}</v>
      </c>
      <c r="B42" s="48" t="str">
        <f>"interface vlan "&amp;Design!$B$79</f>
        <v>interface vlan {vlan-id}</v>
      </c>
    </row>
    <row r="43" spans="1:2" s="45" customFormat="1" x14ac:dyDescent="0.25">
      <c r="A43" s="48" t="s">
        <v>385</v>
      </c>
      <c r="B43" s="48" t="s">
        <v>385</v>
      </c>
    </row>
    <row r="44" spans="1:2" s="45" customFormat="1" x14ac:dyDescent="0.25">
      <c r="A44" s="48" t="str">
        <f>"ip address "&amp;Design!B$37&amp;" "&amp;Design!B$38</f>
        <v>ip address {wlc1-ipv4} {wlc1-netmask}</v>
      </c>
      <c r="B44" s="48" t="str">
        <f>"ip address "&amp;Design!C$37&amp;" "&amp;Design!C$38</f>
        <v>ip address {wlc2-ipv4} {wlc2-netmask}</v>
      </c>
    </row>
    <row r="45" spans="1:2" s="45" customFormat="1" x14ac:dyDescent="0.25">
      <c r="A45" s="48" t="s">
        <v>386</v>
      </c>
      <c r="B45" s="48" t="s">
        <v>386</v>
      </c>
    </row>
    <row r="46" spans="1:2" s="45" customFormat="1" x14ac:dyDescent="0.25">
      <c r="A46" s="48" t="s">
        <v>439</v>
      </c>
      <c r="B46" s="48" t="s">
        <v>439</v>
      </c>
    </row>
    <row r="47" spans="1:2" s="45" customFormat="1" x14ac:dyDescent="0.25">
      <c r="A47" s="48" t="str">
        <f>"ip default-gateway "&amp;Design!B$40</f>
        <v>ip default-gateway {wlc1-mgmt-gw-v4}</v>
      </c>
      <c r="B47" s="48" t="str">
        <f>"ip default-gateway "&amp;Design!C$40</f>
        <v>ip default-gateway {wlc2-mgmt-gw-v4}</v>
      </c>
    </row>
    <row r="48" spans="1:2" s="45" customFormat="1" x14ac:dyDescent="0.25">
      <c r="A48" s="48" t="str">
        <f>"ip route 0.0.0.0 0.0.0.0 "&amp;Design!B$40</f>
        <v>ip route 0.0.0.0 0.0.0.0 {wlc1-mgmt-gw-v4}</v>
      </c>
      <c r="B48" s="48" t="str">
        <f>"ip route 0.0.0.0 0.0.0.0 "&amp;Design!C$40</f>
        <v>ip route 0.0.0.0 0.0.0.0 {wlc2-mgmt-gw-v4}</v>
      </c>
    </row>
    <row r="49" spans="1:2" s="45" customFormat="1" x14ac:dyDescent="0.25">
      <c r="A49" s="48" t="s">
        <v>388</v>
      </c>
      <c r="B49" s="48" t="s">
        <v>388</v>
      </c>
    </row>
    <row r="50" spans="1:2" s="45" customFormat="1" x14ac:dyDescent="0.25">
      <c r="A50" s="48" t="str">
        <f>"username "&amp;Design!$B$47&amp;" privilege 15 algorithm-type sha256 secret "&amp;Design!$B$48</f>
        <v>username admin privilege 15 algorithm-type sha256 secret {password}</v>
      </c>
      <c r="B50" s="48" t="str">
        <f>"username "&amp;Design!$B$47&amp;" privilege 15 algorithm-type sha256 secret "&amp;Design!$B$48</f>
        <v>username admin privilege 15 algorithm-type sha256 secret {password}</v>
      </c>
    </row>
    <row r="51" spans="1:2" s="45" customFormat="1" x14ac:dyDescent="0.25">
      <c r="A51" s="48" t="str">
        <f>"enable algorithm-type sha256 secret "&amp;Design!$B$48</f>
        <v>enable algorithm-type sha256 secret {password}</v>
      </c>
      <c r="B51" s="48" t="str">
        <f>"enable algorithm-type sha256 secret "&amp;Design!$B$48</f>
        <v>enable algorithm-type sha256 secret {password}</v>
      </c>
    </row>
    <row r="52" spans="1:2" s="45" customFormat="1" x14ac:dyDescent="0.25">
      <c r="A52" s="48" t="s">
        <v>389</v>
      </c>
      <c r="B52" s="48" t="s">
        <v>389</v>
      </c>
    </row>
    <row r="53" spans="1:2" s="45" customFormat="1" x14ac:dyDescent="0.25">
      <c r="A53" s="48" t="s">
        <v>390</v>
      </c>
      <c r="B53" s="48" t="s">
        <v>390</v>
      </c>
    </row>
    <row r="54" spans="1:2" s="45" customFormat="1" x14ac:dyDescent="0.25">
      <c r="A54" s="48" t="s">
        <v>380</v>
      </c>
      <c r="B54" s="48" t="s">
        <v>380</v>
      </c>
    </row>
    <row r="55" spans="1:2" s="45" customFormat="1" x14ac:dyDescent="0.25">
      <c r="A55" s="48" t="s">
        <v>391</v>
      </c>
      <c r="B55" s="48" t="s">
        <v>391</v>
      </c>
    </row>
    <row r="56" spans="1:2" s="45" customFormat="1" x14ac:dyDescent="0.25">
      <c r="A56" s="48" t="s">
        <v>392</v>
      </c>
      <c r="B56" s="48" t="s">
        <v>392</v>
      </c>
    </row>
    <row r="57" spans="1:2" s="45" customFormat="1" x14ac:dyDescent="0.25">
      <c r="A57" s="48" t="s">
        <v>393</v>
      </c>
      <c r="B57" s="48" t="s">
        <v>393</v>
      </c>
    </row>
    <row r="58" spans="1:2" s="45" customFormat="1" x14ac:dyDescent="0.25">
      <c r="A58" s="48" t="s">
        <v>394</v>
      </c>
      <c r="B58" s="48" t="s">
        <v>394</v>
      </c>
    </row>
    <row r="59" spans="1:2" s="45" customFormat="1" x14ac:dyDescent="0.25">
      <c r="A59" s="48" t="s">
        <v>395</v>
      </c>
      <c r="B59" s="48" t="s">
        <v>395</v>
      </c>
    </row>
    <row r="60" spans="1:2" s="45" customFormat="1" x14ac:dyDescent="0.25">
      <c r="A60" s="48"/>
      <c r="B60" s="48"/>
    </row>
    <row r="61" spans="1:2" s="47" customFormat="1" x14ac:dyDescent="0.25">
      <c r="A61" s="46" t="s">
        <v>256</v>
      </c>
      <c r="B61" s="46" t="s">
        <v>256</v>
      </c>
    </row>
    <row r="62" spans="1:2" s="45" customFormat="1" x14ac:dyDescent="0.25">
      <c r="A62" s="48" t="s">
        <v>426</v>
      </c>
      <c r="B62" s="48" t="s">
        <v>426</v>
      </c>
    </row>
    <row r="63" spans="1:2" s="45" customFormat="1" x14ac:dyDescent="0.25">
      <c r="A63" s="48" t="s">
        <v>257</v>
      </c>
      <c r="B63" s="48" t="s">
        <v>257</v>
      </c>
    </row>
    <row r="64" spans="1:2" s="45" customFormat="1" x14ac:dyDescent="0.25">
      <c r="A64" s="48" t="s">
        <v>426</v>
      </c>
      <c r="B64" s="48" t="s">
        <v>426</v>
      </c>
    </row>
    <row r="65" spans="1:2" s="45" customFormat="1" x14ac:dyDescent="0.25">
      <c r="A65" s="48" t="s">
        <v>258</v>
      </c>
      <c r="B65" s="48" t="s">
        <v>258</v>
      </c>
    </row>
    <row r="66" spans="1:2" s="45" customFormat="1" x14ac:dyDescent="0.25">
      <c r="A66" s="48" t="s">
        <v>640</v>
      </c>
      <c r="B66" s="48"/>
    </row>
    <row r="67" spans="1:2" s="45" customFormat="1" x14ac:dyDescent="0.25">
      <c r="A67" s="48" t="s">
        <v>700</v>
      </c>
      <c r="B67" s="48"/>
    </row>
    <row r="68" spans="1:2" s="45" customFormat="1" x14ac:dyDescent="0.25">
      <c r="A68" s="48" t="s">
        <v>641</v>
      </c>
      <c r="B68" s="48" t="str">
        <f>A68</f>
        <v>wireless mobility mac-address 001e.e633.b5ff</v>
      </c>
    </row>
    <row r="69" spans="1:2" s="45" customFormat="1" x14ac:dyDescent="0.25">
      <c r="A69" s="48" t="s">
        <v>342</v>
      </c>
      <c r="B69" s="48" t="s">
        <v>342</v>
      </c>
    </row>
    <row r="70" spans="1:2" s="45" customFormat="1" x14ac:dyDescent="0.25">
      <c r="A70" s="48" t="s">
        <v>343</v>
      </c>
      <c r="B70" s="48" t="s">
        <v>343</v>
      </c>
    </row>
    <row r="71" spans="1:2" s="45" customFormat="1" x14ac:dyDescent="0.25">
      <c r="A71" s="48" t="s">
        <v>344</v>
      </c>
      <c r="B71" s="48" t="s">
        <v>344</v>
      </c>
    </row>
    <row r="72" spans="1:2" s="45" customFormat="1" x14ac:dyDescent="0.25">
      <c r="A72" s="48" t="s">
        <v>345</v>
      </c>
      <c r="B72" s="48" t="s">
        <v>345</v>
      </c>
    </row>
    <row r="73" spans="1:2" s="45" customFormat="1" x14ac:dyDescent="0.25">
      <c r="A73" s="48" t="str">
        <f>"ntp server "&amp;LEFT(Design!$B$64,FIND(",",Design!$B$64)-1)</f>
        <v>ntp server {ntp-server1}</v>
      </c>
      <c r="B73" s="48" t="str">
        <f>"ntp server "&amp;LEFT(Design!$B$64,FIND(",",Design!$B$64)-1)</f>
        <v>ntp server {ntp-server1}</v>
      </c>
    </row>
    <row r="74" spans="1:2" s="45" customFormat="1" x14ac:dyDescent="0.25">
      <c r="A74" s="48" t="str">
        <f>"ntp server "&amp;IF(ISNUMBER(FIND(",",Design!$B$64)),RIGHT(Design!$B$64,LEN(Design!$B$64)-FIND(",",Design!$B$64)),"!")</f>
        <v>ntp server {ntp-server2}</v>
      </c>
      <c r="B74" s="48" t="str">
        <f>"ntp server "&amp;IF(ISNUMBER(FIND(",",Design!$B$64)),RIGHT(Design!$B$64,LEN(Design!$B$64)-FIND(",",Design!$B$64)),"!")</f>
        <v>ntp server {ntp-server2}</v>
      </c>
    </row>
    <row r="75" spans="1:2" s="45" customFormat="1" x14ac:dyDescent="0.25">
      <c r="A75" s="48" t="s">
        <v>259</v>
      </c>
      <c r="B75" s="48" t="s">
        <v>259</v>
      </c>
    </row>
    <row r="76" spans="1:2" s="45" customFormat="1" x14ac:dyDescent="0.25">
      <c r="A76" s="48" t="s">
        <v>346</v>
      </c>
      <c r="B76" s="48" t="s">
        <v>346</v>
      </c>
    </row>
    <row r="77" spans="1:2" s="45" customFormat="1" x14ac:dyDescent="0.25">
      <c r="A77" s="48" t="s">
        <v>347</v>
      </c>
      <c r="B77" s="48" t="s">
        <v>347</v>
      </c>
    </row>
    <row r="78" spans="1:2" s="45" customFormat="1" x14ac:dyDescent="0.25">
      <c r="A78" s="48" t="s">
        <v>260</v>
      </c>
      <c r="B78" s="48" t="s">
        <v>260</v>
      </c>
    </row>
    <row r="79" spans="1:2" s="45" customFormat="1" x14ac:dyDescent="0.25">
      <c r="A79" s="48" t="s">
        <v>261</v>
      </c>
      <c r="B79" s="48" t="s">
        <v>261</v>
      </c>
    </row>
    <row r="80" spans="1:2" s="45" customFormat="1" x14ac:dyDescent="0.25">
      <c r="A80" s="48" t="s">
        <v>376</v>
      </c>
      <c r="B80" s="48" t="s">
        <v>376</v>
      </c>
    </row>
    <row r="81" spans="1:2" s="45" customFormat="1" x14ac:dyDescent="0.25">
      <c r="A81" s="48" t="s">
        <v>377</v>
      </c>
      <c r="B81" s="48" t="s">
        <v>377</v>
      </c>
    </row>
    <row r="82" spans="1:2" s="45" customFormat="1" x14ac:dyDescent="0.25">
      <c r="A82" s="48" t="s">
        <v>262</v>
      </c>
      <c r="B82" s="48" t="s">
        <v>262</v>
      </c>
    </row>
    <row r="83" spans="1:2" s="45" customFormat="1" x14ac:dyDescent="0.25">
      <c r="A83" s="48" t="s">
        <v>263</v>
      </c>
      <c r="B83" s="48" t="s">
        <v>263</v>
      </c>
    </row>
    <row r="84" spans="1:2" s="45" customFormat="1" x14ac:dyDescent="0.25">
      <c r="A84" s="48" t="s">
        <v>375</v>
      </c>
      <c r="B84" s="48" t="s">
        <v>375</v>
      </c>
    </row>
    <row r="85" spans="1:2" s="45" customFormat="1" x14ac:dyDescent="0.25">
      <c r="A85" s="48" t="s">
        <v>362</v>
      </c>
      <c r="B85" s="48" t="s">
        <v>362</v>
      </c>
    </row>
    <row r="86" spans="1:2" s="45" customFormat="1" x14ac:dyDescent="0.25">
      <c r="A86" s="48" t="s">
        <v>348</v>
      </c>
      <c r="B86" s="48" t="s">
        <v>348</v>
      </c>
    </row>
    <row r="87" spans="1:2" s="45" customFormat="1" x14ac:dyDescent="0.25">
      <c r="A87" s="48" t="s">
        <v>349</v>
      </c>
      <c r="B87" s="48" t="s">
        <v>349</v>
      </c>
    </row>
    <row r="88" spans="1:2" s="45" customFormat="1" x14ac:dyDescent="0.25">
      <c r="A88" s="48" t="s">
        <v>639</v>
      </c>
      <c r="B88" s="48" t="s">
        <v>639</v>
      </c>
    </row>
    <row r="89" spans="1:2" s="45" customFormat="1" x14ac:dyDescent="0.25">
      <c r="A89" s="48" t="s">
        <v>350</v>
      </c>
      <c r="B89" s="48" t="s">
        <v>350</v>
      </c>
    </row>
    <row r="90" spans="1:2" s="45" customFormat="1" x14ac:dyDescent="0.25">
      <c r="A90" s="48" t="s">
        <v>351</v>
      </c>
      <c r="B90" s="48" t="s">
        <v>351</v>
      </c>
    </row>
    <row r="91" spans="1:2" s="45" customFormat="1" x14ac:dyDescent="0.25">
      <c r="A91" s="48" t="s">
        <v>352</v>
      </c>
      <c r="B91" s="48" t="s">
        <v>352</v>
      </c>
    </row>
    <row r="92" spans="1:2" s="45" customFormat="1" x14ac:dyDescent="0.25">
      <c r="A92" s="48" t="str">
        <f>"ip name-server "&amp;Design!$B$65</f>
        <v>ip name-server {dns-server}</v>
      </c>
      <c r="B92" s="48" t="str">
        <f>"ip name-server "&amp;Design!$B$65</f>
        <v>ip name-server {dns-server}</v>
      </c>
    </row>
    <row r="93" spans="1:2" s="45" customFormat="1" x14ac:dyDescent="0.25">
      <c r="A93" s="48" t="s">
        <v>264</v>
      </c>
      <c r="B93" s="48" t="s">
        <v>264</v>
      </c>
    </row>
    <row r="94" spans="1:2" s="45" customFormat="1" x14ac:dyDescent="0.25">
      <c r="A94" s="48" t="s">
        <v>360</v>
      </c>
      <c r="B94" s="48" t="s">
        <v>360</v>
      </c>
    </row>
    <row r="95" spans="1:2" s="45" customFormat="1" x14ac:dyDescent="0.25">
      <c r="A95" s="48" t="str">
        <f>" permit ip host "&amp;Design!$B$140&amp;" any"</f>
        <v xml:space="preserve"> permit ip host {CPI IP} any</v>
      </c>
      <c r="B95" s="48" t="str">
        <f>" permit ip host "&amp;Design!$B$140&amp;" any"</f>
        <v xml:space="preserve"> permit ip host {CPI IP} any</v>
      </c>
    </row>
    <row r="96" spans="1:2" s="45" customFormat="1" x14ac:dyDescent="0.25">
      <c r="A96" s="48" t="s">
        <v>358</v>
      </c>
      <c r="B96" s="48" t="s">
        <v>358</v>
      </c>
    </row>
    <row r="97" spans="1:2" s="45" customFormat="1" x14ac:dyDescent="0.25">
      <c r="A97" s="45" t="s">
        <v>439</v>
      </c>
      <c r="B97" s="45" t="s">
        <v>439</v>
      </c>
    </row>
    <row r="98" spans="1:2" s="45" customFormat="1" x14ac:dyDescent="0.25">
      <c r="A98" s="48" t="str">
        <f>"snmp-server community "&amp;Design!$B$67&amp;" RW SNMP_RW_ALLOW"</f>
        <v>snmp-server community {snmpv2-rw-community} RW SNMP_RW_ALLOW</v>
      </c>
      <c r="B98" s="48" t="str">
        <f>"snmp-server community "&amp;Design!$B$67&amp;" RW SNMP_RW_ALLOW"</f>
        <v>snmp-server community {snmpv2-rw-community} RW SNMP_RW_ALLOW</v>
      </c>
    </row>
    <row r="99" spans="1:2" s="45" customFormat="1" x14ac:dyDescent="0.25">
      <c r="A99" s="48" t="s">
        <v>439</v>
      </c>
      <c r="B99" s="48" t="s">
        <v>439</v>
      </c>
    </row>
    <row r="100" spans="1:2" s="45" customFormat="1" x14ac:dyDescent="0.25">
      <c r="A100" s="45" t="s">
        <v>439</v>
      </c>
      <c r="B100" s="45" t="s">
        <v>439</v>
      </c>
    </row>
    <row r="101" spans="1:2" s="45" customFormat="1" x14ac:dyDescent="0.25">
      <c r="A101" s="48" t="s">
        <v>517</v>
      </c>
      <c r="B101" s="48" t="s">
        <v>517</v>
      </c>
    </row>
    <row r="102" spans="1:2" s="45" customFormat="1" x14ac:dyDescent="0.25">
      <c r="A102" s="48" t="s">
        <v>518</v>
      </c>
      <c r="B102" s="48" t="s">
        <v>518</v>
      </c>
    </row>
    <row r="103" spans="1:2" s="45" customFormat="1" x14ac:dyDescent="0.25">
      <c r="A103" s="48" t="s">
        <v>519</v>
      </c>
      <c r="B103" s="48" t="s">
        <v>519</v>
      </c>
    </row>
    <row r="104" spans="1:2" s="45" customFormat="1" x14ac:dyDescent="0.25">
      <c r="A104" s="48" t="s">
        <v>520</v>
      </c>
      <c r="B104" s="48" t="s">
        <v>520</v>
      </c>
    </row>
    <row r="105" spans="1:2" s="45" customFormat="1" x14ac:dyDescent="0.25">
      <c r="A105" s="48" t="s">
        <v>521</v>
      </c>
      <c r="B105" s="48" t="s">
        <v>521</v>
      </c>
    </row>
    <row r="106" spans="1:2" s="45" customFormat="1" x14ac:dyDescent="0.25">
      <c r="A106" s="48" t="s">
        <v>528</v>
      </c>
      <c r="B106" s="48" t="s">
        <v>528</v>
      </c>
    </row>
    <row r="107" spans="1:2" s="45" customFormat="1" x14ac:dyDescent="0.25">
      <c r="A107" s="48" t="s">
        <v>529</v>
      </c>
      <c r="B107" s="48" t="s">
        <v>529</v>
      </c>
    </row>
    <row r="108" spans="1:2" s="45" customFormat="1" x14ac:dyDescent="0.25">
      <c r="A108" s="48" t="s">
        <v>530</v>
      </c>
      <c r="B108" s="48" t="s">
        <v>530</v>
      </c>
    </row>
    <row r="109" spans="1:2" s="45" customFormat="1" x14ac:dyDescent="0.25">
      <c r="A109" s="48" t="s">
        <v>531</v>
      </c>
      <c r="B109" s="48" t="s">
        <v>531</v>
      </c>
    </row>
    <row r="110" spans="1:2" s="45" customFormat="1" x14ac:dyDescent="0.25">
      <c r="A110" s="48" t="s">
        <v>532</v>
      </c>
      <c r="B110" s="48" t="s">
        <v>532</v>
      </c>
    </row>
    <row r="111" spans="1:2" s="45" customFormat="1" x14ac:dyDescent="0.25">
      <c r="A111" s="48" t="s">
        <v>439</v>
      </c>
      <c r="B111" s="48" t="s">
        <v>439</v>
      </c>
    </row>
    <row r="112" spans="1:2" s="45" customFormat="1" x14ac:dyDescent="0.25">
      <c r="A112" s="48" t="s">
        <v>265</v>
      </c>
      <c r="B112" s="48" t="s">
        <v>265</v>
      </c>
    </row>
    <row r="113" spans="1:2" s="45" customFormat="1" x14ac:dyDescent="0.25">
      <c r="A113" s="48" t="s">
        <v>522</v>
      </c>
      <c r="B113" s="48" t="s">
        <v>522</v>
      </c>
    </row>
    <row r="114" spans="1:2" s="45" customFormat="1" x14ac:dyDescent="0.25">
      <c r="A114" s="48" t="s">
        <v>267</v>
      </c>
      <c r="B114" s="48" t="s">
        <v>267</v>
      </c>
    </row>
    <row r="115" spans="1:2" s="45" customFormat="1" x14ac:dyDescent="0.25">
      <c r="A115" s="48" t="s">
        <v>268</v>
      </c>
      <c r="B115" s="48" t="s">
        <v>268</v>
      </c>
    </row>
    <row r="116" spans="1:2" s="45" customFormat="1" x14ac:dyDescent="0.25">
      <c r="A116" s="48" t="s">
        <v>380</v>
      </c>
      <c r="B116" s="48" t="s">
        <v>380</v>
      </c>
    </row>
    <row r="117" spans="1:2" s="45" customFormat="1" x14ac:dyDescent="0.25">
      <c r="A117" s="48" t="s">
        <v>269</v>
      </c>
      <c r="B117" s="48" t="s">
        <v>269</v>
      </c>
    </row>
    <row r="118" spans="1:2" s="45" customFormat="1" x14ac:dyDescent="0.25">
      <c r="A118" s="48" t="s">
        <v>266</v>
      </c>
      <c r="B118" s="48" t="s">
        <v>266</v>
      </c>
    </row>
    <row r="119" spans="1:2" s="45" customFormat="1" x14ac:dyDescent="0.25">
      <c r="A119" s="48" t="s">
        <v>267</v>
      </c>
      <c r="B119" s="48" t="s">
        <v>267</v>
      </c>
    </row>
    <row r="120" spans="1:2" s="45" customFormat="1" x14ac:dyDescent="0.25">
      <c r="A120" s="48" t="s">
        <v>270</v>
      </c>
      <c r="B120" s="48" t="s">
        <v>270</v>
      </c>
    </row>
    <row r="121" spans="1:2" s="45" customFormat="1" x14ac:dyDescent="0.25">
      <c r="A121" s="48" t="s">
        <v>538</v>
      </c>
      <c r="B121" s="48" t="s">
        <v>538</v>
      </c>
    </row>
    <row r="122" spans="1:2" s="45" customFormat="1" x14ac:dyDescent="0.25">
      <c r="A122" s="48" t="s">
        <v>439</v>
      </c>
      <c r="B122" s="48" t="s">
        <v>439</v>
      </c>
    </row>
    <row r="123" spans="1:2" s="45" customFormat="1" x14ac:dyDescent="0.25">
      <c r="A123" s="48" t="str">
        <f>IF(OR(Design!$B$49="9800-L",Design!$B$49="9800-40",Design!$B$49="9800-80"),"line aux 0","!")</f>
        <v>!</v>
      </c>
      <c r="B123" s="48" t="str">
        <f>IF(OR(Design!$B$49="9800-L",Design!$B$49="9800-40",Design!$B$49="9800-80"),"line aux 0","!")</f>
        <v>!</v>
      </c>
    </row>
    <row r="124" spans="1:2" s="45" customFormat="1" x14ac:dyDescent="0.25">
      <c r="A124" s="48" t="str">
        <f>IF(OR(Design!$B$49="9800-L",Design!$B$49="9800-40",Design!$B$49="9800-80")," no exec","!")</f>
        <v>!</v>
      </c>
      <c r="B124" s="48" t="str">
        <f>IF(OR(Design!$B$49="9800-L",Design!$B$49="9800-40",Design!$B$49="9800-80")," no exec","!")</f>
        <v>!</v>
      </c>
    </row>
    <row r="125" spans="1:2" s="45" customFormat="1" x14ac:dyDescent="0.25">
      <c r="A125" s="48" t="str">
        <f>IF(OR(Design!$B$49="9800-L",Design!$B$49="9800-40",Design!$B$49="9800-80")," transport output none","!")</f>
        <v>!</v>
      </c>
      <c r="B125" s="48" t="str">
        <f>IF(OR(Design!$B$49="9800-L",Design!$B$49="9800-40",Design!$B$49="9800-80")," transport output none","!")</f>
        <v>!</v>
      </c>
    </row>
    <row r="126" spans="1:2" s="45" customFormat="1" x14ac:dyDescent="0.25">
      <c r="A126" s="48" t="str">
        <f>IF(OR(Design!$B$49="9800-L",Design!$B$49="9800-40",Design!$B$49="9800-80")," stopbits 1","!")</f>
        <v>!</v>
      </c>
      <c r="B126" s="48" t="str">
        <f>IF(OR(Design!$B$49="9800-L",Design!$B$49="9800-40",Design!$B$49="9800-80")," stopbits 1","!")</f>
        <v>!</v>
      </c>
    </row>
    <row r="127" spans="1:2" s="45" customFormat="1" x14ac:dyDescent="0.25">
      <c r="A127" s="48" t="s">
        <v>439</v>
      </c>
      <c r="B127" s="48" t="s">
        <v>439</v>
      </c>
    </row>
    <row r="128" spans="1:2" s="45" customFormat="1" x14ac:dyDescent="0.25">
      <c r="A128" s="48" t="s">
        <v>426</v>
      </c>
      <c r="B128" s="48" t="s">
        <v>426</v>
      </c>
    </row>
    <row r="129" spans="1:2" s="45" customFormat="1" x14ac:dyDescent="0.25">
      <c r="A129" s="48" t="s">
        <v>271</v>
      </c>
      <c r="B129" s="48" t="s">
        <v>271</v>
      </c>
    </row>
    <row r="130" spans="1:2" s="45" customFormat="1" x14ac:dyDescent="0.25">
      <c r="A130" s="48" t="s">
        <v>426</v>
      </c>
      <c r="B130" s="48" t="s">
        <v>426</v>
      </c>
    </row>
    <row r="131" spans="1:2" s="45" customFormat="1" x14ac:dyDescent="0.25">
      <c r="A131" s="48" t="s">
        <v>272</v>
      </c>
      <c r="B131" s="48" t="s">
        <v>272</v>
      </c>
    </row>
    <row r="132" spans="1:2" s="45" customFormat="1" x14ac:dyDescent="0.25">
      <c r="A132" s="48" t="s">
        <v>273</v>
      </c>
      <c r="B132" s="48" t="s">
        <v>273</v>
      </c>
    </row>
    <row r="133" spans="1:2" s="45" customFormat="1" x14ac:dyDescent="0.25">
      <c r="A133" s="48" t="s">
        <v>274</v>
      </c>
      <c r="B133" s="48" t="s">
        <v>274</v>
      </c>
    </row>
    <row r="134" spans="1:2" s="45" customFormat="1" x14ac:dyDescent="0.25">
      <c r="A134" s="48" t="s">
        <v>275</v>
      </c>
      <c r="B134" s="48" t="s">
        <v>275</v>
      </c>
    </row>
    <row r="135" spans="1:2" s="45" customFormat="1" x14ac:dyDescent="0.25">
      <c r="A135" s="48" t="str">
        <f>"wireless multicast "&amp;Design!B$55</f>
        <v>wireless multicast 239.255.1.60</v>
      </c>
      <c r="B135" s="48" t="str">
        <f>"wireless multicast "&amp;Design!C$55</f>
        <v>wireless multicast 239.255.1.61</v>
      </c>
    </row>
    <row r="136" spans="1:2" s="45" customFormat="1" x14ac:dyDescent="0.25">
      <c r="A136" s="48" t="s">
        <v>439</v>
      </c>
      <c r="B136" s="48" t="s">
        <v>439</v>
      </c>
    </row>
    <row r="137" spans="1:2" s="45" customFormat="1" x14ac:dyDescent="0.25">
      <c r="A137" s="48" t="s">
        <v>426</v>
      </c>
      <c r="B137" s="48" t="s">
        <v>426</v>
      </c>
    </row>
    <row r="138" spans="1:2" s="45" customFormat="1" x14ac:dyDescent="0.25">
      <c r="A138" s="48" t="s">
        <v>276</v>
      </c>
      <c r="B138" s="48" t="s">
        <v>276</v>
      </c>
    </row>
    <row r="139" spans="1:2" s="45" customFormat="1" x14ac:dyDescent="0.25">
      <c r="A139" s="48" t="s">
        <v>426</v>
      </c>
      <c r="B139" s="48" t="s">
        <v>426</v>
      </c>
    </row>
    <row r="140" spans="1:2" s="45" customFormat="1" x14ac:dyDescent="0.25">
      <c r="A140" s="48" t="str">
        <f>"wireless mobility group name "&amp;Design!$B$58</f>
        <v>wireless mobility group name customername</v>
      </c>
      <c r="B140" s="48" t="str">
        <f>"wireless mobility group name "&amp;Design!$B$58</f>
        <v>wireless mobility group name customername</v>
      </c>
    </row>
    <row r="141" spans="1:2" s="45" customFormat="1" x14ac:dyDescent="0.25">
      <c r="A141" s="48" t="s">
        <v>439</v>
      </c>
      <c r="B141" s="48" t="s">
        <v>439</v>
      </c>
    </row>
    <row r="142" spans="1:2" s="45" customFormat="1" x14ac:dyDescent="0.25">
      <c r="A142" s="48" t="s">
        <v>277</v>
      </c>
      <c r="B142" s="48" t="s">
        <v>277</v>
      </c>
    </row>
    <row r="143" spans="1:2" s="45" customFormat="1" x14ac:dyDescent="0.25">
      <c r="A143" s="48" t="s">
        <v>439</v>
      </c>
      <c r="B143" s="48" t="s">
        <v>439</v>
      </c>
    </row>
    <row r="144" spans="1:2" s="45" customFormat="1" x14ac:dyDescent="0.25">
      <c r="A144" s="48" t="s">
        <v>426</v>
      </c>
      <c r="B144" s="48" t="s">
        <v>426</v>
      </c>
    </row>
    <row r="145" spans="1:2" s="45" customFormat="1" x14ac:dyDescent="0.25">
      <c r="A145" s="48" t="s">
        <v>278</v>
      </c>
      <c r="B145" s="48" t="s">
        <v>278</v>
      </c>
    </row>
    <row r="146" spans="1:2" s="45" customFormat="1" x14ac:dyDescent="0.25">
      <c r="A146" s="48" t="s">
        <v>426</v>
      </c>
      <c r="B146" s="48" t="s">
        <v>426</v>
      </c>
    </row>
    <row r="147" spans="1:2" s="45" customFormat="1" x14ac:dyDescent="0.25">
      <c r="A147" s="48" t="s">
        <v>279</v>
      </c>
      <c r="B147" s="48" t="s">
        <v>279</v>
      </c>
    </row>
    <row r="148" spans="1:2" s="45" customFormat="1" x14ac:dyDescent="0.25">
      <c r="A148" s="48" t="s">
        <v>280</v>
      </c>
      <c r="B148" s="48" t="s">
        <v>280</v>
      </c>
    </row>
    <row r="149" spans="1:2" s="45" customFormat="1" x14ac:dyDescent="0.25">
      <c r="A149" s="48" t="s">
        <v>281</v>
      </c>
      <c r="B149" s="48" t="s">
        <v>281</v>
      </c>
    </row>
    <row r="150" spans="1:2" s="45" customFormat="1" x14ac:dyDescent="0.25">
      <c r="A150" s="48" t="s">
        <v>282</v>
      </c>
      <c r="B150" s="48" t="s">
        <v>282</v>
      </c>
    </row>
    <row r="151" spans="1:2" s="45" customFormat="1" x14ac:dyDescent="0.25">
      <c r="A151" s="48" t="s">
        <v>283</v>
      </c>
      <c r="B151" s="48" t="s">
        <v>283</v>
      </c>
    </row>
    <row r="152" spans="1:2" s="45" customFormat="1" x14ac:dyDescent="0.25">
      <c r="A152" s="48" t="s">
        <v>284</v>
      </c>
      <c r="B152" s="48" t="s">
        <v>284</v>
      </c>
    </row>
    <row r="153" spans="1:2" s="45" customFormat="1" x14ac:dyDescent="0.25">
      <c r="A153" s="48" t="s">
        <v>285</v>
      </c>
      <c r="B153" s="48" t="s">
        <v>285</v>
      </c>
    </row>
    <row r="154" spans="1:2" s="45" customFormat="1" x14ac:dyDescent="0.25">
      <c r="A154" s="48" t="s">
        <v>286</v>
      </c>
      <c r="B154" s="48" t="s">
        <v>286</v>
      </c>
    </row>
    <row r="155" spans="1:2" s="45" customFormat="1" x14ac:dyDescent="0.25">
      <c r="A155" s="48" t="s">
        <v>287</v>
      </c>
      <c r="B155" s="48" t="s">
        <v>287</v>
      </c>
    </row>
    <row r="156" spans="1:2" s="45" customFormat="1" x14ac:dyDescent="0.25">
      <c r="A156" s="48" t="s">
        <v>288</v>
      </c>
      <c r="B156" s="48" t="s">
        <v>288</v>
      </c>
    </row>
    <row r="157" spans="1:2" s="45" customFormat="1" x14ac:dyDescent="0.25">
      <c r="A157" s="48" t="s">
        <v>289</v>
      </c>
      <c r="B157" s="48" t="s">
        <v>289</v>
      </c>
    </row>
    <row r="158" spans="1:2" s="45" customFormat="1" x14ac:dyDescent="0.25">
      <c r="A158" s="48" t="s">
        <v>290</v>
      </c>
      <c r="B158" s="48" t="s">
        <v>290</v>
      </c>
    </row>
    <row r="159" spans="1:2" s="45" customFormat="1" x14ac:dyDescent="0.25">
      <c r="A159" s="48" t="s">
        <v>439</v>
      </c>
      <c r="B159" s="48" t="s">
        <v>439</v>
      </c>
    </row>
    <row r="160" spans="1:2" s="45" customFormat="1" x14ac:dyDescent="0.25">
      <c r="A160" s="48" t="s">
        <v>426</v>
      </c>
      <c r="B160" s="48" t="s">
        <v>426</v>
      </c>
    </row>
    <row r="161" spans="1:2" s="45" customFormat="1" x14ac:dyDescent="0.25">
      <c r="A161" s="48" t="s">
        <v>353</v>
      </c>
      <c r="B161" s="48" t="s">
        <v>353</v>
      </c>
    </row>
    <row r="162" spans="1:2" s="45" customFormat="1" x14ac:dyDescent="0.25">
      <c r="A162" s="48" t="s">
        <v>426</v>
      </c>
      <c r="B162" s="48" t="s">
        <v>426</v>
      </c>
    </row>
    <row r="163" spans="1:2" s="45" customFormat="1" x14ac:dyDescent="0.25">
      <c r="A163" s="48" t="str">
        <f>"ntp source vlan "&amp;Design!$B$79</f>
        <v>ntp source vlan {vlan-id}</v>
      </c>
      <c r="B163" s="48" t="str">
        <f>"ntp source vlan "&amp;Design!$B$79</f>
        <v>ntp source vlan {vlan-id}</v>
      </c>
    </row>
    <row r="164" spans="1:2" s="45" customFormat="1" x14ac:dyDescent="0.25">
      <c r="A164" s="48" t="s">
        <v>439</v>
      </c>
      <c r="B164" s="48" t="s">
        <v>439</v>
      </c>
    </row>
    <row r="165" spans="1:2" s="45" customFormat="1" x14ac:dyDescent="0.25">
      <c r="A165" s="48" t="s">
        <v>523</v>
      </c>
      <c r="B165" s="48" t="s">
        <v>523</v>
      </c>
    </row>
    <row r="166" spans="1:2" s="45" customFormat="1" x14ac:dyDescent="0.25">
      <c r="A166" s="48" t="str">
        <f>"permit ip host "&amp;LEFT(Design!$B$64,FIND(",",Design!$B$64)-1)&amp;" any"</f>
        <v>permit ip host {ntp-server1} any</v>
      </c>
      <c r="B166" s="48" t="str">
        <f>"permit ip host "&amp;LEFT(Design!$B$64,FIND(",",Design!$B$64)-1)&amp;" any"</f>
        <v>permit ip host {ntp-server1} any</v>
      </c>
    </row>
    <row r="167" spans="1:2" s="45" customFormat="1" x14ac:dyDescent="0.25">
      <c r="A167" s="48" t="str">
        <f>"permit ip host "&amp;IF(ISNUMBER(FIND(",",Design!$B$64)),RIGHT(Design!$B$64,LEN(Design!$B$64)-FIND(",",Design!$B$64)),"!")&amp;" any"</f>
        <v>permit ip host {ntp-server2} any</v>
      </c>
      <c r="B167" s="48" t="str">
        <f>"permit ip host "&amp;IF(ISNUMBER(FIND(",",Design!$B$64)),RIGHT(Design!$B$64,LEN(Design!$B$64)-FIND(",",Design!$B$64)),"!")&amp;" any"</f>
        <v>permit ip host {ntp-server2} any</v>
      </c>
    </row>
    <row r="168" spans="1:2" s="45" customFormat="1" x14ac:dyDescent="0.25">
      <c r="A168" s="48" t="s">
        <v>524</v>
      </c>
      <c r="B168" s="48" t="s">
        <v>524</v>
      </c>
    </row>
    <row r="169" spans="1:2" s="45" customFormat="1" x14ac:dyDescent="0.25">
      <c r="A169" s="48" t="s">
        <v>357</v>
      </c>
      <c r="B169" s="48" t="s">
        <v>357</v>
      </c>
    </row>
    <row r="170" spans="1:2" s="45" customFormat="1" x14ac:dyDescent="0.25">
      <c r="A170" s="48" t="s">
        <v>358</v>
      </c>
      <c r="B170" s="48" t="s">
        <v>358</v>
      </c>
    </row>
    <row r="171" spans="1:2" s="45" customFormat="1" x14ac:dyDescent="0.25">
      <c r="A171" s="48" t="s">
        <v>525</v>
      </c>
      <c r="B171" s="48" t="s">
        <v>525</v>
      </c>
    </row>
    <row r="172" spans="1:2" s="45" customFormat="1" x14ac:dyDescent="0.25">
      <c r="A172" s="48" t="s">
        <v>354</v>
      </c>
      <c r="B172" s="48" t="s">
        <v>354</v>
      </c>
    </row>
    <row r="173" spans="1:2" s="45" customFormat="1" x14ac:dyDescent="0.25">
      <c r="A173" s="48" t="s">
        <v>355</v>
      </c>
      <c r="B173" s="48" t="s">
        <v>355</v>
      </c>
    </row>
    <row r="174" spans="1:2" s="45" customFormat="1" x14ac:dyDescent="0.25">
      <c r="A174" s="48" t="s">
        <v>356</v>
      </c>
      <c r="B174" s="48" t="s">
        <v>356</v>
      </c>
    </row>
    <row r="175" spans="1:2" s="45" customFormat="1" x14ac:dyDescent="0.25">
      <c r="A175" s="48"/>
      <c r="B175" s="48"/>
    </row>
    <row r="176" spans="1:2" s="45" customFormat="1" x14ac:dyDescent="0.25">
      <c r="A176" s="48" t="s">
        <v>426</v>
      </c>
      <c r="B176" s="48" t="s">
        <v>426</v>
      </c>
    </row>
    <row r="177" spans="1:2" s="45" customFormat="1" x14ac:dyDescent="0.25">
      <c r="A177" s="48" t="s">
        <v>291</v>
      </c>
      <c r="B177" s="48" t="s">
        <v>291</v>
      </c>
    </row>
    <row r="178" spans="1:2" s="45" customFormat="1" x14ac:dyDescent="0.25">
      <c r="A178" s="48" t="s">
        <v>426</v>
      </c>
      <c r="B178" s="48" t="s">
        <v>426</v>
      </c>
    </row>
    <row r="179" spans="1:2" s="45" customFormat="1" x14ac:dyDescent="0.25">
      <c r="A179" s="48" t="s">
        <v>292</v>
      </c>
      <c r="B179" s="48" t="s">
        <v>292</v>
      </c>
    </row>
    <row r="180" spans="1:2" s="45" customFormat="1" x14ac:dyDescent="0.25">
      <c r="A180" s="48" t="s">
        <v>527</v>
      </c>
      <c r="B180" s="48" t="s">
        <v>527</v>
      </c>
    </row>
    <row r="181" spans="1:2" s="45" customFormat="1" x14ac:dyDescent="0.25">
      <c r="A181" s="48" t="str">
        <f>"wireless rf-network "&amp;Design!$B$58</f>
        <v>wireless rf-network customername</v>
      </c>
      <c r="B181" s="48" t="str">
        <f>"wireless rf-network "&amp;Design!$B$58</f>
        <v>wireless rf-network customername</v>
      </c>
    </row>
    <row r="182" spans="1:2" s="45" customFormat="1" x14ac:dyDescent="0.25">
      <c r="A182" s="48" t="s">
        <v>526</v>
      </c>
      <c r="B182" s="48" t="s">
        <v>526</v>
      </c>
    </row>
    <row r="183" spans="1:2" s="45" customFormat="1" x14ac:dyDescent="0.25">
      <c r="A183" s="48" t="s">
        <v>293</v>
      </c>
      <c r="B183" s="48" t="s">
        <v>293</v>
      </c>
    </row>
    <row r="184" spans="1:2" s="45" customFormat="1" x14ac:dyDescent="0.25">
      <c r="A184" s="48"/>
      <c r="B184" s="48"/>
    </row>
    <row r="185" spans="1:2" s="45" customFormat="1" x14ac:dyDescent="0.25">
      <c r="A185" s="48" t="s">
        <v>294</v>
      </c>
      <c r="B185" s="48" t="s">
        <v>294</v>
      </c>
    </row>
    <row r="186" spans="1:2" s="45" customFormat="1" x14ac:dyDescent="0.25">
      <c r="A186" s="48"/>
      <c r="B186" s="48"/>
    </row>
    <row r="187" spans="1:2" s="45" customFormat="1" x14ac:dyDescent="0.25">
      <c r="A187" s="48" t="s">
        <v>626</v>
      </c>
      <c r="B187" s="48" t="s">
        <v>626</v>
      </c>
    </row>
    <row r="188" spans="1:2" s="45" customFormat="1" x14ac:dyDescent="0.25">
      <c r="A188" s="48"/>
      <c r="B188" s="48"/>
    </row>
    <row r="189" spans="1:2" s="45" customFormat="1" x14ac:dyDescent="0.25">
      <c r="A189" s="48" t="s">
        <v>295</v>
      </c>
      <c r="B189" s="48" t="s">
        <v>295</v>
      </c>
    </row>
    <row r="190" spans="1:2" s="45" customFormat="1" x14ac:dyDescent="0.25">
      <c r="A190" s="48" t="s">
        <v>296</v>
      </c>
      <c r="B190" s="48" t="s">
        <v>296</v>
      </c>
    </row>
    <row r="191" spans="1:2" s="45" customFormat="1" x14ac:dyDescent="0.25">
      <c r="A191" s="48" t="str">
        <f>"ip radius source-interface vlan "&amp;Design!B$79</f>
        <v>ip radius source-interface vlan {vlan-id}</v>
      </c>
      <c r="B191" s="48" t="str">
        <f>"ip radius source-interface vlan "&amp;Design!C$79</f>
        <v>ip radius source-interface vlan Enabled</v>
      </c>
    </row>
    <row r="192" spans="1:2" s="45" customFormat="1" x14ac:dyDescent="0.25">
      <c r="A192" s="48" t="str">
        <f>"wireless management interface vlan "&amp;Design!B$79</f>
        <v>wireless management interface vlan {vlan-id}</v>
      </c>
      <c r="B192" s="48" t="str">
        <f>"wireless management interface vlan "&amp;Design!C$79</f>
        <v>wireless management interface vlan Enabled</v>
      </c>
    </row>
    <row r="193" spans="1:2" s="45" customFormat="1" x14ac:dyDescent="0.25">
      <c r="A193" s="48"/>
      <c r="B193" s="48"/>
    </row>
    <row r="194" spans="1:2" s="45" customFormat="1" x14ac:dyDescent="0.25">
      <c r="A194" s="48" t="s">
        <v>297</v>
      </c>
      <c r="B194" s="48" t="s">
        <v>297</v>
      </c>
    </row>
    <row r="195" spans="1:2" s="45" customFormat="1" x14ac:dyDescent="0.25">
      <c r="A195" s="48" t="s">
        <v>330</v>
      </c>
      <c r="B195" s="48" t="s">
        <v>330</v>
      </c>
    </row>
    <row r="196" spans="1:2" s="45" customFormat="1" x14ac:dyDescent="0.25">
      <c r="A196" s="48"/>
      <c r="B196" s="48"/>
    </row>
    <row r="197" spans="1:2" s="45" customFormat="1" x14ac:dyDescent="0.25">
      <c r="A197" s="48" t="s">
        <v>426</v>
      </c>
      <c r="B197" s="48" t="s">
        <v>426</v>
      </c>
    </row>
    <row r="198" spans="1:2" s="45" customFormat="1" x14ac:dyDescent="0.25">
      <c r="A198" s="48" t="s">
        <v>534</v>
      </c>
      <c r="B198" s="48" t="s">
        <v>534</v>
      </c>
    </row>
    <row r="199" spans="1:2" s="45" customFormat="1" x14ac:dyDescent="0.25">
      <c r="A199" s="48" t="s">
        <v>426</v>
      </c>
      <c r="B199" s="48" t="s">
        <v>426</v>
      </c>
    </row>
    <row r="200" spans="1:2" s="45" customFormat="1" x14ac:dyDescent="0.25">
      <c r="A200" s="48" t="str">
        <f>"tacacs server "&amp;Design!A71</f>
        <v>tacacs server customername-tacacs-1</v>
      </c>
      <c r="B200" s="48" t="str">
        <f>"tacacs server "&amp;Design!B71</f>
        <v>tacacs server {tacacs-1-ip}</v>
      </c>
    </row>
    <row r="201" spans="1:2" s="45" customFormat="1" x14ac:dyDescent="0.25">
      <c r="A201" s="48" t="str">
        <f>" address ipv4 "&amp;Design!B71</f>
        <v xml:space="preserve"> address ipv4 {tacacs-1-ip}</v>
      </c>
      <c r="B201" s="48" t="str">
        <f>" address ipv4 "&amp;Design!C71</f>
        <v xml:space="preserve"> address ipv4 {Secret}</v>
      </c>
    </row>
    <row r="202" spans="1:2" s="45" customFormat="1" x14ac:dyDescent="0.25">
      <c r="A202" s="48" t="str">
        <f>" key "&amp;Design!C71</f>
        <v xml:space="preserve"> key {Secret}</v>
      </c>
      <c r="B202" s="48" t="str">
        <f>" key "&amp;Design!D71</f>
        <v xml:space="preserve"> key 1812/1813</v>
      </c>
    </row>
    <row r="203" spans="1:2" s="45" customFormat="1" x14ac:dyDescent="0.25">
      <c r="A203" s="48" t="s">
        <v>535</v>
      </c>
      <c r="B203" s="48" t="s">
        <v>535</v>
      </c>
    </row>
    <row r="204" spans="1:2" s="45" customFormat="1" x14ac:dyDescent="0.25">
      <c r="A204" s="48" t="s">
        <v>439</v>
      </c>
      <c r="B204" s="48" t="s">
        <v>439</v>
      </c>
    </row>
    <row r="205" spans="1:2" s="45" customFormat="1" x14ac:dyDescent="0.25">
      <c r="A205" s="48" t="str">
        <f>"aaa group server tacacs+ "&amp;Design!$E$71</f>
        <v>aaa group server tacacs+ TACACS-GROUP</v>
      </c>
      <c r="B205" s="48" t="str">
        <f>"aaa group server tacacs+ "&amp;Design!$E$71</f>
        <v>aaa group server tacacs+ TACACS-GROUP</v>
      </c>
    </row>
    <row r="206" spans="1:2" s="45" customFormat="1" x14ac:dyDescent="0.25">
      <c r="A206" s="48" t="str">
        <f>" server name "&amp;Design!A71</f>
        <v xml:space="preserve"> server name customername-tacacs-1</v>
      </c>
      <c r="B206" s="48" t="str">
        <f>" server name "&amp;Design!B71</f>
        <v xml:space="preserve"> server name {tacacs-1-ip}</v>
      </c>
    </row>
    <row r="207" spans="1:2" s="45" customFormat="1" x14ac:dyDescent="0.25">
      <c r="A207" s="48" t="s">
        <v>439</v>
      </c>
      <c r="B207" s="48" t="s">
        <v>439</v>
      </c>
    </row>
    <row r="208" spans="1:2" s="45" customFormat="1" x14ac:dyDescent="0.25">
      <c r="A208" s="48" t="str">
        <f>"aaa authentication login default group "&amp;Design!$E$71&amp;" local"</f>
        <v>aaa authentication login default group TACACS-GROUP local</v>
      </c>
      <c r="B208" s="48" t="str">
        <f>"aaa authentication login default group "&amp;Design!$E$71&amp;" local"</f>
        <v>aaa authentication login default group TACACS-GROUP local</v>
      </c>
    </row>
    <row r="209" spans="1:2" s="45" customFormat="1" x14ac:dyDescent="0.25">
      <c r="A209" s="48" t="str">
        <f>"aaa authentication enable default group "&amp;Design!$E$71&amp;" enable"</f>
        <v>aaa authentication enable default group TACACS-GROUP enable</v>
      </c>
      <c r="B209" s="48" t="str">
        <f>"aaa authentication enable default group "&amp;Design!$E$71&amp;" enable"</f>
        <v>aaa authentication enable default group TACACS-GROUP enable</v>
      </c>
    </row>
    <row r="210" spans="1:2" s="45" customFormat="1" x14ac:dyDescent="0.25">
      <c r="A210" s="48" t="str">
        <f>"aaa authorization exec default group "&amp;Design!$E$71&amp;" none"</f>
        <v>aaa authorization exec default group TACACS-GROUP none</v>
      </c>
      <c r="B210" s="48" t="str">
        <f>"aaa authorization exec default group "&amp;Design!$E$71&amp;" none"</f>
        <v>aaa authorization exec default group TACACS-GROUP none</v>
      </c>
    </row>
    <row r="211" spans="1:2" s="45" customFormat="1" x14ac:dyDescent="0.25">
      <c r="A211" s="48" t="str">
        <f>"aaa accounting exec default start-stop group "&amp;Design!$E$71</f>
        <v>aaa accounting exec default start-stop group TACACS-GROUP</v>
      </c>
      <c r="B211" s="48" t="str">
        <f>"aaa accounting exec default start-stop group "&amp;Design!$E$71</f>
        <v>aaa accounting exec default start-stop group TACACS-GROUP</v>
      </c>
    </row>
    <row r="212" spans="1:2" s="45" customFormat="1" x14ac:dyDescent="0.25">
      <c r="A212" s="48" t="s">
        <v>536</v>
      </c>
      <c r="B212" s="48" t="s">
        <v>536</v>
      </c>
    </row>
    <row r="213" spans="1:2" s="45" customFormat="1" x14ac:dyDescent="0.25">
      <c r="A213" s="48" t="s">
        <v>537</v>
      </c>
      <c r="B213" s="48" t="s">
        <v>537</v>
      </c>
    </row>
    <row r="214" spans="1:2" s="45" customFormat="1" x14ac:dyDescent="0.25">
      <c r="A214" s="48"/>
      <c r="B214" s="48"/>
    </row>
    <row r="215" spans="1:2" s="45" customFormat="1" x14ac:dyDescent="0.25">
      <c r="A215" s="48" t="s">
        <v>426</v>
      </c>
      <c r="B215" s="48" t="s">
        <v>426</v>
      </c>
    </row>
    <row r="216" spans="1:2" s="45" customFormat="1" x14ac:dyDescent="0.25">
      <c r="A216" s="48" t="s">
        <v>540</v>
      </c>
      <c r="B216" s="48" t="s">
        <v>540</v>
      </c>
    </row>
    <row r="217" spans="1:2" s="45" customFormat="1" x14ac:dyDescent="0.25">
      <c r="A217" s="48" t="s">
        <v>426</v>
      </c>
      <c r="B217" s="48" t="s">
        <v>426</v>
      </c>
    </row>
    <row r="218" spans="1:2" s="45" customFormat="1" x14ac:dyDescent="0.25">
      <c r="A218" s="48" t="str">
        <f>"vlan "&amp;Design!$B80</f>
        <v>vlan {vlan-id}</v>
      </c>
      <c r="B218" s="48" t="str">
        <f>"vlan "&amp;Design!$B80</f>
        <v>vlan {vlan-id}</v>
      </c>
    </row>
    <row r="219" spans="1:2" s="45" customFormat="1" x14ac:dyDescent="0.25">
      <c r="A219" s="48" t="str">
        <f>"name "&amp;Design!$A80</f>
        <v>name employee</v>
      </c>
      <c r="B219" s="48" t="str">
        <f>"name "&amp;Design!$A80</f>
        <v>name employee</v>
      </c>
    </row>
    <row r="220" spans="1:2" s="45" customFormat="1" x14ac:dyDescent="0.25">
      <c r="A220" s="48" t="str">
        <f>"vlan "&amp;Design!$B81</f>
        <v>vlan {vlan-id}</v>
      </c>
      <c r="B220" s="48" t="str">
        <f>"vlan "&amp;Design!$B81</f>
        <v>vlan {vlan-id}</v>
      </c>
    </row>
    <row r="221" spans="1:2" s="45" customFormat="1" x14ac:dyDescent="0.25">
      <c r="A221" s="48" t="str">
        <f>"name "&amp;Design!$A81</f>
        <v>name byod</v>
      </c>
      <c r="B221" s="48" t="str">
        <f>"name "&amp;Design!$A81</f>
        <v>name byod</v>
      </c>
    </row>
    <row r="222" spans="1:2" s="45" customFormat="1" x14ac:dyDescent="0.25">
      <c r="A222" s="48" t="str">
        <f>"vlan "&amp;Design!$B82</f>
        <v>vlan {vlan-id}</v>
      </c>
      <c r="B222" s="48" t="str">
        <f>"vlan "&amp;Design!$B82</f>
        <v>vlan {vlan-id}</v>
      </c>
    </row>
    <row r="223" spans="1:2" s="45" customFormat="1" x14ac:dyDescent="0.25">
      <c r="A223" s="48" t="str">
        <f>"name "&amp;Design!$A82</f>
        <v>name guest</v>
      </c>
      <c r="B223" s="48" t="str">
        <f>"name "&amp;Design!$A82</f>
        <v>name guest</v>
      </c>
    </row>
    <row r="224" spans="1:2" s="45" customFormat="1" x14ac:dyDescent="0.25">
      <c r="A224" s="48"/>
      <c r="B224" s="48"/>
    </row>
    <row r="225" spans="1:2" s="45" customFormat="1" x14ac:dyDescent="0.25">
      <c r="A225" s="48" t="s">
        <v>426</v>
      </c>
      <c r="B225" s="48" t="s">
        <v>426</v>
      </c>
    </row>
    <row r="226" spans="1:2" s="45" customFormat="1" x14ac:dyDescent="0.25">
      <c r="A226" s="48" t="s">
        <v>541</v>
      </c>
      <c r="B226" s="48" t="s">
        <v>541</v>
      </c>
    </row>
    <row r="227" spans="1:2" s="45" customFormat="1" x14ac:dyDescent="0.25">
      <c r="A227" s="48" t="s">
        <v>426</v>
      </c>
      <c r="B227" s="48" t="s">
        <v>426</v>
      </c>
    </row>
    <row r="228" spans="1:2" s="45" customFormat="1" x14ac:dyDescent="0.25">
      <c r="A228" s="48" t="str">
        <f>"radius server "&amp;Design!$A$72</f>
        <v>radius server customername-radius-1</v>
      </c>
      <c r="B228" s="48" t="str">
        <f>"radius server "&amp;Design!$A$72</f>
        <v>radius server customername-radius-1</v>
      </c>
    </row>
    <row r="229" spans="1:2" s="45" customFormat="1" x14ac:dyDescent="0.25">
      <c r="A229" s="48" t="str">
        <f>" address ipv4 "&amp;Design!$B$72&amp;" auth-port 1812 acct-port 1813"</f>
        <v xml:space="preserve"> address ipv4 {radius-1-ip} auth-port 1812 acct-port 1813</v>
      </c>
      <c r="B229" s="48" t="str">
        <f>" address ipv4 "&amp;Design!$B$72&amp;" auth-port 1812 acct-port 1813"</f>
        <v xml:space="preserve"> address ipv4 {radius-1-ip} auth-port 1812 acct-port 1813</v>
      </c>
    </row>
    <row r="230" spans="1:2" s="45" customFormat="1" x14ac:dyDescent="0.25">
      <c r="A230" s="48" t="s">
        <v>535</v>
      </c>
      <c r="B230" s="48" t="s">
        <v>535</v>
      </c>
    </row>
    <row r="231" spans="1:2" s="45" customFormat="1" x14ac:dyDescent="0.25">
      <c r="A231" s="48" t="s">
        <v>542</v>
      </c>
      <c r="B231" s="48" t="s">
        <v>542</v>
      </c>
    </row>
    <row r="232" spans="1:2" s="45" customFormat="1" x14ac:dyDescent="0.25">
      <c r="A232" s="48" t="str">
        <f>" key 0 "&amp;Design!$C$72</f>
        <v xml:space="preserve"> key 0 {Secret}</v>
      </c>
      <c r="B232" s="48" t="str">
        <f>" key 0 "&amp;Design!$C$72</f>
        <v xml:space="preserve"> key 0 {Secret}</v>
      </c>
    </row>
    <row r="233" spans="1:2" s="45" customFormat="1" x14ac:dyDescent="0.25">
      <c r="A233" s="48" t="s">
        <v>543</v>
      </c>
      <c r="B233" s="48" t="s">
        <v>543</v>
      </c>
    </row>
    <row r="234" spans="1:2" s="45" customFormat="1" x14ac:dyDescent="0.25">
      <c r="A234" s="48" t="str">
        <f>" client "&amp;Design!$B$72&amp;" server-key 0 "&amp;Design!$C$72</f>
        <v xml:space="preserve"> client {radius-1-ip} server-key 0 {Secret}</v>
      </c>
      <c r="B234" s="48" t="str">
        <f>" client "&amp;Design!$B$72&amp;" server-key 0 "&amp;Design!$C$72</f>
        <v xml:space="preserve"> client {radius-1-ip} server-key 0 {Secret}</v>
      </c>
    </row>
    <row r="235" spans="1:2" s="45" customFormat="1" x14ac:dyDescent="0.25">
      <c r="A235" s="48" t="str">
        <f>"aaa group server radius "&amp;Design!$E$72</f>
        <v>aaa group server radius radius-group</v>
      </c>
      <c r="B235" s="48" t="str">
        <f>"aaa group server radius "&amp;Design!$E$72</f>
        <v>aaa group server radius radius-group</v>
      </c>
    </row>
    <row r="236" spans="1:2" s="45" customFormat="1" x14ac:dyDescent="0.25">
      <c r="A236" s="48" t="str">
        <f>" server name "&amp;Design!$A$72</f>
        <v xml:space="preserve"> server name customername-radius-1</v>
      </c>
      <c r="B236" s="48" t="str">
        <f>" server name "&amp;Design!$A$72</f>
        <v xml:space="preserve"> server name customername-radius-1</v>
      </c>
    </row>
    <row r="237" spans="1:2" s="45" customFormat="1" x14ac:dyDescent="0.25">
      <c r="A237" s="48" t="s">
        <v>544</v>
      </c>
      <c r="B237" s="48" t="s">
        <v>544</v>
      </c>
    </row>
    <row r="238" spans="1:2" s="45" customFormat="1" x14ac:dyDescent="0.25">
      <c r="A238" s="48" t="s">
        <v>545</v>
      </c>
      <c r="B238" s="48" t="s">
        <v>545</v>
      </c>
    </row>
    <row r="239" spans="1:2" s="45" customFormat="1" x14ac:dyDescent="0.25">
      <c r="A239" s="48" t="str">
        <f>"aaa authentication dot1x "&amp;Design!$F$72&amp;" group "&amp;Design!$E$72</f>
        <v>aaa authentication dot1x radius-group-method group radius-group</v>
      </c>
      <c r="B239" s="48" t="str">
        <f>"aaa authentication dot1x "&amp;Design!$F$72&amp;" group "&amp;Design!$E$72</f>
        <v>aaa authentication dot1x radius-group-method group radius-group</v>
      </c>
    </row>
    <row r="240" spans="1:2" s="45" customFormat="1" x14ac:dyDescent="0.25">
      <c r="A240" s="48" t="str">
        <f>"radius server "&amp;Design!$A$73</f>
        <v>radius server customername-radius-2</v>
      </c>
      <c r="B240" s="48" t="str">
        <f>"radius server "&amp;Design!$A$73</f>
        <v>radius server customername-radius-2</v>
      </c>
    </row>
    <row r="241" spans="1:2" s="45" customFormat="1" x14ac:dyDescent="0.25">
      <c r="A241" s="48" t="str">
        <f>" address ipv4 "&amp;Design!$B$73&amp;" auth-port 1812 acct-port 1813"</f>
        <v xml:space="preserve"> address ipv4 {radius-2-ip} auth-port 1812 acct-port 1813</v>
      </c>
      <c r="B241" s="48" t="str">
        <f>" address ipv4 "&amp;Design!$B$73&amp;" auth-port 1812 acct-port 1813"</f>
        <v xml:space="preserve"> address ipv4 {radius-2-ip} auth-port 1812 acct-port 1813</v>
      </c>
    </row>
    <row r="242" spans="1:2" s="45" customFormat="1" x14ac:dyDescent="0.25">
      <c r="A242" s="48" t="s">
        <v>535</v>
      </c>
      <c r="B242" s="48" t="s">
        <v>535</v>
      </c>
    </row>
    <row r="243" spans="1:2" s="45" customFormat="1" x14ac:dyDescent="0.25">
      <c r="A243" s="48" t="s">
        <v>542</v>
      </c>
      <c r="B243" s="48" t="s">
        <v>542</v>
      </c>
    </row>
    <row r="244" spans="1:2" s="45" customFormat="1" x14ac:dyDescent="0.25">
      <c r="A244" s="48" t="str">
        <f>" key 0 "&amp;Design!$C$73</f>
        <v xml:space="preserve"> key 0 {Secret}</v>
      </c>
      <c r="B244" s="48" t="str">
        <f>" key 0 "&amp;Design!$C$73</f>
        <v xml:space="preserve"> key 0 {Secret}</v>
      </c>
    </row>
    <row r="245" spans="1:2" s="45" customFormat="1" x14ac:dyDescent="0.25">
      <c r="A245" s="48" t="s">
        <v>543</v>
      </c>
      <c r="B245" s="48" t="s">
        <v>543</v>
      </c>
    </row>
    <row r="246" spans="1:2" s="45" customFormat="1" x14ac:dyDescent="0.25">
      <c r="A246" s="48" t="str">
        <f>" client "&amp;Design!$B$73&amp;" server-key 0 "&amp;Design!$C$73</f>
        <v xml:space="preserve"> client {radius-2-ip} server-key 0 {Secret}</v>
      </c>
      <c r="B246" s="48" t="str">
        <f>" client "&amp;Design!$B$73&amp;" server-key 0 "&amp;Design!$C$73</f>
        <v xml:space="preserve"> client {radius-2-ip} server-key 0 {Secret}</v>
      </c>
    </row>
    <row r="247" spans="1:2" s="45" customFormat="1" x14ac:dyDescent="0.25">
      <c r="A247" s="48" t="str">
        <f>"aaa group server radius "&amp;Design!$E$73</f>
        <v>aaa group server radius radius-group</v>
      </c>
      <c r="B247" s="48" t="str">
        <f>"aaa group server radius "&amp;Design!$E$73</f>
        <v>aaa group server radius radius-group</v>
      </c>
    </row>
    <row r="248" spans="1:2" s="45" customFormat="1" x14ac:dyDescent="0.25">
      <c r="A248" s="48" t="str">
        <f>" server name "&amp;Design!$A$73</f>
        <v xml:space="preserve"> server name customername-radius-2</v>
      </c>
      <c r="B248" s="48" t="str">
        <f>" server name "&amp;Design!$A$73</f>
        <v xml:space="preserve"> server name customername-radius-2</v>
      </c>
    </row>
    <row r="249" spans="1:2" s="45" customFormat="1" x14ac:dyDescent="0.25">
      <c r="A249" s="48" t="s">
        <v>544</v>
      </c>
      <c r="B249" s="48" t="s">
        <v>544</v>
      </c>
    </row>
    <row r="250" spans="1:2" s="45" customFormat="1" x14ac:dyDescent="0.25">
      <c r="A250" s="48" t="s">
        <v>545</v>
      </c>
      <c r="B250" s="48" t="s">
        <v>545</v>
      </c>
    </row>
    <row r="251" spans="1:2" s="45" customFormat="1" x14ac:dyDescent="0.25">
      <c r="A251" s="48" t="str">
        <f>"aaa authentication dot1x "&amp;Design!$F$73&amp;" group "&amp;Design!$E$73</f>
        <v>aaa authentication dot1x radius-group-method group radius-group</v>
      </c>
      <c r="B251" s="48" t="str">
        <f>"aaa authentication dot1x "&amp;Design!$F$73&amp;" group "&amp;Design!$E$73</f>
        <v>aaa authentication dot1x radius-group-method group radius-group</v>
      </c>
    </row>
    <row r="252" spans="1:2" s="45" customFormat="1" x14ac:dyDescent="0.25">
      <c r="A252" s="48"/>
      <c r="B252" s="48"/>
    </row>
    <row r="253" spans="1:2" s="45" customFormat="1" x14ac:dyDescent="0.25">
      <c r="A253" s="48" t="s">
        <v>426</v>
      </c>
      <c r="B253" s="48" t="s">
        <v>426</v>
      </c>
    </row>
    <row r="254" spans="1:2" s="45" customFormat="1" x14ac:dyDescent="0.25">
      <c r="A254" s="48" t="s">
        <v>546</v>
      </c>
      <c r="B254" s="48" t="s">
        <v>546</v>
      </c>
    </row>
    <row r="255" spans="1:2" s="45" customFormat="1" x14ac:dyDescent="0.25">
      <c r="A255" s="48" t="s">
        <v>426</v>
      </c>
      <c r="B255" s="48" t="s">
        <v>426</v>
      </c>
    </row>
    <row r="256" spans="1:2" s="45" customFormat="1" x14ac:dyDescent="0.25">
      <c r="A256" s="48" t="str">
        <f>"wlan "&amp;Design!$A101&amp;" "&amp;Design!$C101&amp;" "&amp;Design!$B101</f>
        <v>wlan CustomerName-employee 17 CustomerName-employee</v>
      </c>
      <c r="B256" s="48" t="str">
        <f>"wlan "&amp;Design!$A101&amp;" "&amp;Design!$C101&amp;" "&amp;Design!$B101</f>
        <v>wlan CustomerName-employee 17 CustomerName-employee</v>
      </c>
    </row>
    <row r="257" spans="1:2" s="45" customFormat="1" x14ac:dyDescent="0.25">
      <c r="A257" s="48" t="s">
        <v>547</v>
      </c>
      <c r="B257" s="48" t="s">
        <v>547</v>
      </c>
    </row>
    <row r="258" spans="1:2" s="45" customFormat="1" x14ac:dyDescent="0.25">
      <c r="A258" s="48" t="s">
        <v>548</v>
      </c>
      <c r="B258" s="48" t="s">
        <v>548</v>
      </c>
    </row>
    <row r="259" spans="1:2" s="45" customFormat="1" x14ac:dyDescent="0.25">
      <c r="A259" s="48" t="s">
        <v>549</v>
      </c>
      <c r="B259" s="48" t="s">
        <v>549</v>
      </c>
    </row>
    <row r="260" spans="1:2" s="45" customFormat="1" x14ac:dyDescent="0.25">
      <c r="A260" s="48" t="s">
        <v>550</v>
      </c>
      <c r="B260" s="48" t="s">
        <v>550</v>
      </c>
    </row>
    <row r="261" spans="1:2" s="45" customFormat="1" x14ac:dyDescent="0.25">
      <c r="A261" s="48" t="s">
        <v>551</v>
      </c>
      <c r="B261" s="48" t="s">
        <v>551</v>
      </c>
    </row>
    <row r="262" spans="1:2" s="45" customFormat="1" x14ac:dyDescent="0.25">
      <c r="A262" s="48" t="str">
        <f>"wlan "&amp;Design!$A102&amp;" "&amp;Design!$C102&amp;" "&amp;Design!$B102</f>
        <v>wlan CustomerName-byod 18 CustomerName-byod</v>
      </c>
      <c r="B262" s="48" t="str">
        <f>"wlan "&amp;Design!$A102&amp;" "&amp;Design!$C102&amp;" "&amp;Design!$B102</f>
        <v>wlan CustomerName-byod 18 CustomerName-byod</v>
      </c>
    </row>
    <row r="263" spans="1:2" s="45" customFormat="1" x14ac:dyDescent="0.25">
      <c r="A263" s="48" t="s">
        <v>552</v>
      </c>
      <c r="B263" s="48" t="s">
        <v>552</v>
      </c>
    </row>
    <row r="264" spans="1:2" s="45" customFormat="1" x14ac:dyDescent="0.25">
      <c r="A264" s="48" t="s">
        <v>553</v>
      </c>
      <c r="B264" s="48" t="s">
        <v>553</v>
      </c>
    </row>
    <row r="265" spans="1:2" s="45" customFormat="1" x14ac:dyDescent="0.25">
      <c r="A265" s="48" t="s">
        <v>554</v>
      </c>
      <c r="B265" s="48" t="s">
        <v>554</v>
      </c>
    </row>
    <row r="266" spans="1:2" s="45" customFormat="1" x14ac:dyDescent="0.25">
      <c r="A266" s="48" t="s">
        <v>555</v>
      </c>
      <c r="B266" s="48" t="s">
        <v>555</v>
      </c>
    </row>
    <row r="267" spans="1:2" s="45" customFormat="1" x14ac:dyDescent="0.25">
      <c r="A267" s="48" t="s">
        <v>556</v>
      </c>
      <c r="B267" s="48" t="s">
        <v>556</v>
      </c>
    </row>
    <row r="268" spans="1:2" s="45" customFormat="1" x14ac:dyDescent="0.25">
      <c r="A268" s="48" t="s">
        <v>547</v>
      </c>
      <c r="B268" s="48" t="s">
        <v>547</v>
      </c>
    </row>
    <row r="269" spans="1:2" s="45" customFormat="1" x14ac:dyDescent="0.25">
      <c r="A269" s="48" t="s">
        <v>548</v>
      </c>
      <c r="B269" s="48" t="s">
        <v>548</v>
      </c>
    </row>
    <row r="270" spans="1:2" s="45" customFormat="1" x14ac:dyDescent="0.25">
      <c r="A270" s="48" t="str">
        <f>" security wpa psk set-key ascii 0 "&amp;Design!$H102</f>
        <v xml:space="preserve"> security wpa psk set-key ascii 0 Password123</v>
      </c>
      <c r="B270" s="48" t="str">
        <f>" security wpa psk set-key ascii 0 "&amp;Design!$H102</f>
        <v xml:space="preserve"> security wpa psk set-key ascii 0 Password123</v>
      </c>
    </row>
    <row r="271" spans="1:2" s="45" customFormat="1" x14ac:dyDescent="0.25">
      <c r="A271" s="48" t="s">
        <v>557</v>
      </c>
      <c r="B271" s="48" t="s">
        <v>557</v>
      </c>
    </row>
    <row r="272" spans="1:2" s="45" customFormat="1" x14ac:dyDescent="0.25">
      <c r="A272" s="48" t="s">
        <v>558</v>
      </c>
      <c r="B272" s="48" t="s">
        <v>558</v>
      </c>
    </row>
    <row r="273" spans="1:2" s="45" customFormat="1" x14ac:dyDescent="0.25">
      <c r="A273" s="48" t="s">
        <v>550</v>
      </c>
      <c r="B273" s="48" t="s">
        <v>550</v>
      </c>
    </row>
    <row r="274" spans="1:2" s="45" customFormat="1" x14ac:dyDescent="0.25">
      <c r="A274" s="48" t="s">
        <v>551</v>
      </c>
      <c r="B274" s="48" t="s">
        <v>551</v>
      </c>
    </row>
    <row r="275" spans="1:2" s="45" customFormat="1" x14ac:dyDescent="0.25">
      <c r="A275" s="48"/>
      <c r="B275" s="48"/>
    </row>
    <row r="276" spans="1:2" s="45" customFormat="1" x14ac:dyDescent="0.25">
      <c r="A276" s="48" t="s">
        <v>426</v>
      </c>
      <c r="B276" s="48" t="s">
        <v>426</v>
      </c>
    </row>
    <row r="277" spans="1:2" s="45" customFormat="1" x14ac:dyDescent="0.25">
      <c r="A277" s="48" t="s">
        <v>559</v>
      </c>
      <c r="B277" s="48" t="s">
        <v>559</v>
      </c>
    </row>
    <row r="278" spans="1:2" s="45" customFormat="1" x14ac:dyDescent="0.25">
      <c r="A278" s="48" t="s">
        <v>426</v>
      </c>
      <c r="B278" s="48" t="s">
        <v>426</v>
      </c>
    </row>
    <row r="279" spans="1:2" s="45" customFormat="1" x14ac:dyDescent="0.25">
      <c r="A279" s="48" t="str">
        <f>"wireless profile policy "&amp;Design!$A106</f>
        <v>wireless profile policy employee-policy</v>
      </c>
      <c r="B279" s="48" t="str">
        <f>"wireless profile policy "&amp;Design!$A106</f>
        <v>wireless profile policy employee-policy</v>
      </c>
    </row>
    <row r="280" spans="1:2" s="45" customFormat="1" x14ac:dyDescent="0.25">
      <c r="A280" s="48" t="s">
        <v>560</v>
      </c>
      <c r="B280" s="48" t="s">
        <v>560</v>
      </c>
    </row>
    <row r="281" spans="1:2" s="45" customFormat="1" x14ac:dyDescent="0.25">
      <c r="A281" s="48" t="s">
        <v>561</v>
      </c>
      <c r="B281" s="48" t="s">
        <v>561</v>
      </c>
    </row>
    <row r="282" spans="1:2" s="45" customFormat="1" x14ac:dyDescent="0.25">
      <c r="A282" s="48" t="str">
        <f>" vlan "&amp;Design!$K106</f>
        <v xml:space="preserve"> vlan employee</v>
      </c>
      <c r="B282" s="48" t="str">
        <f>" vlan "&amp;Design!$K106</f>
        <v xml:space="preserve"> vlan employee</v>
      </c>
    </row>
    <row r="283" spans="1:2" s="45" customFormat="1" x14ac:dyDescent="0.25">
      <c r="A283" s="48" t="s">
        <v>617</v>
      </c>
      <c r="B283" s="48" t="s">
        <v>617</v>
      </c>
    </row>
    <row r="284" spans="1:2" s="45" customFormat="1" x14ac:dyDescent="0.25">
      <c r="A284" s="48" t="s">
        <v>551</v>
      </c>
      <c r="B284" s="48" t="s">
        <v>551</v>
      </c>
    </row>
    <row r="285" spans="1:2" s="45" customFormat="1" x14ac:dyDescent="0.25">
      <c r="A285" s="48" t="str">
        <f>"wireless profile policy "&amp;Design!$A107</f>
        <v>wireless profile policy byod-policy</v>
      </c>
      <c r="B285" s="48" t="str">
        <f>"wireless profile policy "&amp;Design!$A107</f>
        <v>wireless profile policy byod-policy</v>
      </c>
    </row>
    <row r="286" spans="1:2" s="45" customFormat="1" x14ac:dyDescent="0.25">
      <c r="A286" s="48" t="s">
        <v>560</v>
      </c>
      <c r="B286" s="48" t="s">
        <v>560</v>
      </c>
    </row>
    <row r="287" spans="1:2" s="45" customFormat="1" x14ac:dyDescent="0.25">
      <c r="A287" s="48" t="s">
        <v>561</v>
      </c>
      <c r="B287" s="48" t="s">
        <v>561</v>
      </c>
    </row>
    <row r="288" spans="1:2" s="45" customFormat="1" x14ac:dyDescent="0.25">
      <c r="A288" s="48" t="str">
        <f>" vlan "&amp;Design!$K107</f>
        <v xml:space="preserve"> vlan byod</v>
      </c>
      <c r="B288" s="48" t="str">
        <f>" vlan "&amp;Design!$K107</f>
        <v xml:space="preserve"> vlan byod</v>
      </c>
    </row>
    <row r="289" spans="1:2" s="45" customFormat="1" x14ac:dyDescent="0.25">
      <c r="A289" s="48" t="s">
        <v>617</v>
      </c>
      <c r="B289" s="48" t="s">
        <v>617</v>
      </c>
    </row>
    <row r="290" spans="1:2" s="45" customFormat="1" x14ac:dyDescent="0.25">
      <c r="A290" s="48" t="s">
        <v>551</v>
      </c>
      <c r="B290" s="48" t="s">
        <v>551</v>
      </c>
    </row>
    <row r="291" spans="1:2" s="45" customFormat="1" x14ac:dyDescent="0.25">
      <c r="A291" s="48" t="str">
        <f>"wireless profile policy "&amp;Design!$A108</f>
        <v>wireless profile policy guest-policy</v>
      </c>
      <c r="B291" s="48" t="str">
        <f>"wireless profile policy "&amp;Design!$A108</f>
        <v>wireless profile policy guest-policy</v>
      </c>
    </row>
    <row r="292" spans="1:2" s="45" customFormat="1" x14ac:dyDescent="0.25">
      <c r="A292" s="48" t="s">
        <v>560</v>
      </c>
      <c r="B292" s="48" t="s">
        <v>560</v>
      </c>
    </row>
    <row r="293" spans="1:2" s="45" customFormat="1" x14ac:dyDescent="0.25">
      <c r="A293" s="48" t="s">
        <v>561</v>
      </c>
      <c r="B293" s="48" t="s">
        <v>561</v>
      </c>
    </row>
    <row r="294" spans="1:2" s="45" customFormat="1" x14ac:dyDescent="0.25">
      <c r="A294" s="48" t="str">
        <f>" vlan "&amp;Design!$K108</f>
        <v xml:space="preserve"> vlan guest</v>
      </c>
      <c r="B294" s="48" t="str">
        <f>" vlan "&amp;Design!$K108</f>
        <v xml:space="preserve"> vlan guest</v>
      </c>
    </row>
    <row r="295" spans="1:2" s="45" customFormat="1" x14ac:dyDescent="0.25">
      <c r="A295" s="48" t="s">
        <v>617</v>
      </c>
      <c r="B295" s="48" t="s">
        <v>617</v>
      </c>
    </row>
    <row r="296" spans="1:2" s="45" customFormat="1" x14ac:dyDescent="0.25">
      <c r="A296" s="48" t="s">
        <v>551</v>
      </c>
      <c r="B296" s="48" t="s">
        <v>551</v>
      </c>
    </row>
    <row r="297" spans="1:2" s="45" customFormat="1" x14ac:dyDescent="0.25">
      <c r="A297" s="48"/>
      <c r="B297" s="48"/>
    </row>
    <row r="298" spans="1:2" s="45" customFormat="1" x14ac:dyDescent="0.25">
      <c r="A298" s="48" t="s">
        <v>426</v>
      </c>
      <c r="B298" s="48" t="s">
        <v>426</v>
      </c>
    </row>
    <row r="299" spans="1:2" s="45" customFormat="1" x14ac:dyDescent="0.25">
      <c r="A299" s="48" t="s">
        <v>559</v>
      </c>
      <c r="B299" s="48" t="s">
        <v>559</v>
      </c>
    </row>
    <row r="300" spans="1:2" s="45" customFormat="1" x14ac:dyDescent="0.25">
      <c r="A300" s="48" t="s">
        <v>426</v>
      </c>
      <c r="B300" s="48" t="s">
        <v>426</v>
      </c>
    </row>
    <row r="301" spans="1:2" s="45" customFormat="1" x14ac:dyDescent="0.25">
      <c r="A301" s="48" t="str">
        <f>"wireless tag policy "&amp;Design!$A122</f>
        <v>wireless tag policy CustomerName-policy-tag</v>
      </c>
      <c r="B301" s="48" t="str">
        <f>"wireless tag policy "&amp;Design!$A122</f>
        <v>wireless tag policy CustomerName-policy-tag</v>
      </c>
    </row>
    <row r="302" spans="1:2" s="45" customFormat="1" x14ac:dyDescent="0.25">
      <c r="A302" s="48" t="str">
        <f>" wlan "&amp;Design!$B122&amp;" policy "&amp;Design!$C122</f>
        <v xml:space="preserve"> wlan CustomerName-employee policy employee-policy</v>
      </c>
      <c r="B302" s="48" t="str">
        <f>" wlan "&amp;Design!$B122&amp;" policy "&amp;Design!$C122</f>
        <v xml:space="preserve"> wlan CustomerName-employee policy employee-policy</v>
      </c>
    </row>
    <row r="303" spans="1:2" s="45" customFormat="1" x14ac:dyDescent="0.25">
      <c r="A303" s="48" t="str">
        <f>" wlan "&amp;Design!$B123&amp;" policy "&amp;Design!$C123</f>
        <v xml:space="preserve"> wlan CustomerName-byod policy byod-policy</v>
      </c>
      <c r="B303" s="48" t="str">
        <f>" wlan "&amp;Design!$B123&amp;" policy "&amp;Design!$C123</f>
        <v xml:space="preserve"> wlan CustomerName-byod policy byod-policy</v>
      </c>
    </row>
    <row r="304" spans="1:2" s="45" customFormat="1" x14ac:dyDescent="0.25">
      <c r="A304" s="48" t="str">
        <f>" wlan "&amp;Design!$B124&amp;" policy "&amp;Design!$C124</f>
        <v xml:space="preserve"> wlan CustomerName-guest policy guest-policy</v>
      </c>
      <c r="B304" s="48" t="str">
        <f>" wlan "&amp;Design!$B124&amp;" policy "&amp;Design!$C124</f>
        <v xml:space="preserve"> wlan CustomerName-guest policy guest-policy</v>
      </c>
    </row>
    <row r="305" spans="1:2" s="45" customFormat="1" x14ac:dyDescent="0.25">
      <c r="A305" s="48"/>
      <c r="B305" s="48"/>
    </row>
    <row r="306" spans="1:2" s="45" customFormat="1" x14ac:dyDescent="0.25">
      <c r="A306" s="48" t="s">
        <v>426</v>
      </c>
      <c r="B306" s="48" t="s">
        <v>426</v>
      </c>
    </row>
    <row r="307" spans="1:2" s="45" customFormat="1" x14ac:dyDescent="0.25">
      <c r="A307" s="48" t="s">
        <v>562</v>
      </c>
      <c r="B307" s="48" t="s">
        <v>562</v>
      </c>
    </row>
    <row r="308" spans="1:2" s="45" customFormat="1" x14ac:dyDescent="0.25">
      <c r="A308" s="48" t="s">
        <v>426</v>
      </c>
      <c r="B308" s="48" t="s">
        <v>426</v>
      </c>
    </row>
    <row r="309" spans="1:2" s="45" customFormat="1" x14ac:dyDescent="0.25">
      <c r="A309" s="48" t="s">
        <v>563</v>
      </c>
      <c r="B309" s="48" t="s">
        <v>563</v>
      </c>
    </row>
    <row r="310" spans="1:2" s="45" customFormat="1" x14ac:dyDescent="0.25">
      <c r="A310" s="48" t="s">
        <v>564</v>
      </c>
      <c r="B310" s="48" t="s">
        <v>564</v>
      </c>
    </row>
    <row r="311" spans="1:2" s="45" customFormat="1" x14ac:dyDescent="0.25">
      <c r="A311" s="48" t="s">
        <v>565</v>
      </c>
      <c r="B311" s="48" t="s">
        <v>565</v>
      </c>
    </row>
    <row r="312" spans="1:2" s="45" customFormat="1" x14ac:dyDescent="0.25">
      <c r="A312" s="48" t="s">
        <v>565</v>
      </c>
      <c r="B312" s="48" t="s">
        <v>565</v>
      </c>
    </row>
    <row r="313" spans="1:2" s="45" customFormat="1" x14ac:dyDescent="0.25">
      <c r="A313" s="48"/>
      <c r="B313" s="48"/>
    </row>
    <row r="314" spans="1:2" s="45" customFormat="1" x14ac:dyDescent="0.25">
      <c r="A314" s="48" t="s">
        <v>426</v>
      </c>
      <c r="B314" s="48" t="s">
        <v>426</v>
      </c>
    </row>
    <row r="315" spans="1:2" s="45" customFormat="1" x14ac:dyDescent="0.25">
      <c r="A315" s="48" t="s">
        <v>569</v>
      </c>
      <c r="B315" s="48" t="s">
        <v>569</v>
      </c>
    </row>
    <row r="316" spans="1:2" s="45" customFormat="1" x14ac:dyDescent="0.25">
      <c r="A316" s="48" t="s">
        <v>426</v>
      </c>
      <c r="B316" s="48" t="s">
        <v>426</v>
      </c>
    </row>
    <row r="317" spans="1:2" s="45" customFormat="1" x14ac:dyDescent="0.25">
      <c r="A317" s="48" t="s">
        <v>570</v>
      </c>
      <c r="B317" s="48" t="s">
        <v>570</v>
      </c>
    </row>
    <row r="318" spans="1:2" s="45" customFormat="1" x14ac:dyDescent="0.25">
      <c r="A318" s="48" t="s">
        <v>571</v>
      </c>
      <c r="B318" s="48" t="s">
        <v>571</v>
      </c>
    </row>
    <row r="319" spans="1:2" s="45" customFormat="1" x14ac:dyDescent="0.25">
      <c r="A319" s="48" t="s">
        <v>630</v>
      </c>
      <c r="B319" s="48" t="s">
        <v>630</v>
      </c>
    </row>
    <row r="320" spans="1:2" s="45" customFormat="1" x14ac:dyDescent="0.25">
      <c r="A320" s="48"/>
      <c r="B320" s="48"/>
    </row>
    <row r="321" spans="1:2" s="45" customFormat="1" x14ac:dyDescent="0.25">
      <c r="A321" s="48" t="s">
        <v>426</v>
      </c>
      <c r="B321" s="48" t="s">
        <v>426</v>
      </c>
    </row>
    <row r="322" spans="1:2" s="45" customFormat="1" x14ac:dyDescent="0.25">
      <c r="A322" s="48" t="s">
        <v>607</v>
      </c>
      <c r="B322" s="48" t="s">
        <v>607</v>
      </c>
    </row>
    <row r="323" spans="1:2" s="45" customFormat="1" x14ac:dyDescent="0.25">
      <c r="A323" s="48" t="s">
        <v>426</v>
      </c>
      <c r="B323" s="48" t="s">
        <v>426</v>
      </c>
    </row>
    <row r="324" spans="1:2" s="45" customFormat="1" x14ac:dyDescent="0.25">
      <c r="A324" s="48" t="s">
        <v>608</v>
      </c>
      <c r="B324" s="48" t="s">
        <v>608</v>
      </c>
    </row>
    <row r="325" spans="1:2" s="45" customFormat="1" x14ac:dyDescent="0.25">
      <c r="A325" s="48" t="s">
        <v>609</v>
      </c>
      <c r="B325" s="48" t="s">
        <v>609</v>
      </c>
    </row>
    <row r="326" spans="1:2" s="45" customFormat="1" x14ac:dyDescent="0.25">
      <c r="A326" s="48" t="s">
        <v>610</v>
      </c>
      <c r="B326" s="48" t="s">
        <v>610</v>
      </c>
    </row>
    <row r="327" spans="1:2" s="45" customFormat="1" x14ac:dyDescent="0.25">
      <c r="A327" s="48" t="str">
        <f>" deny udp host "&amp;Design!B72&amp;" eq bootps any eq bootpc"</f>
        <v xml:space="preserve"> deny udp host {radius-1-ip} eq bootps any eq bootpc</v>
      </c>
      <c r="B327" s="48" t="str">
        <f>" deny udp host "&amp;Design!C72&amp;" eq bootps any eq bootpc"</f>
        <v xml:space="preserve"> deny udp host {Secret} eq bootps any eq bootpc</v>
      </c>
    </row>
    <row r="328" spans="1:2" s="45" customFormat="1" x14ac:dyDescent="0.25">
      <c r="A328" s="48" t="str">
        <f>" deny udp any eq bootpc host "&amp;Design!B72&amp;" eq bootps"</f>
        <v xml:space="preserve"> deny udp any eq bootpc host {radius-1-ip} eq bootps</v>
      </c>
      <c r="B328" s="48" t="str">
        <f>" deny udp any eq bootpc host "&amp;Design!C72&amp;" eq bootps"</f>
        <v xml:space="preserve"> deny udp any eq bootpc host {Secret} eq bootps</v>
      </c>
    </row>
    <row r="329" spans="1:2" s="45" customFormat="1" x14ac:dyDescent="0.25">
      <c r="A329" s="48" t="str">
        <f>" deny udp host "&amp;Design!B73&amp;" eq bootps any eq bootpc"</f>
        <v xml:space="preserve"> deny udp host {radius-2-ip} eq bootps any eq bootpc</v>
      </c>
      <c r="B329" s="48" t="str">
        <f>" deny udp host "&amp;Design!C73&amp;" eq bootps any eq bootpc"</f>
        <v xml:space="preserve"> deny udp host {Secret} eq bootps any eq bootpc</v>
      </c>
    </row>
    <row r="330" spans="1:2" s="45" customFormat="1" x14ac:dyDescent="0.25">
      <c r="A330" s="48" t="str">
        <f>" deny udp any eq bootpc host "&amp;Design!B73&amp;" eq bootps"</f>
        <v xml:space="preserve"> deny udp any eq bootpc host {radius-2-ip} eq bootps</v>
      </c>
      <c r="B330" s="48" t="str">
        <f>" deny udp any eq bootpc host "&amp;Design!C73&amp;" eq bootps"</f>
        <v xml:space="preserve"> deny udp any eq bootpc host {Secret} eq bootps</v>
      </c>
    </row>
    <row r="331" spans="1:2" s="45" customFormat="1" x14ac:dyDescent="0.25">
      <c r="A331" s="48" t="s">
        <v>611</v>
      </c>
      <c r="B331" s="48" t="s">
        <v>611</v>
      </c>
    </row>
    <row r="332" spans="1:2" s="45" customFormat="1" x14ac:dyDescent="0.25">
      <c r="A332" s="48" t="s">
        <v>612</v>
      </c>
      <c r="B332" s="48" t="s">
        <v>612</v>
      </c>
    </row>
    <row r="333" spans="1:2" s="45" customFormat="1" x14ac:dyDescent="0.25">
      <c r="A333" s="48" t="s">
        <v>613</v>
      </c>
      <c r="B333" s="48" t="s">
        <v>613</v>
      </c>
    </row>
    <row r="334" spans="1:2" s="45" customFormat="1" x14ac:dyDescent="0.25">
      <c r="A334" s="48" t="s">
        <v>614</v>
      </c>
      <c r="B334" s="48" t="s">
        <v>614</v>
      </c>
    </row>
    <row r="335" spans="1:2" s="45" customFormat="1" x14ac:dyDescent="0.25">
      <c r="A335" s="48" t="str">
        <f>" deny ip host "&amp;Design!B72&amp;" any"</f>
        <v xml:space="preserve"> deny ip host {radius-1-ip} any</v>
      </c>
      <c r="B335" s="48" t="str">
        <f>" deny ip host "&amp;Design!C72&amp;" any"</f>
        <v xml:space="preserve"> deny ip host {Secret} any</v>
      </c>
    </row>
    <row r="336" spans="1:2" s="45" customFormat="1" x14ac:dyDescent="0.25">
      <c r="A336" s="48" t="str">
        <f>" deny ip any host "&amp;Design!B72</f>
        <v xml:space="preserve"> deny ip any host {radius-1-ip}</v>
      </c>
      <c r="B336" s="48" t="str">
        <f>" deny ip any host "&amp;Design!C72</f>
        <v xml:space="preserve"> deny ip any host {Secret}</v>
      </c>
    </row>
    <row r="337" spans="1:2" s="45" customFormat="1" x14ac:dyDescent="0.25">
      <c r="A337" s="48" t="str">
        <f>" deny ip host "&amp;Design!B73&amp;" any"</f>
        <v xml:space="preserve"> deny ip host {radius-2-ip} any</v>
      </c>
      <c r="B337" s="48" t="str">
        <f>" deny ip host "&amp;Design!C73&amp;" any"</f>
        <v xml:space="preserve"> deny ip host {Secret} any</v>
      </c>
    </row>
    <row r="338" spans="1:2" s="45" customFormat="1" x14ac:dyDescent="0.25">
      <c r="A338" s="48" t="str">
        <f>" deny ip any host "&amp;Design!B73</f>
        <v xml:space="preserve"> deny ip any host {radius-2-ip}</v>
      </c>
      <c r="B338" s="48" t="str">
        <f>" deny ip any host "&amp;Design!C73</f>
        <v xml:space="preserve"> deny ip any host {Secret}</v>
      </c>
    </row>
    <row r="339" spans="1:2" s="45" customFormat="1" x14ac:dyDescent="0.25">
      <c r="A339" s="48" t="s">
        <v>615</v>
      </c>
      <c r="B339" s="48" t="s">
        <v>615</v>
      </c>
    </row>
    <row r="340" spans="1:2" s="45" customFormat="1" x14ac:dyDescent="0.25">
      <c r="A340" s="48" t="s">
        <v>616</v>
      </c>
      <c r="B340" s="48" t="s">
        <v>616</v>
      </c>
    </row>
    <row r="341" spans="1:2" s="45" customFormat="1" x14ac:dyDescent="0.25">
      <c r="A341" s="48" t="s">
        <v>439</v>
      </c>
      <c r="B341" s="48" t="s">
        <v>439</v>
      </c>
    </row>
    <row r="342" spans="1:2" s="45" customFormat="1" x14ac:dyDescent="0.25">
      <c r="A342" s="48" t="s">
        <v>375</v>
      </c>
      <c r="B342" s="48" t="s">
        <v>375</v>
      </c>
    </row>
    <row r="343" spans="1:2" s="45" customFormat="1" x14ac:dyDescent="0.25">
      <c r="A343" s="48" t="s">
        <v>439</v>
      </c>
      <c r="B343" s="48" t="s">
        <v>439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6"/>
  <sheetViews>
    <sheetView workbookViewId="0">
      <selection activeCell="B11" sqref="B11"/>
    </sheetView>
  </sheetViews>
  <sheetFormatPr defaultRowHeight="15" x14ac:dyDescent="0.25"/>
  <cols>
    <col min="1" max="1" width="111.140625" customWidth="1"/>
  </cols>
  <sheetData>
    <row r="1" spans="1:2" s="69" customFormat="1" ht="24" thickBot="1" x14ac:dyDescent="0.4">
      <c r="A1" s="68" t="s">
        <v>299</v>
      </c>
    </row>
    <row r="2" spans="1:2" x14ac:dyDescent="0.25">
      <c r="A2" s="51" t="s">
        <v>300</v>
      </c>
    </row>
    <row r="3" spans="1:2" x14ac:dyDescent="0.25">
      <c r="A3" s="52" t="s">
        <v>301</v>
      </c>
      <c r="B3" s="52" t="s">
        <v>301</v>
      </c>
    </row>
    <row r="4" spans="1:2" x14ac:dyDescent="0.25">
      <c r="A4" s="53" t="s">
        <v>302</v>
      </c>
      <c r="B4" s="53" t="s">
        <v>302</v>
      </c>
    </row>
    <row r="5" spans="1:2" x14ac:dyDescent="0.25">
      <c r="A5" s="54" t="s">
        <v>303</v>
      </c>
      <c r="B5" s="54" t="s">
        <v>303</v>
      </c>
    </row>
    <row r="6" spans="1:2" x14ac:dyDescent="0.25">
      <c r="A6" s="55" t="s">
        <v>304</v>
      </c>
      <c r="B6" s="55" t="s">
        <v>304</v>
      </c>
    </row>
    <row r="7" spans="1:2" x14ac:dyDescent="0.25">
      <c r="A7" s="56" t="s">
        <v>305</v>
      </c>
      <c r="B7" s="56" t="s">
        <v>305</v>
      </c>
    </row>
    <row r="8" spans="1:2" x14ac:dyDescent="0.25">
      <c r="A8" s="57" t="s">
        <v>306</v>
      </c>
      <c r="B8" s="57" t="s">
        <v>306</v>
      </c>
    </row>
    <row r="9" spans="1:2" x14ac:dyDescent="0.25">
      <c r="A9" s="50"/>
      <c r="B9" s="50"/>
    </row>
    <row r="10" spans="1:2" x14ac:dyDescent="0.25">
      <c r="A10" s="60" t="s">
        <v>455</v>
      </c>
      <c r="B10" s="60" t="s">
        <v>455</v>
      </c>
    </row>
    <row r="11" spans="1:2" x14ac:dyDescent="0.25">
      <c r="A11" s="58" t="s">
        <v>428</v>
      </c>
      <c r="B11" s="58" t="s">
        <v>428</v>
      </c>
    </row>
    <row r="12" spans="1:2" x14ac:dyDescent="0.25">
      <c r="A12" s="58" t="s">
        <v>454</v>
      </c>
      <c r="B12" s="58" t="s">
        <v>454</v>
      </c>
    </row>
    <row r="13" spans="1:2" x14ac:dyDescent="0.25">
      <c r="A13" s="58" t="s">
        <v>515</v>
      </c>
      <c r="B13" s="58" t="s">
        <v>515</v>
      </c>
    </row>
    <row r="14" spans="1:2" x14ac:dyDescent="0.25">
      <c r="A14" s="58"/>
      <c r="B14" s="58"/>
    </row>
    <row r="15" spans="1:2" x14ac:dyDescent="0.25">
      <c r="A15" s="60" t="s">
        <v>307</v>
      </c>
      <c r="B15" s="60" t="s">
        <v>307</v>
      </c>
    </row>
    <row r="16" spans="1:2" x14ac:dyDescent="0.25">
      <c r="A16" s="58" t="s">
        <v>327</v>
      </c>
      <c r="B16" s="58" t="s">
        <v>327</v>
      </c>
    </row>
    <row r="17" spans="1:2" x14ac:dyDescent="0.25">
      <c r="A17" s="58" t="s">
        <v>453</v>
      </c>
      <c r="B17" s="58" t="s">
        <v>453</v>
      </c>
    </row>
    <row r="18" spans="1:2" x14ac:dyDescent="0.25">
      <c r="A18" s="59"/>
      <c r="B18" s="59"/>
    </row>
    <row r="19" spans="1:2" x14ac:dyDescent="0.25">
      <c r="A19" s="60" t="s">
        <v>326</v>
      </c>
      <c r="B19" s="60" t="s">
        <v>326</v>
      </c>
    </row>
    <row r="20" spans="1:2" x14ac:dyDescent="0.25">
      <c r="A20" s="58" t="s">
        <v>325</v>
      </c>
      <c r="B20" s="58" t="s">
        <v>325</v>
      </c>
    </row>
    <row r="21" spans="1:2" x14ac:dyDescent="0.25">
      <c r="A21" s="58"/>
      <c r="B21" s="58"/>
    </row>
    <row r="22" spans="1:2" x14ac:dyDescent="0.25">
      <c r="A22" s="60" t="s">
        <v>407</v>
      </c>
      <c r="B22" s="60" t="s">
        <v>407</v>
      </c>
    </row>
    <row r="23" spans="1:2" x14ac:dyDescent="0.25">
      <c r="A23" s="58" t="s">
        <v>434</v>
      </c>
      <c r="B23" s="58" t="s">
        <v>434</v>
      </c>
    </row>
    <row r="24" spans="1:2" x14ac:dyDescent="0.25">
      <c r="A24" s="58" t="s">
        <v>408</v>
      </c>
      <c r="B24" s="58" t="s">
        <v>408</v>
      </c>
    </row>
    <row r="25" spans="1:2" x14ac:dyDescent="0.25">
      <c r="A25" s="58" t="s">
        <v>409</v>
      </c>
      <c r="B25" s="58" t="s">
        <v>409</v>
      </c>
    </row>
    <row r="26" spans="1:2" x14ac:dyDescent="0.25">
      <c r="A26" s="59"/>
      <c r="B26" s="59"/>
    </row>
    <row r="27" spans="1:2" x14ac:dyDescent="0.25">
      <c r="A27" s="60" t="s">
        <v>328</v>
      </c>
      <c r="B27" s="60" t="s">
        <v>328</v>
      </c>
    </row>
    <row r="28" spans="1:2" x14ac:dyDescent="0.25">
      <c r="A28" s="58" t="s">
        <v>308</v>
      </c>
      <c r="B28" s="58" t="s">
        <v>308</v>
      </c>
    </row>
    <row r="29" spans="1:2" x14ac:dyDescent="0.25">
      <c r="A29" s="58" t="s">
        <v>309</v>
      </c>
      <c r="B29" s="58" t="s">
        <v>309</v>
      </c>
    </row>
    <row r="30" spans="1:2" x14ac:dyDescent="0.25">
      <c r="A30" s="58" t="s">
        <v>310</v>
      </c>
      <c r="B30" s="58" t="s">
        <v>310</v>
      </c>
    </row>
    <row r="31" spans="1:2" x14ac:dyDescent="0.25">
      <c r="A31" s="58" t="s">
        <v>311</v>
      </c>
      <c r="B31" s="58" t="s">
        <v>311</v>
      </c>
    </row>
    <row r="32" spans="1:2" x14ac:dyDescent="0.25">
      <c r="A32" s="58" t="s">
        <v>312</v>
      </c>
      <c r="B32" s="58" t="s">
        <v>312</v>
      </c>
    </row>
    <row r="33" spans="1:2" x14ac:dyDescent="0.25">
      <c r="A33" s="58" t="s">
        <v>313</v>
      </c>
      <c r="B33" s="58" t="s">
        <v>313</v>
      </c>
    </row>
    <row r="34" spans="1:2" x14ac:dyDescent="0.25">
      <c r="A34" s="58" t="s">
        <v>314</v>
      </c>
      <c r="B34" s="58" t="s">
        <v>314</v>
      </c>
    </row>
    <row r="35" spans="1:2" x14ac:dyDescent="0.25">
      <c r="A35" s="58" t="s">
        <v>315</v>
      </c>
      <c r="B35" s="58" t="s">
        <v>315</v>
      </c>
    </row>
    <row r="36" spans="1:2" x14ac:dyDescent="0.25">
      <c r="A36" s="58" t="s">
        <v>432</v>
      </c>
      <c r="B36" s="58" t="s">
        <v>432</v>
      </c>
    </row>
    <row r="37" spans="1:2" x14ac:dyDescent="0.25">
      <c r="A37" s="58" t="s">
        <v>433</v>
      </c>
      <c r="B37" s="58" t="s">
        <v>433</v>
      </c>
    </row>
    <row r="38" spans="1:2" x14ac:dyDescent="0.25">
      <c r="A38" s="59"/>
      <c r="B38" s="59"/>
    </row>
    <row r="39" spans="1:2" x14ac:dyDescent="0.25">
      <c r="A39" s="60" t="s">
        <v>316</v>
      </c>
      <c r="B39" s="60" t="s">
        <v>316</v>
      </c>
    </row>
    <row r="40" spans="1:2" x14ac:dyDescent="0.25">
      <c r="A40" s="58" t="s">
        <v>317</v>
      </c>
      <c r="B40" s="58" t="s">
        <v>317</v>
      </c>
    </row>
    <row r="41" spans="1:2" x14ac:dyDescent="0.25">
      <c r="A41" s="58" t="s">
        <v>318</v>
      </c>
      <c r="B41" s="58" t="s">
        <v>318</v>
      </c>
    </row>
    <row r="42" spans="1:2" x14ac:dyDescent="0.25">
      <c r="A42" s="58" t="s">
        <v>436</v>
      </c>
      <c r="B42" s="58" t="s">
        <v>436</v>
      </c>
    </row>
    <row r="43" spans="1:2" x14ac:dyDescent="0.25">
      <c r="A43" s="58" t="s">
        <v>456</v>
      </c>
      <c r="B43" s="58" t="s">
        <v>456</v>
      </c>
    </row>
    <row r="44" spans="1:2" x14ac:dyDescent="0.25">
      <c r="A44" s="58" t="s">
        <v>435</v>
      </c>
      <c r="B44" s="58" t="s">
        <v>435</v>
      </c>
    </row>
    <row r="45" spans="1:2" x14ac:dyDescent="0.25">
      <c r="A45" s="59"/>
      <c r="B45" s="59"/>
    </row>
    <row r="46" spans="1:2" x14ac:dyDescent="0.25">
      <c r="A46" s="60" t="s">
        <v>381</v>
      </c>
      <c r="B46" s="60" t="s">
        <v>381</v>
      </c>
    </row>
    <row r="47" spans="1:2" x14ac:dyDescent="0.25">
      <c r="A47" s="58" t="s">
        <v>298</v>
      </c>
      <c r="B47" s="58" t="s">
        <v>298</v>
      </c>
    </row>
    <row r="48" spans="1:2" x14ac:dyDescent="0.25">
      <c r="A48" s="49"/>
      <c r="B48" s="49"/>
    </row>
    <row r="49" spans="1:2" x14ac:dyDescent="0.25">
      <c r="A49" s="60" t="s">
        <v>329</v>
      </c>
      <c r="B49" s="60" t="s">
        <v>329</v>
      </c>
    </row>
    <row r="50" spans="1:2" x14ac:dyDescent="0.25">
      <c r="A50" s="58" t="s">
        <v>319</v>
      </c>
      <c r="B50" s="58" t="s">
        <v>319</v>
      </c>
    </row>
    <row r="51" spans="1:2" x14ac:dyDescent="0.25">
      <c r="A51" s="58" t="s">
        <v>431</v>
      </c>
      <c r="B51" s="58" t="s">
        <v>431</v>
      </c>
    </row>
    <row r="52" spans="1:2" x14ac:dyDescent="0.25">
      <c r="A52" s="59"/>
      <c r="B52" s="59"/>
    </row>
    <row r="53" spans="1:2" x14ac:dyDescent="0.25">
      <c r="A53" s="60" t="s">
        <v>320</v>
      </c>
      <c r="B53" s="60" t="s">
        <v>320</v>
      </c>
    </row>
    <row r="54" spans="1:2" x14ac:dyDescent="0.25">
      <c r="A54" s="58" t="s">
        <v>321</v>
      </c>
      <c r="B54" s="58" t="s">
        <v>321</v>
      </c>
    </row>
    <row r="55" spans="1:2" x14ac:dyDescent="0.25">
      <c r="A55" s="58" t="s">
        <v>322</v>
      </c>
      <c r="B55" s="58" t="s">
        <v>322</v>
      </c>
    </row>
    <row r="56" spans="1:2" x14ac:dyDescent="0.25">
      <c r="A56" s="58"/>
      <c r="B56" s="58"/>
    </row>
    <row r="57" spans="1:2" x14ac:dyDescent="0.25">
      <c r="A57" s="60" t="s">
        <v>419</v>
      </c>
      <c r="B57" s="60" t="s">
        <v>419</v>
      </c>
    </row>
    <row r="58" spans="1:2" x14ac:dyDescent="0.25">
      <c r="A58" s="58" t="s">
        <v>418</v>
      </c>
      <c r="B58" s="58" t="s">
        <v>418</v>
      </c>
    </row>
    <row r="59" spans="1:2" x14ac:dyDescent="0.25">
      <c r="A59" s="58"/>
      <c r="B59" s="58"/>
    </row>
    <row r="60" spans="1:2" x14ac:dyDescent="0.25">
      <c r="A60" s="58" t="s">
        <v>410</v>
      </c>
      <c r="B60" s="58" t="s">
        <v>410</v>
      </c>
    </row>
    <row r="61" spans="1:2" x14ac:dyDescent="0.25">
      <c r="A61" s="58"/>
      <c r="B61" s="58"/>
    </row>
    <row r="62" spans="1:2" x14ac:dyDescent="0.25">
      <c r="A62" s="58" t="s">
        <v>411</v>
      </c>
      <c r="B62" s="58" t="s">
        <v>411</v>
      </c>
    </row>
    <row r="63" spans="1:2" collapsed="1" x14ac:dyDescent="0.25">
      <c r="A63" s="58" t="s">
        <v>412</v>
      </c>
      <c r="B63" s="58" t="s">
        <v>412</v>
      </c>
    </row>
    <row r="64" spans="1:2" x14ac:dyDescent="0.25">
      <c r="A64" s="58" t="s">
        <v>413</v>
      </c>
      <c r="B64" s="58" t="s">
        <v>413</v>
      </c>
    </row>
    <row r="65" spans="1:2" x14ac:dyDescent="0.25">
      <c r="A65" s="58" t="s">
        <v>414</v>
      </c>
      <c r="B65" s="58" t="s">
        <v>414</v>
      </c>
    </row>
    <row r="66" spans="1:2" x14ac:dyDescent="0.25">
      <c r="A66" s="58" t="s">
        <v>375</v>
      </c>
      <c r="B66" s="58" t="s">
        <v>375</v>
      </c>
    </row>
    <row r="67" spans="1:2" x14ac:dyDescent="0.25">
      <c r="A67" s="58" t="s">
        <v>415</v>
      </c>
      <c r="B67" s="58" t="s">
        <v>415</v>
      </c>
    </row>
    <row r="68" spans="1:2" x14ac:dyDescent="0.25">
      <c r="A68" s="58" t="s">
        <v>416</v>
      </c>
      <c r="B68" s="58" t="s">
        <v>416</v>
      </c>
    </row>
    <row r="69" spans="1:2" x14ac:dyDescent="0.25">
      <c r="A69" s="58" t="s">
        <v>417</v>
      </c>
      <c r="B69" s="58" t="s">
        <v>417</v>
      </c>
    </row>
    <row r="71" spans="1:2" x14ac:dyDescent="0.25">
      <c r="A71" s="60" t="s">
        <v>429</v>
      </c>
      <c r="B71" s="60" t="s">
        <v>429</v>
      </c>
    </row>
    <row r="72" spans="1:2" x14ac:dyDescent="0.25">
      <c r="A72" s="58" t="s">
        <v>498</v>
      </c>
      <c r="B72" s="58" t="s">
        <v>498</v>
      </c>
    </row>
    <row r="73" spans="1:2" x14ac:dyDescent="0.25">
      <c r="A73" s="58" t="s">
        <v>499</v>
      </c>
      <c r="B73" s="58" t="s">
        <v>499</v>
      </c>
    </row>
    <row r="75" spans="1:2" x14ac:dyDescent="0.25">
      <c r="A75" s="60" t="s">
        <v>430</v>
      </c>
      <c r="B75" s="60" t="s">
        <v>430</v>
      </c>
    </row>
    <row r="76" spans="1:2" x14ac:dyDescent="0.25">
      <c r="A76" s="58" t="s">
        <v>502</v>
      </c>
      <c r="B76" s="58" t="s">
        <v>502</v>
      </c>
    </row>
    <row r="77" spans="1:2" x14ac:dyDescent="0.25">
      <c r="A77" s="58" t="s">
        <v>503</v>
      </c>
      <c r="B77" s="58" t="s">
        <v>503</v>
      </c>
    </row>
    <row r="78" spans="1:2" x14ac:dyDescent="0.25">
      <c r="A78" s="58" t="s">
        <v>504</v>
      </c>
      <c r="B78" s="58" t="s">
        <v>504</v>
      </c>
    </row>
    <row r="79" spans="1:2" x14ac:dyDescent="0.25">
      <c r="A79" s="58" t="s">
        <v>505</v>
      </c>
      <c r="B79" s="58" t="s">
        <v>505</v>
      </c>
    </row>
    <row r="80" spans="1:2" x14ac:dyDescent="0.25">
      <c r="A80" s="58" t="s">
        <v>506</v>
      </c>
      <c r="B80" s="58" t="s">
        <v>506</v>
      </c>
    </row>
    <row r="81" spans="1:2" x14ac:dyDescent="0.25">
      <c r="A81" s="58" t="s">
        <v>507</v>
      </c>
      <c r="B81" s="58" t="s">
        <v>507</v>
      </c>
    </row>
    <row r="82" spans="1:2" x14ac:dyDescent="0.25">
      <c r="A82" s="58" t="s">
        <v>508</v>
      </c>
      <c r="B82" s="58" t="s">
        <v>508</v>
      </c>
    </row>
    <row r="83" spans="1:2" x14ac:dyDescent="0.25">
      <c r="A83" s="58" t="s">
        <v>509</v>
      </c>
      <c r="B83" s="58" t="s">
        <v>509</v>
      </c>
    </row>
    <row r="84" spans="1:2" x14ac:dyDescent="0.25">
      <c r="A84" s="58"/>
      <c r="B84" s="58"/>
    </row>
    <row r="85" spans="1:2" x14ac:dyDescent="0.25">
      <c r="A85" s="58" t="s">
        <v>510</v>
      </c>
      <c r="B85" s="58" t="s">
        <v>510</v>
      </c>
    </row>
    <row r="86" spans="1:2" x14ac:dyDescent="0.25">
      <c r="A86" s="58" t="s">
        <v>511</v>
      </c>
      <c r="B86" s="58" t="s">
        <v>511</v>
      </c>
    </row>
    <row r="87" spans="1:2" x14ac:dyDescent="0.25">
      <c r="A87" s="58" t="s">
        <v>512</v>
      </c>
      <c r="B87" s="58" t="s">
        <v>512</v>
      </c>
    </row>
    <row r="88" spans="1:2" x14ac:dyDescent="0.25">
      <c r="A88" s="58" t="s">
        <v>513</v>
      </c>
      <c r="B88" s="58" t="s">
        <v>513</v>
      </c>
    </row>
    <row r="89" spans="1:2" x14ac:dyDescent="0.25">
      <c r="A89" s="58" t="s">
        <v>514</v>
      </c>
      <c r="B89" s="58" t="s">
        <v>514</v>
      </c>
    </row>
    <row r="90" spans="1:2" x14ac:dyDescent="0.25">
      <c r="A90" s="58"/>
      <c r="B90" s="58"/>
    </row>
    <row r="91" spans="1:2" x14ac:dyDescent="0.25">
      <c r="A91" s="60" t="s">
        <v>437</v>
      </c>
      <c r="B91" s="60" t="s">
        <v>437</v>
      </c>
    </row>
    <row r="92" spans="1:2" x14ac:dyDescent="0.25">
      <c r="A92" s="58" t="s">
        <v>319</v>
      </c>
      <c r="B92" s="58" t="s">
        <v>319</v>
      </c>
    </row>
    <row r="93" spans="1:2" x14ac:dyDescent="0.25">
      <c r="A93" s="58" t="s">
        <v>438</v>
      </c>
      <c r="B93" s="58" t="s">
        <v>438</v>
      </c>
    </row>
    <row r="95" spans="1:2" x14ac:dyDescent="0.25">
      <c r="A95" s="60" t="s">
        <v>500</v>
      </c>
      <c r="B95" s="60" t="s">
        <v>500</v>
      </c>
    </row>
    <row r="96" spans="1:2" x14ac:dyDescent="0.25">
      <c r="A96" s="58" t="s">
        <v>501</v>
      </c>
      <c r="B96" s="58" t="s">
        <v>501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8"/>
  <sheetViews>
    <sheetView workbookViewId="0">
      <selection activeCell="A47" sqref="A47"/>
    </sheetView>
  </sheetViews>
  <sheetFormatPr defaultRowHeight="15" x14ac:dyDescent="0.25"/>
  <cols>
    <col min="1" max="1" width="243.5703125" customWidth="1"/>
  </cols>
  <sheetData>
    <row r="1" spans="1:1" s="69" customFormat="1" ht="24" thickBot="1" x14ac:dyDescent="0.4">
      <c r="A1" s="68" t="s">
        <v>457</v>
      </c>
    </row>
    <row r="2" spans="1:1" x14ac:dyDescent="0.25">
      <c r="A2" s="60" t="s">
        <v>458</v>
      </c>
    </row>
    <row r="3" spans="1:1" x14ac:dyDescent="0.25">
      <c r="A3" s="48" t="s">
        <v>459</v>
      </c>
    </row>
    <row r="4" spans="1:1" x14ac:dyDescent="0.25">
      <c r="A4" s="48" t="s">
        <v>470</v>
      </c>
    </row>
    <row r="5" spans="1:1" x14ac:dyDescent="0.25">
      <c r="A5" s="48" t="s">
        <v>460</v>
      </c>
    </row>
    <row r="6" spans="1:1" x14ac:dyDescent="0.25">
      <c r="A6" s="48" t="s">
        <v>471</v>
      </c>
    </row>
    <row r="7" spans="1:1" x14ac:dyDescent="0.25">
      <c r="A7" s="48" t="s">
        <v>461</v>
      </c>
    </row>
    <row r="8" spans="1:1" x14ac:dyDescent="0.25">
      <c r="A8" s="48" t="s">
        <v>472</v>
      </c>
    </row>
    <row r="9" spans="1:1" x14ac:dyDescent="0.25">
      <c r="A9" s="48" t="s">
        <v>462</v>
      </c>
    </row>
    <row r="10" spans="1:1" x14ac:dyDescent="0.25">
      <c r="A10" s="48" t="s">
        <v>463</v>
      </c>
    </row>
    <row r="11" spans="1:1" x14ac:dyDescent="0.25">
      <c r="A11" s="48" t="s">
        <v>473</v>
      </c>
    </row>
    <row r="12" spans="1:1" x14ac:dyDescent="0.25">
      <c r="A12" s="48" t="s">
        <v>464</v>
      </c>
    </row>
    <row r="13" spans="1:1" x14ac:dyDescent="0.25">
      <c r="A13" s="48" t="s">
        <v>465</v>
      </c>
    </row>
    <row r="14" spans="1:1" x14ac:dyDescent="0.25">
      <c r="A14" s="48" t="s">
        <v>474</v>
      </c>
    </row>
    <row r="15" spans="1:1" x14ac:dyDescent="0.25">
      <c r="A15" s="71" t="s">
        <v>475</v>
      </c>
    </row>
    <row r="16" spans="1:1" x14ac:dyDescent="0.25">
      <c r="A16" s="48" t="s">
        <v>476</v>
      </c>
    </row>
    <row r="17" spans="1:1" x14ac:dyDescent="0.25">
      <c r="A17" s="48" t="s">
        <v>477</v>
      </c>
    </row>
    <row r="18" spans="1:1" x14ac:dyDescent="0.25">
      <c r="A18" s="48" t="s">
        <v>478</v>
      </c>
    </row>
    <row r="19" spans="1:1" x14ac:dyDescent="0.25">
      <c r="A19" s="48" t="s">
        <v>466</v>
      </c>
    </row>
    <row r="20" spans="1:1" x14ac:dyDescent="0.25">
      <c r="A20" s="48" t="s">
        <v>467</v>
      </c>
    </row>
    <row r="21" spans="1:1" x14ac:dyDescent="0.25">
      <c r="A21" s="48" t="s">
        <v>468</v>
      </c>
    </row>
    <row r="22" spans="1:1" x14ac:dyDescent="0.25">
      <c r="A22" s="48" t="s">
        <v>469</v>
      </c>
    </row>
    <row r="23" spans="1:1" x14ac:dyDescent="0.25">
      <c r="A23" s="48"/>
    </row>
    <row r="24" spans="1:1" x14ac:dyDescent="0.25">
      <c r="A24" s="60" t="s">
        <v>479</v>
      </c>
    </row>
    <row r="25" spans="1:1" x14ac:dyDescent="0.25">
      <c r="A25" s="48" t="s">
        <v>480</v>
      </c>
    </row>
    <row r="26" spans="1:1" x14ac:dyDescent="0.25">
      <c r="A26" s="48" t="s">
        <v>481</v>
      </c>
    </row>
    <row r="27" spans="1:1" x14ac:dyDescent="0.25">
      <c r="A27" s="48" t="s">
        <v>482</v>
      </c>
    </row>
    <row r="28" spans="1:1" x14ac:dyDescent="0.25">
      <c r="A28" s="48" t="s">
        <v>483</v>
      </c>
    </row>
    <row r="29" spans="1:1" x14ac:dyDescent="0.25">
      <c r="A29" s="48" t="s">
        <v>482</v>
      </c>
    </row>
    <row r="30" spans="1:1" x14ac:dyDescent="0.25">
      <c r="A30" s="48" t="s">
        <v>484</v>
      </c>
    </row>
    <row r="31" spans="1:1" x14ac:dyDescent="0.25">
      <c r="A31" s="48" t="s">
        <v>485</v>
      </c>
    </row>
    <row r="32" spans="1:1" x14ac:dyDescent="0.25">
      <c r="A32" s="48" t="s">
        <v>486</v>
      </c>
    </row>
    <row r="33" spans="1:1" x14ac:dyDescent="0.25">
      <c r="A33" s="48"/>
    </row>
    <row r="34" spans="1:1" x14ac:dyDescent="0.25">
      <c r="A34" s="60" t="s">
        <v>487</v>
      </c>
    </row>
    <row r="35" spans="1:1" x14ac:dyDescent="0.25">
      <c r="A35" s="48" t="s">
        <v>488</v>
      </c>
    </row>
    <row r="36" spans="1:1" x14ac:dyDescent="0.25">
      <c r="A36" s="48" t="s">
        <v>489</v>
      </c>
    </row>
    <row r="37" spans="1:1" x14ac:dyDescent="0.25">
      <c r="A37" s="48"/>
    </row>
    <row r="38" spans="1:1" x14ac:dyDescent="0.25">
      <c r="A38" s="60" t="s">
        <v>490</v>
      </c>
    </row>
    <row r="39" spans="1:1" x14ac:dyDescent="0.25">
      <c r="A39" s="48" t="s">
        <v>491</v>
      </c>
    </row>
    <row r="40" spans="1:1" x14ac:dyDescent="0.25">
      <c r="A40" s="48" t="s">
        <v>492</v>
      </c>
    </row>
    <row r="41" spans="1:1" x14ac:dyDescent="0.25">
      <c r="A41" s="48" t="s">
        <v>493</v>
      </c>
    </row>
    <row r="42" spans="1:1" x14ac:dyDescent="0.25">
      <c r="A42" s="48"/>
    </row>
    <row r="43" spans="1:1" x14ac:dyDescent="0.25">
      <c r="A43" s="60" t="s">
        <v>494</v>
      </c>
    </row>
    <row r="44" spans="1:1" x14ac:dyDescent="0.25">
      <c r="A44" s="48" t="s">
        <v>495</v>
      </c>
    </row>
    <row r="45" spans="1:1" x14ac:dyDescent="0.25">
      <c r="A45" s="48"/>
    </row>
    <row r="46" spans="1:1" x14ac:dyDescent="0.25">
      <c r="A46" s="60" t="s">
        <v>496</v>
      </c>
    </row>
    <row r="47" spans="1:1" x14ac:dyDescent="0.25">
      <c r="A47" s="48" t="s">
        <v>497</v>
      </c>
    </row>
    <row r="48" spans="1:1" x14ac:dyDescent="0.25">
      <c r="A48" s="4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4.85546875" bestFit="1" customWidth="1"/>
    <col min="3" max="3" width="20.7109375" bestFit="1" customWidth="1"/>
    <col min="4" max="4" width="19.5703125" bestFit="1" customWidth="1"/>
    <col min="5" max="5" width="51.5703125" bestFit="1" customWidth="1"/>
    <col min="6" max="6" width="68.140625" bestFit="1" customWidth="1"/>
    <col min="7" max="7" width="70.42578125" bestFit="1" customWidth="1"/>
    <col min="8" max="8" width="7.5703125" bestFit="1" customWidth="1"/>
    <col min="10" max="10" width="52.7109375" bestFit="1" customWidth="1"/>
    <col min="11" max="11" width="78.42578125" customWidth="1"/>
  </cols>
  <sheetData>
    <row r="1" spans="1:11" s="69" customFormat="1" ht="24" thickBot="1" x14ac:dyDescent="0.4">
      <c r="A1" s="68" t="s">
        <v>516</v>
      </c>
    </row>
    <row r="2" spans="1:11" x14ac:dyDescent="0.25">
      <c r="A2" t="s">
        <v>48</v>
      </c>
      <c r="B2" t="s">
        <v>420</v>
      </c>
      <c r="C2" t="s">
        <v>421</v>
      </c>
      <c r="D2" t="s">
        <v>729</v>
      </c>
      <c r="E2" t="s">
        <v>730</v>
      </c>
      <c r="F2" t="s">
        <v>422</v>
      </c>
      <c r="G2" t="s">
        <v>423</v>
      </c>
      <c r="H2" t="s">
        <v>631</v>
      </c>
      <c r="I2" t="s">
        <v>632</v>
      </c>
      <c r="J2" t="s">
        <v>633</v>
      </c>
      <c r="K2" t="s">
        <v>634</v>
      </c>
    </row>
    <row r="3" spans="1:11" ht="71.25" x14ac:dyDescent="0.25">
      <c r="A3" s="89" t="s">
        <v>701</v>
      </c>
      <c r="B3" s="89" t="s">
        <v>424</v>
      </c>
      <c r="C3" s="89" t="str">
        <f>IF(Table3[[#This Row],[MAC]]&lt;&gt;"",LEFT(B3,2) &amp; (":") &amp; MID(B3,3,2) &amp; (":") &amp; MID(B3,5,2) &amp; (":") &amp; MID(B3,7,2) &amp; (":") &amp; MID(B3,9,2) &amp; (":") &amp; RIGHT(B3,2),"")</f>
        <v>DC:8C:37:63:99:44</v>
      </c>
      <c r="D3" s="89" t="str">
        <f>IF(Table3[[#This Row],[MAC]]&lt;&gt;"",CONCATENATE("AP",UPPER(LEFT(TRIM(B3),4)),"-",UPPER(LEFT(RIGHT(TRIM(B3),8),4)),"-",UPPER(RIGHT(TRIM(B3),4))),"")</f>
        <v>APDC8C-3763-9944</v>
      </c>
      <c r="E3" s="89" t="str">
        <f>IF(AND(Table3[[#This Row],[AP Name]]&lt;&gt;"",Table3[[#This Row],[WLC AP-name]]&lt;&gt;""),CONCATENATE("ap name ",D3," name ",A3),"")</f>
        <v>ap name APDC8C-3763-9944 name tel-1337-ap01</v>
      </c>
      <c r="F3" s="89" t="str">
        <f>IF(Table3[[#This Row],[AP Name]]&lt;&gt;"",CONCATENATE("ap name ",A3," controller primary ",Design!$B$32," ",Design!$B$37),"")</f>
        <v>ap name tel-1337-ap01 controller primary wlc1 {wlc1-ipv4}</v>
      </c>
      <c r="G3" s="89" t="str">
        <f>IF(Table3[[#This Row],[AP Name]]&lt;&gt;"",CONCATENATE("ap name ",A3," controller secondary ",Design!$C$32," ",Design!$C$37),"")</f>
        <v>ap name tel-1337-ap01 controller secondary wlc2 {wlc2-ipv4}</v>
      </c>
      <c r="H3" s="89">
        <v>36</v>
      </c>
      <c r="I3" s="89">
        <v>1</v>
      </c>
      <c r="J3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>ap name tel-1337-ap01 dot11 5ghz shutdown
ap name tel-1337-ap01 dot11 5ghz channel 36
ap name tel-1337-ap01 no dot11 5ghz shutdown</v>
      </c>
      <c r="K3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>ap name tel-1337-ap01 dot11 dual-band shutdown
ap name tel-1337-ap01 dot11 dual-band role manual client-serving
ap name tel-1337-ap01 dot11 dual-band band 24ghz
ap name tel-1337-ap01 dot11 dual-band channel 1
ap name tel-1337-ap01 no dot11 dual-band shutdown</v>
      </c>
    </row>
    <row r="4" spans="1:11" ht="19.5" customHeight="1" x14ac:dyDescent="0.25">
      <c r="A4" s="89" t="s">
        <v>702</v>
      </c>
      <c r="B4" s="89"/>
      <c r="C4" s="89" t="str">
        <f>IF(Table3[[#This Row],[MAC]]&lt;&gt;"",LEFT(B4,2) &amp; (":") &amp; MID(B4,3,2) &amp; (":") &amp; MID(B4,5,2) &amp; (":") &amp; MID(B4,7,2) &amp; (":") &amp; MID(B4,9,2) &amp; (":") &amp; RIGHT(B4,2),"")</f>
        <v/>
      </c>
      <c r="D4" s="89" t="str">
        <f>IF(Table3[[#This Row],[MAC]]&lt;&gt;"",CONCATENATE("AP",UPPER(LEFT(TRIM(B4),4)),"-",UPPER(LEFT(RIGHT(TRIM(B4),8),4)),"-",UPPER(RIGHT(TRIM(B4),4))),"")</f>
        <v/>
      </c>
      <c r="E4" s="89" t="str">
        <f>IF(AND(Table3[[#This Row],[AP Name]]&lt;&gt;"",Table3[[#This Row],[WLC AP-name]]&lt;&gt;""),CONCATENATE("ap name ",D4," name ",A4),"")</f>
        <v/>
      </c>
      <c r="F4" s="89" t="str">
        <f>IF(Table3[[#This Row],[AP Name]]&lt;&gt;"",CONCATENATE("ap name ",A4," controller primary ",Design!$B$32," ",Design!$B$37),"")</f>
        <v>ap name tel-1337-ap02 controller primary wlc1 {wlc1-ipv4}</v>
      </c>
      <c r="G4" s="89" t="str">
        <f>IF(Table3[[#This Row],[AP Name]]&lt;&gt;"",CONCATENATE("ap name ",A4," controller secondary ",Design!$C$32," ",Design!$C$37),"")</f>
        <v>ap name tel-1337-ap02 controller secondary wlc2 {wlc2-ipv4}</v>
      </c>
      <c r="H4" s="89">
        <v>40</v>
      </c>
      <c r="I4" s="89">
        <v>6</v>
      </c>
      <c r="J4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4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5" spans="1:11" ht="19.5" customHeight="1" x14ac:dyDescent="0.25">
      <c r="A5" s="89" t="s">
        <v>703</v>
      </c>
      <c r="B5" s="89"/>
      <c r="C5" s="89" t="str">
        <f>IF(Table3[[#This Row],[MAC]]&lt;&gt;"",LEFT(B5,2) &amp; (":") &amp; MID(B5,3,2) &amp; (":") &amp; MID(B5,5,2) &amp; (":") &amp; MID(B5,7,2) &amp; (":") &amp; MID(B5,9,2) &amp; (":") &amp; RIGHT(B5,2),"")</f>
        <v/>
      </c>
      <c r="D5" s="89" t="str">
        <f>IF(Table3[[#This Row],[MAC]]&lt;&gt;"",CONCATENATE("AP",UPPER(LEFT(TRIM(B5),4)),"-",UPPER(LEFT(RIGHT(TRIM(B5),8),4)),"-",UPPER(RIGHT(TRIM(B5),4))),"")</f>
        <v/>
      </c>
      <c r="E5" s="89" t="str">
        <f>IF(AND(Table3[[#This Row],[AP Name]]&lt;&gt;"",Table3[[#This Row],[WLC AP-name]]&lt;&gt;""),CONCATENATE("ap name ",D5," name ",A5),"")</f>
        <v/>
      </c>
      <c r="F5" s="89" t="str">
        <f>IF(Table3[[#This Row],[AP Name]]&lt;&gt;"",CONCATENATE("ap name ",A5," controller primary ",Design!$B$32," ",Design!$B$37),"")</f>
        <v>ap name tel-1337-ap03 controller primary wlc1 {wlc1-ipv4}</v>
      </c>
      <c r="G5" s="89" t="str">
        <f>IF(Table3[[#This Row],[AP Name]]&lt;&gt;"",CONCATENATE("ap name ",A5," controller secondary ",Design!$C$32," ",Design!$C$37),"")</f>
        <v>ap name tel-1337-ap03 controller secondary wlc2 {wlc2-ipv4}</v>
      </c>
      <c r="H5" s="89">
        <v>44</v>
      </c>
      <c r="I5" s="89">
        <v>11</v>
      </c>
      <c r="J5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5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6" spans="1:11" ht="19.5" customHeight="1" x14ac:dyDescent="0.25">
      <c r="A6" s="89" t="s">
        <v>704</v>
      </c>
      <c r="B6" s="89"/>
      <c r="C6" s="89" t="str">
        <f>IF(Table3[[#This Row],[MAC]]&lt;&gt;"",LEFT(B6,2) &amp; (":") &amp; MID(B6,3,2) &amp; (":") &amp; MID(B6,5,2) &amp; (":") &amp; MID(B6,7,2) &amp; (":") &amp; MID(B6,9,2) &amp; (":") &amp; RIGHT(B6,2),"")</f>
        <v/>
      </c>
      <c r="D6" s="89" t="str">
        <f>IF(Table3[[#This Row],[MAC]]&lt;&gt;"",CONCATENATE("AP",UPPER(LEFT(TRIM(B6),4)),"-",UPPER(LEFT(RIGHT(TRIM(B6),8),4)),"-",UPPER(RIGHT(TRIM(B6),4))),"")</f>
        <v/>
      </c>
      <c r="E6" s="89" t="str">
        <f>IF(AND(Table3[[#This Row],[AP Name]]&lt;&gt;"",Table3[[#This Row],[WLC AP-name]]&lt;&gt;""),CONCATENATE("ap name ",D6," name ",A6),"")</f>
        <v/>
      </c>
      <c r="F6" s="89" t="str">
        <f>IF(Table3[[#This Row],[AP Name]]&lt;&gt;"",CONCATENATE("ap name ",A6," controller primary ",Design!$B$32," ",Design!$B$37),"")</f>
        <v>ap name tel-1337-ap04 controller primary wlc1 {wlc1-ipv4}</v>
      </c>
      <c r="G6" s="89" t="str">
        <f>IF(Table3[[#This Row],[AP Name]]&lt;&gt;"",CONCATENATE("ap name ",A6," controller secondary ",Design!$C$32," ",Design!$C$37),"")</f>
        <v>ap name tel-1337-ap04 controller secondary wlc2 {wlc2-ipv4}</v>
      </c>
      <c r="H6" s="89">
        <v>48</v>
      </c>
      <c r="I6" s="89">
        <v>1</v>
      </c>
      <c r="J6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6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7" spans="1:11" ht="19.5" customHeight="1" x14ac:dyDescent="0.25">
      <c r="A7" s="89" t="s">
        <v>705</v>
      </c>
      <c r="B7" s="89"/>
      <c r="C7" s="89" t="str">
        <f>IF(Table3[[#This Row],[MAC]]&lt;&gt;"",LEFT(B7,2) &amp; (":") &amp; MID(B7,3,2) &amp; (":") &amp; MID(B7,5,2) &amp; (":") &amp; MID(B7,7,2) &amp; (":") &amp; MID(B7,9,2) &amp; (":") &amp; RIGHT(B7,2),"")</f>
        <v/>
      </c>
      <c r="D7" s="89" t="str">
        <f>IF(Table3[[#This Row],[MAC]]&lt;&gt;"",CONCATENATE("AP",UPPER(LEFT(TRIM(B7),4)),"-",UPPER(LEFT(RIGHT(TRIM(B7),8),4)),"-",UPPER(RIGHT(TRIM(B7),4))),"")</f>
        <v/>
      </c>
      <c r="E7" s="89" t="str">
        <f>IF(AND(Table3[[#This Row],[AP Name]]&lt;&gt;"",Table3[[#This Row],[WLC AP-name]]&lt;&gt;""),CONCATENATE("ap name ",D7," name ",A7),"")</f>
        <v/>
      </c>
      <c r="F7" s="89" t="str">
        <f>IF(Table3[[#This Row],[AP Name]]&lt;&gt;"",CONCATENATE("ap name ",A7," controller primary ",Design!$B$32," ",Design!$B$37),"")</f>
        <v>ap name tel-1337-ap05 controller primary wlc1 {wlc1-ipv4}</v>
      </c>
      <c r="G7" s="89" t="str">
        <f>IF(Table3[[#This Row],[AP Name]]&lt;&gt;"",CONCATENATE("ap name ",A7," controller secondary ",Design!$C$32," ",Design!$C$37),"")</f>
        <v>ap name tel-1337-ap05 controller secondary wlc2 {wlc2-ipv4}</v>
      </c>
      <c r="H7" s="89">
        <v>52</v>
      </c>
      <c r="I7" s="89">
        <v>6</v>
      </c>
      <c r="J7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7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8" spans="1:11" ht="19.5" customHeight="1" x14ac:dyDescent="0.25">
      <c r="A8" s="89" t="s">
        <v>706</v>
      </c>
      <c r="B8" s="89"/>
      <c r="C8" s="89" t="str">
        <f>IF(Table3[[#This Row],[MAC]]&lt;&gt;"",LEFT(B8,2) &amp; (":") &amp; MID(B8,3,2) &amp; (":") &amp; MID(B8,5,2) &amp; (":") &amp; MID(B8,7,2) &amp; (":") &amp; MID(B8,9,2) &amp; (":") &amp; RIGHT(B8,2),"")</f>
        <v/>
      </c>
      <c r="D8" s="89" t="str">
        <f>IF(Table3[[#This Row],[MAC]]&lt;&gt;"",CONCATENATE("AP",UPPER(LEFT(TRIM(B8),4)),"-",UPPER(LEFT(RIGHT(TRIM(B8),8),4)),"-",UPPER(RIGHT(TRIM(B8),4))),"")</f>
        <v/>
      </c>
      <c r="E8" s="89" t="str">
        <f>IF(AND(Table3[[#This Row],[AP Name]]&lt;&gt;"",Table3[[#This Row],[WLC AP-name]]&lt;&gt;""),CONCATENATE("ap name ",D8," name ",A8),"")</f>
        <v/>
      </c>
      <c r="F8" s="89" t="str">
        <f>IF(Table3[[#This Row],[AP Name]]&lt;&gt;"",CONCATENATE("ap name ",A8," controller primary ",Design!$B$32," ",Design!$B$37),"")</f>
        <v>ap name tel-1337-ap06 controller primary wlc1 {wlc1-ipv4}</v>
      </c>
      <c r="G8" s="89" t="str">
        <f>IF(Table3[[#This Row],[AP Name]]&lt;&gt;"",CONCATENATE("ap name ",A8," controller secondary ",Design!$C$32," ",Design!$C$37),"")</f>
        <v>ap name tel-1337-ap06 controller secondary wlc2 {wlc2-ipv4}</v>
      </c>
      <c r="H8" s="89">
        <v>56</v>
      </c>
      <c r="I8" s="89">
        <v>11</v>
      </c>
      <c r="J8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8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9" spans="1:11" ht="19.5" customHeight="1" x14ac:dyDescent="0.25">
      <c r="A9" s="89" t="s">
        <v>707</v>
      </c>
      <c r="B9" s="89"/>
      <c r="C9" s="89" t="str">
        <f>IF(Table3[[#This Row],[MAC]]&lt;&gt;"",LEFT(B9,2) &amp; (":") &amp; MID(B9,3,2) &amp; (":") &amp; MID(B9,5,2) &amp; (":") &amp; MID(B9,7,2) &amp; (":") &amp; MID(B9,9,2) &amp; (":") &amp; RIGHT(B9,2),"")</f>
        <v/>
      </c>
      <c r="D9" s="89" t="str">
        <f>IF(Table3[[#This Row],[MAC]]&lt;&gt;"",CONCATENATE("AP",UPPER(LEFT(TRIM(B9),4)),"-",UPPER(LEFT(RIGHT(TRIM(B9),8),4)),"-",UPPER(RIGHT(TRIM(B9),4))),"")</f>
        <v/>
      </c>
      <c r="E9" s="89" t="str">
        <f>IF(AND(Table3[[#This Row],[AP Name]]&lt;&gt;"",Table3[[#This Row],[WLC AP-name]]&lt;&gt;""),CONCATENATE("ap name ",D9," name ",A9),"")</f>
        <v/>
      </c>
      <c r="F9" s="89" t="str">
        <f>IF(Table3[[#This Row],[AP Name]]&lt;&gt;"",CONCATENATE("ap name ",A9," controller primary ",Design!$B$32," ",Design!$B$37),"")</f>
        <v>ap name tel-1337-ap07 controller primary wlc1 {wlc1-ipv4}</v>
      </c>
      <c r="G9" s="89" t="str">
        <f>IF(Table3[[#This Row],[AP Name]]&lt;&gt;"",CONCATENATE("ap name ",A9," controller secondary ",Design!$C$32," ",Design!$C$37),"")</f>
        <v>ap name tel-1337-ap07 controller secondary wlc2 {wlc2-ipv4}</v>
      </c>
      <c r="H9" s="89">
        <v>60</v>
      </c>
      <c r="I9" s="89">
        <v>1</v>
      </c>
      <c r="J9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9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0" spans="1:11" ht="19.5" customHeight="1" x14ac:dyDescent="0.25">
      <c r="A10" s="89" t="s">
        <v>708</v>
      </c>
      <c r="B10" s="89"/>
      <c r="C10" s="89" t="str">
        <f>IF(Table3[[#This Row],[MAC]]&lt;&gt;"",LEFT(B10,2) &amp; (":") &amp; MID(B10,3,2) &amp; (":") &amp; MID(B10,5,2) &amp; (":") &amp; MID(B10,7,2) &amp; (":") &amp; MID(B10,9,2) &amp; (":") &amp; RIGHT(B10,2),"")</f>
        <v/>
      </c>
      <c r="D10" s="89" t="str">
        <f>IF(Table3[[#This Row],[MAC]]&lt;&gt;"",CONCATENATE("AP",UPPER(LEFT(TRIM(B10),4)),"-",UPPER(LEFT(RIGHT(TRIM(B10),8),4)),"-",UPPER(RIGHT(TRIM(B10),4))),"")</f>
        <v/>
      </c>
      <c r="E10" s="89" t="str">
        <f>IF(AND(Table3[[#This Row],[AP Name]]&lt;&gt;"",Table3[[#This Row],[WLC AP-name]]&lt;&gt;""),CONCATENATE("ap name ",D10," name ",A10),"")</f>
        <v/>
      </c>
      <c r="F10" s="89" t="str">
        <f>IF(Table3[[#This Row],[AP Name]]&lt;&gt;"",CONCATENATE("ap name ",A10," controller primary ",Design!$B$32," ",Design!$B$37),"")</f>
        <v>ap name tel-1337-ap08 controller primary wlc1 {wlc1-ipv4}</v>
      </c>
      <c r="G10" s="89" t="str">
        <f>IF(Table3[[#This Row],[AP Name]]&lt;&gt;"",CONCATENATE("ap name ",A10," controller secondary ",Design!$C$32," ",Design!$C$37),"")</f>
        <v>ap name tel-1337-ap08 controller secondary wlc2 {wlc2-ipv4}</v>
      </c>
      <c r="H10" s="89">
        <v>64</v>
      </c>
      <c r="I10" s="89">
        <v>6</v>
      </c>
      <c r="J10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0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1" spans="1:11" ht="19.5" customHeight="1" x14ac:dyDescent="0.25">
      <c r="A11" s="89" t="s">
        <v>709</v>
      </c>
      <c r="B11" s="89"/>
      <c r="C11" s="89" t="str">
        <f>IF(Table3[[#This Row],[MAC]]&lt;&gt;"",LEFT(B11,2) &amp; (":") &amp; MID(B11,3,2) &amp; (":") &amp; MID(B11,5,2) &amp; (":") &amp; MID(B11,7,2) &amp; (":") &amp; MID(B11,9,2) &amp; (":") &amp; RIGHT(B11,2),"")</f>
        <v/>
      </c>
      <c r="D11" s="89" t="str">
        <f>IF(Table3[[#This Row],[MAC]]&lt;&gt;"",CONCATENATE("AP",UPPER(LEFT(TRIM(B11),4)),"-",UPPER(LEFT(RIGHT(TRIM(B11),8),4)),"-",UPPER(RIGHT(TRIM(B11),4))),"")</f>
        <v/>
      </c>
      <c r="E11" s="89" t="str">
        <f>IF(AND(Table3[[#This Row],[AP Name]]&lt;&gt;"",Table3[[#This Row],[WLC AP-name]]&lt;&gt;""),CONCATENATE("ap name ",D11," name ",A11),"")</f>
        <v/>
      </c>
      <c r="F11" s="89" t="str">
        <f>IF(Table3[[#This Row],[AP Name]]&lt;&gt;"",CONCATENATE("ap name ",A11," controller primary ",Design!$B$32," ",Design!$B$37),"")</f>
        <v>ap name tel-1337-ap09 controller primary wlc1 {wlc1-ipv4}</v>
      </c>
      <c r="G11" s="89" t="str">
        <f>IF(Table3[[#This Row],[AP Name]]&lt;&gt;"",CONCATENATE("ap name ",A11," controller secondary ",Design!$C$32," ",Design!$C$37),"")</f>
        <v>ap name tel-1337-ap09 controller secondary wlc2 {wlc2-ipv4}</v>
      </c>
      <c r="H11" s="89">
        <v>100</v>
      </c>
      <c r="I11" s="89">
        <v>11</v>
      </c>
      <c r="J11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1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2" spans="1:11" ht="19.5" customHeight="1" x14ac:dyDescent="0.25">
      <c r="A12" s="89" t="s">
        <v>710</v>
      </c>
      <c r="B12" s="89"/>
      <c r="C12" s="89" t="str">
        <f>IF(Table3[[#This Row],[MAC]]&lt;&gt;"",LEFT(B12,2) &amp; (":") &amp; MID(B12,3,2) &amp; (":") &amp; MID(B12,5,2) &amp; (":") &amp; MID(B12,7,2) &amp; (":") &amp; MID(B12,9,2) &amp; (":") &amp; RIGHT(B12,2),"")</f>
        <v/>
      </c>
      <c r="D12" s="89" t="str">
        <f>IF(Table3[[#This Row],[MAC]]&lt;&gt;"",CONCATENATE("AP",UPPER(LEFT(TRIM(B12),4)),"-",UPPER(LEFT(RIGHT(TRIM(B12),8),4)),"-",UPPER(RIGHT(TRIM(B12),4))),"")</f>
        <v/>
      </c>
      <c r="E12" s="89" t="str">
        <f>IF(AND(Table3[[#This Row],[AP Name]]&lt;&gt;"",Table3[[#This Row],[WLC AP-name]]&lt;&gt;""),CONCATENATE("ap name ",D12," name ",A12),"")</f>
        <v/>
      </c>
      <c r="F12" s="89" t="str">
        <f>IF(Table3[[#This Row],[AP Name]]&lt;&gt;"",CONCATENATE("ap name ",A12," controller primary ",Design!$B$32," ",Design!$B$37),"")</f>
        <v>ap name tel-1337-ap10 controller primary wlc1 {wlc1-ipv4}</v>
      </c>
      <c r="G12" s="89" t="str">
        <f>IF(Table3[[#This Row],[AP Name]]&lt;&gt;"",CONCATENATE("ap name ",A12," controller secondary ",Design!$C$32," ",Design!$C$37),"")</f>
        <v>ap name tel-1337-ap10 controller secondary wlc2 {wlc2-ipv4}</v>
      </c>
      <c r="H12" s="89">
        <v>104</v>
      </c>
      <c r="I12" s="89">
        <v>1</v>
      </c>
      <c r="J12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2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3" spans="1:11" ht="19.5" customHeight="1" x14ac:dyDescent="0.25">
      <c r="A13" s="89" t="s">
        <v>711</v>
      </c>
      <c r="B13" s="89"/>
      <c r="C13" s="89" t="str">
        <f>IF(Table3[[#This Row],[MAC]]&lt;&gt;"",LEFT(B13,2) &amp; (":") &amp; MID(B13,3,2) &amp; (":") &amp; MID(B13,5,2) &amp; (":") &amp; MID(B13,7,2) &amp; (":") &amp; MID(B13,9,2) &amp; (":") &amp; RIGHT(B13,2),"")</f>
        <v/>
      </c>
      <c r="D13" s="89" t="str">
        <f>IF(Table3[[#This Row],[MAC]]&lt;&gt;"",CONCATENATE("AP",UPPER(LEFT(TRIM(B13),4)),"-",UPPER(LEFT(RIGHT(TRIM(B13),8),4)),"-",UPPER(RIGHT(TRIM(B13),4))),"")</f>
        <v/>
      </c>
      <c r="E13" s="89" t="str">
        <f>IF(AND(Table3[[#This Row],[AP Name]]&lt;&gt;"",Table3[[#This Row],[WLC AP-name]]&lt;&gt;""),CONCATENATE("ap name ",D13," name ",A13),"")</f>
        <v/>
      </c>
      <c r="F13" s="89" t="str">
        <f>IF(Table3[[#This Row],[AP Name]]&lt;&gt;"",CONCATENATE("ap name ",A13," controller primary ",Design!$B$32," ",Design!$B$37),"")</f>
        <v>ap name tel-1337-ap11 controller primary wlc1 {wlc1-ipv4}</v>
      </c>
      <c r="G13" s="89" t="str">
        <f>IF(Table3[[#This Row],[AP Name]]&lt;&gt;"",CONCATENATE("ap name ",A13," controller secondary ",Design!$C$32," ",Design!$C$37),"")</f>
        <v>ap name tel-1337-ap11 controller secondary wlc2 {wlc2-ipv4}</v>
      </c>
      <c r="H13" s="89">
        <v>108</v>
      </c>
      <c r="I13" s="89"/>
      <c r="J13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3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4" spans="1:11" ht="19.5" customHeight="1" x14ac:dyDescent="0.25">
      <c r="A14" s="89" t="s">
        <v>712</v>
      </c>
      <c r="B14" s="89"/>
      <c r="C14" s="89" t="str">
        <f>IF(Table3[[#This Row],[MAC]]&lt;&gt;"",LEFT(B14,2) &amp; (":") &amp; MID(B14,3,2) &amp; (":") &amp; MID(B14,5,2) &amp; (":") &amp; MID(B14,7,2) &amp; (":") &amp; MID(B14,9,2) &amp; (":") &amp; RIGHT(B14,2),"")</f>
        <v/>
      </c>
      <c r="D14" s="89" t="str">
        <f>IF(Table3[[#This Row],[MAC]]&lt;&gt;"",CONCATENATE("AP",UPPER(LEFT(TRIM(B14),4)),"-",UPPER(LEFT(RIGHT(TRIM(B14),8),4)),"-",UPPER(RIGHT(TRIM(B14),4))),"")</f>
        <v/>
      </c>
      <c r="E14" s="89" t="str">
        <f>IF(AND(Table3[[#This Row],[AP Name]]&lt;&gt;"",Table3[[#This Row],[WLC AP-name]]&lt;&gt;""),CONCATENATE("ap name ",D14," name ",A14),"")</f>
        <v/>
      </c>
      <c r="F14" s="89" t="str">
        <f>IF(Table3[[#This Row],[AP Name]]&lt;&gt;"",CONCATENATE("ap name ",A14," controller primary ",Design!$B$32," ",Design!$B$37),"")</f>
        <v>ap name tel-1337-ap12 controller primary wlc1 {wlc1-ipv4}</v>
      </c>
      <c r="G14" s="89" t="str">
        <f>IF(Table3[[#This Row],[AP Name]]&lt;&gt;"",CONCATENATE("ap name ",A14," controller secondary ",Design!$C$32," ",Design!$C$37),"")</f>
        <v>ap name tel-1337-ap12 controller secondary wlc2 {wlc2-ipv4}</v>
      </c>
      <c r="H14" s="89">
        <v>112</v>
      </c>
      <c r="I14" s="89"/>
      <c r="J14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4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5" spans="1:11" ht="19.5" customHeight="1" x14ac:dyDescent="0.25">
      <c r="A15" s="89" t="s">
        <v>713</v>
      </c>
      <c r="B15" s="89"/>
      <c r="C15" s="89" t="str">
        <f>IF(Table3[[#This Row],[MAC]]&lt;&gt;"",LEFT(B15,2) &amp; (":") &amp; MID(B15,3,2) &amp; (":") &amp; MID(B15,5,2) &amp; (":") &amp; MID(B15,7,2) &amp; (":") &amp; MID(B15,9,2) &amp; (":") &amp; RIGHT(B15,2),"")</f>
        <v/>
      </c>
      <c r="D15" s="89" t="str">
        <f>IF(Table3[[#This Row],[MAC]]&lt;&gt;"",CONCATENATE("AP",UPPER(LEFT(TRIM(B15),4)),"-",UPPER(LEFT(RIGHT(TRIM(B15),8),4)),"-",UPPER(RIGHT(TRIM(B15),4))),"")</f>
        <v/>
      </c>
      <c r="E15" s="89" t="str">
        <f>IF(AND(Table3[[#This Row],[AP Name]]&lt;&gt;"",Table3[[#This Row],[WLC AP-name]]&lt;&gt;""),CONCATENATE("ap name ",D15," name ",A15),"")</f>
        <v/>
      </c>
      <c r="F15" s="89" t="str">
        <f>IF(Table3[[#This Row],[AP Name]]&lt;&gt;"",CONCATENATE("ap name ",A15," controller primary ",Design!$B$32," ",Design!$B$37),"")</f>
        <v>ap name tel-1337-ap13 controller primary wlc1 {wlc1-ipv4}</v>
      </c>
      <c r="G15" s="89" t="str">
        <f>IF(Table3[[#This Row],[AP Name]]&lt;&gt;"",CONCATENATE("ap name ",A15," controller secondary ",Design!$C$32," ",Design!$C$37),"")</f>
        <v>ap name tel-1337-ap13 controller secondary wlc2 {wlc2-ipv4}</v>
      </c>
      <c r="H15" s="89">
        <v>116</v>
      </c>
      <c r="I15" s="89"/>
      <c r="J15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5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6" spans="1:11" ht="19.5" customHeight="1" x14ac:dyDescent="0.25">
      <c r="A16" s="89" t="s">
        <v>714</v>
      </c>
      <c r="B16" s="89"/>
      <c r="C16" s="89" t="str">
        <f>IF(Table3[[#This Row],[MAC]]&lt;&gt;"",LEFT(B16,2) &amp; (":") &amp; MID(B16,3,2) &amp; (":") &amp; MID(B16,5,2) &amp; (":") &amp; MID(B16,7,2) &amp; (":") &amp; MID(B16,9,2) &amp; (":") &amp; RIGHT(B16,2),"")</f>
        <v/>
      </c>
      <c r="D16" s="89" t="str">
        <f>IF(Table3[[#This Row],[MAC]]&lt;&gt;"",CONCATENATE("AP",UPPER(LEFT(TRIM(B16),4)),"-",UPPER(LEFT(RIGHT(TRIM(B16),8),4)),"-",UPPER(RIGHT(TRIM(B16),4))),"")</f>
        <v/>
      </c>
      <c r="E16" s="89" t="str">
        <f>IF(AND(Table3[[#This Row],[AP Name]]&lt;&gt;"",Table3[[#This Row],[WLC AP-name]]&lt;&gt;""),CONCATENATE("ap name ",D16," name ",A16),"")</f>
        <v/>
      </c>
      <c r="F16" s="89" t="str">
        <f>IF(Table3[[#This Row],[AP Name]]&lt;&gt;"",CONCATENATE("ap name ",A16," controller primary ",Design!$B$32," ",Design!$B$37),"")</f>
        <v>ap name tel-1337-ap14 controller primary wlc1 {wlc1-ipv4}</v>
      </c>
      <c r="G16" s="89" t="str">
        <f>IF(Table3[[#This Row],[AP Name]]&lt;&gt;"",CONCATENATE("ap name ",A16," controller secondary ",Design!$C$32," ",Design!$C$37),"")</f>
        <v>ap name tel-1337-ap14 controller secondary wlc2 {wlc2-ipv4}</v>
      </c>
      <c r="H16" s="89">
        <v>120</v>
      </c>
      <c r="I16" s="89"/>
      <c r="J16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6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7" spans="1:11" ht="19.5" customHeight="1" x14ac:dyDescent="0.25">
      <c r="A17" s="89" t="s">
        <v>715</v>
      </c>
      <c r="B17" s="89"/>
      <c r="C17" s="89" t="str">
        <f>IF(Table3[[#This Row],[MAC]]&lt;&gt;"",LEFT(B17,2) &amp; (":") &amp; MID(B17,3,2) &amp; (":") &amp; MID(B17,5,2) &amp; (":") &amp; MID(B17,7,2) &amp; (":") &amp; MID(B17,9,2) &amp; (":") &amp; RIGHT(B17,2),"")</f>
        <v/>
      </c>
      <c r="D17" s="89" t="str">
        <f>IF(Table3[[#This Row],[MAC]]&lt;&gt;"",CONCATENATE("AP",UPPER(LEFT(TRIM(B17),4)),"-",UPPER(LEFT(RIGHT(TRIM(B17),8),4)),"-",UPPER(RIGHT(TRIM(B17),4))),"")</f>
        <v/>
      </c>
      <c r="E17" s="89" t="str">
        <f>IF(AND(Table3[[#This Row],[AP Name]]&lt;&gt;"",Table3[[#This Row],[WLC AP-name]]&lt;&gt;""),CONCATENATE("ap name ",D17," name ",A17),"")</f>
        <v/>
      </c>
      <c r="F17" s="89" t="str">
        <f>IF(Table3[[#This Row],[AP Name]]&lt;&gt;"",CONCATENATE("ap name ",A17," controller primary ",Design!$B$32," ",Design!$B$37),"")</f>
        <v>ap name tel-1337-ap15 controller primary wlc1 {wlc1-ipv4}</v>
      </c>
      <c r="G17" s="89" t="str">
        <f>IF(Table3[[#This Row],[AP Name]]&lt;&gt;"",CONCATENATE("ap name ",A17," controller secondary ",Design!$C$32," ",Design!$C$37),"")</f>
        <v>ap name tel-1337-ap15 controller secondary wlc2 {wlc2-ipv4}</v>
      </c>
      <c r="H17" s="89">
        <v>124</v>
      </c>
      <c r="I17" s="89"/>
      <c r="J17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7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8" spans="1:11" ht="19.5" customHeight="1" x14ac:dyDescent="0.25">
      <c r="A18" s="89" t="s">
        <v>716</v>
      </c>
      <c r="B18" s="89"/>
      <c r="C18" s="89" t="str">
        <f>IF(Table3[[#This Row],[MAC]]&lt;&gt;"",LEFT(B18,2) &amp; (":") &amp; MID(B18,3,2) &amp; (":") &amp; MID(B18,5,2) &amp; (":") &amp; MID(B18,7,2) &amp; (":") &amp; MID(B18,9,2) &amp; (":") &amp; RIGHT(B18,2),"")</f>
        <v/>
      </c>
      <c r="D18" s="89" t="str">
        <f>IF(Table3[[#This Row],[MAC]]&lt;&gt;"",CONCATENATE("AP",UPPER(LEFT(TRIM(B18),4)),"-",UPPER(LEFT(RIGHT(TRIM(B18),8),4)),"-",UPPER(RIGHT(TRIM(B18),4))),"")</f>
        <v/>
      </c>
      <c r="E18" s="89" t="str">
        <f>IF(AND(Table3[[#This Row],[AP Name]]&lt;&gt;"",Table3[[#This Row],[WLC AP-name]]&lt;&gt;""),CONCATENATE("ap name ",D18," name ",A18),"")</f>
        <v/>
      </c>
      <c r="F18" s="89" t="str">
        <f>IF(Table3[[#This Row],[AP Name]]&lt;&gt;"",CONCATENATE("ap name ",A18," controller primary ",Design!$B$32," ",Design!$B$37),"")</f>
        <v>ap name tel-1337-ap16 controller primary wlc1 {wlc1-ipv4}</v>
      </c>
      <c r="G18" s="89" t="str">
        <f>IF(Table3[[#This Row],[AP Name]]&lt;&gt;"",CONCATENATE("ap name ",A18," controller secondary ",Design!$C$32," ",Design!$C$37),"")</f>
        <v>ap name tel-1337-ap16 controller secondary wlc2 {wlc2-ipv4}</v>
      </c>
      <c r="H18" s="89">
        <v>128</v>
      </c>
      <c r="I18" s="89"/>
      <c r="J18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8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19" spans="1:11" ht="19.5" customHeight="1" x14ac:dyDescent="0.25">
      <c r="A19" s="89" t="s">
        <v>717</v>
      </c>
      <c r="B19" s="89"/>
      <c r="C19" s="89" t="str">
        <f>IF(Table3[[#This Row],[MAC]]&lt;&gt;"",LEFT(B19,2) &amp; (":") &amp; MID(B19,3,2) &amp; (":") &amp; MID(B19,5,2) &amp; (":") &amp; MID(B19,7,2) &amp; (":") &amp; MID(B19,9,2) &amp; (":") &amp; RIGHT(B19,2),"")</f>
        <v/>
      </c>
      <c r="D19" s="89" t="str">
        <f>IF(Table3[[#This Row],[MAC]]&lt;&gt;"",CONCATENATE("AP",UPPER(LEFT(TRIM(B19),4)),"-",UPPER(LEFT(RIGHT(TRIM(B19),8),4)),"-",UPPER(RIGHT(TRIM(B19),4))),"")</f>
        <v/>
      </c>
      <c r="E19" s="89" t="str">
        <f>IF(AND(Table3[[#This Row],[AP Name]]&lt;&gt;"",Table3[[#This Row],[WLC AP-name]]&lt;&gt;""),CONCATENATE("ap name ",D19," name ",A19),"")</f>
        <v/>
      </c>
      <c r="F19" s="89" t="str">
        <f>IF(Table3[[#This Row],[AP Name]]&lt;&gt;"",CONCATENATE("ap name ",A19," controller primary ",Design!$B$32," ",Design!$B$37),"")</f>
        <v>ap name tel-1337-ap17 controller primary wlc1 {wlc1-ipv4}</v>
      </c>
      <c r="G19" s="89" t="str">
        <f>IF(Table3[[#This Row],[AP Name]]&lt;&gt;"",CONCATENATE("ap name ",A19," controller secondary ",Design!$C$32," ",Design!$C$37),"")</f>
        <v>ap name tel-1337-ap17 controller secondary wlc2 {wlc2-ipv4}</v>
      </c>
      <c r="H19" s="89">
        <v>132</v>
      </c>
      <c r="I19" s="89"/>
      <c r="J19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19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0" spans="1:11" ht="19.5" customHeight="1" x14ac:dyDescent="0.25">
      <c r="A20" s="89" t="s">
        <v>718</v>
      </c>
      <c r="B20" s="89"/>
      <c r="C20" s="89" t="str">
        <f>IF(Table3[[#This Row],[MAC]]&lt;&gt;"",LEFT(B20,2) &amp; (":") &amp; MID(B20,3,2) &amp; (":") &amp; MID(B20,5,2) &amp; (":") &amp; MID(B20,7,2) &amp; (":") &amp; MID(B20,9,2) &amp; (":") &amp; RIGHT(B20,2),"")</f>
        <v/>
      </c>
      <c r="D20" s="89" t="str">
        <f>IF(Table3[[#This Row],[MAC]]&lt;&gt;"",CONCATENATE("AP",UPPER(LEFT(TRIM(B20),4)),"-",UPPER(LEFT(RIGHT(TRIM(B20),8),4)),"-",UPPER(RIGHT(TRIM(B20),4))),"")</f>
        <v/>
      </c>
      <c r="E20" s="89" t="str">
        <f>IF(AND(Table3[[#This Row],[AP Name]]&lt;&gt;"",Table3[[#This Row],[WLC AP-name]]&lt;&gt;""),CONCATENATE("ap name ",D20," name ",A20),"")</f>
        <v/>
      </c>
      <c r="F20" s="89" t="str">
        <f>IF(Table3[[#This Row],[AP Name]]&lt;&gt;"",CONCATENATE("ap name ",A20," controller primary ",Design!$B$32," ",Design!$B$37),"")</f>
        <v>ap name tel-1337-ap18 controller primary wlc1 {wlc1-ipv4}</v>
      </c>
      <c r="G20" s="89" t="str">
        <f>IF(Table3[[#This Row],[AP Name]]&lt;&gt;"",CONCATENATE("ap name ",A20," controller secondary ",Design!$C$32," ",Design!$C$37),"")</f>
        <v>ap name tel-1337-ap18 controller secondary wlc2 {wlc2-ipv4}</v>
      </c>
      <c r="H20" s="89">
        <v>136</v>
      </c>
      <c r="I20" s="89"/>
      <c r="J20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0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1" spans="1:11" ht="19.5" customHeight="1" x14ac:dyDescent="0.25">
      <c r="A21" s="89" t="s">
        <v>719</v>
      </c>
      <c r="B21" s="89"/>
      <c r="C21" s="89" t="str">
        <f>IF(Table3[[#This Row],[MAC]]&lt;&gt;"",LEFT(B21,2) &amp; (":") &amp; MID(B21,3,2) &amp; (":") &amp; MID(B21,5,2) &amp; (":") &amp; MID(B21,7,2) &amp; (":") &amp; MID(B21,9,2) &amp; (":") &amp; RIGHT(B21,2),"")</f>
        <v/>
      </c>
      <c r="D21" s="89" t="str">
        <f>IF(Table3[[#This Row],[MAC]]&lt;&gt;"",CONCATENATE("AP",UPPER(LEFT(TRIM(B21),4)),"-",UPPER(LEFT(RIGHT(TRIM(B21),8),4)),"-",UPPER(RIGHT(TRIM(B21),4))),"")</f>
        <v/>
      </c>
      <c r="E21" s="89" t="str">
        <f>IF(AND(Table3[[#This Row],[AP Name]]&lt;&gt;"",Table3[[#This Row],[WLC AP-name]]&lt;&gt;""),CONCATENATE("ap name ",D21," name ",A21),"")</f>
        <v/>
      </c>
      <c r="F21" s="89" t="str">
        <f>IF(Table3[[#This Row],[AP Name]]&lt;&gt;"",CONCATENATE("ap name ",A21," controller primary ",Design!$B$32," ",Design!$B$37),"")</f>
        <v>ap name tel-1337-ap19 controller primary wlc1 {wlc1-ipv4}</v>
      </c>
      <c r="G21" s="89" t="str">
        <f>IF(Table3[[#This Row],[AP Name]]&lt;&gt;"",CONCATENATE("ap name ",A21," controller secondary ",Design!$C$32," ",Design!$C$37),"")</f>
        <v>ap name tel-1337-ap19 controller secondary wlc2 {wlc2-ipv4}</v>
      </c>
      <c r="H21" s="89">
        <v>140</v>
      </c>
      <c r="I21" s="89"/>
      <c r="J21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1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2" spans="1:11" ht="19.5" customHeight="1" x14ac:dyDescent="0.25">
      <c r="A22" s="89" t="s">
        <v>720</v>
      </c>
      <c r="B22" s="89"/>
      <c r="C22" s="89" t="str">
        <f>IF(Table3[[#This Row],[MAC]]&lt;&gt;"",LEFT(B22,2) &amp; (":") &amp; MID(B22,3,2) &amp; (":") &amp; MID(B22,5,2) &amp; (":") &amp; MID(B22,7,2) &amp; (":") &amp; MID(B22,9,2) &amp; (":") &amp; RIGHT(B22,2),"")</f>
        <v/>
      </c>
      <c r="D22" s="89" t="str">
        <f>IF(Table3[[#This Row],[MAC]]&lt;&gt;"",CONCATENATE("AP",UPPER(LEFT(TRIM(B22),4)),"-",UPPER(LEFT(RIGHT(TRIM(B22),8),4)),"-",UPPER(RIGHT(TRIM(B22),4))),"")</f>
        <v/>
      </c>
      <c r="E22" s="89" t="str">
        <f>IF(AND(Table3[[#This Row],[AP Name]]&lt;&gt;"",Table3[[#This Row],[WLC AP-name]]&lt;&gt;""),CONCATENATE("ap name ",D22," name ",A22),"")</f>
        <v/>
      </c>
      <c r="F22" s="89" t="str">
        <f>IF(Table3[[#This Row],[AP Name]]&lt;&gt;"",CONCATENATE("ap name ",A22," controller primary ",Design!$B$32," ",Design!$B$37),"")</f>
        <v>ap name tel-1337-ap20 controller primary wlc1 {wlc1-ipv4}</v>
      </c>
      <c r="G22" s="89" t="str">
        <f>IF(Table3[[#This Row],[AP Name]]&lt;&gt;"",CONCATENATE("ap name ",A22," controller secondary ",Design!$C$32," ",Design!$C$37),"")</f>
        <v>ap name tel-1337-ap20 controller secondary wlc2 {wlc2-ipv4}</v>
      </c>
      <c r="H22" s="89"/>
      <c r="I22" s="89"/>
      <c r="J22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2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3" spans="1:11" ht="19.5" customHeight="1" x14ac:dyDescent="0.25">
      <c r="A23" s="89" t="s">
        <v>721</v>
      </c>
      <c r="B23" s="89"/>
      <c r="C23" s="89" t="str">
        <f>IF(Table3[[#This Row],[MAC]]&lt;&gt;"",LEFT(B23,2) &amp; (":") &amp; MID(B23,3,2) &amp; (":") &amp; MID(B23,5,2) &amp; (":") &amp; MID(B23,7,2) &amp; (":") &amp; MID(B23,9,2) &amp; (":") &amp; RIGHT(B23,2),"")</f>
        <v/>
      </c>
      <c r="D23" s="89" t="str">
        <f>IF(Table3[[#This Row],[MAC]]&lt;&gt;"",CONCATENATE("AP",UPPER(LEFT(TRIM(B23),4)),"-",UPPER(LEFT(RIGHT(TRIM(B23),8),4)),"-",UPPER(RIGHT(TRIM(B23),4))),"")</f>
        <v/>
      </c>
      <c r="E23" s="89" t="str">
        <f>IF(AND(Table3[[#This Row],[AP Name]]&lt;&gt;"",Table3[[#This Row],[WLC AP-name]]&lt;&gt;""),CONCATENATE("ap name ",D23," name ",A23),"")</f>
        <v/>
      </c>
      <c r="F23" s="89" t="str">
        <f>IF(Table3[[#This Row],[AP Name]]&lt;&gt;"",CONCATENATE("ap name ",A23," controller primary ",Design!$B$32," ",Design!$B$37),"")</f>
        <v>ap name tel-1337-ap21 controller primary wlc1 {wlc1-ipv4}</v>
      </c>
      <c r="G23" s="89" t="str">
        <f>IF(Table3[[#This Row],[AP Name]]&lt;&gt;"",CONCATENATE("ap name ",A23," controller secondary ",Design!$C$32," ",Design!$C$37),"")</f>
        <v>ap name tel-1337-ap21 controller secondary wlc2 {wlc2-ipv4}</v>
      </c>
      <c r="H23" s="89"/>
      <c r="I23" s="89"/>
      <c r="J23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3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4" spans="1:11" ht="19.5" customHeight="1" x14ac:dyDescent="0.25">
      <c r="A24" s="89" t="s">
        <v>722</v>
      </c>
      <c r="B24" s="89"/>
      <c r="C24" s="89" t="str">
        <f>IF(Table3[[#This Row],[MAC]]&lt;&gt;"",LEFT(B24,2) &amp; (":") &amp; MID(B24,3,2) &amp; (":") &amp; MID(B24,5,2) &amp; (":") &amp; MID(B24,7,2) &amp; (":") &amp; MID(B24,9,2) &amp; (":") &amp; RIGHT(B24,2),"")</f>
        <v/>
      </c>
      <c r="D24" s="89" t="str">
        <f>IF(Table3[[#This Row],[MAC]]&lt;&gt;"",CONCATENATE("AP",UPPER(LEFT(TRIM(B24),4)),"-",UPPER(LEFT(RIGHT(TRIM(B24),8),4)),"-",UPPER(RIGHT(TRIM(B24),4))),"")</f>
        <v/>
      </c>
      <c r="E24" s="89" t="str">
        <f>IF(AND(Table3[[#This Row],[AP Name]]&lt;&gt;"",Table3[[#This Row],[WLC AP-name]]&lt;&gt;""),CONCATENATE("ap name ",D24," name ",A24),"")</f>
        <v/>
      </c>
      <c r="F24" s="89" t="str">
        <f>IF(Table3[[#This Row],[AP Name]]&lt;&gt;"",CONCATENATE("ap name ",A24," controller primary ",Design!$B$32," ",Design!$B$37),"")</f>
        <v>ap name tel-1337-ap22 controller primary wlc1 {wlc1-ipv4}</v>
      </c>
      <c r="G24" s="89" t="str">
        <f>IF(Table3[[#This Row],[AP Name]]&lt;&gt;"",CONCATENATE("ap name ",A24," controller secondary ",Design!$C$32," ",Design!$C$37),"")</f>
        <v>ap name tel-1337-ap22 controller secondary wlc2 {wlc2-ipv4}</v>
      </c>
      <c r="H24" s="89"/>
      <c r="I24" s="89"/>
      <c r="J24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4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5" spans="1:11" ht="19.5" customHeight="1" x14ac:dyDescent="0.25">
      <c r="A25" s="89" t="s">
        <v>723</v>
      </c>
      <c r="B25" s="89"/>
      <c r="C25" s="89" t="str">
        <f>IF(Table3[[#This Row],[MAC]]&lt;&gt;"",LEFT(B25,2) &amp; (":") &amp; MID(B25,3,2) &amp; (":") &amp; MID(B25,5,2) &amp; (":") &amp; MID(B25,7,2) &amp; (":") &amp; MID(B25,9,2) &amp; (":") &amp; RIGHT(B25,2),"")</f>
        <v/>
      </c>
      <c r="D25" s="89" t="str">
        <f>IF(Table3[[#This Row],[MAC]]&lt;&gt;"",CONCATENATE("AP",UPPER(LEFT(TRIM(B25),4)),"-",UPPER(LEFT(RIGHT(TRIM(B25),8),4)),"-",UPPER(RIGHT(TRIM(B25),4))),"")</f>
        <v/>
      </c>
      <c r="E25" s="89" t="str">
        <f>IF(AND(Table3[[#This Row],[AP Name]]&lt;&gt;"",Table3[[#This Row],[WLC AP-name]]&lt;&gt;""),CONCATENATE("ap name ",D25," name ",A25),"")</f>
        <v/>
      </c>
      <c r="F25" s="89" t="str">
        <f>IF(Table3[[#This Row],[AP Name]]&lt;&gt;"",CONCATENATE("ap name ",A25," controller primary ",Design!$B$32," ",Design!$B$37),"")</f>
        <v>ap name tel-1337-ap23 controller primary wlc1 {wlc1-ipv4}</v>
      </c>
      <c r="G25" s="89" t="str">
        <f>IF(Table3[[#This Row],[AP Name]]&lt;&gt;"",CONCATENATE("ap name ",A25," controller secondary ",Design!$C$32," ",Design!$C$37),"")</f>
        <v>ap name tel-1337-ap23 controller secondary wlc2 {wlc2-ipv4}</v>
      </c>
      <c r="H25" s="89"/>
      <c r="I25" s="89"/>
      <c r="J25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5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6" spans="1:11" ht="19.5" customHeight="1" x14ac:dyDescent="0.25">
      <c r="A26" s="89" t="s">
        <v>724</v>
      </c>
      <c r="B26" s="89"/>
      <c r="C26" s="89" t="str">
        <f>IF(Table3[[#This Row],[MAC]]&lt;&gt;"",LEFT(B26,2) &amp; (":") &amp; MID(B26,3,2) &amp; (":") &amp; MID(B26,5,2) &amp; (":") &amp; MID(B26,7,2) &amp; (":") &amp; MID(B26,9,2) &amp; (":") &amp; RIGHT(B26,2),"")</f>
        <v/>
      </c>
      <c r="D26" s="89" t="str">
        <f>IF(Table3[[#This Row],[MAC]]&lt;&gt;"",CONCATENATE("AP",UPPER(LEFT(TRIM(B26),4)),"-",UPPER(LEFT(RIGHT(TRIM(B26),8),4)),"-",UPPER(RIGHT(TRIM(B26),4))),"")</f>
        <v/>
      </c>
      <c r="E26" s="89" t="str">
        <f>IF(AND(Table3[[#This Row],[AP Name]]&lt;&gt;"",Table3[[#This Row],[WLC AP-name]]&lt;&gt;""),CONCATENATE("ap name ",D26," name ",A26),"")</f>
        <v/>
      </c>
      <c r="F26" s="89" t="str">
        <f>IF(Table3[[#This Row],[AP Name]]&lt;&gt;"",CONCATENATE("ap name ",A26," controller primary ",Design!$B$32," ",Design!$B$37),"")</f>
        <v>ap name tel-1337-ap24 controller primary wlc1 {wlc1-ipv4}</v>
      </c>
      <c r="G26" s="89" t="str">
        <f>IF(Table3[[#This Row],[AP Name]]&lt;&gt;"",CONCATENATE("ap name ",A26," controller secondary ",Design!$C$32," ",Design!$C$37),"")</f>
        <v>ap name tel-1337-ap24 controller secondary wlc2 {wlc2-ipv4}</v>
      </c>
      <c r="H26" s="89"/>
      <c r="I26" s="89"/>
      <c r="J26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6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7" spans="1:11" ht="19.5" customHeight="1" x14ac:dyDescent="0.25">
      <c r="A27" s="89" t="s">
        <v>725</v>
      </c>
      <c r="B27" s="89"/>
      <c r="C27" s="89" t="str">
        <f>IF(Table3[[#This Row],[MAC]]&lt;&gt;"",LEFT(B27,2) &amp; (":") &amp; MID(B27,3,2) &amp; (":") &amp; MID(B27,5,2) &amp; (":") &amp; MID(B27,7,2) &amp; (":") &amp; MID(B27,9,2) &amp; (":") &amp; RIGHT(B27,2),"")</f>
        <v/>
      </c>
      <c r="D27" s="89" t="str">
        <f>IF(Table3[[#This Row],[MAC]]&lt;&gt;"",CONCATENATE("AP",UPPER(LEFT(TRIM(B27),4)),"-",UPPER(LEFT(RIGHT(TRIM(B27),8),4)),"-",UPPER(RIGHT(TRIM(B27),4))),"")</f>
        <v/>
      </c>
      <c r="E27" s="89" t="str">
        <f>IF(AND(Table3[[#This Row],[AP Name]]&lt;&gt;"",Table3[[#This Row],[WLC AP-name]]&lt;&gt;""),CONCATENATE("ap name ",D27," name ",A27),"")</f>
        <v/>
      </c>
      <c r="F27" s="89" t="str">
        <f>IF(Table3[[#This Row],[AP Name]]&lt;&gt;"",CONCATENATE("ap name ",A27," controller primary ",Design!$B$32," ",Design!$B$37),"")</f>
        <v>ap name tel-1337-ap25 controller primary wlc1 {wlc1-ipv4}</v>
      </c>
      <c r="G27" s="89" t="str">
        <f>IF(Table3[[#This Row],[AP Name]]&lt;&gt;"",CONCATENATE("ap name ",A27," controller secondary ",Design!$C$32," ",Design!$C$37),"")</f>
        <v>ap name tel-1337-ap25 controller secondary wlc2 {wlc2-ipv4}</v>
      </c>
      <c r="H27" s="89"/>
      <c r="I27" s="89"/>
      <c r="J27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7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8" spans="1:11" ht="19.5" customHeight="1" x14ac:dyDescent="0.25">
      <c r="A28" s="89" t="s">
        <v>726</v>
      </c>
      <c r="B28" s="89"/>
      <c r="C28" s="89" t="str">
        <f>IF(Table3[[#This Row],[MAC]]&lt;&gt;"",LEFT(B28,2) &amp; (":") &amp; MID(B28,3,2) &amp; (":") &amp; MID(B28,5,2) &amp; (":") &amp; MID(B28,7,2) &amp; (":") &amp; MID(B28,9,2) &amp; (":") &amp; RIGHT(B28,2),"")</f>
        <v/>
      </c>
      <c r="D28" s="89" t="str">
        <f>IF(Table3[[#This Row],[MAC]]&lt;&gt;"",CONCATENATE("AP",UPPER(LEFT(TRIM(B28),4)),"-",UPPER(LEFT(RIGHT(TRIM(B28),8),4)),"-",UPPER(RIGHT(TRIM(B28),4))),"")</f>
        <v/>
      </c>
      <c r="E28" s="89" t="str">
        <f>IF(AND(Table3[[#This Row],[AP Name]]&lt;&gt;"",Table3[[#This Row],[WLC AP-name]]&lt;&gt;""),CONCATENATE("ap name ",D28," name ",A28),"")</f>
        <v/>
      </c>
      <c r="F28" s="89" t="str">
        <f>IF(Table3[[#This Row],[AP Name]]&lt;&gt;"",CONCATENATE("ap name ",A28," controller primary ",Design!$B$32," ",Design!$B$37),"")</f>
        <v>ap name tel-1337-ap26 controller primary wlc1 {wlc1-ipv4}</v>
      </c>
      <c r="G28" s="89" t="str">
        <f>IF(Table3[[#This Row],[AP Name]]&lt;&gt;"",CONCATENATE("ap name ",A28," controller secondary ",Design!$C$32," ",Design!$C$37),"")</f>
        <v>ap name tel-1337-ap26 controller secondary wlc2 {wlc2-ipv4}</v>
      </c>
      <c r="H28" s="89"/>
      <c r="I28" s="89"/>
      <c r="J28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8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29" spans="1:11" ht="19.5" customHeight="1" x14ac:dyDescent="0.25">
      <c r="A29" s="89" t="s">
        <v>727</v>
      </c>
      <c r="B29" s="89"/>
      <c r="C29" s="89" t="str">
        <f>IF(Table3[[#This Row],[MAC]]&lt;&gt;"",LEFT(B29,2) &amp; (":") &amp; MID(B29,3,2) &amp; (":") &amp; MID(B29,5,2) &amp; (":") &amp; MID(B29,7,2) &amp; (":") &amp; MID(B29,9,2) &amp; (":") &amp; RIGHT(B29,2),"")</f>
        <v/>
      </c>
      <c r="D29" s="89" t="str">
        <f>IF(Table3[[#This Row],[MAC]]&lt;&gt;"",CONCATENATE("AP",UPPER(LEFT(TRIM(B29),4)),"-",UPPER(LEFT(RIGHT(TRIM(B29),8),4)),"-",UPPER(RIGHT(TRIM(B29),4))),"")</f>
        <v/>
      </c>
      <c r="E29" s="89" t="str">
        <f>IF(AND(Table3[[#This Row],[AP Name]]&lt;&gt;"",Table3[[#This Row],[WLC AP-name]]&lt;&gt;""),CONCATENATE("ap name ",D29," name ",A29),"")</f>
        <v/>
      </c>
      <c r="F29" s="89" t="str">
        <f>IF(Table3[[#This Row],[AP Name]]&lt;&gt;"",CONCATENATE("ap name ",A29," controller primary ",Design!$B$32," ",Design!$B$37),"")</f>
        <v>ap name tel-1337-ap27 controller primary wlc1 {wlc1-ipv4}</v>
      </c>
      <c r="G29" s="89" t="str">
        <f>IF(Table3[[#This Row],[AP Name]]&lt;&gt;"",CONCATENATE("ap name ",A29," controller secondary ",Design!$C$32," ",Design!$C$37),"")</f>
        <v>ap name tel-1337-ap27 controller secondary wlc2 {wlc2-ipv4}</v>
      </c>
      <c r="H29" s="89"/>
      <c r="I29" s="89"/>
      <c r="J29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29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  <row r="30" spans="1:11" ht="19.5" customHeight="1" x14ac:dyDescent="0.25">
      <c r="A30" s="89" t="s">
        <v>728</v>
      </c>
      <c r="B30" s="89"/>
      <c r="C30" s="89" t="str">
        <f>IF(Table3[[#This Row],[MAC]]&lt;&gt;"",LEFT(B30,2) &amp; (":") &amp; MID(B30,3,2) &amp; (":") &amp; MID(B30,5,2) &amp; (":") &amp; MID(B30,7,2) &amp; (":") &amp; MID(B30,9,2) &amp; (":") &amp; RIGHT(B30,2),"")</f>
        <v/>
      </c>
      <c r="D30" s="89" t="str">
        <f>IF(Table3[[#This Row],[MAC]]&lt;&gt;"",CONCATENATE("AP",UPPER(LEFT(TRIM(B30),4)),"-",UPPER(LEFT(RIGHT(TRIM(B30),8),4)),"-",UPPER(RIGHT(TRIM(B30),4))),"")</f>
        <v/>
      </c>
      <c r="E30" s="89" t="str">
        <f>IF(AND(Table3[[#This Row],[AP Name]]&lt;&gt;"",Table3[[#This Row],[WLC AP-name]]&lt;&gt;""),CONCATENATE("ap name ",D30," name ",A30),"")</f>
        <v/>
      </c>
      <c r="F30" s="89" t="str">
        <f>IF(Table3[[#This Row],[AP Name]]&lt;&gt;"",CONCATENATE("ap name ",A30," controller primary ",Design!$B$32," ",Design!$B$37),"")</f>
        <v>ap name tel-1337-ap28 controller primary wlc1 {wlc1-ipv4}</v>
      </c>
      <c r="G30" s="89" t="str">
        <f>IF(Table3[[#This Row],[AP Name]]&lt;&gt;"",CONCATENATE("ap name ",A30," controller secondary ",Design!$C$32," ",Design!$C$37),"")</f>
        <v>ap name tel-1337-ap28 controller secondary wlc2 {wlc2-ipv4}</v>
      </c>
      <c r="H30" s="89"/>
      <c r="I30" s="89"/>
      <c r="J30" s="90" t="str">
        <f>IF(OR(ISBLANK(Table3[[#This Row],[MAC]]),ISBLANK(Table3[[#This Row],[Ch. 5]])),"","ap name "&amp;Table3[[#This Row],[AP Name]]&amp;" dot11 5ghz shutdown"&amp;CHAR(10)&amp;"ap name "&amp;Table3[[#This Row],[AP Name]]&amp;" dot11 5ghz channel "&amp;Table3[[#This Row],[Ch. 5]]&amp;CHAR(10)&amp;"ap name "&amp;Table3[[#This Row],[AP Name]]&amp;" no dot11 5ghz shutdown")</f>
        <v/>
      </c>
      <c r="K30" s="90" t="str">
        <f>IF(OR(ISBLANK(Table3[[#This Row],[MAC]]),ISBLANK(Table3[[#This Row],[Ch. 2.4]])),"","ap name "&amp;Table3[[#This Row],[AP Name]]&amp;" dot11 dual-band shutdown"&amp;CHAR(10)&amp;"ap name "&amp;Table3[[#This Row],[AP Name]]&amp;" dot11 dual-band role manual client-serving"&amp;CHAR(10)&amp;"ap name "&amp;Table3[[#This Row],[AP Name]]&amp;" dot11 dual-band band 24ghz"&amp;CHAR(10)&amp;"ap name "&amp;Table3[[#This Row],[AP Name]]&amp;" dot11 dual-band channel "&amp;Table3[[#This Row],[Ch. 2.4]]&amp;CHAR(10)&amp;"ap name "&amp;Table3[[#This Row],[AP Name]]&amp;" no dot11 dual-band shutdown")</f>
        <v/>
      </c>
    </row>
  </sheetData>
  <phoneticPr fontId="7" type="noConversion"/>
  <conditionalFormatting sqref="A1:A1048576">
    <cfRule type="duplicateValues" dxfId="15" priority="2"/>
  </conditionalFormatting>
  <conditionalFormatting sqref="B1:B1048576">
    <cfRule type="duplicateValues" dxfId="14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5"/>
  <sheetViews>
    <sheetView workbookViewId="0">
      <selection activeCell="H21" sqref="H21"/>
    </sheetView>
  </sheetViews>
  <sheetFormatPr defaultRowHeight="15" x14ac:dyDescent="0.25"/>
  <cols>
    <col min="1" max="1" width="19.42578125" style="73" customWidth="1"/>
    <col min="2" max="2" width="14.7109375" style="73" customWidth="1"/>
    <col min="3" max="3" width="15.28515625" style="73" customWidth="1"/>
    <col min="6" max="7" width="9.140625" style="73"/>
    <col min="8" max="8" width="53.5703125" style="74" customWidth="1"/>
    <col min="9" max="9" width="47" style="74" customWidth="1"/>
  </cols>
  <sheetData>
    <row r="1" spans="1:9" x14ac:dyDescent="0.25">
      <c r="A1" s="73" t="s">
        <v>575</v>
      </c>
      <c r="B1" s="73" t="s">
        <v>573</v>
      </c>
      <c r="C1" s="73" t="s">
        <v>574</v>
      </c>
      <c r="F1" s="73" t="s">
        <v>596</v>
      </c>
      <c r="G1" s="73" t="s">
        <v>597</v>
      </c>
      <c r="H1" s="74" t="s">
        <v>598</v>
      </c>
      <c r="I1" s="74" t="s">
        <v>599</v>
      </c>
    </row>
    <row r="2" spans="1:9" ht="15" customHeight="1" x14ac:dyDescent="0.25">
      <c r="A2" s="73" t="s">
        <v>576</v>
      </c>
      <c r="B2" s="73" t="str">
        <f>LEFT(A2,FIND("-",A2)-1)</f>
        <v>Site1</v>
      </c>
      <c r="C2" s="73" t="str">
        <f t="shared" ref="C2:C24" si="0">IF(B2&lt;&gt;B1,B2,"")</f>
        <v>Site1</v>
      </c>
      <c r="F2" s="73">
        <v>101</v>
      </c>
      <c r="G2" s="73" t="str">
        <f t="array" ref="G2">INDEX(Table4[Unique prefix],SMALL(IF(Table4[Unique prefix]&lt;&gt;"",ROW(Table4[Unique prefix])-ROW(INDEX(Table4[Unique prefix],1,1))+1),ROWS($G$2:G2)))</f>
        <v>Site1</v>
      </c>
      <c r="H2" s="74" t="str">
        <f>IF(ISERROR(G2),"","wireless tag site "&amp;G2&amp;CHAR(10)&amp;" ap-profile "&amp;Design!A115&amp;CHAR(10)&amp;" description "&amp;G2&amp;CHAR(10)&amp;"ap filter name "&amp;G2&amp;CHAR(10)&amp;" ap name-regex "&amp;G2&amp;CHAR(10)&amp;" tag policy "&amp;Design!A122&amp;CHAR(10)&amp;" tag rf "&amp;Design!A127&amp;CHAR(10)&amp;" tag site "&amp;G2&amp;CHAR(10)&amp;"ap filter priority "&amp;F2&amp;" filter-name "&amp;G2)</f>
        <v>wireless tag site Site1
 ap-profile CustomerName-ap-profile
 description Site1
ap filter name Site1
 ap name-regex Site1
 tag policy CustomerName-policy-tag
 tag rf CustomerName-default-rf-tag
 tag site Site1
ap filter priority 101 filter-name Site1</v>
      </c>
      <c r="I2" s="74" t="str">
        <f>IF(ISERROR(G2),"","wireless tag site "&amp;G2&amp;CHAR(10)&amp;" ap-profile "&amp;Design!A115&amp;CHAR(10)&amp;" description "&amp;G2&amp;CHAR(10)&amp;" no local-site"&amp;CHAR(10)&amp;" flex-profile "&amp;Design!A118&amp;CHAR(10)&amp;"ap filter name "&amp;G2&amp;CHAR(10)&amp;" ap name-regex "&amp;G2&amp;CHAR(10)&amp;" tag policy "&amp;Design!A122&amp;CHAR(10)&amp;" tag rf "&amp;Design!A127&amp;CHAR(10)&amp;" tag site "&amp;G2&amp;CHAR(10)&amp;"ap filter priority "&amp;F2&amp;" filter-name "&amp;G2)</f>
        <v>wireless tag site Site1
 ap-profile CustomerName-ap-profile
 description Site1
 no local-site
 flex-profile flex-native-vlan123
ap filter name Site1
 ap name-regex Site1
 tag policy CustomerName-policy-tag
 tag rf CustomerName-default-rf-tag
 tag site Site1
ap filter priority 101 filter-name Site1</v>
      </c>
    </row>
    <row r="3" spans="1:9" ht="15" customHeight="1" x14ac:dyDescent="0.25">
      <c r="A3" s="73" t="s">
        <v>577</v>
      </c>
      <c r="B3" s="73" t="str">
        <f t="shared" ref="B3:B21" si="1">LEFT(A3,FIND("-",A3)-1)</f>
        <v>Site1</v>
      </c>
      <c r="C3" s="73" t="str">
        <f t="shared" si="0"/>
        <v/>
      </c>
      <c r="F3" s="73">
        <v>102</v>
      </c>
      <c r="G3" s="73" t="str">
        <f t="array" ref="G3">INDEX(Table4[Unique prefix],SMALL(IF(Table4[Unique prefix]&lt;&gt;"",ROW(Table4[Unique prefix])-ROW(INDEX(Table4[Unique prefix],1,1))+1),ROWS($G$2:G3)))</f>
        <v>Site2</v>
      </c>
      <c r="H3" s="74" t="str">
        <f>IF(ISERROR(G3),"","wireless tag site "&amp;G3&amp;CHAR(10)&amp;" ap-profile "&amp;Design!A116&amp;CHAR(10)&amp;" description "&amp;G3&amp;CHAR(10)&amp;"ap filter name "&amp;G3&amp;CHAR(10)&amp;" ap name-regex "&amp;G3&amp;CHAR(10)&amp;" tag policy "&amp;Design!A123&amp;CHAR(10)&amp;" tag rf "&amp;Design!A128&amp;CHAR(10)&amp;" tag site "&amp;G3&amp;CHAR(10)&amp;"ap filter priority "&amp;F3&amp;" filter-name "&amp;G3)</f>
        <v>wireless tag site Site2
 ap-profile 
 description Site2
ap filter name Site2
 ap name-regex Site2
 tag policy 
 tag rf 
 tag site Site2
ap filter priority 102 filter-name Site2</v>
      </c>
      <c r="I3" s="74" t="str">
        <f>IF(ISERROR(G3),"","wireless tag site "&amp;G3&amp;CHAR(10)&amp;" ap-profile "&amp;Design!A116&amp;CHAR(10)&amp;" description "&amp;G3&amp;CHAR(10)&amp;" no local-site"&amp;CHAR(10)&amp;" flex-profile "&amp;Design!A119&amp;CHAR(10)&amp;"ap filter name "&amp;G3&amp;CHAR(10)&amp;" ap name-regex "&amp;G3&amp;CHAR(10)&amp;" tag policy "&amp;Design!A123&amp;CHAR(10)&amp;" tag rf "&amp;Design!A128&amp;CHAR(10)&amp;" tag site "&amp;G3&amp;CHAR(10)&amp;"ap filter priority "&amp;F3&amp;" filter-name "&amp;G3)</f>
        <v>wireless tag site Site2
 ap-profile 
 description Site2
 no local-site
 flex-profile 
ap filter name Site2
 ap name-regex Site2
 tag policy 
 tag rf 
 tag site Site2
ap filter priority 102 filter-name Site2</v>
      </c>
    </row>
    <row r="4" spans="1:9" ht="15" customHeight="1" x14ac:dyDescent="0.25">
      <c r="A4" s="73" t="s">
        <v>578</v>
      </c>
      <c r="B4" s="73" t="str">
        <f t="shared" si="1"/>
        <v>Site1</v>
      </c>
      <c r="C4" s="73" t="str">
        <f t="shared" si="0"/>
        <v/>
      </c>
      <c r="F4" s="73">
        <v>103</v>
      </c>
      <c r="G4" s="73" t="str">
        <f t="array" ref="G4">INDEX(Table4[Unique prefix],SMALL(IF(Table4[Unique prefix]&lt;&gt;"",ROW(Table4[Unique prefix])-ROW(INDEX(Table4[Unique prefix],1,1))+1),ROWS($G$2:G4)))</f>
        <v>Site3</v>
      </c>
      <c r="H4" s="74" t="str">
        <f>IF(ISERROR(G4),"","wireless tag site "&amp;G4&amp;CHAR(10)&amp;" ap-profile "&amp;Design!A117&amp;CHAR(10)&amp;" description "&amp;G4&amp;CHAR(10)&amp;"ap filter name "&amp;G4&amp;CHAR(10)&amp;" ap name-regex "&amp;G4&amp;CHAR(10)&amp;" tag policy "&amp;Design!A124&amp;CHAR(10)&amp;" tag rf "&amp;Design!A129&amp;CHAR(10)&amp;" tag site "&amp;G4&amp;CHAR(10)&amp;"ap filter priority "&amp;F4&amp;" filter-name "&amp;G4)</f>
        <v>wireless tag site Site3
 ap-profile Flex Profile
 description Site3
ap filter name Site3
 ap name-regex Site3
 tag policy 
 tag rf Site Tag
 tag site Site3
ap filter priority 103 filter-name Site3</v>
      </c>
      <c r="I4" s="74" t="str">
        <f>IF(ISERROR(G4),"","wireless tag site "&amp;G4&amp;CHAR(10)&amp;" ap-profile "&amp;Design!A117&amp;CHAR(10)&amp;" description "&amp;G4&amp;CHAR(10)&amp;" no local-site"&amp;CHAR(10)&amp;" flex-profile "&amp;Design!A120&amp;CHAR(10)&amp;"ap filter name "&amp;G4&amp;CHAR(10)&amp;" ap name-regex "&amp;G4&amp;CHAR(10)&amp;" tag policy "&amp;Design!A124&amp;CHAR(10)&amp;" tag rf "&amp;Design!A129&amp;CHAR(10)&amp;" tag site "&amp;G4&amp;CHAR(10)&amp;"ap filter priority "&amp;F4&amp;" filter-name "&amp;G4)</f>
        <v>wireless tag site Site3
 ap-profile Flex Profile
 description Site3
 no local-site
 flex-profile Tags config
ap filter name Site3
 ap name-regex Site3
 tag policy 
 tag rf Site Tag
 tag site Site3
ap filter priority 103 filter-name Site3</v>
      </c>
    </row>
    <row r="5" spans="1:9" ht="15" customHeight="1" x14ac:dyDescent="0.25">
      <c r="A5" s="73" t="s">
        <v>579</v>
      </c>
      <c r="B5" s="73" t="str">
        <f t="shared" si="1"/>
        <v>Site1</v>
      </c>
      <c r="C5" s="73" t="str">
        <f t="shared" si="0"/>
        <v/>
      </c>
      <c r="F5" s="73">
        <v>104</v>
      </c>
      <c r="G5" s="73" t="str">
        <f t="array" ref="G5">INDEX(Table4[Unique prefix],SMALL(IF(Table4[Unique prefix]&lt;&gt;"",ROW(Table4[Unique prefix])-ROW(INDEX(Table4[Unique prefix],1,1))+1),ROWS($G$2:G5)))</f>
        <v>Site4</v>
      </c>
      <c r="H5" s="74" t="str">
        <f>IF(ISERROR(G5),"","wireless tag site "&amp;G5&amp;CHAR(10)&amp;" ap-profile "&amp;Design!A118&amp;CHAR(10)&amp;" description "&amp;G5&amp;CHAR(10)&amp;"ap filter name "&amp;G5&amp;CHAR(10)&amp;" ap name-regex "&amp;G5&amp;CHAR(10)&amp;" tag policy "&amp;Design!A125&amp;CHAR(10)&amp;" tag rf "&amp;Design!A130&amp;CHAR(10)&amp;" tag site "&amp;G5&amp;CHAR(10)&amp;"ap filter priority "&amp;F5&amp;" filter-name "&amp;G5)</f>
        <v>wireless tag site Site4
 ap-profile flex-native-vlan123
 description Site4
ap filter name Site4
 ap name-regex Site4
 tag policy 
 tag rf CustomerName-local-site
 tag site Site4
ap filter priority 104 filter-name Site4</v>
      </c>
      <c r="I5" s="74" t="str">
        <f>IF(ISERROR(G5),"","wireless tag site "&amp;G5&amp;CHAR(10)&amp;" ap-profile "&amp;Design!A118&amp;CHAR(10)&amp;" description "&amp;G5&amp;CHAR(10)&amp;" no local-site"&amp;CHAR(10)&amp;" flex-profile "&amp;Design!A121&amp;CHAR(10)&amp;"ap filter name "&amp;G5&amp;CHAR(10)&amp;" ap name-regex "&amp;G5&amp;CHAR(10)&amp;" tag policy "&amp;Design!A125&amp;CHAR(10)&amp;" tag rf "&amp;Design!A130&amp;CHAR(10)&amp;" tag site "&amp;G5&amp;CHAR(10)&amp;"ap filter priority "&amp;F5&amp;" filter-name "&amp;G5)</f>
        <v>wireless tag site Site4
 ap-profile flex-native-vlan123
 description Site4
 no local-site
 flex-profile Policy Tag
ap filter name Site4
 ap name-regex Site4
 tag policy 
 tag rf CustomerName-local-site
 tag site Site4
ap filter priority 104 filter-name Site4</v>
      </c>
    </row>
    <row r="6" spans="1:9" ht="15" customHeight="1" x14ac:dyDescent="0.25">
      <c r="A6" s="73" t="s">
        <v>580</v>
      </c>
      <c r="B6" s="73" t="str">
        <f t="shared" si="1"/>
        <v>Site1</v>
      </c>
      <c r="C6" s="73" t="str">
        <f t="shared" si="0"/>
        <v/>
      </c>
      <c r="F6" s="73">
        <v>105</v>
      </c>
      <c r="G6" s="73" t="str">
        <f t="array" ref="G6">INDEX(Table4[Unique prefix],SMALL(IF(Table4[Unique prefix]&lt;&gt;"",ROW(Table4[Unique prefix])-ROW(INDEX(Table4[Unique prefix],1,1))+1),ROWS($G$2:G6)))</f>
        <v>Site5</v>
      </c>
      <c r="H6" s="74" t="str">
        <f>IF(ISERROR(G6),"","wireless tag site "&amp;G6&amp;CHAR(10)&amp;" ap-profile "&amp;Design!A119&amp;CHAR(10)&amp;" description "&amp;G6&amp;CHAR(10)&amp;"ap filter name "&amp;G6&amp;CHAR(10)&amp;" ap name-regex "&amp;G6&amp;CHAR(10)&amp;" tag policy "&amp;Design!A126&amp;CHAR(10)&amp;" tag rf "&amp;Design!A131&amp;CHAR(10)&amp;" tag site "&amp;G6&amp;CHAR(10)&amp;"ap filter priority "&amp;F6&amp;" filter-name "&amp;G6)</f>
        <v>wireless tag site Site5
 ap-profile 
 description Site5
ap filter name Site5
 ap name-regex Site5
 tag policy RF Tag
 tag rf CustomerName-flex-site
 tag site Site5
ap filter priority 105 filter-name Site5</v>
      </c>
      <c r="I6" s="74" t="str">
        <f>IF(ISERROR(G6),"","wireless tag site "&amp;G6&amp;CHAR(10)&amp;" ap-profile "&amp;Design!A119&amp;CHAR(10)&amp;" description "&amp;G6&amp;CHAR(10)&amp;" no local-site"&amp;CHAR(10)&amp;" flex-profile "&amp;Design!A122&amp;CHAR(10)&amp;"ap filter name "&amp;G6&amp;CHAR(10)&amp;" ap name-regex "&amp;G6&amp;CHAR(10)&amp;" tag policy "&amp;Design!A126&amp;CHAR(10)&amp;" tag rf "&amp;Design!A131&amp;CHAR(10)&amp;" tag site "&amp;G6&amp;CHAR(10)&amp;"ap filter priority "&amp;F6&amp;" filter-name "&amp;G6)</f>
        <v>wireless tag site Site5
 ap-profile 
 description Site5
 no local-site
 flex-profile CustomerName-policy-tag
ap filter name Site5
 ap name-regex Site5
 tag policy RF Tag
 tag rf CustomerName-flex-site
 tag site Site5
ap filter priority 105 filter-name Site5</v>
      </c>
    </row>
    <row r="7" spans="1:9" ht="15" customHeight="1" x14ac:dyDescent="0.25">
      <c r="A7" s="73" t="s">
        <v>581</v>
      </c>
      <c r="B7" s="73" t="str">
        <f t="shared" si="1"/>
        <v>Site2</v>
      </c>
      <c r="C7" s="73" t="str">
        <f t="shared" si="0"/>
        <v>Site2</v>
      </c>
      <c r="F7" s="73">
        <v>106</v>
      </c>
      <c r="G7" s="73" t="str">
        <f t="array" ref="G7">INDEX(Table4[Unique prefix],SMALL(IF(Table4[Unique prefix]&lt;&gt;"",ROW(Table4[Unique prefix])-ROW(INDEX(Table4[Unique prefix],1,1))+1),ROWS($G$2:G7)))</f>
        <v>Site6</v>
      </c>
      <c r="H7" s="74" t="str">
        <f>IF(ISERROR(G7),"","wireless tag site "&amp;G7&amp;CHAR(10)&amp;" ap-profile "&amp;Design!A120&amp;CHAR(10)&amp;" description "&amp;G7&amp;CHAR(10)&amp;"ap filter name "&amp;G7&amp;CHAR(10)&amp;" ap name-regex "&amp;G7&amp;CHAR(10)&amp;" tag policy "&amp;Design!A127&amp;CHAR(10)&amp;" tag rf "&amp;Design!A132&amp;CHAR(10)&amp;" tag site "&amp;G7&amp;CHAR(10)&amp;"ap filter priority "&amp;F7&amp;" filter-name "&amp;G7)</f>
        <v>wireless tag site Site6
 ap-profile Tags config
 description Site6
ap filter name Site6
 ap name-regex Site6
 tag policy CustomerName-default-rf-tag
 tag rf 
 tag site Site6
ap filter priority 106 filter-name Site6</v>
      </c>
      <c r="I7" s="74" t="str">
        <f>IF(ISERROR(G7),"","wireless tag site "&amp;G7&amp;CHAR(10)&amp;" ap-profile "&amp;Design!A120&amp;CHAR(10)&amp;" description "&amp;G7&amp;CHAR(10)&amp;" no local-site"&amp;CHAR(10)&amp;" flex-profile "&amp;Design!A123&amp;CHAR(10)&amp;"ap filter name "&amp;G7&amp;CHAR(10)&amp;" ap name-regex "&amp;G7&amp;CHAR(10)&amp;" tag policy "&amp;Design!A127&amp;CHAR(10)&amp;" tag rf "&amp;Design!A132&amp;CHAR(10)&amp;" tag site "&amp;G7&amp;CHAR(10)&amp;"ap filter priority "&amp;F7&amp;" filter-name "&amp;G7)</f>
        <v>wireless tag site Site6
 ap-profile Tags config
 description Site6
 no local-site
 flex-profile 
ap filter name Site6
 ap name-regex Site6
 tag policy CustomerName-default-rf-tag
 tag rf 
 tag site Site6
ap filter priority 106 filter-name Site6</v>
      </c>
    </row>
    <row r="8" spans="1:9" ht="15" customHeight="1" x14ac:dyDescent="0.25">
      <c r="A8" s="73" t="s">
        <v>582</v>
      </c>
      <c r="B8" s="73" t="str">
        <f t="shared" si="1"/>
        <v>Site2</v>
      </c>
      <c r="C8" s="73" t="str">
        <f t="shared" si="0"/>
        <v/>
      </c>
      <c r="F8" s="73">
        <v>107</v>
      </c>
      <c r="G8" s="73" t="str">
        <f t="array" ref="G8">INDEX(Table4[Unique prefix],SMALL(IF(Table4[Unique prefix]&lt;&gt;"",ROW(Table4[Unique prefix])-ROW(INDEX(Table4[Unique prefix],1,1))+1),ROWS($G$2:G8)))</f>
        <v>Site7</v>
      </c>
      <c r="H8" s="74" t="str">
        <f>IF(ISERROR(G8),"","wireless tag site "&amp;G8&amp;CHAR(10)&amp;" ap-profile "&amp;Design!A121&amp;CHAR(10)&amp;" description "&amp;G8&amp;CHAR(10)&amp;"ap filter name "&amp;G8&amp;CHAR(10)&amp;" ap name-regex "&amp;G8&amp;CHAR(10)&amp;" tag policy "&amp;Design!A128&amp;CHAR(10)&amp;" tag rf "&amp;Design!A133&amp;CHAR(10)&amp;" tag site "&amp;G8&amp;CHAR(10)&amp;"ap filter priority "&amp;F8&amp;" filter-name "&amp;G8)</f>
        <v>wireless tag site Site7
 ap-profile Policy Tag
 description Site7
ap filter name Site7
 ap name-regex Site7
 tag policy 
 tag rf AP Filter (auto tagging)
 tag site Site7
ap filter priority 107 filter-name Site7</v>
      </c>
      <c r="I8" s="74" t="str">
        <f>IF(ISERROR(G8),"","wireless tag site "&amp;G8&amp;CHAR(10)&amp;" ap-profile "&amp;Design!A121&amp;CHAR(10)&amp;" description "&amp;G8&amp;CHAR(10)&amp;" no local-site"&amp;CHAR(10)&amp;" flex-profile "&amp;Design!A124&amp;CHAR(10)&amp;"ap filter name "&amp;G8&amp;CHAR(10)&amp;" ap name-regex "&amp;G8&amp;CHAR(10)&amp;" tag policy "&amp;Design!A128&amp;CHAR(10)&amp;" tag rf "&amp;Design!A133&amp;CHAR(10)&amp;" tag site "&amp;G8&amp;CHAR(10)&amp;"ap filter priority "&amp;F8&amp;" filter-name "&amp;G8)</f>
        <v>wireless tag site Site7
 ap-profile Policy Tag
 description Site7
 no local-site
 flex-profile 
ap filter name Site7
 ap name-regex Site7
 tag policy 
 tag rf AP Filter (auto tagging)
 tag site Site7
ap filter priority 107 filter-name Site7</v>
      </c>
    </row>
    <row r="9" spans="1:9" ht="15" customHeight="1" x14ac:dyDescent="0.25">
      <c r="A9" s="73" t="s">
        <v>583</v>
      </c>
      <c r="B9" s="73" t="str">
        <f t="shared" si="1"/>
        <v>Site2</v>
      </c>
      <c r="C9" s="73" t="str">
        <f t="shared" si="0"/>
        <v/>
      </c>
      <c r="F9" s="73">
        <v>108</v>
      </c>
      <c r="G9" s="73" t="str">
        <f t="array" ref="G9">INDEX(Table4[Unique prefix],SMALL(IF(Table4[Unique prefix]&lt;&gt;"",ROW(Table4[Unique prefix])-ROW(INDEX(Table4[Unique prefix],1,1))+1),ROWS($G$2:G9)))</f>
        <v>Site8</v>
      </c>
      <c r="H9" s="74" t="str">
        <f>IF(ISERROR(G9),"","wireless tag site "&amp;G9&amp;CHAR(10)&amp;" ap-profile "&amp;Design!A122&amp;CHAR(10)&amp;" description "&amp;G9&amp;CHAR(10)&amp;"ap filter name "&amp;G9&amp;CHAR(10)&amp;" ap name-regex "&amp;G9&amp;CHAR(10)&amp;" tag policy "&amp;Design!A129&amp;CHAR(10)&amp;" tag rf "&amp;Design!A134&amp;CHAR(10)&amp;" tag site "&amp;G9&amp;CHAR(10)&amp;"ap filter priority "&amp;F9&amp;" filter-name "&amp;G9)</f>
        <v>wireless tag site Site8
 ap-profile CustomerName-policy-tag
 description Site8
ap filter name Site8
 ap name-regex Site8
 tag policy Site Tag
 tag rf Filter name
 tag site Site8
ap filter priority 108 filter-name Site8</v>
      </c>
      <c r="I9" s="74" t="str">
        <f>IF(ISERROR(G9),"","wireless tag site "&amp;G9&amp;CHAR(10)&amp;" ap-profile "&amp;Design!A122&amp;CHAR(10)&amp;" description "&amp;G9&amp;CHAR(10)&amp;" no local-site"&amp;CHAR(10)&amp;" flex-profile "&amp;Design!A125&amp;CHAR(10)&amp;"ap filter name "&amp;G9&amp;CHAR(10)&amp;" ap name-regex "&amp;G9&amp;CHAR(10)&amp;" tag policy "&amp;Design!A129&amp;CHAR(10)&amp;" tag rf "&amp;Design!A134&amp;CHAR(10)&amp;" tag site "&amp;G9&amp;CHAR(10)&amp;"ap filter priority "&amp;F9&amp;" filter-name "&amp;G9)</f>
        <v>wireless tag site Site8
 ap-profile CustomerName-policy-tag
 description Site8
 no local-site
 flex-profile 
ap filter name Site8
 ap name-regex Site8
 tag policy Site Tag
 tag rf Filter name
 tag site Site8
ap filter priority 108 filter-name Site8</v>
      </c>
    </row>
    <row r="10" spans="1:9" ht="15" customHeight="1" x14ac:dyDescent="0.25">
      <c r="A10" s="73" t="s">
        <v>584</v>
      </c>
      <c r="B10" s="73" t="str">
        <f t="shared" si="1"/>
        <v>Site2</v>
      </c>
      <c r="C10" s="73" t="str">
        <f t="shared" si="0"/>
        <v/>
      </c>
      <c r="F10" s="73">
        <v>109</v>
      </c>
      <c r="G10" s="73" t="e">
        <f t="array" ref="G10">INDEX(Table4[Unique prefix],SMALL(IF(Table4[Unique prefix]&lt;&gt;"",ROW(Table4[Unique prefix])-ROW(INDEX(Table4[Unique prefix],1,1))+1),ROWS($G$2:G10)))</f>
        <v>#NUM!</v>
      </c>
      <c r="H10" s="74" t="str">
        <f>IF(ISERROR(G10),"","wireless tag site "&amp;G10&amp;CHAR(10)&amp;" ap-profile "&amp;Design!A123&amp;CHAR(10)&amp;" description "&amp;G10&amp;CHAR(10)&amp;"ap filter name "&amp;G10&amp;CHAR(10)&amp;" ap name-regex "&amp;G10&amp;CHAR(10)&amp;" tag policy "&amp;Design!A130&amp;CHAR(10)&amp;" tag rf "&amp;Design!A135&amp;CHAR(10)&amp;" tag site "&amp;G10&amp;CHAR(10)&amp;"ap filter priority "&amp;F10&amp;" filter-name "&amp;G10)</f>
        <v/>
      </c>
      <c r="I10" s="74" t="str">
        <f>IF(ISERROR(G10),"","wireless tag site "&amp;G10&amp;CHAR(10)&amp;" ap-profile "&amp;Design!A123&amp;CHAR(10)&amp;" description "&amp;G10&amp;CHAR(10)&amp;" no local-site"&amp;CHAR(10)&amp;" flex-profile "&amp;Design!A126&amp;CHAR(10)&amp;"ap filter name "&amp;G10&amp;CHAR(10)&amp;" ap name-regex "&amp;G10&amp;CHAR(10)&amp;" tag policy "&amp;Design!A130&amp;CHAR(10)&amp;" tag rf "&amp;Design!A135&amp;CHAR(10)&amp;" tag site "&amp;G10&amp;CHAR(10)&amp;"ap filter priority "&amp;F10&amp;" filter-name "&amp;G10)</f>
        <v/>
      </c>
    </row>
    <row r="11" spans="1:9" ht="15" customHeight="1" x14ac:dyDescent="0.25">
      <c r="A11" s="73" t="s">
        <v>585</v>
      </c>
      <c r="B11" s="73" t="str">
        <f t="shared" si="1"/>
        <v>Site3</v>
      </c>
      <c r="C11" s="73" t="str">
        <f t="shared" si="0"/>
        <v>Site3</v>
      </c>
      <c r="F11" s="73">
        <v>110</v>
      </c>
      <c r="G11" s="73" t="e">
        <f t="array" ref="G11">INDEX(Table4[Unique prefix],SMALL(IF(Table4[Unique prefix]&lt;&gt;"",ROW(Table4[Unique prefix])-ROW(INDEX(Table4[Unique prefix],1,1))+1),ROWS($G$2:G11)))</f>
        <v>#NUM!</v>
      </c>
      <c r="H11" s="74" t="str">
        <f>IF(ISERROR(G11),"","wireless tag site "&amp;G11&amp;CHAR(10)&amp;" ap-profile "&amp;Design!A124&amp;CHAR(10)&amp;" description "&amp;G11&amp;CHAR(10)&amp;"ap filter name "&amp;G11&amp;CHAR(10)&amp;" ap name-regex "&amp;G11&amp;CHAR(10)&amp;" tag policy "&amp;Design!A131&amp;CHAR(10)&amp;" tag rf "&amp;Design!A136&amp;CHAR(10)&amp;" tag site "&amp;G11&amp;CHAR(10)&amp;"ap filter priority "&amp;F11&amp;" filter-name "&amp;G11)</f>
        <v/>
      </c>
      <c r="I11" s="74" t="str">
        <f>IF(ISERROR(G11),"","wireless tag site "&amp;G11&amp;CHAR(10)&amp;" ap-profile "&amp;Design!A124&amp;CHAR(10)&amp;" description "&amp;G11&amp;CHAR(10)&amp;" no local-site"&amp;CHAR(10)&amp;" flex-profile "&amp;Design!A127&amp;CHAR(10)&amp;"ap filter name "&amp;G11&amp;CHAR(10)&amp;" ap name-regex "&amp;G11&amp;CHAR(10)&amp;" tag policy "&amp;Design!A131&amp;CHAR(10)&amp;" tag rf "&amp;Design!A136&amp;CHAR(10)&amp;" tag site "&amp;G11&amp;CHAR(10)&amp;"ap filter priority "&amp;F11&amp;" filter-name "&amp;G11)</f>
        <v/>
      </c>
    </row>
    <row r="12" spans="1:9" ht="15" customHeight="1" x14ac:dyDescent="0.25">
      <c r="A12" s="73" t="s">
        <v>586</v>
      </c>
      <c r="B12" s="73" t="str">
        <f t="shared" si="1"/>
        <v>Site4</v>
      </c>
      <c r="C12" s="73" t="str">
        <f t="shared" si="0"/>
        <v>Site4</v>
      </c>
      <c r="F12" s="73">
        <v>111</v>
      </c>
      <c r="G12" s="73" t="e">
        <f t="array" ref="G12">INDEX(Table4[Unique prefix],SMALL(IF(Table4[Unique prefix]&lt;&gt;"",ROW(Table4[Unique prefix])-ROW(INDEX(Table4[Unique prefix],1,1))+1),ROWS($G$2:G12)))</f>
        <v>#NUM!</v>
      </c>
      <c r="H12" s="74" t="str">
        <f>IF(ISERROR(G12),"","wireless tag site "&amp;G12&amp;CHAR(10)&amp;" ap-profile "&amp;Design!A125&amp;CHAR(10)&amp;" description "&amp;G12&amp;CHAR(10)&amp;"ap filter name "&amp;G12&amp;CHAR(10)&amp;" ap name-regex "&amp;G12&amp;CHAR(10)&amp;" tag policy "&amp;Design!A132&amp;CHAR(10)&amp;" tag rf "&amp;Design!A137&amp;CHAR(10)&amp;" tag site "&amp;G12&amp;CHAR(10)&amp;"ap filter priority "&amp;F12&amp;" filter-name "&amp;G12)</f>
        <v/>
      </c>
      <c r="I12" s="74" t="str">
        <f>IF(ISERROR(G12),"","wireless tag site "&amp;G12&amp;CHAR(10)&amp;" ap-profile "&amp;Design!A125&amp;CHAR(10)&amp;" description "&amp;G12&amp;CHAR(10)&amp;" no local-site"&amp;CHAR(10)&amp;" flex-profile "&amp;Design!A128&amp;CHAR(10)&amp;"ap filter name "&amp;G12&amp;CHAR(10)&amp;" ap name-regex "&amp;G12&amp;CHAR(10)&amp;" tag policy "&amp;Design!A132&amp;CHAR(10)&amp;" tag rf "&amp;Design!A137&amp;CHAR(10)&amp;" tag site "&amp;G12&amp;CHAR(10)&amp;"ap filter priority "&amp;F12&amp;" filter-name "&amp;G12)</f>
        <v/>
      </c>
    </row>
    <row r="13" spans="1:9" ht="15" customHeight="1" x14ac:dyDescent="0.25">
      <c r="A13" s="73" t="s">
        <v>587</v>
      </c>
      <c r="B13" s="73" t="str">
        <f t="shared" si="1"/>
        <v>Site4</v>
      </c>
      <c r="C13" s="73" t="str">
        <f t="shared" si="0"/>
        <v/>
      </c>
      <c r="F13" s="73">
        <v>112</v>
      </c>
      <c r="G13" s="73" t="e">
        <f t="array" ref="G13">INDEX(Table4[Unique prefix],SMALL(IF(Table4[Unique prefix]&lt;&gt;"",ROW(Table4[Unique prefix])-ROW(INDEX(Table4[Unique prefix],1,1))+1),ROWS($G$2:G13)))</f>
        <v>#NUM!</v>
      </c>
      <c r="H13" s="74" t="str">
        <f>IF(ISERROR(G13),"","wireless tag site "&amp;G13&amp;CHAR(10)&amp;" ap-profile "&amp;Design!A126&amp;CHAR(10)&amp;" description "&amp;G13&amp;CHAR(10)&amp;"ap filter name "&amp;G13&amp;CHAR(10)&amp;" ap name-regex "&amp;G13&amp;CHAR(10)&amp;" tag policy "&amp;Design!A133&amp;CHAR(10)&amp;" tag rf "&amp;Design!A138&amp;CHAR(10)&amp;" tag site "&amp;G13&amp;CHAR(10)&amp;"ap filter priority "&amp;F13&amp;" filter-name "&amp;G13)</f>
        <v/>
      </c>
      <c r="I13" s="74" t="str">
        <f>IF(ISERROR(G13),"","wireless tag site "&amp;G13&amp;CHAR(10)&amp;" ap-profile "&amp;Design!A126&amp;CHAR(10)&amp;" description "&amp;G13&amp;CHAR(10)&amp;" no local-site"&amp;CHAR(10)&amp;" flex-profile "&amp;Design!A129&amp;CHAR(10)&amp;"ap filter name "&amp;G13&amp;CHAR(10)&amp;" ap name-regex "&amp;G13&amp;CHAR(10)&amp;" tag policy "&amp;Design!A133&amp;CHAR(10)&amp;" tag rf "&amp;Design!A138&amp;CHAR(10)&amp;" tag site "&amp;G13&amp;CHAR(10)&amp;"ap filter priority "&amp;F13&amp;" filter-name "&amp;G13)</f>
        <v/>
      </c>
    </row>
    <row r="14" spans="1:9" x14ac:dyDescent="0.25">
      <c r="A14" s="73" t="s">
        <v>588</v>
      </c>
      <c r="B14" s="73" t="str">
        <f t="shared" si="1"/>
        <v>Site4</v>
      </c>
      <c r="C14" s="73" t="str">
        <f t="shared" si="0"/>
        <v/>
      </c>
      <c r="F14" s="73">
        <v>113</v>
      </c>
      <c r="G14" s="73" t="e">
        <f t="array" ref="G14">INDEX(Table4[Unique prefix],SMALL(IF(Table4[Unique prefix]&lt;&gt;"",ROW(Table4[Unique prefix])-ROW(INDEX(Table4[Unique prefix],1,1))+1),ROWS($G$2:G14)))</f>
        <v>#NUM!</v>
      </c>
      <c r="H14" s="74" t="str">
        <f>IF(ISERROR(G14),"","wireless tag site "&amp;G14&amp;CHAR(10)&amp;" ap-profile "&amp;Design!A127&amp;CHAR(10)&amp;" description "&amp;G14&amp;CHAR(10)&amp;"ap filter name "&amp;G14&amp;CHAR(10)&amp;" ap name-regex "&amp;G14&amp;CHAR(10)&amp;" tag policy "&amp;Design!A134&amp;CHAR(10)&amp;" tag rf "&amp;Design!A139&amp;CHAR(10)&amp;" tag site "&amp;G14&amp;CHAR(10)&amp;"ap filter priority "&amp;F14&amp;" filter-name "&amp;G14)</f>
        <v/>
      </c>
      <c r="I14" s="74" t="str">
        <f>IF(ISERROR(G14),"","wireless tag site "&amp;G14&amp;CHAR(10)&amp;" ap-profile "&amp;Design!A127&amp;CHAR(10)&amp;" description "&amp;G14&amp;CHAR(10)&amp;" no local-site"&amp;CHAR(10)&amp;" flex-profile "&amp;Design!A130&amp;CHAR(10)&amp;"ap filter name "&amp;G14&amp;CHAR(10)&amp;" ap name-regex "&amp;G14&amp;CHAR(10)&amp;" tag policy "&amp;Design!A134&amp;CHAR(10)&amp;" tag rf "&amp;Design!A139&amp;CHAR(10)&amp;" tag site "&amp;G14&amp;CHAR(10)&amp;"ap filter priority "&amp;F14&amp;" filter-name "&amp;G14)</f>
        <v/>
      </c>
    </row>
    <row r="15" spans="1:9" x14ac:dyDescent="0.25">
      <c r="A15" s="73" t="s">
        <v>589</v>
      </c>
      <c r="B15" s="73" t="str">
        <f t="shared" si="1"/>
        <v>Site4</v>
      </c>
      <c r="C15" s="73" t="str">
        <f t="shared" si="0"/>
        <v/>
      </c>
      <c r="F15" s="73">
        <v>114</v>
      </c>
      <c r="G15" s="73" t="e">
        <f t="array" ref="G15">INDEX(Table4[Unique prefix],SMALL(IF(Table4[Unique prefix]&lt;&gt;"",ROW(Table4[Unique prefix])-ROW(INDEX(Table4[Unique prefix],1,1))+1),ROWS($G$2:G15)))</f>
        <v>#NUM!</v>
      </c>
      <c r="H15" s="74" t="str">
        <f>IF(ISERROR(G15),"","wireless tag site "&amp;G15&amp;CHAR(10)&amp;" ap-profile "&amp;Design!A128&amp;CHAR(10)&amp;" description "&amp;G15&amp;CHAR(10)&amp;"ap filter name "&amp;G15&amp;CHAR(10)&amp;" ap name-regex "&amp;G15&amp;CHAR(10)&amp;" tag policy "&amp;Design!A135&amp;CHAR(10)&amp;" tag rf "&amp;Design!A140&amp;CHAR(10)&amp;" tag site "&amp;G15&amp;CHAR(10)&amp;"ap filter priority "&amp;F15&amp;" filter-name "&amp;G15)</f>
        <v/>
      </c>
      <c r="I15" s="74" t="str">
        <f>IF(ISERROR(G15),"","wireless tag site "&amp;G15&amp;CHAR(10)&amp;" ap-profile "&amp;Design!A128&amp;CHAR(10)&amp;" description "&amp;G15&amp;CHAR(10)&amp;" no local-site"&amp;CHAR(10)&amp;" flex-profile "&amp;Design!A131&amp;CHAR(10)&amp;"ap filter name "&amp;G15&amp;CHAR(10)&amp;" ap name-regex "&amp;G15&amp;CHAR(10)&amp;" tag policy "&amp;Design!A135&amp;CHAR(10)&amp;" tag rf "&amp;Design!A140&amp;CHAR(10)&amp;" tag site "&amp;G15&amp;CHAR(10)&amp;"ap filter priority "&amp;F15&amp;" filter-name "&amp;G15)</f>
        <v/>
      </c>
    </row>
    <row r="16" spans="1:9" x14ac:dyDescent="0.25">
      <c r="A16" s="73" t="s">
        <v>590</v>
      </c>
      <c r="B16" s="73" t="str">
        <f t="shared" si="1"/>
        <v>Site4</v>
      </c>
      <c r="C16" s="73" t="str">
        <f t="shared" si="0"/>
        <v/>
      </c>
      <c r="F16" s="73">
        <v>115</v>
      </c>
      <c r="G16" s="73" t="e">
        <f t="array" ref="G16">INDEX(Table4[Unique prefix],SMALL(IF(Table4[Unique prefix]&lt;&gt;"",ROW(Table4[Unique prefix])-ROW(INDEX(Table4[Unique prefix],1,1))+1),ROWS($G$2:G16)))</f>
        <v>#NUM!</v>
      </c>
      <c r="H16" s="74" t="str">
        <f>IF(ISERROR(G16),"","wireless tag site "&amp;G16&amp;CHAR(10)&amp;" ap-profile "&amp;Design!A129&amp;CHAR(10)&amp;" description "&amp;G16&amp;CHAR(10)&amp;"ap filter name "&amp;G16&amp;CHAR(10)&amp;" ap name-regex "&amp;G16&amp;CHAR(10)&amp;" tag policy "&amp;Design!A136&amp;CHAR(10)&amp;" tag rf "&amp;Design!A141&amp;CHAR(10)&amp;" tag site "&amp;G16&amp;CHAR(10)&amp;"ap filter priority "&amp;F16&amp;" filter-name "&amp;G16)</f>
        <v/>
      </c>
      <c r="I16" s="74" t="str">
        <f>IF(ISERROR(G16),"","wireless tag site "&amp;G16&amp;CHAR(10)&amp;" ap-profile "&amp;Design!A129&amp;CHAR(10)&amp;" description "&amp;G16&amp;CHAR(10)&amp;" no local-site"&amp;CHAR(10)&amp;" flex-profile "&amp;Design!A132&amp;CHAR(10)&amp;"ap filter name "&amp;G16&amp;CHAR(10)&amp;" ap name-regex "&amp;G16&amp;CHAR(10)&amp;" tag policy "&amp;Design!A136&amp;CHAR(10)&amp;" tag rf "&amp;Design!A141&amp;CHAR(10)&amp;" tag site "&amp;G16&amp;CHAR(10)&amp;"ap filter priority "&amp;F16&amp;" filter-name "&amp;G16)</f>
        <v/>
      </c>
    </row>
    <row r="17" spans="1:9" x14ac:dyDescent="0.25">
      <c r="A17" s="73" t="s">
        <v>591</v>
      </c>
      <c r="B17" s="73" t="str">
        <f t="shared" si="1"/>
        <v>Site4</v>
      </c>
      <c r="C17" s="73" t="str">
        <f t="shared" si="0"/>
        <v/>
      </c>
      <c r="F17" s="73">
        <v>116</v>
      </c>
      <c r="G17" s="73" t="e">
        <f t="array" ref="G17">INDEX(Table4[Unique prefix],SMALL(IF(Table4[Unique prefix]&lt;&gt;"",ROW(Table4[Unique prefix])-ROW(INDEX(Table4[Unique prefix],1,1))+1),ROWS($G$2:G17)))</f>
        <v>#NUM!</v>
      </c>
      <c r="H17" s="74" t="str">
        <f>IF(ISERROR(G17),"","wireless tag site "&amp;G17&amp;CHAR(10)&amp;" ap-profile "&amp;Design!A130&amp;CHAR(10)&amp;" description "&amp;G17&amp;CHAR(10)&amp;"ap filter name "&amp;G17&amp;CHAR(10)&amp;" ap name-regex "&amp;G17&amp;CHAR(10)&amp;" tag policy "&amp;Design!A137&amp;CHAR(10)&amp;" tag rf "&amp;Design!A142&amp;CHAR(10)&amp;" tag site "&amp;G17&amp;CHAR(10)&amp;"ap filter priority "&amp;F17&amp;" filter-name "&amp;G17)</f>
        <v/>
      </c>
      <c r="I17" s="74" t="str">
        <f>IF(ISERROR(G17),"","wireless tag site "&amp;G17&amp;CHAR(10)&amp;" ap-profile "&amp;Design!A130&amp;CHAR(10)&amp;" description "&amp;G17&amp;CHAR(10)&amp;" no local-site"&amp;CHAR(10)&amp;" flex-profile "&amp;Design!A133&amp;CHAR(10)&amp;"ap filter name "&amp;G17&amp;CHAR(10)&amp;" ap name-regex "&amp;G17&amp;CHAR(10)&amp;" tag policy "&amp;Design!A137&amp;CHAR(10)&amp;" tag rf "&amp;Design!A142&amp;CHAR(10)&amp;" tag site "&amp;G17&amp;CHAR(10)&amp;"ap filter priority "&amp;F17&amp;" filter-name "&amp;G17)</f>
        <v/>
      </c>
    </row>
    <row r="18" spans="1:9" x14ac:dyDescent="0.25">
      <c r="A18" s="73" t="s">
        <v>592</v>
      </c>
      <c r="B18" s="73" t="str">
        <f t="shared" si="1"/>
        <v>Site4</v>
      </c>
      <c r="C18" s="73" t="str">
        <f t="shared" si="0"/>
        <v/>
      </c>
      <c r="F18" s="73">
        <v>117</v>
      </c>
      <c r="G18" s="73" t="e">
        <f t="array" ref="G18">INDEX(Table4[Unique prefix],SMALL(IF(Table4[Unique prefix]&lt;&gt;"",ROW(Table4[Unique prefix])-ROW(INDEX(Table4[Unique prefix],1,1))+1),ROWS($G$2:G18)))</f>
        <v>#NUM!</v>
      </c>
      <c r="H18" s="74" t="str">
        <f>IF(ISERROR(G18),"","wireless tag site "&amp;G18&amp;CHAR(10)&amp;" ap-profile "&amp;Design!A131&amp;CHAR(10)&amp;" description "&amp;G18&amp;CHAR(10)&amp;"ap filter name "&amp;G18&amp;CHAR(10)&amp;" ap name-regex "&amp;G18&amp;CHAR(10)&amp;" tag policy "&amp;Design!A138&amp;CHAR(10)&amp;" tag rf "&amp;Design!A143&amp;CHAR(10)&amp;" tag site "&amp;G18&amp;CHAR(10)&amp;"ap filter priority "&amp;F18&amp;" filter-name "&amp;G18)</f>
        <v/>
      </c>
      <c r="I18" s="74" t="str">
        <f>IF(ISERROR(G18),"","wireless tag site "&amp;G18&amp;CHAR(10)&amp;" ap-profile "&amp;Design!A131&amp;CHAR(10)&amp;" description "&amp;G18&amp;CHAR(10)&amp;" no local-site"&amp;CHAR(10)&amp;" flex-profile "&amp;Design!A134&amp;CHAR(10)&amp;"ap filter name "&amp;G18&amp;CHAR(10)&amp;" ap name-regex "&amp;G18&amp;CHAR(10)&amp;" tag policy "&amp;Design!A138&amp;CHAR(10)&amp;" tag rf "&amp;Design!A143&amp;CHAR(10)&amp;" tag site "&amp;G18&amp;CHAR(10)&amp;"ap filter priority "&amp;F18&amp;" filter-name "&amp;G18)</f>
        <v/>
      </c>
    </row>
    <row r="19" spans="1:9" x14ac:dyDescent="0.25">
      <c r="A19" s="73" t="s">
        <v>593</v>
      </c>
      <c r="B19" s="73" t="str">
        <f t="shared" si="1"/>
        <v>Site5</v>
      </c>
      <c r="C19" s="73" t="str">
        <f t="shared" si="0"/>
        <v>Site5</v>
      </c>
      <c r="F19" s="73">
        <v>118</v>
      </c>
      <c r="G19" s="73" t="e">
        <f t="array" ref="G19">INDEX(Table4[Unique prefix],SMALL(IF(Table4[Unique prefix]&lt;&gt;"",ROW(Table4[Unique prefix])-ROW(INDEX(Table4[Unique prefix],1,1))+1),ROWS($G$2:G19)))</f>
        <v>#NUM!</v>
      </c>
      <c r="H19" s="74" t="str">
        <f>IF(ISERROR(G19),"","wireless tag site "&amp;G19&amp;CHAR(10)&amp;" ap-profile "&amp;Design!A132&amp;CHAR(10)&amp;" description "&amp;G19&amp;CHAR(10)&amp;"ap filter name "&amp;G19&amp;CHAR(10)&amp;" ap name-regex "&amp;G19&amp;CHAR(10)&amp;" tag policy "&amp;Design!A139&amp;CHAR(10)&amp;" tag rf "&amp;Design!A144&amp;CHAR(10)&amp;" tag site "&amp;G19&amp;CHAR(10)&amp;"ap filter priority "&amp;F19&amp;" filter-name "&amp;G19)</f>
        <v/>
      </c>
      <c r="I19" s="74" t="str">
        <f>IF(ISERROR(G19),"","wireless tag site "&amp;G19&amp;CHAR(10)&amp;" ap-profile "&amp;Design!A132&amp;CHAR(10)&amp;" description "&amp;G19&amp;CHAR(10)&amp;" no local-site"&amp;CHAR(10)&amp;" flex-profile "&amp;Design!A135&amp;CHAR(10)&amp;"ap filter name "&amp;G19&amp;CHAR(10)&amp;" ap name-regex "&amp;G19&amp;CHAR(10)&amp;" tag policy "&amp;Design!A139&amp;CHAR(10)&amp;" tag rf "&amp;Design!A144&amp;CHAR(10)&amp;" tag site "&amp;G19&amp;CHAR(10)&amp;"ap filter priority "&amp;F19&amp;" filter-name "&amp;G19)</f>
        <v/>
      </c>
    </row>
    <row r="20" spans="1:9" x14ac:dyDescent="0.25">
      <c r="A20" s="73" t="s">
        <v>594</v>
      </c>
      <c r="B20" s="73" t="str">
        <f t="shared" si="1"/>
        <v>Site5</v>
      </c>
      <c r="C20" s="73" t="str">
        <f t="shared" si="0"/>
        <v/>
      </c>
      <c r="F20" s="73">
        <v>119</v>
      </c>
      <c r="G20" s="73" t="e">
        <f t="array" ref="G20">INDEX(Table4[Unique prefix],SMALL(IF(Table4[Unique prefix]&lt;&gt;"",ROW(Table4[Unique prefix])-ROW(INDEX(Table4[Unique prefix],1,1))+1),ROWS($G$2:G20)))</f>
        <v>#NUM!</v>
      </c>
      <c r="H20" s="74" t="str">
        <f>IF(ISERROR(G20),"","wireless tag site "&amp;G20&amp;CHAR(10)&amp;" ap-profile "&amp;Design!A133&amp;CHAR(10)&amp;" description "&amp;G20&amp;CHAR(10)&amp;"ap filter name "&amp;G20&amp;CHAR(10)&amp;" ap name-regex "&amp;G20&amp;CHAR(10)&amp;" tag policy "&amp;Design!A140&amp;CHAR(10)&amp;" tag rf "&amp;Design!A145&amp;CHAR(10)&amp;" tag site "&amp;G20&amp;CHAR(10)&amp;"ap filter priority "&amp;F20&amp;" filter-name "&amp;G20)</f>
        <v/>
      </c>
      <c r="I20" s="74" t="str">
        <f>IF(ISERROR(G20),"","wireless tag site "&amp;G20&amp;CHAR(10)&amp;" ap-profile "&amp;Design!A133&amp;CHAR(10)&amp;" description "&amp;G20&amp;CHAR(10)&amp;" no local-site"&amp;CHAR(10)&amp;" flex-profile "&amp;Design!A136&amp;CHAR(10)&amp;"ap filter name "&amp;G20&amp;CHAR(10)&amp;" ap name-regex "&amp;G20&amp;CHAR(10)&amp;" tag policy "&amp;Design!A140&amp;CHAR(10)&amp;" tag rf "&amp;Design!A145&amp;CHAR(10)&amp;" tag site "&amp;G20&amp;CHAR(10)&amp;"ap filter priority "&amp;F20&amp;" filter-name "&amp;G20)</f>
        <v/>
      </c>
    </row>
    <row r="21" spans="1:9" x14ac:dyDescent="0.25">
      <c r="A21" s="73" t="s">
        <v>595</v>
      </c>
      <c r="B21" s="73" t="str">
        <f t="shared" si="1"/>
        <v>Site6</v>
      </c>
      <c r="C21" s="73" t="str">
        <f t="shared" si="0"/>
        <v>Site6</v>
      </c>
      <c r="F21" s="73">
        <v>120</v>
      </c>
      <c r="G21" s="73" t="e">
        <f t="array" ref="G21">INDEX(Table4[Unique prefix],SMALL(IF(Table4[Unique prefix]&lt;&gt;"",ROW(Table4[Unique prefix])-ROW(INDEX(Table4[Unique prefix],1,1))+1),ROWS($G$2:G21)))</f>
        <v>#NUM!</v>
      </c>
      <c r="H21" s="74" t="str">
        <f>IF(ISERROR(G21),"","wireless tag site "&amp;G21&amp;CHAR(10)&amp;" ap-profile "&amp;Design!A134&amp;CHAR(10)&amp;" description "&amp;G21&amp;CHAR(10)&amp;"ap filter name "&amp;G21&amp;CHAR(10)&amp;" ap name-regex "&amp;G21&amp;CHAR(10)&amp;" tag policy "&amp;Design!A141&amp;CHAR(10)&amp;" tag rf "&amp;Design!A146&amp;CHAR(10)&amp;" tag site "&amp;G21&amp;CHAR(10)&amp;"ap filter priority "&amp;F21&amp;" filter-name "&amp;G21)</f>
        <v/>
      </c>
      <c r="I21" s="74" t="str">
        <f>IF(ISERROR(G21),"","wireless tag site "&amp;G21&amp;CHAR(10)&amp;" ap-profile "&amp;Design!A134&amp;CHAR(10)&amp;" description "&amp;G21&amp;CHAR(10)&amp;" no local-site"&amp;CHAR(10)&amp;" flex-profile "&amp;Design!A137&amp;CHAR(10)&amp;"ap filter name "&amp;G21&amp;CHAR(10)&amp;" ap name-regex "&amp;G21&amp;CHAR(10)&amp;" tag policy "&amp;Design!A141&amp;CHAR(10)&amp;" tag rf "&amp;Design!A146&amp;CHAR(10)&amp;" tag site "&amp;G21&amp;CHAR(10)&amp;"ap filter priority "&amp;F21&amp;" filter-name "&amp;G21)</f>
        <v/>
      </c>
    </row>
    <row r="22" spans="1:9" x14ac:dyDescent="0.25">
      <c r="A22" s="73" t="s">
        <v>601</v>
      </c>
      <c r="B22" s="73" t="str">
        <f>LEFT(A22,FIND("-",A22)-1)</f>
        <v>Site7</v>
      </c>
      <c r="C22" s="73" t="str">
        <f t="shared" si="0"/>
        <v>Site7</v>
      </c>
      <c r="F22" s="73">
        <v>121</v>
      </c>
      <c r="G22" s="73" t="e">
        <f t="array" ref="G22">INDEX(Table4[Unique prefix],SMALL(IF(Table4[Unique prefix]&lt;&gt;"",ROW(Table4[Unique prefix])-ROW(INDEX(Table4[Unique prefix],1,1))+1),ROWS($G$2:G22)))</f>
        <v>#NUM!</v>
      </c>
      <c r="H22" s="74" t="str">
        <f>IF(ISERROR(G22),"","wireless tag site "&amp;G22&amp;CHAR(10)&amp;" ap-profile "&amp;Design!A135&amp;CHAR(10)&amp;" description "&amp;G22&amp;CHAR(10)&amp;"ap filter name "&amp;G22&amp;CHAR(10)&amp;" ap name-regex "&amp;G22&amp;CHAR(10)&amp;" tag policy "&amp;Design!A142&amp;CHAR(10)&amp;" tag rf "&amp;Design!A147&amp;CHAR(10)&amp;" tag site "&amp;G22&amp;CHAR(10)&amp;"ap filter priority "&amp;F22&amp;" filter-name "&amp;G22)</f>
        <v/>
      </c>
      <c r="I22" s="74" t="str">
        <f>IF(ISERROR(G22),"","wireless tag site "&amp;G22&amp;CHAR(10)&amp;" ap-profile "&amp;Design!A135&amp;CHAR(10)&amp;" description "&amp;G22&amp;CHAR(10)&amp;" no local-site"&amp;CHAR(10)&amp;" flex-profile "&amp;Design!A138&amp;CHAR(10)&amp;"ap filter name "&amp;G22&amp;CHAR(10)&amp;" ap name-regex "&amp;G22&amp;CHAR(10)&amp;" tag policy "&amp;Design!A142&amp;CHAR(10)&amp;" tag rf "&amp;Design!A147&amp;CHAR(10)&amp;" tag site "&amp;G22&amp;CHAR(10)&amp;"ap filter priority "&amp;F22&amp;" filter-name "&amp;G22)</f>
        <v/>
      </c>
    </row>
    <row r="23" spans="1:9" x14ac:dyDescent="0.25">
      <c r="A23" s="73" t="s">
        <v>602</v>
      </c>
      <c r="B23" s="73" t="str">
        <f>LEFT(A23,FIND("-",A23)-1)</f>
        <v>Site8</v>
      </c>
      <c r="C23" s="73" t="str">
        <f t="shared" si="0"/>
        <v>Site8</v>
      </c>
      <c r="F23" s="73">
        <v>122</v>
      </c>
      <c r="G23" s="73" t="e">
        <f t="array" ref="G23">INDEX(Table4[Unique prefix],SMALL(IF(Table4[Unique prefix]&lt;&gt;"",ROW(Table4[Unique prefix])-ROW(INDEX(Table4[Unique prefix],1,1))+1),ROWS($G$2:G23)))</f>
        <v>#NUM!</v>
      </c>
      <c r="H23" s="74" t="str">
        <f>IF(ISERROR(G23),"","wireless tag site "&amp;G23&amp;CHAR(10)&amp;" ap-profile "&amp;Design!A136&amp;CHAR(10)&amp;" description "&amp;G23&amp;CHAR(10)&amp;"ap filter name "&amp;G23&amp;CHAR(10)&amp;" ap name-regex "&amp;G23&amp;CHAR(10)&amp;" tag policy "&amp;Design!A143&amp;CHAR(10)&amp;" tag rf "&amp;Design!A148&amp;CHAR(10)&amp;" tag site "&amp;G23&amp;CHAR(10)&amp;"ap filter priority "&amp;F23&amp;" filter-name "&amp;G23)</f>
        <v/>
      </c>
      <c r="I23" s="74" t="str">
        <f>IF(ISERROR(G23),"","wireless tag site "&amp;G23&amp;CHAR(10)&amp;" ap-profile "&amp;Design!A136&amp;CHAR(10)&amp;" description "&amp;G23&amp;CHAR(10)&amp;" no local-site"&amp;CHAR(10)&amp;" flex-profile "&amp;Design!A139&amp;CHAR(10)&amp;"ap filter name "&amp;G23&amp;CHAR(10)&amp;" ap name-regex "&amp;G23&amp;CHAR(10)&amp;" tag policy "&amp;Design!A143&amp;CHAR(10)&amp;" tag rf "&amp;Design!A148&amp;CHAR(10)&amp;" tag site "&amp;G23&amp;CHAR(10)&amp;"ap filter priority "&amp;F23&amp;" filter-name "&amp;G23)</f>
        <v/>
      </c>
    </row>
    <row r="24" spans="1:9" x14ac:dyDescent="0.25">
      <c r="A24" s="73" t="s">
        <v>603</v>
      </c>
      <c r="B24" s="73" t="str">
        <f>LEFT(A24,FIND("-",A24)-1)</f>
        <v>Site8</v>
      </c>
      <c r="C24" s="73" t="str">
        <f t="shared" si="0"/>
        <v/>
      </c>
      <c r="F24" s="73">
        <v>123</v>
      </c>
      <c r="G24" s="73" t="e">
        <f t="array" ref="G24">INDEX(Table4[Unique prefix],SMALL(IF(Table4[Unique prefix]&lt;&gt;"",ROW(Table4[Unique prefix])-ROW(INDEX(Table4[Unique prefix],1,1))+1),ROWS($G$2:G24)))</f>
        <v>#NUM!</v>
      </c>
      <c r="H24" s="74" t="str">
        <f>IF(ISERROR(G24),"","wireless tag site "&amp;G24&amp;CHAR(10)&amp;" ap-profile "&amp;Design!A137&amp;CHAR(10)&amp;" description "&amp;G24&amp;CHAR(10)&amp;"ap filter name "&amp;G24&amp;CHAR(10)&amp;" ap name-regex "&amp;G24&amp;CHAR(10)&amp;" tag policy "&amp;Design!A144&amp;CHAR(10)&amp;" tag rf "&amp;Design!A149&amp;CHAR(10)&amp;" tag site "&amp;G24&amp;CHAR(10)&amp;"ap filter priority "&amp;F24&amp;" filter-name "&amp;G24)</f>
        <v/>
      </c>
      <c r="I24" s="74" t="str">
        <f>IF(ISERROR(G24),"","wireless tag site "&amp;G24&amp;CHAR(10)&amp;" ap-profile "&amp;Design!A137&amp;CHAR(10)&amp;" description "&amp;G24&amp;CHAR(10)&amp;" no local-site"&amp;CHAR(10)&amp;" flex-profile "&amp;Design!A140&amp;CHAR(10)&amp;"ap filter name "&amp;G24&amp;CHAR(10)&amp;" ap name-regex "&amp;G24&amp;CHAR(10)&amp;" tag policy "&amp;Design!A144&amp;CHAR(10)&amp;" tag rf "&amp;Design!A149&amp;CHAR(10)&amp;" tag site "&amp;G24&amp;CHAR(10)&amp;"ap filter priority "&amp;F24&amp;" filter-name "&amp;G24)</f>
        <v/>
      </c>
    </row>
    <row r="25" spans="1:9" x14ac:dyDescent="0.25">
      <c r="F25" s="73">
        <v>124</v>
      </c>
      <c r="G25" s="73" t="e">
        <f t="array" ref="G25">INDEX(Table4[Unique prefix],SMALL(IF(Table4[Unique prefix]&lt;&gt;"",ROW(Table4[Unique prefix])-ROW(INDEX(Table4[Unique prefix],1,1))+1),ROWS($G$2:G25)))</f>
        <v>#NUM!</v>
      </c>
      <c r="H25" s="74" t="str">
        <f>IF(ISERROR(G25),"","wireless tag site "&amp;G25&amp;CHAR(10)&amp;" ap-profile "&amp;Design!A138&amp;CHAR(10)&amp;" description "&amp;G25&amp;CHAR(10)&amp;"ap filter name "&amp;G25&amp;CHAR(10)&amp;" ap name-regex "&amp;G25&amp;CHAR(10)&amp;" tag policy "&amp;Design!A145&amp;CHAR(10)&amp;" tag rf "&amp;Design!A150&amp;CHAR(10)&amp;" tag site "&amp;G25&amp;CHAR(10)&amp;"ap filter priority "&amp;F25&amp;" filter-name "&amp;G25)</f>
        <v/>
      </c>
      <c r="I25" s="74" t="str">
        <f>IF(ISERROR(G25),"","wireless tag site "&amp;G25&amp;CHAR(10)&amp;" ap-profile "&amp;Design!A138&amp;CHAR(10)&amp;" description "&amp;G25&amp;CHAR(10)&amp;" no local-site"&amp;CHAR(10)&amp;" flex-profile "&amp;Design!A141&amp;CHAR(10)&amp;"ap filter name "&amp;G25&amp;CHAR(10)&amp;" ap name-regex "&amp;G25&amp;CHAR(10)&amp;" tag policy "&amp;Design!A145&amp;CHAR(10)&amp;" tag rf "&amp;Design!A150&amp;CHAR(10)&amp;" tag site "&amp;G25&amp;CHAR(10)&amp;"ap filter priority "&amp;F25&amp;" filter-name "&amp;G25)</f>
        <v/>
      </c>
    </row>
    <row r="26" spans="1:9" x14ac:dyDescent="0.25">
      <c r="F26" s="73">
        <v>125</v>
      </c>
      <c r="G26" s="73" t="e">
        <f t="array" ref="G26">INDEX(Table4[Unique prefix],SMALL(IF(Table4[Unique prefix]&lt;&gt;"",ROW(Table4[Unique prefix])-ROW(INDEX(Table4[Unique prefix],1,1))+1),ROWS($G$2:G26)))</f>
        <v>#NUM!</v>
      </c>
      <c r="H26" s="74" t="str">
        <f>IF(ISERROR(G26),"","wireless tag site "&amp;G26&amp;CHAR(10)&amp;" ap-profile "&amp;Design!A139&amp;CHAR(10)&amp;" description "&amp;G26&amp;CHAR(10)&amp;"ap filter name "&amp;G26&amp;CHAR(10)&amp;" ap name-regex "&amp;G26&amp;CHAR(10)&amp;" tag policy "&amp;Design!A146&amp;CHAR(10)&amp;" tag rf "&amp;Design!A151&amp;CHAR(10)&amp;" tag site "&amp;G26&amp;CHAR(10)&amp;"ap filter priority "&amp;F26&amp;" filter-name "&amp;G26)</f>
        <v/>
      </c>
      <c r="I26" s="74" t="str">
        <f>IF(ISERROR(G26),"","wireless tag site "&amp;G26&amp;CHAR(10)&amp;" ap-profile "&amp;Design!A139&amp;CHAR(10)&amp;" description "&amp;G26&amp;CHAR(10)&amp;" no local-site"&amp;CHAR(10)&amp;" flex-profile "&amp;Design!A142&amp;CHAR(10)&amp;"ap filter name "&amp;G26&amp;CHAR(10)&amp;" ap name-regex "&amp;G26&amp;CHAR(10)&amp;" tag policy "&amp;Design!A146&amp;CHAR(10)&amp;" tag rf "&amp;Design!A151&amp;CHAR(10)&amp;" tag site "&amp;G26&amp;CHAR(10)&amp;"ap filter priority "&amp;F26&amp;" filter-name "&amp;G26)</f>
        <v/>
      </c>
    </row>
    <row r="27" spans="1:9" x14ac:dyDescent="0.25">
      <c r="F27" s="73">
        <v>126</v>
      </c>
      <c r="G27" s="73" t="e">
        <f t="array" ref="G27">INDEX(Table4[Unique prefix],SMALL(IF(Table4[Unique prefix]&lt;&gt;"",ROW(Table4[Unique prefix])-ROW(INDEX(Table4[Unique prefix],1,1))+1),ROWS($G$2:G27)))</f>
        <v>#NUM!</v>
      </c>
      <c r="H27" s="74" t="str">
        <f>IF(ISERROR(G27),"","wireless tag site "&amp;G27&amp;CHAR(10)&amp;" ap-profile "&amp;Design!A140&amp;CHAR(10)&amp;" description "&amp;G27&amp;CHAR(10)&amp;"ap filter name "&amp;G27&amp;CHAR(10)&amp;" ap name-regex "&amp;G27&amp;CHAR(10)&amp;" tag policy "&amp;Design!A147&amp;CHAR(10)&amp;" tag rf "&amp;Design!A152&amp;CHAR(10)&amp;" tag site "&amp;G27&amp;CHAR(10)&amp;"ap filter priority "&amp;F27&amp;" filter-name "&amp;G27)</f>
        <v/>
      </c>
      <c r="I27" s="74" t="str">
        <f>IF(ISERROR(G27),"","wireless tag site "&amp;G27&amp;CHAR(10)&amp;" ap-profile "&amp;Design!A140&amp;CHAR(10)&amp;" description "&amp;G27&amp;CHAR(10)&amp;" no local-site"&amp;CHAR(10)&amp;" flex-profile "&amp;Design!A143&amp;CHAR(10)&amp;"ap filter name "&amp;G27&amp;CHAR(10)&amp;" ap name-regex "&amp;G27&amp;CHAR(10)&amp;" tag policy "&amp;Design!A147&amp;CHAR(10)&amp;" tag rf "&amp;Design!A152&amp;CHAR(10)&amp;" tag site "&amp;G27&amp;CHAR(10)&amp;"ap filter priority "&amp;F27&amp;" filter-name "&amp;G27)</f>
        <v/>
      </c>
    </row>
    <row r="28" spans="1:9" x14ac:dyDescent="0.25">
      <c r="F28" s="73">
        <v>127</v>
      </c>
      <c r="G28" s="73" t="e">
        <f t="array" ref="G28">INDEX(Table4[Unique prefix],SMALL(IF(Table4[Unique prefix]&lt;&gt;"",ROW(Table4[Unique prefix])-ROW(INDEX(Table4[Unique prefix],1,1))+1),ROWS($G$2:G28)))</f>
        <v>#NUM!</v>
      </c>
      <c r="H28" s="74" t="str">
        <f>IF(ISERROR(G28),"","wireless tag site "&amp;G28&amp;CHAR(10)&amp;" ap-profile "&amp;Design!A141&amp;CHAR(10)&amp;" description "&amp;G28&amp;CHAR(10)&amp;"ap filter name "&amp;G28&amp;CHAR(10)&amp;" ap name-regex "&amp;G28&amp;CHAR(10)&amp;" tag policy "&amp;Design!A148&amp;CHAR(10)&amp;" tag rf "&amp;Design!A153&amp;CHAR(10)&amp;" tag site "&amp;G28&amp;CHAR(10)&amp;"ap filter priority "&amp;F28&amp;" filter-name "&amp;G28)</f>
        <v/>
      </c>
      <c r="I28" s="74" t="str">
        <f>IF(ISERROR(G28),"","wireless tag site "&amp;G28&amp;CHAR(10)&amp;" ap-profile "&amp;Design!A141&amp;CHAR(10)&amp;" description "&amp;G28&amp;CHAR(10)&amp;" no local-site"&amp;CHAR(10)&amp;" flex-profile "&amp;Design!A144&amp;CHAR(10)&amp;"ap filter name "&amp;G28&amp;CHAR(10)&amp;" ap name-regex "&amp;G28&amp;CHAR(10)&amp;" tag policy "&amp;Design!A148&amp;CHAR(10)&amp;" tag rf "&amp;Design!A153&amp;CHAR(10)&amp;" tag site "&amp;G28&amp;CHAR(10)&amp;"ap filter priority "&amp;F28&amp;" filter-name "&amp;G28)</f>
        <v/>
      </c>
    </row>
    <row r="29" spans="1:9" x14ac:dyDescent="0.25">
      <c r="F29" s="73">
        <v>128</v>
      </c>
      <c r="G29" s="73" t="e">
        <f t="array" ref="G29">INDEX(Table4[Unique prefix],SMALL(IF(Table4[Unique prefix]&lt;&gt;"",ROW(Table4[Unique prefix])-ROW(INDEX(Table4[Unique prefix],1,1))+1),ROWS($G$2:G29)))</f>
        <v>#NUM!</v>
      </c>
      <c r="H29" s="74" t="str">
        <f>IF(ISERROR(G29),"","wireless tag site "&amp;G29&amp;CHAR(10)&amp;" ap-profile "&amp;Design!A142&amp;CHAR(10)&amp;" description "&amp;G29&amp;CHAR(10)&amp;"ap filter name "&amp;G29&amp;CHAR(10)&amp;" ap name-regex "&amp;G29&amp;CHAR(10)&amp;" tag policy "&amp;Design!A149&amp;CHAR(10)&amp;" tag rf "&amp;Design!A154&amp;CHAR(10)&amp;" tag site "&amp;G29&amp;CHAR(10)&amp;"ap filter priority "&amp;F29&amp;" filter-name "&amp;G29)</f>
        <v/>
      </c>
      <c r="I29" s="74" t="str">
        <f>IF(ISERROR(G29),"","wireless tag site "&amp;G29&amp;CHAR(10)&amp;" ap-profile "&amp;Design!A142&amp;CHAR(10)&amp;" description "&amp;G29&amp;CHAR(10)&amp;" no local-site"&amp;CHAR(10)&amp;" flex-profile "&amp;Design!A145&amp;CHAR(10)&amp;"ap filter name "&amp;G29&amp;CHAR(10)&amp;" ap name-regex "&amp;G29&amp;CHAR(10)&amp;" tag policy "&amp;Design!A149&amp;CHAR(10)&amp;" tag rf "&amp;Design!A154&amp;CHAR(10)&amp;" tag site "&amp;G29&amp;CHAR(10)&amp;"ap filter priority "&amp;F29&amp;" filter-name "&amp;G29)</f>
        <v/>
      </c>
    </row>
    <row r="30" spans="1:9" x14ac:dyDescent="0.25">
      <c r="F30" s="73">
        <v>129</v>
      </c>
      <c r="G30" s="73" t="e">
        <f t="array" ref="G30">INDEX(Table4[Unique prefix],SMALL(IF(Table4[Unique prefix]&lt;&gt;"",ROW(Table4[Unique prefix])-ROW(INDEX(Table4[Unique prefix],1,1))+1),ROWS($G$2:G30)))</f>
        <v>#NUM!</v>
      </c>
      <c r="H30" s="74" t="str">
        <f>IF(ISERROR(G30),"","wireless tag site "&amp;G30&amp;CHAR(10)&amp;" ap-profile "&amp;Design!A143&amp;CHAR(10)&amp;" description "&amp;G30&amp;CHAR(10)&amp;"ap filter name "&amp;G30&amp;CHAR(10)&amp;" ap name-regex "&amp;G30&amp;CHAR(10)&amp;" tag policy "&amp;Design!A150&amp;CHAR(10)&amp;" tag rf "&amp;Design!A155&amp;CHAR(10)&amp;" tag site "&amp;G30&amp;CHAR(10)&amp;"ap filter priority "&amp;F30&amp;" filter-name "&amp;G30)</f>
        <v/>
      </c>
      <c r="I30" s="74" t="str">
        <f>IF(ISERROR(G30),"","wireless tag site "&amp;G30&amp;CHAR(10)&amp;" ap-profile "&amp;Design!A143&amp;CHAR(10)&amp;" description "&amp;G30&amp;CHAR(10)&amp;" no local-site"&amp;CHAR(10)&amp;" flex-profile "&amp;Design!A146&amp;CHAR(10)&amp;"ap filter name "&amp;G30&amp;CHAR(10)&amp;" ap name-regex "&amp;G30&amp;CHAR(10)&amp;" tag policy "&amp;Design!A150&amp;CHAR(10)&amp;" tag rf "&amp;Design!A155&amp;CHAR(10)&amp;" tag site "&amp;G30&amp;CHAR(10)&amp;"ap filter priority "&amp;F30&amp;" filter-name "&amp;G30)</f>
        <v/>
      </c>
    </row>
    <row r="31" spans="1:9" x14ac:dyDescent="0.25">
      <c r="F31" s="73">
        <v>130</v>
      </c>
      <c r="G31" s="73" t="e">
        <f t="array" ref="G31">INDEX(Table4[Unique prefix],SMALL(IF(Table4[Unique prefix]&lt;&gt;"",ROW(Table4[Unique prefix])-ROW(INDEX(Table4[Unique prefix],1,1))+1),ROWS($G$2:G31)))</f>
        <v>#NUM!</v>
      </c>
      <c r="H31" s="74" t="str">
        <f>IF(ISERROR(G31),"","wireless tag site "&amp;G31&amp;CHAR(10)&amp;" ap-profile "&amp;Design!A144&amp;CHAR(10)&amp;" description "&amp;G31&amp;CHAR(10)&amp;"ap filter name "&amp;G31&amp;CHAR(10)&amp;" ap name-regex "&amp;G31&amp;CHAR(10)&amp;" tag policy "&amp;Design!A151&amp;CHAR(10)&amp;" tag rf "&amp;Design!A156&amp;CHAR(10)&amp;" tag site "&amp;G31&amp;CHAR(10)&amp;"ap filter priority "&amp;F31&amp;" filter-name "&amp;G31)</f>
        <v/>
      </c>
      <c r="I31" s="74" t="str">
        <f>IF(ISERROR(G31),"","wireless tag site "&amp;G31&amp;CHAR(10)&amp;" ap-profile "&amp;Design!A144&amp;CHAR(10)&amp;" description "&amp;G31&amp;CHAR(10)&amp;" no local-site"&amp;CHAR(10)&amp;" flex-profile "&amp;Design!A147&amp;CHAR(10)&amp;"ap filter name "&amp;G31&amp;CHAR(10)&amp;" ap name-regex "&amp;G31&amp;CHAR(10)&amp;" tag policy "&amp;Design!A151&amp;CHAR(10)&amp;" tag rf "&amp;Design!A156&amp;CHAR(10)&amp;" tag site "&amp;G31&amp;CHAR(10)&amp;"ap filter priority "&amp;F31&amp;" filter-name "&amp;G31)</f>
        <v/>
      </c>
    </row>
    <row r="32" spans="1:9" x14ac:dyDescent="0.25">
      <c r="F32" s="73">
        <v>131</v>
      </c>
      <c r="G32" s="73" t="e">
        <f t="array" ref="G32">INDEX(Table4[Unique prefix],SMALL(IF(Table4[Unique prefix]&lt;&gt;"",ROW(Table4[Unique prefix])-ROW(INDEX(Table4[Unique prefix],1,1))+1),ROWS($G$2:G32)))</f>
        <v>#NUM!</v>
      </c>
      <c r="H32" s="74" t="str">
        <f>IF(ISERROR(G32),"","wireless tag site "&amp;G32&amp;CHAR(10)&amp;" ap-profile "&amp;Design!A145&amp;CHAR(10)&amp;" description "&amp;G32&amp;CHAR(10)&amp;"ap filter name "&amp;G32&amp;CHAR(10)&amp;" ap name-regex "&amp;G32&amp;CHAR(10)&amp;" tag policy "&amp;Design!A152&amp;CHAR(10)&amp;" tag rf "&amp;Design!A157&amp;CHAR(10)&amp;" tag site "&amp;G32&amp;CHAR(10)&amp;"ap filter priority "&amp;F32&amp;" filter-name "&amp;G32)</f>
        <v/>
      </c>
      <c r="I32" s="74" t="str">
        <f>IF(ISERROR(G32),"","wireless tag site "&amp;G32&amp;CHAR(10)&amp;" ap-profile "&amp;Design!A145&amp;CHAR(10)&amp;" description "&amp;G32&amp;CHAR(10)&amp;" no local-site"&amp;CHAR(10)&amp;" flex-profile "&amp;Design!A148&amp;CHAR(10)&amp;"ap filter name "&amp;G32&amp;CHAR(10)&amp;" ap name-regex "&amp;G32&amp;CHAR(10)&amp;" tag policy "&amp;Design!A152&amp;CHAR(10)&amp;" tag rf "&amp;Design!A157&amp;CHAR(10)&amp;" tag site "&amp;G32&amp;CHAR(10)&amp;"ap filter priority "&amp;F32&amp;" filter-name "&amp;G32)</f>
        <v/>
      </c>
    </row>
    <row r="33" spans="6:9" x14ac:dyDescent="0.25">
      <c r="F33" s="73">
        <v>132</v>
      </c>
      <c r="G33" s="73" t="e">
        <f t="array" ref="G33">INDEX(Table4[Unique prefix],SMALL(IF(Table4[Unique prefix]&lt;&gt;"",ROW(Table4[Unique prefix])-ROW(INDEX(Table4[Unique prefix],1,1))+1),ROWS($G$2:G33)))</f>
        <v>#NUM!</v>
      </c>
      <c r="H33" s="74" t="str">
        <f>IF(ISERROR(G33),"","wireless tag site "&amp;G33&amp;CHAR(10)&amp;" ap-profile "&amp;Design!A146&amp;CHAR(10)&amp;" description "&amp;G33&amp;CHAR(10)&amp;"ap filter name "&amp;G33&amp;CHAR(10)&amp;" ap name-regex "&amp;G33&amp;CHAR(10)&amp;" tag policy "&amp;Design!A153&amp;CHAR(10)&amp;" tag rf "&amp;Design!A158&amp;CHAR(10)&amp;" tag site "&amp;G33&amp;CHAR(10)&amp;"ap filter priority "&amp;F33&amp;" filter-name "&amp;G33)</f>
        <v/>
      </c>
      <c r="I33" s="74" t="str">
        <f>IF(ISERROR(G33),"","wireless tag site "&amp;G33&amp;CHAR(10)&amp;" ap-profile "&amp;Design!A146&amp;CHAR(10)&amp;" description "&amp;G33&amp;CHAR(10)&amp;" no local-site"&amp;CHAR(10)&amp;" flex-profile "&amp;Design!A149&amp;CHAR(10)&amp;"ap filter name "&amp;G33&amp;CHAR(10)&amp;" ap name-regex "&amp;G33&amp;CHAR(10)&amp;" tag policy "&amp;Design!A153&amp;CHAR(10)&amp;" tag rf "&amp;Design!A158&amp;CHAR(10)&amp;" tag site "&amp;G33&amp;CHAR(10)&amp;"ap filter priority "&amp;F33&amp;" filter-name "&amp;G33)</f>
        <v/>
      </c>
    </row>
    <row r="34" spans="6:9" x14ac:dyDescent="0.25">
      <c r="F34" s="73">
        <v>133</v>
      </c>
      <c r="G34" s="73" t="e">
        <f t="array" ref="G34">INDEX(Table4[Unique prefix],SMALL(IF(Table4[Unique prefix]&lt;&gt;"",ROW(Table4[Unique prefix])-ROW(INDEX(Table4[Unique prefix],1,1))+1),ROWS($G$2:G34)))</f>
        <v>#NUM!</v>
      </c>
      <c r="H34" s="74" t="str">
        <f>IF(ISERROR(G34),"","wireless tag site "&amp;G34&amp;CHAR(10)&amp;" ap-profile "&amp;Design!A147&amp;CHAR(10)&amp;" description "&amp;G34&amp;CHAR(10)&amp;"ap filter name "&amp;G34&amp;CHAR(10)&amp;" ap name-regex "&amp;G34&amp;CHAR(10)&amp;" tag policy "&amp;Design!A154&amp;CHAR(10)&amp;" tag rf "&amp;Design!A159&amp;CHAR(10)&amp;" tag site "&amp;G34&amp;CHAR(10)&amp;"ap filter priority "&amp;F34&amp;" filter-name "&amp;G34)</f>
        <v/>
      </c>
      <c r="I34" s="74" t="str">
        <f>IF(ISERROR(G34),"","wireless tag site "&amp;G34&amp;CHAR(10)&amp;" ap-profile "&amp;Design!A147&amp;CHAR(10)&amp;" description "&amp;G34&amp;CHAR(10)&amp;" no local-site"&amp;CHAR(10)&amp;" flex-profile "&amp;Design!A150&amp;CHAR(10)&amp;"ap filter name "&amp;G34&amp;CHAR(10)&amp;" ap name-regex "&amp;G34&amp;CHAR(10)&amp;" tag policy "&amp;Design!A154&amp;CHAR(10)&amp;" tag rf "&amp;Design!A159&amp;CHAR(10)&amp;" tag site "&amp;G34&amp;CHAR(10)&amp;"ap filter priority "&amp;F34&amp;" filter-name "&amp;G34)</f>
        <v/>
      </c>
    </row>
    <row r="35" spans="6:9" x14ac:dyDescent="0.25">
      <c r="F35" s="73">
        <v>134</v>
      </c>
      <c r="G35" s="73" t="e">
        <f t="array" ref="G35">INDEX(Table4[Unique prefix],SMALL(IF(Table4[Unique prefix]&lt;&gt;"",ROW(Table4[Unique prefix])-ROW(INDEX(Table4[Unique prefix],1,1))+1),ROWS($G$2:G35)))</f>
        <v>#NUM!</v>
      </c>
      <c r="H35" s="74" t="str">
        <f>IF(ISERROR(G35),"","wireless tag site "&amp;G35&amp;CHAR(10)&amp;" ap-profile "&amp;Design!A148&amp;CHAR(10)&amp;" description "&amp;G35&amp;CHAR(10)&amp;"ap filter name "&amp;G35&amp;CHAR(10)&amp;" ap name-regex "&amp;G35&amp;CHAR(10)&amp;" tag policy "&amp;Design!A155&amp;CHAR(10)&amp;" tag rf "&amp;Design!A160&amp;CHAR(10)&amp;" tag site "&amp;G35&amp;CHAR(10)&amp;"ap filter priority "&amp;F35&amp;" filter-name "&amp;G35)</f>
        <v/>
      </c>
      <c r="I35" s="74" t="str">
        <f>IF(ISERROR(G35),"","wireless tag site "&amp;G35&amp;CHAR(10)&amp;" ap-profile "&amp;Design!A148&amp;CHAR(10)&amp;" description "&amp;G35&amp;CHAR(10)&amp;" no local-site"&amp;CHAR(10)&amp;" flex-profile "&amp;Design!A151&amp;CHAR(10)&amp;"ap filter name "&amp;G35&amp;CHAR(10)&amp;" ap name-regex "&amp;G35&amp;CHAR(10)&amp;" tag policy "&amp;Design!A155&amp;CHAR(10)&amp;" tag rf "&amp;Design!A160&amp;CHAR(10)&amp;" tag site "&amp;G35&amp;CHAR(10)&amp;"ap filter priority "&amp;F35&amp;" filter-name "&amp;G35)</f>
        <v/>
      </c>
    </row>
    <row r="36" spans="6:9" x14ac:dyDescent="0.25">
      <c r="F36" s="73">
        <v>135</v>
      </c>
      <c r="G36" s="73" t="e">
        <f t="array" ref="G36">INDEX(Table4[Unique prefix],SMALL(IF(Table4[Unique prefix]&lt;&gt;"",ROW(Table4[Unique prefix])-ROW(INDEX(Table4[Unique prefix],1,1))+1),ROWS($G$2:G36)))</f>
        <v>#NUM!</v>
      </c>
      <c r="H36" s="74" t="str">
        <f>IF(ISERROR(G36),"","wireless tag site "&amp;G36&amp;CHAR(10)&amp;" ap-profile "&amp;Design!A149&amp;CHAR(10)&amp;" description "&amp;G36&amp;CHAR(10)&amp;"ap filter name "&amp;G36&amp;CHAR(10)&amp;" ap name-regex "&amp;G36&amp;CHAR(10)&amp;" tag policy "&amp;Design!A156&amp;CHAR(10)&amp;" tag rf "&amp;Design!A161&amp;CHAR(10)&amp;" tag site "&amp;G36&amp;CHAR(10)&amp;"ap filter priority "&amp;F36&amp;" filter-name "&amp;G36)</f>
        <v/>
      </c>
      <c r="I36" s="74" t="str">
        <f>IF(ISERROR(G36),"","wireless tag site "&amp;G36&amp;CHAR(10)&amp;" ap-profile "&amp;Design!A149&amp;CHAR(10)&amp;" description "&amp;G36&amp;CHAR(10)&amp;" no local-site"&amp;CHAR(10)&amp;" flex-profile "&amp;Design!A152&amp;CHAR(10)&amp;"ap filter name "&amp;G36&amp;CHAR(10)&amp;" ap name-regex "&amp;G36&amp;CHAR(10)&amp;" tag policy "&amp;Design!A156&amp;CHAR(10)&amp;" tag rf "&amp;Design!A161&amp;CHAR(10)&amp;" tag site "&amp;G36&amp;CHAR(10)&amp;"ap filter priority "&amp;F36&amp;" filter-name "&amp;G36)</f>
        <v/>
      </c>
    </row>
    <row r="37" spans="6:9" x14ac:dyDescent="0.25">
      <c r="F37" s="73">
        <v>136</v>
      </c>
      <c r="G37" s="73" t="e">
        <f t="array" ref="G37">INDEX(Table4[Unique prefix],SMALL(IF(Table4[Unique prefix]&lt;&gt;"",ROW(Table4[Unique prefix])-ROW(INDEX(Table4[Unique prefix],1,1))+1),ROWS($G$2:G37)))</f>
        <v>#NUM!</v>
      </c>
      <c r="H37" s="74" t="str">
        <f>IF(ISERROR(G37),"","wireless tag site "&amp;G37&amp;CHAR(10)&amp;" ap-profile "&amp;Design!A150&amp;CHAR(10)&amp;" description "&amp;G37&amp;CHAR(10)&amp;"ap filter name "&amp;G37&amp;CHAR(10)&amp;" ap name-regex "&amp;G37&amp;CHAR(10)&amp;" tag policy "&amp;Design!A157&amp;CHAR(10)&amp;" tag rf "&amp;Design!A162&amp;CHAR(10)&amp;" tag site "&amp;G37&amp;CHAR(10)&amp;"ap filter priority "&amp;F37&amp;" filter-name "&amp;G37)</f>
        <v/>
      </c>
      <c r="I37" s="74" t="str">
        <f>IF(ISERROR(G37),"","wireless tag site "&amp;G37&amp;CHAR(10)&amp;" ap-profile "&amp;Design!A150&amp;CHAR(10)&amp;" description "&amp;G37&amp;CHAR(10)&amp;" no local-site"&amp;CHAR(10)&amp;" flex-profile "&amp;Design!A153&amp;CHAR(10)&amp;"ap filter name "&amp;G37&amp;CHAR(10)&amp;" ap name-regex "&amp;G37&amp;CHAR(10)&amp;" tag policy "&amp;Design!A157&amp;CHAR(10)&amp;" tag rf "&amp;Design!A162&amp;CHAR(10)&amp;" tag site "&amp;G37&amp;CHAR(10)&amp;"ap filter priority "&amp;F37&amp;" filter-name "&amp;G37)</f>
        <v/>
      </c>
    </row>
    <row r="38" spans="6:9" x14ac:dyDescent="0.25">
      <c r="F38" s="73">
        <v>137</v>
      </c>
      <c r="G38" s="73" t="e">
        <f t="array" ref="G38">INDEX(Table4[Unique prefix],SMALL(IF(Table4[Unique prefix]&lt;&gt;"",ROW(Table4[Unique prefix])-ROW(INDEX(Table4[Unique prefix],1,1))+1),ROWS($G$2:G38)))</f>
        <v>#NUM!</v>
      </c>
      <c r="H38" s="74" t="str">
        <f>IF(ISERROR(G38),"","wireless tag site "&amp;G38&amp;CHAR(10)&amp;" ap-profile "&amp;Design!A151&amp;CHAR(10)&amp;" description "&amp;G38&amp;CHAR(10)&amp;"ap filter name "&amp;G38&amp;CHAR(10)&amp;" ap name-regex "&amp;G38&amp;CHAR(10)&amp;" tag policy "&amp;Design!A158&amp;CHAR(10)&amp;" tag rf "&amp;Design!A163&amp;CHAR(10)&amp;" tag site "&amp;G38&amp;CHAR(10)&amp;"ap filter priority "&amp;F38&amp;" filter-name "&amp;G38)</f>
        <v/>
      </c>
      <c r="I38" s="74" t="str">
        <f>IF(ISERROR(G38),"","wireless tag site "&amp;G38&amp;CHAR(10)&amp;" ap-profile "&amp;Design!A151&amp;CHAR(10)&amp;" description "&amp;G38&amp;CHAR(10)&amp;" no local-site"&amp;CHAR(10)&amp;" flex-profile "&amp;Design!A154&amp;CHAR(10)&amp;"ap filter name "&amp;G38&amp;CHAR(10)&amp;" ap name-regex "&amp;G38&amp;CHAR(10)&amp;" tag policy "&amp;Design!A158&amp;CHAR(10)&amp;" tag rf "&amp;Design!A163&amp;CHAR(10)&amp;" tag site "&amp;G38&amp;CHAR(10)&amp;"ap filter priority "&amp;F38&amp;" filter-name "&amp;G38)</f>
        <v/>
      </c>
    </row>
    <row r="39" spans="6:9" x14ac:dyDescent="0.25">
      <c r="F39" s="73">
        <v>138</v>
      </c>
      <c r="G39" s="73" t="e">
        <f t="array" ref="G39">INDEX(Table4[Unique prefix],SMALL(IF(Table4[Unique prefix]&lt;&gt;"",ROW(Table4[Unique prefix])-ROW(INDEX(Table4[Unique prefix],1,1))+1),ROWS($G$2:G39)))</f>
        <v>#NUM!</v>
      </c>
      <c r="H39" s="74" t="str">
        <f>IF(ISERROR(G39),"","wireless tag site "&amp;G39&amp;CHAR(10)&amp;" ap-profile "&amp;Design!A152&amp;CHAR(10)&amp;" description "&amp;G39&amp;CHAR(10)&amp;"ap filter name "&amp;G39&amp;CHAR(10)&amp;" ap name-regex "&amp;G39&amp;CHAR(10)&amp;" tag policy "&amp;Design!A159&amp;CHAR(10)&amp;" tag rf "&amp;Design!A164&amp;CHAR(10)&amp;" tag site "&amp;G39&amp;CHAR(10)&amp;"ap filter priority "&amp;F39&amp;" filter-name "&amp;G39)</f>
        <v/>
      </c>
      <c r="I39" s="74" t="str">
        <f>IF(ISERROR(G39),"","wireless tag site "&amp;G39&amp;CHAR(10)&amp;" ap-profile "&amp;Design!A152&amp;CHAR(10)&amp;" description "&amp;G39&amp;CHAR(10)&amp;" no local-site"&amp;CHAR(10)&amp;" flex-profile "&amp;Design!A155&amp;CHAR(10)&amp;"ap filter name "&amp;G39&amp;CHAR(10)&amp;" ap name-regex "&amp;G39&amp;CHAR(10)&amp;" tag policy "&amp;Design!A159&amp;CHAR(10)&amp;" tag rf "&amp;Design!A164&amp;CHAR(10)&amp;" tag site "&amp;G39&amp;CHAR(10)&amp;"ap filter priority "&amp;F39&amp;" filter-name "&amp;G39)</f>
        <v/>
      </c>
    </row>
    <row r="40" spans="6:9" x14ac:dyDescent="0.25">
      <c r="F40" s="73">
        <v>139</v>
      </c>
      <c r="G40" s="73" t="e">
        <f t="array" ref="G40">INDEX(Table4[Unique prefix],SMALL(IF(Table4[Unique prefix]&lt;&gt;"",ROW(Table4[Unique prefix])-ROW(INDEX(Table4[Unique prefix],1,1))+1),ROWS($G$2:G40)))</f>
        <v>#NUM!</v>
      </c>
      <c r="H40" s="74" t="str">
        <f>IF(ISERROR(G40),"","wireless tag site "&amp;G40&amp;CHAR(10)&amp;" ap-profile "&amp;Design!A153&amp;CHAR(10)&amp;" description "&amp;G40&amp;CHAR(10)&amp;"ap filter name "&amp;G40&amp;CHAR(10)&amp;" ap name-regex "&amp;G40&amp;CHAR(10)&amp;" tag policy "&amp;Design!A160&amp;CHAR(10)&amp;" tag rf "&amp;Design!A165&amp;CHAR(10)&amp;" tag site "&amp;G40&amp;CHAR(10)&amp;"ap filter priority "&amp;F40&amp;" filter-name "&amp;G40)</f>
        <v/>
      </c>
      <c r="I40" s="74" t="str">
        <f>IF(ISERROR(G40),"","wireless tag site "&amp;G40&amp;CHAR(10)&amp;" ap-profile "&amp;Design!A153&amp;CHAR(10)&amp;" description "&amp;G40&amp;CHAR(10)&amp;" no local-site"&amp;CHAR(10)&amp;" flex-profile "&amp;Design!A156&amp;CHAR(10)&amp;"ap filter name "&amp;G40&amp;CHAR(10)&amp;" ap name-regex "&amp;G40&amp;CHAR(10)&amp;" tag policy "&amp;Design!A160&amp;CHAR(10)&amp;" tag rf "&amp;Design!A165&amp;CHAR(10)&amp;" tag site "&amp;G40&amp;CHAR(10)&amp;"ap filter priority "&amp;F40&amp;" filter-name "&amp;G40)</f>
        <v/>
      </c>
    </row>
    <row r="41" spans="6:9" x14ac:dyDescent="0.25">
      <c r="F41" s="73">
        <v>140</v>
      </c>
      <c r="G41" s="73" t="e">
        <f t="array" ref="G41">INDEX(Table4[Unique prefix],SMALL(IF(Table4[Unique prefix]&lt;&gt;"",ROW(Table4[Unique prefix])-ROW(INDEX(Table4[Unique prefix],1,1))+1),ROWS($G$2:G41)))</f>
        <v>#NUM!</v>
      </c>
      <c r="H41" s="74" t="str">
        <f>IF(ISERROR(G41),"","wireless tag site "&amp;G41&amp;CHAR(10)&amp;" ap-profile "&amp;Design!A154&amp;CHAR(10)&amp;" description "&amp;G41&amp;CHAR(10)&amp;"ap filter name "&amp;G41&amp;CHAR(10)&amp;" ap name-regex "&amp;G41&amp;CHAR(10)&amp;" tag policy "&amp;Design!A161&amp;CHAR(10)&amp;" tag rf "&amp;Design!A166&amp;CHAR(10)&amp;" tag site "&amp;G41&amp;CHAR(10)&amp;"ap filter priority "&amp;F41&amp;" filter-name "&amp;G41)</f>
        <v/>
      </c>
      <c r="I41" s="74" t="str">
        <f>IF(ISERROR(G41),"","wireless tag site "&amp;G41&amp;CHAR(10)&amp;" ap-profile "&amp;Design!A154&amp;CHAR(10)&amp;" description "&amp;G41&amp;CHAR(10)&amp;" no local-site"&amp;CHAR(10)&amp;" flex-profile "&amp;Design!A157&amp;CHAR(10)&amp;"ap filter name "&amp;G41&amp;CHAR(10)&amp;" ap name-regex "&amp;G41&amp;CHAR(10)&amp;" tag policy "&amp;Design!A161&amp;CHAR(10)&amp;" tag rf "&amp;Design!A166&amp;CHAR(10)&amp;" tag site "&amp;G41&amp;CHAR(10)&amp;"ap filter priority "&amp;F41&amp;" filter-name "&amp;G41)</f>
        <v/>
      </c>
    </row>
    <row r="42" spans="6:9" x14ac:dyDescent="0.25">
      <c r="F42" s="73">
        <v>141</v>
      </c>
      <c r="G42" s="73" t="e">
        <f t="array" ref="G42">INDEX(Table4[Unique prefix],SMALL(IF(Table4[Unique prefix]&lt;&gt;"",ROW(Table4[Unique prefix])-ROW(INDEX(Table4[Unique prefix],1,1))+1),ROWS($G$2:G42)))</f>
        <v>#NUM!</v>
      </c>
      <c r="H42" s="74" t="str">
        <f>IF(ISERROR(G42),"","wireless tag site "&amp;G42&amp;CHAR(10)&amp;" ap-profile "&amp;Design!A155&amp;CHAR(10)&amp;" description "&amp;G42&amp;CHAR(10)&amp;"ap filter name "&amp;G42&amp;CHAR(10)&amp;" ap name-regex "&amp;G42&amp;CHAR(10)&amp;" tag policy "&amp;Design!A162&amp;CHAR(10)&amp;" tag rf "&amp;Design!A167&amp;CHAR(10)&amp;" tag site "&amp;G42&amp;CHAR(10)&amp;"ap filter priority "&amp;F42&amp;" filter-name "&amp;G42)</f>
        <v/>
      </c>
      <c r="I42" s="74" t="str">
        <f>IF(ISERROR(G42),"","wireless tag site "&amp;G42&amp;CHAR(10)&amp;" ap-profile "&amp;Design!A155&amp;CHAR(10)&amp;" description "&amp;G42&amp;CHAR(10)&amp;" no local-site"&amp;CHAR(10)&amp;" flex-profile "&amp;Design!A158&amp;CHAR(10)&amp;"ap filter name "&amp;G42&amp;CHAR(10)&amp;" ap name-regex "&amp;G42&amp;CHAR(10)&amp;" tag policy "&amp;Design!A162&amp;CHAR(10)&amp;" tag rf "&amp;Design!A167&amp;CHAR(10)&amp;" tag site "&amp;G42&amp;CHAR(10)&amp;"ap filter priority "&amp;F42&amp;" filter-name "&amp;G42)</f>
        <v/>
      </c>
    </row>
    <row r="43" spans="6:9" x14ac:dyDescent="0.25">
      <c r="F43" s="73">
        <v>142</v>
      </c>
      <c r="G43" s="73" t="e">
        <f t="array" ref="G43">INDEX(Table4[Unique prefix],SMALL(IF(Table4[Unique prefix]&lt;&gt;"",ROW(Table4[Unique prefix])-ROW(INDEX(Table4[Unique prefix],1,1))+1),ROWS($G$2:G43)))</f>
        <v>#NUM!</v>
      </c>
      <c r="H43" s="74" t="str">
        <f>IF(ISERROR(G43),"","wireless tag site "&amp;G43&amp;CHAR(10)&amp;" ap-profile "&amp;Design!A156&amp;CHAR(10)&amp;" description "&amp;G43&amp;CHAR(10)&amp;"ap filter name "&amp;G43&amp;CHAR(10)&amp;" ap name-regex "&amp;G43&amp;CHAR(10)&amp;" tag policy "&amp;Design!A163&amp;CHAR(10)&amp;" tag rf "&amp;Design!A168&amp;CHAR(10)&amp;" tag site "&amp;G43&amp;CHAR(10)&amp;"ap filter priority "&amp;F43&amp;" filter-name "&amp;G43)</f>
        <v/>
      </c>
      <c r="I43" s="74" t="str">
        <f>IF(ISERROR(G43),"","wireless tag site "&amp;G43&amp;CHAR(10)&amp;" ap-profile "&amp;Design!A156&amp;CHAR(10)&amp;" description "&amp;G43&amp;CHAR(10)&amp;" no local-site"&amp;CHAR(10)&amp;" flex-profile "&amp;Design!A159&amp;CHAR(10)&amp;"ap filter name "&amp;G43&amp;CHAR(10)&amp;" ap name-regex "&amp;G43&amp;CHAR(10)&amp;" tag policy "&amp;Design!A163&amp;CHAR(10)&amp;" tag rf "&amp;Design!A168&amp;CHAR(10)&amp;" tag site "&amp;G43&amp;CHAR(10)&amp;"ap filter priority "&amp;F43&amp;" filter-name "&amp;G43)</f>
        <v/>
      </c>
    </row>
    <row r="44" spans="6:9" x14ac:dyDescent="0.25">
      <c r="F44" s="73">
        <v>143</v>
      </c>
      <c r="G44" s="73" t="e">
        <f t="array" ref="G44">INDEX(Table4[Unique prefix],SMALL(IF(Table4[Unique prefix]&lt;&gt;"",ROW(Table4[Unique prefix])-ROW(INDEX(Table4[Unique prefix],1,1))+1),ROWS($G$2:G44)))</f>
        <v>#NUM!</v>
      </c>
      <c r="H44" s="74" t="str">
        <f>IF(ISERROR(G44),"","wireless tag site "&amp;G44&amp;CHAR(10)&amp;" ap-profile "&amp;Design!A157&amp;CHAR(10)&amp;" description "&amp;G44&amp;CHAR(10)&amp;"ap filter name "&amp;G44&amp;CHAR(10)&amp;" ap name-regex "&amp;G44&amp;CHAR(10)&amp;" tag policy "&amp;Design!A164&amp;CHAR(10)&amp;" tag rf "&amp;Design!A169&amp;CHAR(10)&amp;" tag site "&amp;G44&amp;CHAR(10)&amp;"ap filter priority "&amp;F44&amp;" filter-name "&amp;G44)</f>
        <v/>
      </c>
      <c r="I44" s="74" t="str">
        <f>IF(ISERROR(G44),"","wireless tag site "&amp;G44&amp;CHAR(10)&amp;" ap-profile "&amp;Design!A157&amp;CHAR(10)&amp;" description "&amp;G44&amp;CHAR(10)&amp;" no local-site"&amp;CHAR(10)&amp;" flex-profile "&amp;Design!A160&amp;CHAR(10)&amp;"ap filter name "&amp;G44&amp;CHAR(10)&amp;" ap name-regex "&amp;G44&amp;CHAR(10)&amp;" tag policy "&amp;Design!A164&amp;CHAR(10)&amp;" tag rf "&amp;Design!A169&amp;CHAR(10)&amp;" tag site "&amp;G44&amp;CHAR(10)&amp;"ap filter priority "&amp;F44&amp;" filter-name "&amp;G44)</f>
        <v/>
      </c>
    </row>
    <row r="45" spans="6:9" x14ac:dyDescent="0.25">
      <c r="F45" s="73">
        <v>144</v>
      </c>
      <c r="G45" s="73" t="e">
        <f t="array" ref="G45">INDEX(Table4[Unique prefix],SMALL(IF(Table4[Unique prefix]&lt;&gt;"",ROW(Table4[Unique prefix])-ROW(INDEX(Table4[Unique prefix],1,1))+1),ROWS($G$2:G45)))</f>
        <v>#NUM!</v>
      </c>
      <c r="H45" s="74" t="str">
        <f>IF(ISERROR(G45),"","wireless tag site "&amp;G45&amp;CHAR(10)&amp;" ap-profile "&amp;Design!A158&amp;CHAR(10)&amp;" description "&amp;G45&amp;CHAR(10)&amp;"ap filter name "&amp;G45&amp;CHAR(10)&amp;" ap name-regex "&amp;G45&amp;CHAR(10)&amp;" tag policy "&amp;Design!A165&amp;CHAR(10)&amp;" tag rf "&amp;Design!A170&amp;CHAR(10)&amp;" tag site "&amp;G45&amp;CHAR(10)&amp;"ap filter priority "&amp;F45&amp;" filter-name "&amp;G45)</f>
        <v/>
      </c>
      <c r="I45" s="74" t="str">
        <f>IF(ISERROR(G45),"","wireless tag site "&amp;G45&amp;CHAR(10)&amp;" ap-profile "&amp;Design!A158&amp;CHAR(10)&amp;" description "&amp;G45&amp;CHAR(10)&amp;" no local-site"&amp;CHAR(10)&amp;" flex-profile "&amp;Design!A161&amp;CHAR(10)&amp;"ap filter name "&amp;G45&amp;CHAR(10)&amp;" ap name-regex "&amp;G45&amp;CHAR(10)&amp;" tag policy "&amp;Design!A165&amp;CHAR(10)&amp;" tag rf "&amp;Design!A170&amp;CHAR(10)&amp;" tag site "&amp;G45&amp;CHAR(10)&amp;"ap filter priority "&amp;F45&amp;" filter-name "&amp;G45)</f>
        <v/>
      </c>
    </row>
    <row r="46" spans="6:9" x14ac:dyDescent="0.25">
      <c r="F46" s="73">
        <v>145</v>
      </c>
      <c r="G46" s="73" t="e">
        <f t="array" ref="G46">INDEX(Table4[Unique prefix],SMALL(IF(Table4[Unique prefix]&lt;&gt;"",ROW(Table4[Unique prefix])-ROW(INDEX(Table4[Unique prefix],1,1))+1),ROWS($G$2:G46)))</f>
        <v>#NUM!</v>
      </c>
      <c r="H46" s="74" t="str">
        <f>IF(ISERROR(G46),"","wireless tag site "&amp;G46&amp;CHAR(10)&amp;" ap-profile "&amp;Design!A159&amp;CHAR(10)&amp;" description "&amp;G46&amp;CHAR(10)&amp;"ap filter name "&amp;G46&amp;CHAR(10)&amp;" ap name-regex "&amp;G46&amp;CHAR(10)&amp;" tag policy "&amp;Design!A166&amp;CHAR(10)&amp;" tag rf "&amp;Design!A171&amp;CHAR(10)&amp;" tag site "&amp;G46&amp;CHAR(10)&amp;"ap filter priority "&amp;F46&amp;" filter-name "&amp;G46)</f>
        <v/>
      </c>
      <c r="I46" s="74" t="str">
        <f>IF(ISERROR(G46),"","wireless tag site "&amp;G46&amp;CHAR(10)&amp;" ap-profile "&amp;Design!A159&amp;CHAR(10)&amp;" description "&amp;G46&amp;CHAR(10)&amp;" no local-site"&amp;CHAR(10)&amp;" flex-profile "&amp;Design!A162&amp;CHAR(10)&amp;"ap filter name "&amp;G46&amp;CHAR(10)&amp;" ap name-regex "&amp;G46&amp;CHAR(10)&amp;" tag policy "&amp;Design!A166&amp;CHAR(10)&amp;" tag rf "&amp;Design!A171&amp;CHAR(10)&amp;" tag site "&amp;G46&amp;CHAR(10)&amp;"ap filter priority "&amp;F46&amp;" filter-name "&amp;G46)</f>
        <v/>
      </c>
    </row>
    <row r="47" spans="6:9" x14ac:dyDescent="0.25">
      <c r="F47" s="73">
        <v>146</v>
      </c>
      <c r="G47" s="73" t="e">
        <f t="array" ref="G47">INDEX(Table4[Unique prefix],SMALL(IF(Table4[Unique prefix]&lt;&gt;"",ROW(Table4[Unique prefix])-ROW(INDEX(Table4[Unique prefix],1,1))+1),ROWS($G$2:G47)))</f>
        <v>#NUM!</v>
      </c>
      <c r="H47" s="74" t="str">
        <f>IF(ISERROR(G47),"","wireless tag site "&amp;G47&amp;CHAR(10)&amp;" ap-profile "&amp;Design!A160&amp;CHAR(10)&amp;" description "&amp;G47&amp;CHAR(10)&amp;"ap filter name "&amp;G47&amp;CHAR(10)&amp;" ap name-regex "&amp;G47&amp;CHAR(10)&amp;" tag policy "&amp;Design!A167&amp;CHAR(10)&amp;" tag rf "&amp;Design!A172&amp;CHAR(10)&amp;" tag site "&amp;G47&amp;CHAR(10)&amp;"ap filter priority "&amp;F47&amp;" filter-name "&amp;G47)</f>
        <v/>
      </c>
      <c r="I47" s="74" t="str">
        <f>IF(ISERROR(G47),"","wireless tag site "&amp;G47&amp;CHAR(10)&amp;" ap-profile "&amp;Design!A160&amp;CHAR(10)&amp;" description "&amp;G47&amp;CHAR(10)&amp;" no local-site"&amp;CHAR(10)&amp;" flex-profile "&amp;Design!A163&amp;CHAR(10)&amp;"ap filter name "&amp;G47&amp;CHAR(10)&amp;" ap name-regex "&amp;G47&amp;CHAR(10)&amp;" tag policy "&amp;Design!A167&amp;CHAR(10)&amp;" tag rf "&amp;Design!A172&amp;CHAR(10)&amp;" tag site "&amp;G47&amp;CHAR(10)&amp;"ap filter priority "&amp;F47&amp;" filter-name "&amp;G47)</f>
        <v/>
      </c>
    </row>
    <row r="48" spans="6:9" x14ac:dyDescent="0.25">
      <c r="F48" s="73">
        <v>147</v>
      </c>
      <c r="G48" s="73" t="e">
        <f t="array" ref="G48">INDEX(Table4[Unique prefix],SMALL(IF(Table4[Unique prefix]&lt;&gt;"",ROW(Table4[Unique prefix])-ROW(INDEX(Table4[Unique prefix],1,1))+1),ROWS($G$2:G48)))</f>
        <v>#NUM!</v>
      </c>
      <c r="H48" s="74" t="str">
        <f>IF(ISERROR(G48),"","wireless tag site "&amp;G48&amp;CHAR(10)&amp;" ap-profile "&amp;Design!A161&amp;CHAR(10)&amp;" description "&amp;G48&amp;CHAR(10)&amp;"ap filter name "&amp;G48&amp;CHAR(10)&amp;" ap name-regex "&amp;G48&amp;CHAR(10)&amp;" tag policy "&amp;Design!A168&amp;CHAR(10)&amp;" tag rf "&amp;Design!A173&amp;CHAR(10)&amp;" tag site "&amp;G48&amp;CHAR(10)&amp;"ap filter priority "&amp;F48&amp;" filter-name "&amp;G48)</f>
        <v/>
      </c>
      <c r="I48" s="74" t="str">
        <f>IF(ISERROR(G48),"","wireless tag site "&amp;G48&amp;CHAR(10)&amp;" ap-profile "&amp;Design!A161&amp;CHAR(10)&amp;" description "&amp;G48&amp;CHAR(10)&amp;" no local-site"&amp;CHAR(10)&amp;" flex-profile "&amp;Design!A164&amp;CHAR(10)&amp;"ap filter name "&amp;G48&amp;CHAR(10)&amp;" ap name-regex "&amp;G48&amp;CHAR(10)&amp;" tag policy "&amp;Design!A168&amp;CHAR(10)&amp;" tag rf "&amp;Design!A173&amp;CHAR(10)&amp;" tag site "&amp;G48&amp;CHAR(10)&amp;"ap filter priority "&amp;F48&amp;" filter-name "&amp;G48)</f>
        <v/>
      </c>
    </row>
    <row r="49" spans="6:9" x14ac:dyDescent="0.25">
      <c r="F49" s="73">
        <v>148</v>
      </c>
      <c r="G49" s="73" t="e">
        <f t="array" ref="G49">INDEX(Table4[Unique prefix],SMALL(IF(Table4[Unique prefix]&lt;&gt;"",ROW(Table4[Unique prefix])-ROW(INDEX(Table4[Unique prefix],1,1))+1),ROWS($G$2:G49)))</f>
        <v>#NUM!</v>
      </c>
      <c r="H49" s="74" t="str">
        <f>IF(ISERROR(G49),"","wireless tag site "&amp;G49&amp;CHAR(10)&amp;" ap-profile "&amp;Design!A162&amp;CHAR(10)&amp;" description "&amp;G49&amp;CHAR(10)&amp;"ap filter name "&amp;G49&amp;CHAR(10)&amp;" ap name-regex "&amp;G49&amp;CHAR(10)&amp;" tag policy "&amp;Design!A169&amp;CHAR(10)&amp;" tag rf "&amp;Design!A174&amp;CHAR(10)&amp;" tag site "&amp;G49&amp;CHAR(10)&amp;"ap filter priority "&amp;F49&amp;" filter-name "&amp;G49)</f>
        <v/>
      </c>
      <c r="I49" s="74" t="str">
        <f>IF(ISERROR(G49),"","wireless tag site "&amp;G49&amp;CHAR(10)&amp;" ap-profile "&amp;Design!A162&amp;CHAR(10)&amp;" description "&amp;G49&amp;CHAR(10)&amp;" no local-site"&amp;CHAR(10)&amp;" flex-profile "&amp;Design!A165&amp;CHAR(10)&amp;"ap filter name "&amp;G49&amp;CHAR(10)&amp;" ap name-regex "&amp;G49&amp;CHAR(10)&amp;" tag policy "&amp;Design!A169&amp;CHAR(10)&amp;" tag rf "&amp;Design!A174&amp;CHAR(10)&amp;" tag site "&amp;G49&amp;CHAR(10)&amp;"ap filter priority "&amp;F49&amp;" filter-name "&amp;G49)</f>
        <v/>
      </c>
    </row>
    <row r="50" spans="6:9" x14ac:dyDescent="0.25">
      <c r="F50" s="73">
        <v>149</v>
      </c>
      <c r="G50" s="73" t="e">
        <f t="array" ref="G50">INDEX(Table4[Unique prefix],SMALL(IF(Table4[Unique prefix]&lt;&gt;"",ROW(Table4[Unique prefix])-ROW(INDEX(Table4[Unique prefix],1,1))+1),ROWS($G$2:G50)))</f>
        <v>#NUM!</v>
      </c>
      <c r="H50" s="74" t="str">
        <f>IF(ISERROR(G50),"","wireless tag site "&amp;G50&amp;CHAR(10)&amp;" ap-profile "&amp;Design!A163&amp;CHAR(10)&amp;" description "&amp;G50&amp;CHAR(10)&amp;"ap filter name "&amp;G50&amp;CHAR(10)&amp;" ap name-regex "&amp;G50&amp;CHAR(10)&amp;" tag policy "&amp;Design!A170&amp;CHAR(10)&amp;" tag rf "&amp;Design!A175&amp;CHAR(10)&amp;" tag site "&amp;G50&amp;CHAR(10)&amp;"ap filter priority "&amp;F50&amp;" filter-name "&amp;G50)</f>
        <v/>
      </c>
      <c r="I50" s="74" t="str">
        <f>IF(ISERROR(G50),"","wireless tag site "&amp;G50&amp;CHAR(10)&amp;" ap-profile "&amp;Design!A163&amp;CHAR(10)&amp;" description "&amp;G50&amp;CHAR(10)&amp;" no local-site"&amp;CHAR(10)&amp;" flex-profile "&amp;Design!A166&amp;CHAR(10)&amp;"ap filter name "&amp;G50&amp;CHAR(10)&amp;" ap name-regex "&amp;G50&amp;CHAR(10)&amp;" tag policy "&amp;Design!A170&amp;CHAR(10)&amp;" tag rf "&amp;Design!A175&amp;CHAR(10)&amp;" tag site "&amp;G50&amp;CHAR(10)&amp;"ap filter priority "&amp;F50&amp;" filter-name "&amp;G50)</f>
        <v/>
      </c>
    </row>
    <row r="51" spans="6:9" x14ac:dyDescent="0.25">
      <c r="F51" s="73">
        <v>150</v>
      </c>
      <c r="G51" s="73" t="e">
        <f t="array" ref="G51">INDEX(Table4[Unique prefix],SMALL(IF(Table4[Unique prefix]&lt;&gt;"",ROW(Table4[Unique prefix])-ROW(INDEX(Table4[Unique prefix],1,1))+1),ROWS($G$2:G51)))</f>
        <v>#NUM!</v>
      </c>
      <c r="H51" s="74" t="str">
        <f>IF(ISERROR(G51),"","wireless tag site "&amp;G51&amp;CHAR(10)&amp;" ap-profile "&amp;Design!A164&amp;CHAR(10)&amp;" description "&amp;G51&amp;CHAR(10)&amp;"ap filter name "&amp;G51&amp;CHAR(10)&amp;" ap name-regex "&amp;G51&amp;CHAR(10)&amp;" tag policy "&amp;Design!A171&amp;CHAR(10)&amp;" tag rf "&amp;Design!A176&amp;CHAR(10)&amp;" tag site "&amp;G51&amp;CHAR(10)&amp;"ap filter priority "&amp;F51&amp;" filter-name "&amp;G51)</f>
        <v/>
      </c>
      <c r="I51" s="74" t="str">
        <f>IF(ISERROR(G51),"","wireless tag site "&amp;G51&amp;CHAR(10)&amp;" ap-profile "&amp;Design!A164&amp;CHAR(10)&amp;" description "&amp;G51&amp;CHAR(10)&amp;" no local-site"&amp;CHAR(10)&amp;" flex-profile "&amp;Design!A167&amp;CHAR(10)&amp;"ap filter name "&amp;G51&amp;CHAR(10)&amp;" ap name-regex "&amp;G51&amp;CHAR(10)&amp;" tag policy "&amp;Design!A171&amp;CHAR(10)&amp;" tag rf "&amp;Design!A176&amp;CHAR(10)&amp;" tag site "&amp;G51&amp;CHAR(10)&amp;"ap filter priority "&amp;F51&amp;" filter-name "&amp;G51)</f>
        <v/>
      </c>
    </row>
    <row r="52" spans="6:9" x14ac:dyDescent="0.25">
      <c r="F52" s="73">
        <v>151</v>
      </c>
      <c r="G52" s="73" t="e">
        <f t="array" ref="G52">INDEX(Table4[Unique prefix],SMALL(IF(Table4[Unique prefix]&lt;&gt;"",ROW(Table4[Unique prefix])-ROW(INDEX(Table4[Unique prefix],1,1))+1),ROWS($G$2:G52)))</f>
        <v>#NUM!</v>
      </c>
      <c r="H52" s="74" t="str">
        <f>IF(ISERROR(G52),"","wireless tag site "&amp;G52&amp;CHAR(10)&amp;" ap-profile "&amp;Design!A165&amp;CHAR(10)&amp;" description "&amp;G52&amp;CHAR(10)&amp;"ap filter name "&amp;G52&amp;CHAR(10)&amp;" ap name-regex "&amp;G52&amp;CHAR(10)&amp;" tag policy "&amp;Design!A172&amp;CHAR(10)&amp;" tag rf "&amp;Design!A177&amp;CHAR(10)&amp;" tag site "&amp;G52&amp;CHAR(10)&amp;"ap filter priority "&amp;F52&amp;" filter-name "&amp;G52)</f>
        <v/>
      </c>
      <c r="I52" s="74" t="str">
        <f>IF(ISERROR(G52),"","wireless tag site "&amp;G52&amp;CHAR(10)&amp;" ap-profile "&amp;Design!A165&amp;CHAR(10)&amp;" description "&amp;G52&amp;CHAR(10)&amp;" no local-site"&amp;CHAR(10)&amp;" flex-profile "&amp;Design!A168&amp;CHAR(10)&amp;"ap filter name "&amp;G52&amp;CHAR(10)&amp;" ap name-regex "&amp;G52&amp;CHAR(10)&amp;" tag policy "&amp;Design!A172&amp;CHAR(10)&amp;" tag rf "&amp;Design!A177&amp;CHAR(10)&amp;" tag site "&amp;G52&amp;CHAR(10)&amp;"ap filter priority "&amp;F52&amp;" filter-name "&amp;G52)</f>
        <v/>
      </c>
    </row>
    <row r="53" spans="6:9" x14ac:dyDescent="0.25">
      <c r="F53" s="73">
        <v>152</v>
      </c>
      <c r="G53" s="73" t="e">
        <f t="array" ref="G53">INDEX(Table4[Unique prefix],SMALL(IF(Table4[Unique prefix]&lt;&gt;"",ROW(Table4[Unique prefix])-ROW(INDEX(Table4[Unique prefix],1,1))+1),ROWS($G$2:G53)))</f>
        <v>#NUM!</v>
      </c>
      <c r="H53" s="74" t="str">
        <f>IF(ISERROR(G53),"","wireless tag site "&amp;G53&amp;CHAR(10)&amp;" ap-profile "&amp;Design!A166&amp;CHAR(10)&amp;" description "&amp;G53&amp;CHAR(10)&amp;"ap filter name "&amp;G53&amp;CHAR(10)&amp;" ap name-regex "&amp;G53&amp;CHAR(10)&amp;" tag policy "&amp;Design!A173&amp;CHAR(10)&amp;" tag rf "&amp;Design!A178&amp;CHAR(10)&amp;" tag site "&amp;G53&amp;CHAR(10)&amp;"ap filter priority "&amp;F53&amp;" filter-name "&amp;G53)</f>
        <v/>
      </c>
      <c r="I53" s="74" t="str">
        <f>IF(ISERROR(G53),"","wireless tag site "&amp;G53&amp;CHAR(10)&amp;" ap-profile "&amp;Design!A166&amp;CHAR(10)&amp;" description "&amp;G53&amp;CHAR(10)&amp;" no local-site"&amp;CHAR(10)&amp;" flex-profile "&amp;Design!A169&amp;CHAR(10)&amp;"ap filter name "&amp;G53&amp;CHAR(10)&amp;" ap name-regex "&amp;G53&amp;CHAR(10)&amp;" tag policy "&amp;Design!A173&amp;CHAR(10)&amp;" tag rf "&amp;Design!A178&amp;CHAR(10)&amp;" tag site "&amp;G53&amp;CHAR(10)&amp;"ap filter priority "&amp;F53&amp;" filter-name "&amp;G53)</f>
        <v/>
      </c>
    </row>
    <row r="54" spans="6:9" x14ac:dyDescent="0.25">
      <c r="F54" s="73">
        <v>153</v>
      </c>
      <c r="G54" s="73" t="e">
        <f t="array" ref="G54">INDEX(Table4[Unique prefix],SMALL(IF(Table4[Unique prefix]&lt;&gt;"",ROW(Table4[Unique prefix])-ROW(INDEX(Table4[Unique prefix],1,1))+1),ROWS($G$2:G54)))</f>
        <v>#NUM!</v>
      </c>
      <c r="H54" s="74" t="str">
        <f>IF(ISERROR(G54),"","wireless tag site "&amp;G54&amp;CHAR(10)&amp;" ap-profile "&amp;Design!A167&amp;CHAR(10)&amp;" description "&amp;G54&amp;CHAR(10)&amp;"ap filter name "&amp;G54&amp;CHAR(10)&amp;" ap name-regex "&amp;G54&amp;CHAR(10)&amp;" tag policy "&amp;Design!A174&amp;CHAR(10)&amp;" tag rf "&amp;Design!A179&amp;CHAR(10)&amp;" tag site "&amp;G54&amp;CHAR(10)&amp;"ap filter priority "&amp;F54&amp;" filter-name "&amp;G54)</f>
        <v/>
      </c>
      <c r="I54" s="74" t="str">
        <f>IF(ISERROR(G54),"","wireless tag site "&amp;G54&amp;CHAR(10)&amp;" ap-profile "&amp;Design!A167&amp;CHAR(10)&amp;" description "&amp;G54&amp;CHAR(10)&amp;" no local-site"&amp;CHAR(10)&amp;" flex-profile "&amp;Design!A170&amp;CHAR(10)&amp;"ap filter name "&amp;G54&amp;CHAR(10)&amp;" ap name-regex "&amp;G54&amp;CHAR(10)&amp;" tag policy "&amp;Design!A174&amp;CHAR(10)&amp;" tag rf "&amp;Design!A179&amp;CHAR(10)&amp;" tag site "&amp;G54&amp;CHAR(10)&amp;"ap filter priority "&amp;F54&amp;" filter-name "&amp;G54)</f>
        <v/>
      </c>
    </row>
    <row r="55" spans="6:9" x14ac:dyDescent="0.25">
      <c r="F55" s="73">
        <v>154</v>
      </c>
      <c r="G55" s="73" t="e">
        <f t="array" ref="G55">INDEX(Table4[Unique prefix],SMALL(IF(Table4[Unique prefix]&lt;&gt;"",ROW(Table4[Unique prefix])-ROW(INDEX(Table4[Unique prefix],1,1))+1),ROWS($G$2:G55)))</f>
        <v>#NUM!</v>
      </c>
      <c r="H55" s="74" t="str">
        <f>IF(ISERROR(G55),"","wireless tag site "&amp;G55&amp;CHAR(10)&amp;" ap-profile "&amp;Design!A168&amp;CHAR(10)&amp;" description "&amp;G55&amp;CHAR(10)&amp;"ap filter name "&amp;G55&amp;CHAR(10)&amp;" ap name-regex "&amp;G55&amp;CHAR(10)&amp;" tag policy "&amp;Design!A175&amp;CHAR(10)&amp;" tag rf "&amp;Design!A180&amp;CHAR(10)&amp;" tag site "&amp;G55&amp;CHAR(10)&amp;"ap filter priority "&amp;F55&amp;" filter-name "&amp;G55)</f>
        <v/>
      </c>
      <c r="I55" s="74" t="str">
        <f>IF(ISERROR(G55),"","wireless tag site "&amp;G55&amp;CHAR(10)&amp;" ap-profile "&amp;Design!A168&amp;CHAR(10)&amp;" description "&amp;G55&amp;CHAR(10)&amp;" no local-site"&amp;CHAR(10)&amp;" flex-profile "&amp;Design!A171&amp;CHAR(10)&amp;"ap filter name "&amp;G55&amp;CHAR(10)&amp;" ap name-regex "&amp;G55&amp;CHAR(10)&amp;" tag policy "&amp;Design!A175&amp;CHAR(10)&amp;" tag rf "&amp;Design!A180&amp;CHAR(10)&amp;" tag site "&amp;G55&amp;CHAR(10)&amp;"ap filter priority "&amp;F55&amp;" filter-name "&amp;G55)</f>
        <v/>
      </c>
    </row>
    <row r="56" spans="6:9" x14ac:dyDescent="0.25">
      <c r="F56" s="73">
        <v>155</v>
      </c>
      <c r="G56" s="73" t="e">
        <f t="array" ref="G56">INDEX(Table4[Unique prefix],SMALL(IF(Table4[Unique prefix]&lt;&gt;"",ROW(Table4[Unique prefix])-ROW(INDEX(Table4[Unique prefix],1,1))+1),ROWS($G$2:G56)))</f>
        <v>#NUM!</v>
      </c>
      <c r="H56" s="74" t="str">
        <f>IF(ISERROR(G56),"","wireless tag site "&amp;G56&amp;CHAR(10)&amp;" ap-profile "&amp;Design!A169&amp;CHAR(10)&amp;" description "&amp;G56&amp;CHAR(10)&amp;"ap filter name "&amp;G56&amp;CHAR(10)&amp;" ap name-regex "&amp;G56&amp;CHAR(10)&amp;" tag policy "&amp;Design!A176&amp;CHAR(10)&amp;" tag rf "&amp;Design!A181&amp;CHAR(10)&amp;" tag site "&amp;G56&amp;CHAR(10)&amp;"ap filter priority "&amp;F56&amp;" filter-name "&amp;G56)</f>
        <v/>
      </c>
      <c r="I56" s="74" t="str">
        <f>IF(ISERROR(G56),"","wireless tag site "&amp;G56&amp;CHAR(10)&amp;" ap-profile "&amp;Design!A169&amp;CHAR(10)&amp;" description "&amp;G56&amp;CHAR(10)&amp;" no local-site"&amp;CHAR(10)&amp;" flex-profile "&amp;Design!A172&amp;CHAR(10)&amp;"ap filter name "&amp;G56&amp;CHAR(10)&amp;" ap name-regex "&amp;G56&amp;CHAR(10)&amp;" tag policy "&amp;Design!A176&amp;CHAR(10)&amp;" tag rf "&amp;Design!A181&amp;CHAR(10)&amp;" tag site "&amp;G56&amp;CHAR(10)&amp;"ap filter priority "&amp;F56&amp;" filter-name "&amp;G56)</f>
        <v/>
      </c>
    </row>
    <row r="57" spans="6:9" x14ac:dyDescent="0.25">
      <c r="F57" s="73">
        <v>156</v>
      </c>
      <c r="G57" s="73" t="e">
        <f t="array" ref="G57">INDEX(Table4[Unique prefix],SMALL(IF(Table4[Unique prefix]&lt;&gt;"",ROW(Table4[Unique prefix])-ROW(INDEX(Table4[Unique prefix],1,1))+1),ROWS($G$2:G57)))</f>
        <v>#NUM!</v>
      </c>
      <c r="H57" s="74" t="str">
        <f>IF(ISERROR(G57),"","wireless tag site "&amp;G57&amp;CHAR(10)&amp;" ap-profile "&amp;Design!A170&amp;CHAR(10)&amp;" description "&amp;G57&amp;CHAR(10)&amp;"ap filter name "&amp;G57&amp;CHAR(10)&amp;" ap name-regex "&amp;G57&amp;CHAR(10)&amp;" tag policy "&amp;Design!A177&amp;CHAR(10)&amp;" tag rf "&amp;Design!A182&amp;CHAR(10)&amp;" tag site "&amp;G57&amp;CHAR(10)&amp;"ap filter priority "&amp;F57&amp;" filter-name "&amp;G57)</f>
        <v/>
      </c>
      <c r="I57" s="74" t="str">
        <f>IF(ISERROR(G57),"","wireless tag site "&amp;G57&amp;CHAR(10)&amp;" ap-profile "&amp;Design!A170&amp;CHAR(10)&amp;" description "&amp;G57&amp;CHAR(10)&amp;" no local-site"&amp;CHAR(10)&amp;" flex-profile "&amp;Design!A173&amp;CHAR(10)&amp;"ap filter name "&amp;G57&amp;CHAR(10)&amp;" ap name-regex "&amp;G57&amp;CHAR(10)&amp;" tag policy "&amp;Design!A177&amp;CHAR(10)&amp;" tag rf "&amp;Design!A182&amp;CHAR(10)&amp;" tag site "&amp;G57&amp;CHAR(10)&amp;"ap filter priority "&amp;F57&amp;" filter-name "&amp;G57)</f>
        <v/>
      </c>
    </row>
    <row r="58" spans="6:9" x14ac:dyDescent="0.25">
      <c r="F58" s="73">
        <v>157</v>
      </c>
      <c r="G58" s="73" t="e">
        <f t="array" ref="G58">INDEX(Table4[Unique prefix],SMALL(IF(Table4[Unique prefix]&lt;&gt;"",ROW(Table4[Unique prefix])-ROW(INDEX(Table4[Unique prefix],1,1))+1),ROWS($G$2:G58)))</f>
        <v>#NUM!</v>
      </c>
      <c r="H58" s="74" t="str">
        <f>IF(ISERROR(G58),"","wireless tag site "&amp;G58&amp;CHAR(10)&amp;" ap-profile "&amp;Design!A171&amp;CHAR(10)&amp;" description "&amp;G58&amp;CHAR(10)&amp;"ap filter name "&amp;G58&amp;CHAR(10)&amp;" ap name-regex "&amp;G58&amp;CHAR(10)&amp;" tag policy "&amp;Design!A178&amp;CHAR(10)&amp;" tag rf "&amp;Design!A183&amp;CHAR(10)&amp;" tag site "&amp;G58&amp;CHAR(10)&amp;"ap filter priority "&amp;F58&amp;" filter-name "&amp;G58)</f>
        <v/>
      </c>
      <c r="I58" s="74" t="str">
        <f>IF(ISERROR(G58),"","wireless tag site "&amp;G58&amp;CHAR(10)&amp;" ap-profile "&amp;Design!A171&amp;CHAR(10)&amp;" description "&amp;G58&amp;CHAR(10)&amp;" no local-site"&amp;CHAR(10)&amp;" flex-profile "&amp;Design!A174&amp;CHAR(10)&amp;"ap filter name "&amp;G58&amp;CHAR(10)&amp;" ap name-regex "&amp;G58&amp;CHAR(10)&amp;" tag policy "&amp;Design!A178&amp;CHAR(10)&amp;" tag rf "&amp;Design!A183&amp;CHAR(10)&amp;" tag site "&amp;G58&amp;CHAR(10)&amp;"ap filter priority "&amp;F58&amp;" filter-name "&amp;G58)</f>
        <v/>
      </c>
    </row>
    <row r="59" spans="6:9" x14ac:dyDescent="0.25">
      <c r="F59" s="73">
        <v>158</v>
      </c>
      <c r="G59" s="73" t="e">
        <f t="array" ref="G59">INDEX(Table4[Unique prefix],SMALL(IF(Table4[Unique prefix]&lt;&gt;"",ROW(Table4[Unique prefix])-ROW(INDEX(Table4[Unique prefix],1,1))+1),ROWS($G$2:G59)))</f>
        <v>#NUM!</v>
      </c>
      <c r="H59" s="74" t="str">
        <f>IF(ISERROR(G59),"","wireless tag site "&amp;G59&amp;CHAR(10)&amp;" ap-profile "&amp;Design!A172&amp;CHAR(10)&amp;" description "&amp;G59&amp;CHAR(10)&amp;"ap filter name "&amp;G59&amp;CHAR(10)&amp;" ap name-regex "&amp;G59&amp;CHAR(10)&amp;" tag policy "&amp;Design!A179&amp;CHAR(10)&amp;" tag rf "&amp;Design!A184&amp;CHAR(10)&amp;" tag site "&amp;G59&amp;CHAR(10)&amp;"ap filter priority "&amp;F59&amp;" filter-name "&amp;G59)</f>
        <v/>
      </c>
      <c r="I59" s="74" t="str">
        <f>IF(ISERROR(G59),"","wireless tag site "&amp;G59&amp;CHAR(10)&amp;" ap-profile "&amp;Design!A172&amp;CHAR(10)&amp;" description "&amp;G59&amp;CHAR(10)&amp;" no local-site"&amp;CHAR(10)&amp;" flex-profile "&amp;Design!A175&amp;CHAR(10)&amp;"ap filter name "&amp;G59&amp;CHAR(10)&amp;" ap name-regex "&amp;G59&amp;CHAR(10)&amp;" tag policy "&amp;Design!A179&amp;CHAR(10)&amp;" tag rf "&amp;Design!A184&amp;CHAR(10)&amp;" tag site "&amp;G59&amp;CHAR(10)&amp;"ap filter priority "&amp;F59&amp;" filter-name "&amp;G59)</f>
        <v/>
      </c>
    </row>
    <row r="60" spans="6:9" x14ac:dyDescent="0.25">
      <c r="F60" s="73">
        <v>159</v>
      </c>
      <c r="G60" s="73" t="e">
        <f t="array" ref="G60">INDEX(Table4[Unique prefix],SMALL(IF(Table4[Unique prefix]&lt;&gt;"",ROW(Table4[Unique prefix])-ROW(INDEX(Table4[Unique prefix],1,1))+1),ROWS($G$2:G60)))</f>
        <v>#NUM!</v>
      </c>
      <c r="H60" s="74" t="str">
        <f>IF(ISERROR(G60),"","wireless tag site "&amp;G60&amp;CHAR(10)&amp;" ap-profile "&amp;Design!A173&amp;CHAR(10)&amp;" description "&amp;G60&amp;CHAR(10)&amp;"ap filter name "&amp;G60&amp;CHAR(10)&amp;" ap name-regex "&amp;G60&amp;CHAR(10)&amp;" tag policy "&amp;Design!A180&amp;CHAR(10)&amp;" tag rf "&amp;Design!A185&amp;CHAR(10)&amp;" tag site "&amp;G60&amp;CHAR(10)&amp;"ap filter priority "&amp;F60&amp;" filter-name "&amp;G60)</f>
        <v/>
      </c>
      <c r="I60" s="74" t="str">
        <f>IF(ISERROR(G60),"","wireless tag site "&amp;G60&amp;CHAR(10)&amp;" ap-profile "&amp;Design!A173&amp;CHAR(10)&amp;" description "&amp;G60&amp;CHAR(10)&amp;" no local-site"&amp;CHAR(10)&amp;" flex-profile "&amp;Design!A176&amp;CHAR(10)&amp;"ap filter name "&amp;G60&amp;CHAR(10)&amp;" ap name-regex "&amp;G60&amp;CHAR(10)&amp;" tag policy "&amp;Design!A180&amp;CHAR(10)&amp;" tag rf "&amp;Design!A185&amp;CHAR(10)&amp;" tag site "&amp;G60&amp;CHAR(10)&amp;"ap filter priority "&amp;F60&amp;" filter-name "&amp;G60)</f>
        <v/>
      </c>
    </row>
    <row r="61" spans="6:9" x14ac:dyDescent="0.25">
      <c r="F61" s="73">
        <v>160</v>
      </c>
      <c r="G61" s="73" t="e">
        <f t="array" ref="G61">INDEX(Table4[Unique prefix],SMALL(IF(Table4[Unique prefix]&lt;&gt;"",ROW(Table4[Unique prefix])-ROW(INDEX(Table4[Unique prefix],1,1))+1),ROWS($G$2:G61)))</f>
        <v>#NUM!</v>
      </c>
      <c r="H61" s="74" t="str">
        <f>IF(ISERROR(G61),"","wireless tag site "&amp;G61&amp;CHAR(10)&amp;" ap-profile "&amp;Design!A174&amp;CHAR(10)&amp;" description "&amp;G61&amp;CHAR(10)&amp;"ap filter name "&amp;G61&amp;CHAR(10)&amp;" ap name-regex "&amp;G61&amp;CHAR(10)&amp;" tag policy "&amp;Design!A181&amp;CHAR(10)&amp;" tag rf "&amp;Design!A186&amp;CHAR(10)&amp;" tag site "&amp;G61&amp;CHAR(10)&amp;"ap filter priority "&amp;F61&amp;" filter-name "&amp;G61)</f>
        <v/>
      </c>
      <c r="I61" s="74" t="str">
        <f>IF(ISERROR(G61),"","wireless tag site "&amp;G61&amp;CHAR(10)&amp;" ap-profile "&amp;Design!A174&amp;CHAR(10)&amp;" description "&amp;G61&amp;CHAR(10)&amp;" no local-site"&amp;CHAR(10)&amp;" flex-profile "&amp;Design!A177&amp;CHAR(10)&amp;"ap filter name "&amp;G61&amp;CHAR(10)&amp;" ap name-regex "&amp;G61&amp;CHAR(10)&amp;" tag policy "&amp;Design!A181&amp;CHAR(10)&amp;" tag rf "&amp;Design!A186&amp;CHAR(10)&amp;" tag site "&amp;G61&amp;CHAR(10)&amp;"ap filter priority "&amp;F61&amp;" filter-name "&amp;G61)</f>
        <v/>
      </c>
    </row>
    <row r="62" spans="6:9" x14ac:dyDescent="0.25">
      <c r="F62" s="73">
        <v>161</v>
      </c>
      <c r="G62" s="73" t="e">
        <f t="array" ref="G62">INDEX(Table4[Unique prefix],SMALL(IF(Table4[Unique prefix]&lt;&gt;"",ROW(Table4[Unique prefix])-ROW(INDEX(Table4[Unique prefix],1,1))+1),ROWS($G$2:G62)))</f>
        <v>#NUM!</v>
      </c>
      <c r="H62" s="74" t="str">
        <f>IF(ISERROR(G62),"","wireless tag site "&amp;G62&amp;CHAR(10)&amp;" ap-profile "&amp;Design!A175&amp;CHAR(10)&amp;" description "&amp;G62&amp;CHAR(10)&amp;"ap filter name "&amp;G62&amp;CHAR(10)&amp;" ap name-regex "&amp;G62&amp;CHAR(10)&amp;" tag policy "&amp;Design!A182&amp;CHAR(10)&amp;" tag rf "&amp;Design!A187&amp;CHAR(10)&amp;" tag site "&amp;G62&amp;CHAR(10)&amp;"ap filter priority "&amp;F62&amp;" filter-name "&amp;G62)</f>
        <v/>
      </c>
      <c r="I62" s="74" t="str">
        <f>IF(ISERROR(G62),"","wireless tag site "&amp;G62&amp;CHAR(10)&amp;" ap-profile "&amp;Design!A175&amp;CHAR(10)&amp;" description "&amp;G62&amp;CHAR(10)&amp;" no local-site"&amp;CHAR(10)&amp;" flex-profile "&amp;Design!A178&amp;CHAR(10)&amp;"ap filter name "&amp;G62&amp;CHAR(10)&amp;" ap name-regex "&amp;G62&amp;CHAR(10)&amp;" tag policy "&amp;Design!A182&amp;CHAR(10)&amp;" tag rf "&amp;Design!A187&amp;CHAR(10)&amp;" tag site "&amp;G62&amp;CHAR(10)&amp;"ap filter priority "&amp;F62&amp;" filter-name "&amp;G62)</f>
        <v/>
      </c>
    </row>
    <row r="63" spans="6:9" x14ac:dyDescent="0.25">
      <c r="F63" s="73">
        <v>162</v>
      </c>
      <c r="G63" s="73" t="e">
        <f t="array" ref="G63">INDEX(Table4[Unique prefix],SMALL(IF(Table4[Unique prefix]&lt;&gt;"",ROW(Table4[Unique prefix])-ROW(INDEX(Table4[Unique prefix],1,1))+1),ROWS($G$2:G63)))</f>
        <v>#NUM!</v>
      </c>
      <c r="H63" s="74" t="str">
        <f>IF(ISERROR(G63),"","wireless tag site "&amp;G63&amp;CHAR(10)&amp;" ap-profile "&amp;Design!A176&amp;CHAR(10)&amp;" description "&amp;G63&amp;CHAR(10)&amp;"ap filter name "&amp;G63&amp;CHAR(10)&amp;" ap name-regex "&amp;G63&amp;CHAR(10)&amp;" tag policy "&amp;Design!A183&amp;CHAR(10)&amp;" tag rf "&amp;Design!A188&amp;CHAR(10)&amp;" tag site "&amp;G63&amp;CHAR(10)&amp;"ap filter priority "&amp;F63&amp;" filter-name "&amp;G63)</f>
        <v/>
      </c>
      <c r="I63" s="74" t="str">
        <f>IF(ISERROR(G63),"","wireless tag site "&amp;G63&amp;CHAR(10)&amp;" ap-profile "&amp;Design!A176&amp;CHAR(10)&amp;" description "&amp;G63&amp;CHAR(10)&amp;" no local-site"&amp;CHAR(10)&amp;" flex-profile "&amp;Design!A179&amp;CHAR(10)&amp;"ap filter name "&amp;G63&amp;CHAR(10)&amp;" ap name-regex "&amp;G63&amp;CHAR(10)&amp;" tag policy "&amp;Design!A183&amp;CHAR(10)&amp;" tag rf "&amp;Design!A188&amp;CHAR(10)&amp;" tag site "&amp;G63&amp;CHAR(10)&amp;"ap filter priority "&amp;F63&amp;" filter-name "&amp;G63)</f>
        <v/>
      </c>
    </row>
    <row r="64" spans="6:9" x14ac:dyDescent="0.25">
      <c r="F64" s="73">
        <v>163</v>
      </c>
      <c r="G64" s="73" t="e">
        <f t="array" ref="G64">INDEX(Table4[Unique prefix],SMALL(IF(Table4[Unique prefix]&lt;&gt;"",ROW(Table4[Unique prefix])-ROW(INDEX(Table4[Unique prefix],1,1))+1),ROWS($G$2:G64)))</f>
        <v>#NUM!</v>
      </c>
      <c r="H64" s="74" t="str">
        <f>IF(ISERROR(G64),"","wireless tag site "&amp;G64&amp;CHAR(10)&amp;" ap-profile "&amp;Design!A177&amp;CHAR(10)&amp;" description "&amp;G64&amp;CHAR(10)&amp;"ap filter name "&amp;G64&amp;CHAR(10)&amp;" ap name-regex "&amp;G64&amp;CHAR(10)&amp;" tag policy "&amp;Design!A184&amp;CHAR(10)&amp;" tag rf "&amp;Design!A189&amp;CHAR(10)&amp;" tag site "&amp;G64&amp;CHAR(10)&amp;"ap filter priority "&amp;F64&amp;" filter-name "&amp;G64)</f>
        <v/>
      </c>
      <c r="I64" s="74" t="str">
        <f>IF(ISERROR(G64),"","wireless tag site "&amp;G64&amp;CHAR(10)&amp;" ap-profile "&amp;Design!A177&amp;CHAR(10)&amp;" description "&amp;G64&amp;CHAR(10)&amp;" no local-site"&amp;CHAR(10)&amp;" flex-profile "&amp;Design!A180&amp;CHAR(10)&amp;"ap filter name "&amp;G64&amp;CHAR(10)&amp;" ap name-regex "&amp;G64&amp;CHAR(10)&amp;" tag policy "&amp;Design!A184&amp;CHAR(10)&amp;" tag rf "&amp;Design!A189&amp;CHAR(10)&amp;" tag site "&amp;G64&amp;CHAR(10)&amp;"ap filter priority "&amp;F64&amp;" filter-name "&amp;G64)</f>
        <v/>
      </c>
    </row>
    <row r="65" spans="6:9" x14ac:dyDescent="0.25">
      <c r="F65" s="73">
        <v>164</v>
      </c>
      <c r="G65" s="73" t="e">
        <f t="array" ref="G65">INDEX(Table4[Unique prefix],SMALL(IF(Table4[Unique prefix]&lt;&gt;"",ROW(Table4[Unique prefix])-ROW(INDEX(Table4[Unique prefix],1,1))+1),ROWS($G$2:G65)))</f>
        <v>#NUM!</v>
      </c>
      <c r="H65" s="74" t="str">
        <f>IF(ISERROR(G65),"","wireless tag site "&amp;G65&amp;CHAR(10)&amp;" ap-profile "&amp;Design!A178&amp;CHAR(10)&amp;" description "&amp;G65&amp;CHAR(10)&amp;"ap filter name "&amp;G65&amp;CHAR(10)&amp;" ap name-regex "&amp;G65&amp;CHAR(10)&amp;" tag policy "&amp;Design!A185&amp;CHAR(10)&amp;" tag rf "&amp;Design!A190&amp;CHAR(10)&amp;" tag site "&amp;G65&amp;CHAR(10)&amp;"ap filter priority "&amp;F65&amp;" filter-name "&amp;G65)</f>
        <v/>
      </c>
      <c r="I65" s="74" t="str">
        <f>IF(ISERROR(G65),"","wireless tag site "&amp;G65&amp;CHAR(10)&amp;" ap-profile "&amp;Design!A178&amp;CHAR(10)&amp;" description "&amp;G65&amp;CHAR(10)&amp;" no local-site"&amp;CHAR(10)&amp;" flex-profile "&amp;Design!A181&amp;CHAR(10)&amp;"ap filter name "&amp;G65&amp;CHAR(10)&amp;" ap name-regex "&amp;G65&amp;CHAR(10)&amp;" tag policy "&amp;Design!A185&amp;CHAR(10)&amp;" tag rf "&amp;Design!A190&amp;CHAR(10)&amp;" tag site "&amp;G65&amp;CHAR(10)&amp;"ap filter priority "&amp;F65&amp;" filter-name "&amp;G65)</f>
        <v/>
      </c>
    </row>
    <row r="66" spans="6:9" x14ac:dyDescent="0.25">
      <c r="F66" s="73">
        <v>165</v>
      </c>
      <c r="G66" s="73" t="e">
        <f t="array" ref="G66">INDEX(Table4[Unique prefix],SMALL(IF(Table4[Unique prefix]&lt;&gt;"",ROW(Table4[Unique prefix])-ROW(INDEX(Table4[Unique prefix],1,1))+1),ROWS($G$2:G66)))</f>
        <v>#NUM!</v>
      </c>
      <c r="H66" s="74" t="str">
        <f>IF(ISERROR(G66),"","wireless tag site "&amp;G66&amp;CHAR(10)&amp;" ap-profile "&amp;Design!A179&amp;CHAR(10)&amp;" description "&amp;G66&amp;CHAR(10)&amp;"ap filter name "&amp;G66&amp;CHAR(10)&amp;" ap name-regex "&amp;G66&amp;CHAR(10)&amp;" tag policy "&amp;Design!A186&amp;CHAR(10)&amp;" tag rf "&amp;Design!A191&amp;CHAR(10)&amp;" tag site "&amp;G66&amp;CHAR(10)&amp;"ap filter priority "&amp;F66&amp;" filter-name "&amp;G66)</f>
        <v/>
      </c>
      <c r="I66" s="74" t="str">
        <f>IF(ISERROR(G66),"","wireless tag site "&amp;G66&amp;CHAR(10)&amp;" ap-profile "&amp;Design!A179&amp;CHAR(10)&amp;" description "&amp;G66&amp;CHAR(10)&amp;" no local-site"&amp;CHAR(10)&amp;" flex-profile "&amp;Design!A182&amp;CHAR(10)&amp;"ap filter name "&amp;G66&amp;CHAR(10)&amp;" ap name-regex "&amp;G66&amp;CHAR(10)&amp;" tag policy "&amp;Design!A186&amp;CHAR(10)&amp;" tag rf "&amp;Design!A191&amp;CHAR(10)&amp;" tag site "&amp;G66&amp;CHAR(10)&amp;"ap filter priority "&amp;F66&amp;" filter-name "&amp;G66)</f>
        <v/>
      </c>
    </row>
    <row r="67" spans="6:9" x14ac:dyDescent="0.25">
      <c r="F67" s="73">
        <v>166</v>
      </c>
      <c r="G67" s="73" t="e">
        <f t="array" ref="G67">INDEX(Table4[Unique prefix],SMALL(IF(Table4[Unique prefix]&lt;&gt;"",ROW(Table4[Unique prefix])-ROW(INDEX(Table4[Unique prefix],1,1))+1),ROWS($G$2:G67)))</f>
        <v>#NUM!</v>
      </c>
      <c r="H67" s="74" t="str">
        <f>IF(ISERROR(G67),"","wireless tag site "&amp;G67&amp;CHAR(10)&amp;" ap-profile "&amp;Design!A180&amp;CHAR(10)&amp;" description "&amp;G67&amp;CHAR(10)&amp;"ap filter name "&amp;G67&amp;CHAR(10)&amp;" ap name-regex "&amp;G67&amp;CHAR(10)&amp;" tag policy "&amp;Design!A187&amp;CHAR(10)&amp;" tag rf "&amp;Design!A192&amp;CHAR(10)&amp;" tag site "&amp;G67&amp;CHAR(10)&amp;"ap filter priority "&amp;F67&amp;" filter-name "&amp;G67)</f>
        <v/>
      </c>
      <c r="I67" s="74" t="str">
        <f>IF(ISERROR(G67),"","wireless tag site "&amp;G67&amp;CHAR(10)&amp;" ap-profile "&amp;Design!A180&amp;CHAR(10)&amp;" description "&amp;G67&amp;CHAR(10)&amp;" no local-site"&amp;CHAR(10)&amp;" flex-profile "&amp;Design!A183&amp;CHAR(10)&amp;"ap filter name "&amp;G67&amp;CHAR(10)&amp;" ap name-regex "&amp;G67&amp;CHAR(10)&amp;" tag policy "&amp;Design!A187&amp;CHAR(10)&amp;" tag rf "&amp;Design!A192&amp;CHAR(10)&amp;" tag site "&amp;G67&amp;CHAR(10)&amp;"ap filter priority "&amp;F67&amp;" filter-name "&amp;G67)</f>
        <v/>
      </c>
    </row>
    <row r="68" spans="6:9" x14ac:dyDescent="0.25">
      <c r="F68" s="73">
        <v>167</v>
      </c>
      <c r="G68" s="73" t="e">
        <f t="array" ref="G68">INDEX(Table4[Unique prefix],SMALL(IF(Table4[Unique prefix]&lt;&gt;"",ROW(Table4[Unique prefix])-ROW(INDEX(Table4[Unique prefix],1,1))+1),ROWS($G$2:G68)))</f>
        <v>#NUM!</v>
      </c>
      <c r="H68" s="74" t="str">
        <f>IF(ISERROR(G68),"","wireless tag site "&amp;G68&amp;CHAR(10)&amp;" ap-profile "&amp;Design!A181&amp;CHAR(10)&amp;" description "&amp;G68&amp;CHAR(10)&amp;"ap filter name "&amp;G68&amp;CHAR(10)&amp;" ap name-regex "&amp;G68&amp;CHAR(10)&amp;" tag policy "&amp;Design!A188&amp;CHAR(10)&amp;" tag rf "&amp;Design!A193&amp;CHAR(10)&amp;" tag site "&amp;G68&amp;CHAR(10)&amp;"ap filter priority "&amp;F68&amp;" filter-name "&amp;G68)</f>
        <v/>
      </c>
      <c r="I68" s="74" t="str">
        <f>IF(ISERROR(G68),"","wireless tag site "&amp;G68&amp;CHAR(10)&amp;" ap-profile "&amp;Design!A181&amp;CHAR(10)&amp;" description "&amp;G68&amp;CHAR(10)&amp;" no local-site"&amp;CHAR(10)&amp;" flex-profile "&amp;Design!A184&amp;CHAR(10)&amp;"ap filter name "&amp;G68&amp;CHAR(10)&amp;" ap name-regex "&amp;G68&amp;CHAR(10)&amp;" tag policy "&amp;Design!A188&amp;CHAR(10)&amp;" tag rf "&amp;Design!A193&amp;CHAR(10)&amp;" tag site "&amp;G68&amp;CHAR(10)&amp;"ap filter priority "&amp;F68&amp;" filter-name "&amp;G68)</f>
        <v/>
      </c>
    </row>
    <row r="69" spans="6:9" x14ac:dyDescent="0.25">
      <c r="F69" s="73">
        <v>168</v>
      </c>
      <c r="G69" s="73" t="e">
        <f t="array" ref="G69">INDEX(Table4[Unique prefix],SMALL(IF(Table4[Unique prefix]&lt;&gt;"",ROW(Table4[Unique prefix])-ROW(INDEX(Table4[Unique prefix],1,1))+1),ROWS($G$2:G69)))</f>
        <v>#NUM!</v>
      </c>
      <c r="H69" s="74" t="str">
        <f>IF(ISERROR(G69),"","wireless tag site "&amp;G69&amp;CHAR(10)&amp;" ap-profile "&amp;Design!A182&amp;CHAR(10)&amp;" description "&amp;G69&amp;CHAR(10)&amp;"ap filter name "&amp;G69&amp;CHAR(10)&amp;" ap name-regex "&amp;G69&amp;CHAR(10)&amp;" tag policy "&amp;Design!A189&amp;CHAR(10)&amp;" tag rf "&amp;Design!A194&amp;CHAR(10)&amp;" tag site "&amp;G69&amp;CHAR(10)&amp;"ap filter priority "&amp;F69&amp;" filter-name "&amp;G69)</f>
        <v/>
      </c>
      <c r="I69" s="74" t="str">
        <f>IF(ISERROR(G69),"","wireless tag site "&amp;G69&amp;CHAR(10)&amp;" ap-profile "&amp;Design!A182&amp;CHAR(10)&amp;" description "&amp;G69&amp;CHAR(10)&amp;" no local-site"&amp;CHAR(10)&amp;" flex-profile "&amp;Design!A185&amp;CHAR(10)&amp;"ap filter name "&amp;G69&amp;CHAR(10)&amp;" ap name-regex "&amp;G69&amp;CHAR(10)&amp;" tag policy "&amp;Design!A189&amp;CHAR(10)&amp;" tag rf "&amp;Design!A194&amp;CHAR(10)&amp;" tag site "&amp;G69&amp;CHAR(10)&amp;"ap filter priority "&amp;F69&amp;" filter-name "&amp;G69)</f>
        <v/>
      </c>
    </row>
    <row r="70" spans="6:9" x14ac:dyDescent="0.25">
      <c r="F70" s="73">
        <v>169</v>
      </c>
      <c r="G70" s="73" t="e">
        <f t="array" ref="G70">INDEX(Table4[Unique prefix],SMALL(IF(Table4[Unique prefix]&lt;&gt;"",ROW(Table4[Unique prefix])-ROW(INDEX(Table4[Unique prefix],1,1))+1),ROWS($G$2:G70)))</f>
        <v>#NUM!</v>
      </c>
      <c r="H70" s="74" t="str">
        <f>IF(ISERROR(G70),"","wireless tag site "&amp;G70&amp;CHAR(10)&amp;" ap-profile "&amp;Design!A183&amp;CHAR(10)&amp;" description "&amp;G70&amp;CHAR(10)&amp;"ap filter name "&amp;G70&amp;CHAR(10)&amp;" ap name-regex "&amp;G70&amp;CHAR(10)&amp;" tag policy "&amp;Design!A190&amp;CHAR(10)&amp;" tag rf "&amp;Design!A195&amp;CHAR(10)&amp;" tag site "&amp;G70&amp;CHAR(10)&amp;"ap filter priority "&amp;F70&amp;" filter-name "&amp;G70)</f>
        <v/>
      </c>
      <c r="I70" s="74" t="str">
        <f>IF(ISERROR(G70),"","wireless tag site "&amp;G70&amp;CHAR(10)&amp;" ap-profile "&amp;Design!A183&amp;CHAR(10)&amp;" description "&amp;G70&amp;CHAR(10)&amp;" no local-site"&amp;CHAR(10)&amp;" flex-profile "&amp;Design!A186&amp;CHAR(10)&amp;"ap filter name "&amp;G70&amp;CHAR(10)&amp;" ap name-regex "&amp;G70&amp;CHAR(10)&amp;" tag policy "&amp;Design!A190&amp;CHAR(10)&amp;" tag rf "&amp;Design!A195&amp;CHAR(10)&amp;" tag site "&amp;G70&amp;CHAR(10)&amp;"ap filter priority "&amp;F70&amp;" filter-name "&amp;G70)</f>
        <v/>
      </c>
    </row>
    <row r="71" spans="6:9" x14ac:dyDescent="0.25">
      <c r="F71" s="73">
        <v>170</v>
      </c>
      <c r="G71" s="73" t="e">
        <f t="array" ref="G71">INDEX(Table4[Unique prefix],SMALL(IF(Table4[Unique prefix]&lt;&gt;"",ROW(Table4[Unique prefix])-ROW(INDEX(Table4[Unique prefix],1,1))+1),ROWS($G$2:G71)))</f>
        <v>#NUM!</v>
      </c>
      <c r="H71" s="74" t="str">
        <f>IF(ISERROR(G71),"","wireless tag site "&amp;G71&amp;CHAR(10)&amp;" ap-profile "&amp;Design!A184&amp;CHAR(10)&amp;" description "&amp;G71&amp;CHAR(10)&amp;"ap filter name "&amp;G71&amp;CHAR(10)&amp;" ap name-regex "&amp;G71&amp;CHAR(10)&amp;" tag policy "&amp;Design!A191&amp;CHAR(10)&amp;" tag rf "&amp;Design!A196&amp;CHAR(10)&amp;" tag site "&amp;G71&amp;CHAR(10)&amp;"ap filter priority "&amp;F71&amp;" filter-name "&amp;G71)</f>
        <v/>
      </c>
      <c r="I71" s="74" t="str">
        <f>IF(ISERROR(G71),"","wireless tag site "&amp;G71&amp;CHAR(10)&amp;" ap-profile "&amp;Design!A184&amp;CHAR(10)&amp;" description "&amp;G71&amp;CHAR(10)&amp;" no local-site"&amp;CHAR(10)&amp;" flex-profile "&amp;Design!A187&amp;CHAR(10)&amp;"ap filter name "&amp;G71&amp;CHAR(10)&amp;" ap name-regex "&amp;G71&amp;CHAR(10)&amp;" tag policy "&amp;Design!A191&amp;CHAR(10)&amp;" tag rf "&amp;Design!A196&amp;CHAR(10)&amp;" tag site "&amp;G71&amp;CHAR(10)&amp;"ap filter priority "&amp;F71&amp;" filter-name "&amp;G71)</f>
        <v/>
      </c>
    </row>
    <row r="72" spans="6:9" x14ac:dyDescent="0.25">
      <c r="F72" s="73">
        <v>171</v>
      </c>
      <c r="G72" s="73" t="e">
        <f t="array" ref="G72">INDEX(Table4[Unique prefix],SMALL(IF(Table4[Unique prefix]&lt;&gt;"",ROW(Table4[Unique prefix])-ROW(INDEX(Table4[Unique prefix],1,1))+1),ROWS($G$2:G72)))</f>
        <v>#NUM!</v>
      </c>
      <c r="H72" s="74" t="str">
        <f>IF(ISERROR(G72),"","wireless tag site "&amp;G72&amp;CHAR(10)&amp;" ap-profile "&amp;Design!A185&amp;CHAR(10)&amp;" description "&amp;G72&amp;CHAR(10)&amp;"ap filter name "&amp;G72&amp;CHAR(10)&amp;" ap name-regex "&amp;G72&amp;CHAR(10)&amp;" tag policy "&amp;Design!A192&amp;CHAR(10)&amp;" tag rf "&amp;Design!A197&amp;CHAR(10)&amp;" tag site "&amp;G72&amp;CHAR(10)&amp;"ap filter priority "&amp;F72&amp;" filter-name "&amp;G72)</f>
        <v/>
      </c>
      <c r="I72" s="74" t="str">
        <f>IF(ISERROR(G72),"","wireless tag site "&amp;G72&amp;CHAR(10)&amp;" ap-profile "&amp;Design!A185&amp;CHAR(10)&amp;" description "&amp;G72&amp;CHAR(10)&amp;" no local-site"&amp;CHAR(10)&amp;" flex-profile "&amp;Design!A188&amp;CHAR(10)&amp;"ap filter name "&amp;G72&amp;CHAR(10)&amp;" ap name-regex "&amp;G72&amp;CHAR(10)&amp;" tag policy "&amp;Design!A192&amp;CHAR(10)&amp;" tag rf "&amp;Design!A197&amp;CHAR(10)&amp;" tag site "&amp;G72&amp;CHAR(10)&amp;"ap filter priority "&amp;F72&amp;" filter-name "&amp;G72)</f>
        <v/>
      </c>
    </row>
    <row r="73" spans="6:9" x14ac:dyDescent="0.25">
      <c r="F73" s="73">
        <v>172</v>
      </c>
      <c r="G73" s="73" t="e">
        <f t="array" ref="G73">INDEX(Table4[Unique prefix],SMALL(IF(Table4[Unique prefix]&lt;&gt;"",ROW(Table4[Unique prefix])-ROW(INDEX(Table4[Unique prefix],1,1))+1),ROWS($G$2:G73)))</f>
        <v>#NUM!</v>
      </c>
      <c r="H73" s="74" t="str">
        <f>IF(ISERROR(G73),"","wireless tag site "&amp;G73&amp;CHAR(10)&amp;" ap-profile "&amp;Design!A186&amp;CHAR(10)&amp;" description "&amp;G73&amp;CHAR(10)&amp;"ap filter name "&amp;G73&amp;CHAR(10)&amp;" ap name-regex "&amp;G73&amp;CHAR(10)&amp;" tag policy "&amp;Design!A193&amp;CHAR(10)&amp;" tag rf "&amp;Design!A198&amp;CHAR(10)&amp;" tag site "&amp;G73&amp;CHAR(10)&amp;"ap filter priority "&amp;F73&amp;" filter-name "&amp;G73)</f>
        <v/>
      </c>
      <c r="I73" s="74" t="str">
        <f>IF(ISERROR(G73),"","wireless tag site "&amp;G73&amp;CHAR(10)&amp;" ap-profile "&amp;Design!A186&amp;CHAR(10)&amp;" description "&amp;G73&amp;CHAR(10)&amp;" no local-site"&amp;CHAR(10)&amp;" flex-profile "&amp;Design!A189&amp;CHAR(10)&amp;"ap filter name "&amp;G73&amp;CHAR(10)&amp;" ap name-regex "&amp;G73&amp;CHAR(10)&amp;" tag policy "&amp;Design!A193&amp;CHAR(10)&amp;" tag rf "&amp;Design!A198&amp;CHAR(10)&amp;" tag site "&amp;G73&amp;CHAR(10)&amp;"ap filter priority "&amp;F73&amp;" filter-name "&amp;G73)</f>
        <v/>
      </c>
    </row>
    <row r="74" spans="6:9" x14ac:dyDescent="0.25">
      <c r="F74" s="73">
        <v>173</v>
      </c>
      <c r="G74" s="73" t="e">
        <f t="array" ref="G74">INDEX(Table4[Unique prefix],SMALL(IF(Table4[Unique prefix]&lt;&gt;"",ROW(Table4[Unique prefix])-ROW(INDEX(Table4[Unique prefix],1,1))+1),ROWS($G$2:G74)))</f>
        <v>#NUM!</v>
      </c>
      <c r="H74" s="74" t="str">
        <f>IF(ISERROR(G74),"","wireless tag site "&amp;G74&amp;CHAR(10)&amp;" ap-profile "&amp;Design!A187&amp;CHAR(10)&amp;" description "&amp;G74&amp;CHAR(10)&amp;"ap filter name "&amp;G74&amp;CHAR(10)&amp;" ap name-regex "&amp;G74&amp;CHAR(10)&amp;" tag policy "&amp;Design!A194&amp;CHAR(10)&amp;" tag rf "&amp;Design!A199&amp;CHAR(10)&amp;" tag site "&amp;G74&amp;CHAR(10)&amp;"ap filter priority "&amp;F74&amp;" filter-name "&amp;G74)</f>
        <v/>
      </c>
      <c r="I74" s="74" t="str">
        <f>IF(ISERROR(G74),"","wireless tag site "&amp;G74&amp;CHAR(10)&amp;" ap-profile "&amp;Design!A187&amp;CHAR(10)&amp;" description "&amp;G74&amp;CHAR(10)&amp;" no local-site"&amp;CHAR(10)&amp;" flex-profile "&amp;Design!A190&amp;CHAR(10)&amp;"ap filter name "&amp;G74&amp;CHAR(10)&amp;" ap name-regex "&amp;G74&amp;CHAR(10)&amp;" tag policy "&amp;Design!A194&amp;CHAR(10)&amp;" tag rf "&amp;Design!A199&amp;CHAR(10)&amp;" tag site "&amp;G74&amp;CHAR(10)&amp;"ap filter priority "&amp;F74&amp;" filter-name "&amp;G74)</f>
        <v/>
      </c>
    </row>
    <row r="75" spans="6:9" x14ac:dyDescent="0.25">
      <c r="F75" s="73">
        <v>174</v>
      </c>
      <c r="G75" s="73" t="e">
        <f t="array" ref="G75">INDEX(Table4[Unique prefix],SMALL(IF(Table4[Unique prefix]&lt;&gt;"",ROW(Table4[Unique prefix])-ROW(INDEX(Table4[Unique prefix],1,1))+1),ROWS($G$2:G75)))</f>
        <v>#NUM!</v>
      </c>
      <c r="H75" s="74" t="str">
        <f>IF(ISERROR(G75),"","wireless tag site "&amp;G75&amp;CHAR(10)&amp;" ap-profile "&amp;Design!A188&amp;CHAR(10)&amp;" description "&amp;G75&amp;CHAR(10)&amp;"ap filter name "&amp;G75&amp;CHAR(10)&amp;" ap name-regex "&amp;G75&amp;CHAR(10)&amp;" tag policy "&amp;Design!A195&amp;CHAR(10)&amp;" tag rf "&amp;Design!A200&amp;CHAR(10)&amp;" tag site "&amp;G75&amp;CHAR(10)&amp;"ap filter priority "&amp;F75&amp;" filter-name "&amp;G75)</f>
        <v/>
      </c>
      <c r="I75" s="74" t="str">
        <f>IF(ISERROR(G75),"","wireless tag site "&amp;G75&amp;CHAR(10)&amp;" ap-profile "&amp;Design!A188&amp;CHAR(10)&amp;" description "&amp;G75&amp;CHAR(10)&amp;" no local-site"&amp;CHAR(10)&amp;" flex-profile "&amp;Design!A191&amp;CHAR(10)&amp;"ap filter name "&amp;G75&amp;CHAR(10)&amp;" ap name-regex "&amp;G75&amp;CHAR(10)&amp;" tag policy "&amp;Design!A195&amp;CHAR(10)&amp;" tag rf "&amp;Design!A200&amp;CHAR(10)&amp;" tag site "&amp;G75&amp;CHAR(10)&amp;"ap filter priority "&amp;F75&amp;" filter-name "&amp;G75)</f>
        <v/>
      </c>
    </row>
    <row r="76" spans="6:9" x14ac:dyDescent="0.25">
      <c r="F76" s="73">
        <v>175</v>
      </c>
      <c r="G76" s="73" t="e">
        <f t="array" ref="G76">INDEX(Table4[Unique prefix],SMALL(IF(Table4[Unique prefix]&lt;&gt;"",ROW(Table4[Unique prefix])-ROW(INDEX(Table4[Unique prefix],1,1))+1),ROWS($G$2:G76)))</f>
        <v>#NUM!</v>
      </c>
      <c r="H76" s="74" t="str">
        <f>IF(ISERROR(G76),"","wireless tag site "&amp;G76&amp;CHAR(10)&amp;" ap-profile "&amp;Design!A189&amp;CHAR(10)&amp;" description "&amp;G76&amp;CHAR(10)&amp;"ap filter name "&amp;G76&amp;CHAR(10)&amp;" ap name-regex "&amp;G76&amp;CHAR(10)&amp;" tag policy "&amp;Design!A196&amp;CHAR(10)&amp;" tag rf "&amp;Design!A201&amp;CHAR(10)&amp;" tag site "&amp;G76&amp;CHAR(10)&amp;"ap filter priority "&amp;F76&amp;" filter-name "&amp;G76)</f>
        <v/>
      </c>
      <c r="I76" s="74" t="str">
        <f>IF(ISERROR(G76),"","wireless tag site "&amp;G76&amp;CHAR(10)&amp;" ap-profile "&amp;Design!A189&amp;CHAR(10)&amp;" description "&amp;G76&amp;CHAR(10)&amp;" no local-site"&amp;CHAR(10)&amp;" flex-profile "&amp;Design!A192&amp;CHAR(10)&amp;"ap filter name "&amp;G76&amp;CHAR(10)&amp;" ap name-regex "&amp;G76&amp;CHAR(10)&amp;" tag policy "&amp;Design!A196&amp;CHAR(10)&amp;" tag rf "&amp;Design!A201&amp;CHAR(10)&amp;" tag site "&amp;G76&amp;CHAR(10)&amp;"ap filter priority "&amp;F76&amp;" filter-name "&amp;G76)</f>
        <v/>
      </c>
    </row>
    <row r="77" spans="6:9" x14ac:dyDescent="0.25">
      <c r="F77" s="73">
        <v>176</v>
      </c>
      <c r="G77" s="73" t="e">
        <f t="array" ref="G77">INDEX(Table4[Unique prefix],SMALL(IF(Table4[Unique prefix]&lt;&gt;"",ROW(Table4[Unique prefix])-ROW(INDEX(Table4[Unique prefix],1,1))+1),ROWS($G$2:G77)))</f>
        <v>#NUM!</v>
      </c>
      <c r="H77" s="74" t="str">
        <f>IF(ISERROR(G77),"","wireless tag site "&amp;G77&amp;CHAR(10)&amp;" ap-profile "&amp;Design!A190&amp;CHAR(10)&amp;" description "&amp;G77&amp;CHAR(10)&amp;"ap filter name "&amp;G77&amp;CHAR(10)&amp;" ap name-regex "&amp;G77&amp;CHAR(10)&amp;" tag policy "&amp;Design!A197&amp;CHAR(10)&amp;" tag rf "&amp;Design!A202&amp;CHAR(10)&amp;" tag site "&amp;G77&amp;CHAR(10)&amp;"ap filter priority "&amp;F77&amp;" filter-name "&amp;G77)</f>
        <v/>
      </c>
      <c r="I77" s="74" t="str">
        <f>IF(ISERROR(G77),"","wireless tag site "&amp;G77&amp;CHAR(10)&amp;" ap-profile "&amp;Design!A190&amp;CHAR(10)&amp;" description "&amp;G77&amp;CHAR(10)&amp;" no local-site"&amp;CHAR(10)&amp;" flex-profile "&amp;Design!A193&amp;CHAR(10)&amp;"ap filter name "&amp;G77&amp;CHAR(10)&amp;" ap name-regex "&amp;G77&amp;CHAR(10)&amp;" tag policy "&amp;Design!A197&amp;CHAR(10)&amp;" tag rf "&amp;Design!A202&amp;CHAR(10)&amp;" tag site "&amp;G77&amp;CHAR(10)&amp;"ap filter priority "&amp;F77&amp;" filter-name "&amp;G77)</f>
        <v/>
      </c>
    </row>
    <row r="78" spans="6:9" x14ac:dyDescent="0.25">
      <c r="F78" s="73">
        <v>177</v>
      </c>
      <c r="G78" s="73" t="e">
        <f t="array" ref="G78">INDEX(Table4[Unique prefix],SMALL(IF(Table4[Unique prefix]&lt;&gt;"",ROW(Table4[Unique prefix])-ROW(INDEX(Table4[Unique prefix],1,1))+1),ROWS($G$2:G78)))</f>
        <v>#NUM!</v>
      </c>
      <c r="H78" s="74" t="str">
        <f>IF(ISERROR(G78),"","wireless tag site "&amp;G78&amp;CHAR(10)&amp;" ap-profile "&amp;Design!A191&amp;CHAR(10)&amp;" description "&amp;G78&amp;CHAR(10)&amp;"ap filter name "&amp;G78&amp;CHAR(10)&amp;" ap name-regex "&amp;G78&amp;CHAR(10)&amp;" tag policy "&amp;Design!A198&amp;CHAR(10)&amp;" tag rf "&amp;Design!A203&amp;CHAR(10)&amp;" tag site "&amp;G78&amp;CHAR(10)&amp;"ap filter priority "&amp;F78&amp;" filter-name "&amp;G78)</f>
        <v/>
      </c>
      <c r="I78" s="74" t="str">
        <f>IF(ISERROR(G78),"","wireless tag site "&amp;G78&amp;CHAR(10)&amp;" ap-profile "&amp;Design!A191&amp;CHAR(10)&amp;" description "&amp;G78&amp;CHAR(10)&amp;" no local-site"&amp;CHAR(10)&amp;" flex-profile "&amp;Design!A194&amp;CHAR(10)&amp;"ap filter name "&amp;G78&amp;CHAR(10)&amp;" ap name-regex "&amp;G78&amp;CHAR(10)&amp;" tag policy "&amp;Design!A198&amp;CHAR(10)&amp;" tag rf "&amp;Design!A203&amp;CHAR(10)&amp;" tag site "&amp;G78&amp;CHAR(10)&amp;"ap filter priority "&amp;F78&amp;" filter-name "&amp;G78)</f>
        <v/>
      </c>
    </row>
    <row r="79" spans="6:9" x14ac:dyDescent="0.25">
      <c r="F79" s="73">
        <v>178</v>
      </c>
      <c r="G79" s="73" t="e">
        <f t="array" ref="G79">INDEX(Table4[Unique prefix],SMALL(IF(Table4[Unique prefix]&lt;&gt;"",ROW(Table4[Unique prefix])-ROW(INDEX(Table4[Unique prefix],1,1))+1),ROWS($G$2:G79)))</f>
        <v>#NUM!</v>
      </c>
      <c r="H79" s="74" t="str">
        <f>IF(ISERROR(G79),"","wireless tag site "&amp;G79&amp;CHAR(10)&amp;" ap-profile "&amp;Design!A192&amp;CHAR(10)&amp;" description "&amp;G79&amp;CHAR(10)&amp;"ap filter name "&amp;G79&amp;CHAR(10)&amp;" ap name-regex "&amp;G79&amp;CHAR(10)&amp;" tag policy "&amp;Design!A199&amp;CHAR(10)&amp;" tag rf "&amp;Design!A204&amp;CHAR(10)&amp;" tag site "&amp;G79&amp;CHAR(10)&amp;"ap filter priority "&amp;F79&amp;" filter-name "&amp;G79)</f>
        <v/>
      </c>
      <c r="I79" s="74" t="str">
        <f>IF(ISERROR(G79),"","wireless tag site "&amp;G79&amp;CHAR(10)&amp;" ap-profile "&amp;Design!A192&amp;CHAR(10)&amp;" description "&amp;G79&amp;CHAR(10)&amp;" no local-site"&amp;CHAR(10)&amp;" flex-profile "&amp;Design!A195&amp;CHAR(10)&amp;"ap filter name "&amp;G79&amp;CHAR(10)&amp;" ap name-regex "&amp;G79&amp;CHAR(10)&amp;" tag policy "&amp;Design!A199&amp;CHAR(10)&amp;" tag rf "&amp;Design!A204&amp;CHAR(10)&amp;" tag site "&amp;G79&amp;CHAR(10)&amp;"ap filter priority "&amp;F79&amp;" filter-name "&amp;G79)</f>
        <v/>
      </c>
    </row>
    <row r="80" spans="6:9" x14ac:dyDescent="0.25">
      <c r="F80" s="73">
        <v>179</v>
      </c>
      <c r="G80" s="73" t="e">
        <f t="array" ref="G80">INDEX(Table4[Unique prefix],SMALL(IF(Table4[Unique prefix]&lt;&gt;"",ROW(Table4[Unique prefix])-ROW(INDEX(Table4[Unique prefix],1,1))+1),ROWS($G$2:G80)))</f>
        <v>#NUM!</v>
      </c>
      <c r="H80" s="74" t="str">
        <f>IF(ISERROR(G80),"","wireless tag site "&amp;G80&amp;CHAR(10)&amp;" ap-profile "&amp;Design!A193&amp;CHAR(10)&amp;" description "&amp;G80&amp;CHAR(10)&amp;"ap filter name "&amp;G80&amp;CHAR(10)&amp;" ap name-regex "&amp;G80&amp;CHAR(10)&amp;" tag policy "&amp;Design!A200&amp;CHAR(10)&amp;" tag rf "&amp;Design!A208&amp;CHAR(10)&amp;" tag site "&amp;G80&amp;CHAR(10)&amp;"ap filter priority "&amp;F80&amp;" filter-name "&amp;G80)</f>
        <v/>
      </c>
      <c r="I80" s="74" t="str">
        <f>IF(ISERROR(G80),"","wireless tag site "&amp;G80&amp;CHAR(10)&amp;" ap-profile "&amp;Design!A193&amp;CHAR(10)&amp;" description "&amp;G80&amp;CHAR(10)&amp;" no local-site"&amp;CHAR(10)&amp;" flex-profile "&amp;Design!A196&amp;CHAR(10)&amp;"ap filter name "&amp;G80&amp;CHAR(10)&amp;" ap name-regex "&amp;G80&amp;CHAR(10)&amp;" tag policy "&amp;Design!A200&amp;CHAR(10)&amp;" tag rf "&amp;Design!A208&amp;CHAR(10)&amp;" tag site "&amp;G80&amp;CHAR(10)&amp;"ap filter priority "&amp;F80&amp;" filter-name "&amp;G80)</f>
        <v/>
      </c>
    </row>
    <row r="81" spans="6:9" x14ac:dyDescent="0.25">
      <c r="F81" s="73">
        <v>180</v>
      </c>
      <c r="G81" s="73" t="e">
        <f t="array" ref="G81">INDEX(Table4[Unique prefix],SMALL(IF(Table4[Unique prefix]&lt;&gt;"",ROW(Table4[Unique prefix])-ROW(INDEX(Table4[Unique prefix],1,1))+1),ROWS($G$2:G81)))</f>
        <v>#NUM!</v>
      </c>
      <c r="H81" s="74" t="str">
        <f>IF(ISERROR(G81),"","wireless tag site "&amp;G81&amp;CHAR(10)&amp;" ap-profile "&amp;Design!A194&amp;CHAR(10)&amp;" description "&amp;G81&amp;CHAR(10)&amp;"ap filter name "&amp;G81&amp;CHAR(10)&amp;" ap name-regex "&amp;G81&amp;CHAR(10)&amp;" tag policy "&amp;Design!A201&amp;CHAR(10)&amp;" tag rf "&amp;Design!A209&amp;CHAR(10)&amp;" tag site "&amp;G81&amp;CHAR(10)&amp;"ap filter priority "&amp;F81&amp;" filter-name "&amp;G81)</f>
        <v/>
      </c>
      <c r="I81" s="74" t="str">
        <f>IF(ISERROR(G81),"","wireless tag site "&amp;G81&amp;CHAR(10)&amp;" ap-profile "&amp;Design!A194&amp;CHAR(10)&amp;" description "&amp;G81&amp;CHAR(10)&amp;" no local-site"&amp;CHAR(10)&amp;" flex-profile "&amp;Design!A197&amp;CHAR(10)&amp;"ap filter name "&amp;G81&amp;CHAR(10)&amp;" ap name-regex "&amp;G81&amp;CHAR(10)&amp;" tag policy "&amp;Design!A201&amp;CHAR(10)&amp;" tag rf "&amp;Design!A209&amp;CHAR(10)&amp;" tag site "&amp;G81&amp;CHAR(10)&amp;"ap filter priority "&amp;F81&amp;" filter-name "&amp;G81)</f>
        <v/>
      </c>
    </row>
    <row r="82" spans="6:9" x14ac:dyDescent="0.25">
      <c r="F82" s="73">
        <v>181</v>
      </c>
      <c r="G82" s="73" t="e">
        <f t="array" ref="G82">INDEX(Table4[Unique prefix],SMALL(IF(Table4[Unique prefix]&lt;&gt;"",ROW(Table4[Unique prefix])-ROW(INDEX(Table4[Unique prefix],1,1))+1),ROWS($G$2:G82)))</f>
        <v>#NUM!</v>
      </c>
      <c r="H82" s="74" t="str">
        <f>IF(ISERROR(G82),"","wireless tag site "&amp;G82&amp;CHAR(10)&amp;" ap-profile "&amp;Design!A195&amp;CHAR(10)&amp;" description "&amp;G82&amp;CHAR(10)&amp;"ap filter name "&amp;G82&amp;CHAR(10)&amp;" ap name-regex "&amp;G82&amp;CHAR(10)&amp;" tag policy "&amp;Design!A202&amp;CHAR(10)&amp;" tag rf "&amp;Design!A210&amp;CHAR(10)&amp;" tag site "&amp;G82&amp;CHAR(10)&amp;"ap filter priority "&amp;F82&amp;" filter-name "&amp;G82)</f>
        <v/>
      </c>
      <c r="I82" s="74" t="str">
        <f>IF(ISERROR(G82),"","wireless tag site "&amp;G82&amp;CHAR(10)&amp;" ap-profile "&amp;Design!A195&amp;CHAR(10)&amp;" description "&amp;G82&amp;CHAR(10)&amp;" no local-site"&amp;CHAR(10)&amp;" flex-profile "&amp;Design!A198&amp;CHAR(10)&amp;"ap filter name "&amp;G82&amp;CHAR(10)&amp;" ap name-regex "&amp;G82&amp;CHAR(10)&amp;" tag policy "&amp;Design!A202&amp;CHAR(10)&amp;" tag rf "&amp;Design!A210&amp;CHAR(10)&amp;" tag site "&amp;G82&amp;CHAR(10)&amp;"ap filter priority "&amp;F82&amp;" filter-name "&amp;G82)</f>
        <v/>
      </c>
    </row>
    <row r="83" spans="6:9" x14ac:dyDescent="0.25">
      <c r="F83" s="73">
        <v>182</v>
      </c>
      <c r="G83" s="73" t="e">
        <f t="array" ref="G83">INDEX(Table4[Unique prefix],SMALL(IF(Table4[Unique prefix]&lt;&gt;"",ROW(Table4[Unique prefix])-ROW(INDEX(Table4[Unique prefix],1,1))+1),ROWS($G$2:G83)))</f>
        <v>#NUM!</v>
      </c>
      <c r="H83" s="74" t="str">
        <f>IF(ISERROR(G83),"","wireless tag site "&amp;G83&amp;CHAR(10)&amp;" ap-profile "&amp;Design!A196&amp;CHAR(10)&amp;" description "&amp;G83&amp;CHAR(10)&amp;"ap filter name "&amp;G83&amp;CHAR(10)&amp;" ap name-regex "&amp;G83&amp;CHAR(10)&amp;" tag policy "&amp;Design!A203&amp;CHAR(10)&amp;" tag rf "&amp;Design!A211&amp;CHAR(10)&amp;" tag site "&amp;G83&amp;CHAR(10)&amp;"ap filter priority "&amp;F83&amp;" filter-name "&amp;G83)</f>
        <v/>
      </c>
      <c r="I83" s="74" t="str">
        <f>IF(ISERROR(G83),"","wireless tag site "&amp;G83&amp;CHAR(10)&amp;" ap-profile "&amp;Design!A196&amp;CHAR(10)&amp;" description "&amp;G83&amp;CHAR(10)&amp;" no local-site"&amp;CHAR(10)&amp;" flex-profile "&amp;Design!A199&amp;CHAR(10)&amp;"ap filter name "&amp;G83&amp;CHAR(10)&amp;" ap name-regex "&amp;G83&amp;CHAR(10)&amp;" tag policy "&amp;Design!A203&amp;CHAR(10)&amp;" tag rf "&amp;Design!A211&amp;CHAR(10)&amp;" tag site "&amp;G83&amp;CHAR(10)&amp;"ap filter priority "&amp;F83&amp;" filter-name "&amp;G83)</f>
        <v/>
      </c>
    </row>
    <row r="84" spans="6:9" x14ac:dyDescent="0.25">
      <c r="F84" s="73">
        <v>183</v>
      </c>
      <c r="G84" s="73" t="e">
        <f t="array" ref="G84">INDEX(Table4[Unique prefix],SMALL(IF(Table4[Unique prefix]&lt;&gt;"",ROW(Table4[Unique prefix])-ROW(INDEX(Table4[Unique prefix],1,1))+1),ROWS($G$2:G84)))</f>
        <v>#NUM!</v>
      </c>
      <c r="H84" s="74" t="str">
        <f>IF(ISERROR(G84),"","wireless tag site "&amp;G84&amp;CHAR(10)&amp;" ap-profile "&amp;Design!A197&amp;CHAR(10)&amp;" description "&amp;G84&amp;CHAR(10)&amp;"ap filter name "&amp;G84&amp;CHAR(10)&amp;" ap name-regex "&amp;G84&amp;CHAR(10)&amp;" tag policy "&amp;Design!A204&amp;CHAR(10)&amp;" tag rf "&amp;Design!A212&amp;CHAR(10)&amp;" tag site "&amp;G84&amp;CHAR(10)&amp;"ap filter priority "&amp;F84&amp;" filter-name "&amp;G84)</f>
        <v/>
      </c>
      <c r="I84" s="74" t="str">
        <f>IF(ISERROR(G84),"","wireless tag site "&amp;G84&amp;CHAR(10)&amp;" ap-profile "&amp;Design!A197&amp;CHAR(10)&amp;" description "&amp;G84&amp;CHAR(10)&amp;" no local-site"&amp;CHAR(10)&amp;" flex-profile "&amp;Design!A200&amp;CHAR(10)&amp;"ap filter name "&amp;G84&amp;CHAR(10)&amp;" ap name-regex "&amp;G84&amp;CHAR(10)&amp;" tag policy "&amp;Design!A204&amp;CHAR(10)&amp;" tag rf "&amp;Design!A212&amp;CHAR(10)&amp;" tag site "&amp;G84&amp;CHAR(10)&amp;"ap filter priority "&amp;F84&amp;" filter-name "&amp;G84)</f>
        <v/>
      </c>
    </row>
    <row r="85" spans="6:9" x14ac:dyDescent="0.25">
      <c r="F85" s="73">
        <v>184</v>
      </c>
      <c r="G85" s="73" t="e">
        <f t="array" ref="G85">INDEX(Table4[Unique prefix],SMALL(IF(Table4[Unique prefix]&lt;&gt;"",ROW(Table4[Unique prefix])-ROW(INDEX(Table4[Unique prefix],1,1))+1),ROWS($G$2:G85)))</f>
        <v>#NUM!</v>
      </c>
      <c r="H85" s="74" t="str">
        <f>IF(ISERROR(G85),"","wireless tag site "&amp;G85&amp;CHAR(10)&amp;" ap-profile "&amp;Design!A198&amp;CHAR(10)&amp;" description "&amp;G85&amp;CHAR(10)&amp;"ap filter name "&amp;G85&amp;CHAR(10)&amp;" ap name-regex "&amp;G85&amp;CHAR(10)&amp;" tag policy "&amp;Design!A208&amp;CHAR(10)&amp;" tag rf "&amp;Design!A213&amp;CHAR(10)&amp;" tag site "&amp;G85&amp;CHAR(10)&amp;"ap filter priority "&amp;F85&amp;" filter-name "&amp;G85)</f>
        <v/>
      </c>
      <c r="I85" s="74" t="str">
        <f>IF(ISERROR(G85),"","wireless tag site "&amp;G85&amp;CHAR(10)&amp;" ap-profile "&amp;Design!A198&amp;CHAR(10)&amp;" description "&amp;G85&amp;CHAR(10)&amp;" no local-site"&amp;CHAR(10)&amp;" flex-profile "&amp;Design!A201&amp;CHAR(10)&amp;"ap filter name "&amp;G85&amp;CHAR(10)&amp;" ap name-regex "&amp;G85&amp;CHAR(10)&amp;" tag policy "&amp;Design!A208&amp;CHAR(10)&amp;" tag rf "&amp;Design!A213&amp;CHAR(10)&amp;" tag site "&amp;G85&amp;CHAR(10)&amp;"ap filter priority "&amp;F85&amp;" filter-name "&amp;G85)</f>
        <v/>
      </c>
    </row>
    <row r="86" spans="6:9" x14ac:dyDescent="0.25">
      <c r="F86" s="73">
        <v>185</v>
      </c>
      <c r="G86" s="73" t="e">
        <f t="array" ref="G86">INDEX(Table4[Unique prefix],SMALL(IF(Table4[Unique prefix]&lt;&gt;"",ROW(Table4[Unique prefix])-ROW(INDEX(Table4[Unique prefix],1,1))+1),ROWS($G$2:G86)))</f>
        <v>#NUM!</v>
      </c>
      <c r="H86" s="74" t="str">
        <f>IF(ISERROR(G86),"","wireless tag site "&amp;G86&amp;CHAR(10)&amp;" ap-profile "&amp;Design!A199&amp;CHAR(10)&amp;" description "&amp;G86&amp;CHAR(10)&amp;"ap filter name "&amp;G86&amp;CHAR(10)&amp;" ap name-regex "&amp;G86&amp;CHAR(10)&amp;" tag policy "&amp;Design!A209&amp;CHAR(10)&amp;" tag rf "&amp;Design!A214&amp;CHAR(10)&amp;" tag site "&amp;G86&amp;CHAR(10)&amp;"ap filter priority "&amp;F86&amp;" filter-name "&amp;G86)</f>
        <v/>
      </c>
      <c r="I86" s="74" t="str">
        <f>IF(ISERROR(G86),"","wireless tag site "&amp;G86&amp;CHAR(10)&amp;" ap-profile "&amp;Design!A199&amp;CHAR(10)&amp;" description "&amp;G86&amp;CHAR(10)&amp;" no local-site"&amp;CHAR(10)&amp;" flex-profile "&amp;Design!A202&amp;CHAR(10)&amp;"ap filter name "&amp;G86&amp;CHAR(10)&amp;" ap name-regex "&amp;G86&amp;CHAR(10)&amp;" tag policy "&amp;Design!A209&amp;CHAR(10)&amp;" tag rf "&amp;Design!A214&amp;CHAR(10)&amp;" tag site "&amp;G86&amp;CHAR(10)&amp;"ap filter priority "&amp;F86&amp;" filter-name "&amp;G86)</f>
        <v/>
      </c>
    </row>
    <row r="87" spans="6:9" x14ac:dyDescent="0.25">
      <c r="F87" s="73">
        <v>186</v>
      </c>
      <c r="G87" s="73" t="e">
        <f t="array" ref="G87">INDEX(Table4[Unique prefix],SMALL(IF(Table4[Unique prefix]&lt;&gt;"",ROW(Table4[Unique prefix])-ROW(INDEX(Table4[Unique prefix],1,1))+1),ROWS($G$2:G87)))</f>
        <v>#NUM!</v>
      </c>
      <c r="H87" s="74" t="str">
        <f>IF(ISERROR(G87),"","wireless tag site "&amp;G87&amp;CHAR(10)&amp;" ap-profile "&amp;Design!A200&amp;CHAR(10)&amp;" description "&amp;G87&amp;CHAR(10)&amp;"ap filter name "&amp;G87&amp;CHAR(10)&amp;" ap name-regex "&amp;G87&amp;CHAR(10)&amp;" tag policy "&amp;Design!A210&amp;CHAR(10)&amp;" tag rf "&amp;Design!A215&amp;CHAR(10)&amp;" tag site "&amp;G87&amp;CHAR(10)&amp;"ap filter priority "&amp;F87&amp;" filter-name "&amp;G87)</f>
        <v/>
      </c>
      <c r="I87" s="74" t="str">
        <f>IF(ISERROR(G87),"","wireless tag site "&amp;G87&amp;CHAR(10)&amp;" ap-profile "&amp;Design!A200&amp;CHAR(10)&amp;" description "&amp;G87&amp;CHAR(10)&amp;" no local-site"&amp;CHAR(10)&amp;" flex-profile "&amp;Design!A203&amp;CHAR(10)&amp;"ap filter name "&amp;G87&amp;CHAR(10)&amp;" ap name-regex "&amp;G87&amp;CHAR(10)&amp;" tag policy "&amp;Design!A210&amp;CHAR(10)&amp;" tag rf "&amp;Design!A215&amp;CHAR(10)&amp;" tag site "&amp;G87&amp;CHAR(10)&amp;"ap filter priority "&amp;F87&amp;" filter-name "&amp;G87)</f>
        <v/>
      </c>
    </row>
    <row r="88" spans="6:9" x14ac:dyDescent="0.25">
      <c r="F88" s="73">
        <v>187</v>
      </c>
      <c r="G88" s="73" t="e">
        <f t="array" ref="G88">INDEX(Table4[Unique prefix],SMALL(IF(Table4[Unique prefix]&lt;&gt;"",ROW(Table4[Unique prefix])-ROW(INDEX(Table4[Unique prefix],1,1))+1),ROWS($G$2:G88)))</f>
        <v>#NUM!</v>
      </c>
      <c r="H88" s="74" t="str">
        <f>IF(ISERROR(G88),"","wireless tag site "&amp;G88&amp;CHAR(10)&amp;" ap-profile "&amp;Design!A201&amp;CHAR(10)&amp;" description "&amp;G88&amp;CHAR(10)&amp;"ap filter name "&amp;G88&amp;CHAR(10)&amp;" ap name-regex "&amp;G88&amp;CHAR(10)&amp;" tag policy "&amp;Design!A211&amp;CHAR(10)&amp;" tag rf "&amp;Design!A216&amp;CHAR(10)&amp;" tag site "&amp;G88&amp;CHAR(10)&amp;"ap filter priority "&amp;F88&amp;" filter-name "&amp;G88)</f>
        <v/>
      </c>
      <c r="I88" s="74" t="str">
        <f>IF(ISERROR(G88),"","wireless tag site "&amp;G88&amp;CHAR(10)&amp;" ap-profile "&amp;Design!A201&amp;CHAR(10)&amp;" description "&amp;G88&amp;CHAR(10)&amp;" no local-site"&amp;CHAR(10)&amp;" flex-profile "&amp;Design!A204&amp;CHAR(10)&amp;"ap filter name "&amp;G88&amp;CHAR(10)&amp;" ap name-regex "&amp;G88&amp;CHAR(10)&amp;" tag policy "&amp;Design!A211&amp;CHAR(10)&amp;" tag rf "&amp;Design!A216&amp;CHAR(10)&amp;" tag site "&amp;G88&amp;CHAR(10)&amp;"ap filter priority "&amp;F88&amp;" filter-name "&amp;G88)</f>
        <v/>
      </c>
    </row>
    <row r="89" spans="6:9" x14ac:dyDescent="0.25">
      <c r="F89" s="73">
        <v>188</v>
      </c>
      <c r="G89" s="73" t="e">
        <f t="array" ref="G89">INDEX(Table4[Unique prefix],SMALL(IF(Table4[Unique prefix]&lt;&gt;"",ROW(Table4[Unique prefix])-ROW(INDEX(Table4[Unique prefix],1,1))+1),ROWS($G$2:G89)))</f>
        <v>#NUM!</v>
      </c>
      <c r="H89" s="74" t="str">
        <f>IF(ISERROR(G89),"","wireless tag site "&amp;G89&amp;CHAR(10)&amp;" ap-profile "&amp;Design!A202&amp;CHAR(10)&amp;" description "&amp;G89&amp;CHAR(10)&amp;"ap filter name "&amp;G89&amp;CHAR(10)&amp;" ap name-regex "&amp;G89&amp;CHAR(10)&amp;" tag policy "&amp;Design!A212&amp;CHAR(10)&amp;" tag rf "&amp;Design!A217&amp;CHAR(10)&amp;" tag site "&amp;G89&amp;CHAR(10)&amp;"ap filter priority "&amp;F89&amp;" filter-name "&amp;G89)</f>
        <v/>
      </c>
      <c r="I89" s="74" t="str">
        <f>IF(ISERROR(G89),"","wireless tag site "&amp;G89&amp;CHAR(10)&amp;" ap-profile "&amp;Design!A202&amp;CHAR(10)&amp;" description "&amp;G89&amp;CHAR(10)&amp;" no local-site"&amp;CHAR(10)&amp;" flex-profile "&amp;Design!A208&amp;CHAR(10)&amp;"ap filter name "&amp;G89&amp;CHAR(10)&amp;" ap name-regex "&amp;G89&amp;CHAR(10)&amp;" tag policy "&amp;Design!A212&amp;CHAR(10)&amp;" tag rf "&amp;Design!A217&amp;CHAR(10)&amp;" tag site "&amp;G89&amp;CHAR(10)&amp;"ap filter priority "&amp;F89&amp;" filter-name "&amp;G89)</f>
        <v/>
      </c>
    </row>
    <row r="90" spans="6:9" x14ac:dyDescent="0.25">
      <c r="F90" s="73">
        <v>189</v>
      </c>
      <c r="G90" s="73" t="e">
        <f t="array" ref="G90">INDEX(Table4[Unique prefix],SMALL(IF(Table4[Unique prefix]&lt;&gt;"",ROW(Table4[Unique prefix])-ROW(INDEX(Table4[Unique prefix],1,1))+1),ROWS($G$2:G90)))</f>
        <v>#NUM!</v>
      </c>
      <c r="H90" s="74" t="str">
        <f>IF(ISERROR(G90),"","wireless tag site "&amp;G90&amp;CHAR(10)&amp;" ap-profile "&amp;Design!A203&amp;CHAR(10)&amp;" description "&amp;G90&amp;CHAR(10)&amp;"ap filter name "&amp;G90&amp;CHAR(10)&amp;" ap name-regex "&amp;G90&amp;CHAR(10)&amp;" tag policy "&amp;Design!A213&amp;CHAR(10)&amp;" tag rf "&amp;Design!A218&amp;CHAR(10)&amp;" tag site "&amp;G90&amp;CHAR(10)&amp;"ap filter priority "&amp;F90&amp;" filter-name "&amp;G90)</f>
        <v/>
      </c>
      <c r="I90" s="74" t="str">
        <f>IF(ISERROR(G90),"","wireless tag site "&amp;G90&amp;CHAR(10)&amp;" ap-profile "&amp;Design!A203&amp;CHAR(10)&amp;" description "&amp;G90&amp;CHAR(10)&amp;" no local-site"&amp;CHAR(10)&amp;" flex-profile "&amp;Design!A209&amp;CHAR(10)&amp;"ap filter name "&amp;G90&amp;CHAR(10)&amp;" ap name-regex "&amp;G90&amp;CHAR(10)&amp;" tag policy "&amp;Design!A213&amp;CHAR(10)&amp;" tag rf "&amp;Design!A218&amp;CHAR(10)&amp;" tag site "&amp;G90&amp;CHAR(10)&amp;"ap filter priority "&amp;F90&amp;" filter-name "&amp;G90)</f>
        <v/>
      </c>
    </row>
    <row r="91" spans="6:9" x14ac:dyDescent="0.25">
      <c r="F91" s="73">
        <v>190</v>
      </c>
      <c r="G91" s="73" t="e">
        <f t="array" ref="G91">INDEX(Table4[Unique prefix],SMALL(IF(Table4[Unique prefix]&lt;&gt;"",ROW(Table4[Unique prefix])-ROW(INDEX(Table4[Unique prefix],1,1))+1),ROWS($G$2:G91)))</f>
        <v>#NUM!</v>
      </c>
      <c r="H91" s="74" t="str">
        <f>IF(ISERROR(G91),"","wireless tag site "&amp;G91&amp;CHAR(10)&amp;" ap-profile "&amp;Design!A204&amp;CHAR(10)&amp;" description "&amp;G91&amp;CHAR(10)&amp;"ap filter name "&amp;G91&amp;CHAR(10)&amp;" ap name-regex "&amp;G91&amp;CHAR(10)&amp;" tag policy "&amp;Design!A214&amp;CHAR(10)&amp;" tag rf "&amp;Design!A219&amp;CHAR(10)&amp;" tag site "&amp;G91&amp;CHAR(10)&amp;"ap filter priority "&amp;F91&amp;" filter-name "&amp;G91)</f>
        <v/>
      </c>
      <c r="I91" s="74" t="str">
        <f>IF(ISERROR(G91),"","wireless tag site "&amp;G91&amp;CHAR(10)&amp;" ap-profile "&amp;Design!A204&amp;CHAR(10)&amp;" description "&amp;G91&amp;CHAR(10)&amp;" no local-site"&amp;CHAR(10)&amp;" flex-profile "&amp;Design!A210&amp;CHAR(10)&amp;"ap filter name "&amp;G91&amp;CHAR(10)&amp;" ap name-regex "&amp;G91&amp;CHAR(10)&amp;" tag policy "&amp;Design!A214&amp;CHAR(10)&amp;" tag rf "&amp;Design!A219&amp;CHAR(10)&amp;" tag site "&amp;G91&amp;CHAR(10)&amp;"ap filter priority "&amp;F91&amp;" filter-name "&amp;G91)</f>
        <v/>
      </c>
    </row>
    <row r="92" spans="6:9" x14ac:dyDescent="0.25">
      <c r="F92" s="73">
        <v>191</v>
      </c>
      <c r="G92" s="73" t="e">
        <f t="array" ref="G92">INDEX(Table4[Unique prefix],SMALL(IF(Table4[Unique prefix]&lt;&gt;"",ROW(Table4[Unique prefix])-ROW(INDEX(Table4[Unique prefix],1,1))+1),ROWS($G$2:G92)))</f>
        <v>#NUM!</v>
      </c>
      <c r="H92" s="74" t="str">
        <f>IF(ISERROR(G92),"","wireless tag site "&amp;G92&amp;CHAR(10)&amp;" ap-profile "&amp;Design!A208&amp;CHAR(10)&amp;" description "&amp;G92&amp;CHAR(10)&amp;"ap filter name "&amp;G92&amp;CHAR(10)&amp;" ap name-regex "&amp;G92&amp;CHAR(10)&amp;" tag policy "&amp;Design!A215&amp;CHAR(10)&amp;" tag rf "&amp;Design!A223&amp;CHAR(10)&amp;" tag site "&amp;G92&amp;CHAR(10)&amp;"ap filter priority "&amp;F92&amp;" filter-name "&amp;G92)</f>
        <v/>
      </c>
      <c r="I92" s="74" t="str">
        <f>IF(ISERROR(G92),"","wireless tag site "&amp;G92&amp;CHAR(10)&amp;" ap-profile "&amp;Design!A208&amp;CHAR(10)&amp;" description "&amp;G92&amp;CHAR(10)&amp;" no local-site"&amp;CHAR(10)&amp;" flex-profile "&amp;Design!A211&amp;CHAR(10)&amp;"ap filter name "&amp;G92&amp;CHAR(10)&amp;" ap name-regex "&amp;G92&amp;CHAR(10)&amp;" tag policy "&amp;Design!A215&amp;CHAR(10)&amp;" tag rf "&amp;Design!A223&amp;CHAR(10)&amp;" tag site "&amp;G92&amp;CHAR(10)&amp;"ap filter priority "&amp;F92&amp;" filter-name "&amp;G92)</f>
        <v/>
      </c>
    </row>
    <row r="93" spans="6:9" x14ac:dyDescent="0.25">
      <c r="F93" s="73">
        <v>192</v>
      </c>
      <c r="G93" s="73" t="e">
        <f t="array" ref="G93">INDEX(Table4[Unique prefix],SMALL(IF(Table4[Unique prefix]&lt;&gt;"",ROW(Table4[Unique prefix])-ROW(INDEX(Table4[Unique prefix],1,1))+1),ROWS($G$2:G93)))</f>
        <v>#NUM!</v>
      </c>
      <c r="H93" s="74" t="str">
        <f>IF(ISERROR(G93),"","wireless tag site "&amp;G93&amp;CHAR(10)&amp;" ap-profile "&amp;Design!A209&amp;CHAR(10)&amp;" description "&amp;G93&amp;CHAR(10)&amp;"ap filter name "&amp;G93&amp;CHAR(10)&amp;" ap name-regex "&amp;G93&amp;CHAR(10)&amp;" tag policy "&amp;Design!A216&amp;CHAR(10)&amp;" tag rf "&amp;Design!A224&amp;CHAR(10)&amp;" tag site "&amp;G93&amp;CHAR(10)&amp;"ap filter priority "&amp;F93&amp;" filter-name "&amp;G93)</f>
        <v/>
      </c>
      <c r="I93" s="74" t="str">
        <f>IF(ISERROR(G93),"","wireless tag site "&amp;G93&amp;CHAR(10)&amp;" ap-profile "&amp;Design!A209&amp;CHAR(10)&amp;" description "&amp;G93&amp;CHAR(10)&amp;" no local-site"&amp;CHAR(10)&amp;" flex-profile "&amp;Design!A212&amp;CHAR(10)&amp;"ap filter name "&amp;G93&amp;CHAR(10)&amp;" ap name-regex "&amp;G93&amp;CHAR(10)&amp;" tag policy "&amp;Design!A216&amp;CHAR(10)&amp;" tag rf "&amp;Design!A224&amp;CHAR(10)&amp;" tag site "&amp;G93&amp;CHAR(10)&amp;"ap filter priority "&amp;F93&amp;" filter-name "&amp;G93)</f>
        <v/>
      </c>
    </row>
    <row r="94" spans="6:9" x14ac:dyDescent="0.25">
      <c r="F94" s="73">
        <v>193</v>
      </c>
      <c r="G94" s="73" t="e">
        <f t="array" ref="G94">INDEX(Table4[Unique prefix],SMALL(IF(Table4[Unique prefix]&lt;&gt;"",ROW(Table4[Unique prefix])-ROW(INDEX(Table4[Unique prefix],1,1))+1),ROWS($G$2:G94)))</f>
        <v>#NUM!</v>
      </c>
      <c r="H94" s="74" t="str">
        <f>IF(ISERROR(G94),"","wireless tag site "&amp;G94&amp;CHAR(10)&amp;" ap-profile "&amp;Design!A210&amp;CHAR(10)&amp;" description "&amp;G94&amp;CHAR(10)&amp;"ap filter name "&amp;G94&amp;CHAR(10)&amp;" ap name-regex "&amp;G94&amp;CHAR(10)&amp;" tag policy "&amp;Design!A217&amp;CHAR(10)&amp;" tag rf "&amp;Design!A225&amp;CHAR(10)&amp;" tag site "&amp;G94&amp;CHAR(10)&amp;"ap filter priority "&amp;F94&amp;" filter-name "&amp;G94)</f>
        <v/>
      </c>
      <c r="I94" s="74" t="str">
        <f>IF(ISERROR(G94),"","wireless tag site "&amp;G94&amp;CHAR(10)&amp;" ap-profile "&amp;Design!A210&amp;CHAR(10)&amp;" description "&amp;G94&amp;CHAR(10)&amp;" no local-site"&amp;CHAR(10)&amp;" flex-profile "&amp;Design!A213&amp;CHAR(10)&amp;"ap filter name "&amp;G94&amp;CHAR(10)&amp;" ap name-regex "&amp;G94&amp;CHAR(10)&amp;" tag policy "&amp;Design!A217&amp;CHAR(10)&amp;" tag rf "&amp;Design!A225&amp;CHAR(10)&amp;" tag site "&amp;G94&amp;CHAR(10)&amp;"ap filter priority "&amp;F94&amp;" filter-name "&amp;G94)</f>
        <v/>
      </c>
    </row>
    <row r="95" spans="6:9" x14ac:dyDescent="0.25">
      <c r="F95" s="73">
        <v>194</v>
      </c>
      <c r="G95" s="73" t="e">
        <f t="array" ref="G95">INDEX(Table4[Unique prefix],SMALL(IF(Table4[Unique prefix]&lt;&gt;"",ROW(Table4[Unique prefix])-ROW(INDEX(Table4[Unique prefix],1,1))+1),ROWS($G$2:G95)))</f>
        <v>#NUM!</v>
      </c>
      <c r="H95" s="74" t="str">
        <f>IF(ISERROR(G95),"","wireless tag site "&amp;G95&amp;CHAR(10)&amp;" ap-profile "&amp;Design!A211&amp;CHAR(10)&amp;" description "&amp;G95&amp;CHAR(10)&amp;"ap filter name "&amp;G95&amp;CHAR(10)&amp;" ap name-regex "&amp;G95&amp;CHAR(10)&amp;" tag policy "&amp;Design!A218&amp;CHAR(10)&amp;" tag rf "&amp;Design!A226&amp;CHAR(10)&amp;" tag site "&amp;G95&amp;CHAR(10)&amp;"ap filter priority "&amp;F95&amp;" filter-name "&amp;G95)</f>
        <v/>
      </c>
      <c r="I95" s="74" t="str">
        <f>IF(ISERROR(G95),"","wireless tag site "&amp;G95&amp;CHAR(10)&amp;" ap-profile "&amp;Design!A211&amp;CHAR(10)&amp;" description "&amp;G95&amp;CHAR(10)&amp;" no local-site"&amp;CHAR(10)&amp;" flex-profile "&amp;Design!A214&amp;CHAR(10)&amp;"ap filter name "&amp;G95&amp;CHAR(10)&amp;" ap name-regex "&amp;G95&amp;CHAR(10)&amp;" tag policy "&amp;Design!A218&amp;CHAR(10)&amp;" tag rf "&amp;Design!A226&amp;CHAR(10)&amp;" tag site "&amp;G95&amp;CHAR(10)&amp;"ap filter priority "&amp;F95&amp;" filter-name "&amp;G95)</f>
        <v/>
      </c>
    </row>
    <row r="96" spans="6:9" x14ac:dyDescent="0.25">
      <c r="F96" s="73">
        <v>195</v>
      </c>
      <c r="G96" s="73" t="e">
        <f t="array" ref="G96">INDEX(Table4[Unique prefix],SMALL(IF(Table4[Unique prefix]&lt;&gt;"",ROW(Table4[Unique prefix])-ROW(INDEX(Table4[Unique prefix],1,1))+1),ROWS($G$2:G96)))</f>
        <v>#NUM!</v>
      </c>
      <c r="H96" s="74" t="str">
        <f>IF(ISERROR(G96),"","wireless tag site "&amp;G96&amp;CHAR(10)&amp;" ap-profile "&amp;Design!A212&amp;CHAR(10)&amp;" description "&amp;G96&amp;CHAR(10)&amp;"ap filter name "&amp;G96&amp;CHAR(10)&amp;" ap name-regex "&amp;G96&amp;CHAR(10)&amp;" tag policy "&amp;Design!A219&amp;CHAR(10)&amp;" tag rf "&amp;Design!A227&amp;CHAR(10)&amp;" tag site "&amp;G96&amp;CHAR(10)&amp;"ap filter priority "&amp;F96&amp;" filter-name "&amp;G96)</f>
        <v/>
      </c>
      <c r="I96" s="74" t="str">
        <f>IF(ISERROR(G96),"","wireless tag site "&amp;G96&amp;CHAR(10)&amp;" ap-profile "&amp;Design!A212&amp;CHAR(10)&amp;" description "&amp;G96&amp;CHAR(10)&amp;" no local-site"&amp;CHAR(10)&amp;" flex-profile "&amp;Design!A215&amp;CHAR(10)&amp;"ap filter name "&amp;G96&amp;CHAR(10)&amp;" ap name-regex "&amp;G96&amp;CHAR(10)&amp;" tag policy "&amp;Design!A219&amp;CHAR(10)&amp;" tag rf "&amp;Design!A227&amp;CHAR(10)&amp;" tag site "&amp;G96&amp;CHAR(10)&amp;"ap filter priority "&amp;F96&amp;" filter-name "&amp;G96)</f>
        <v/>
      </c>
    </row>
    <row r="97" spans="6:9" x14ac:dyDescent="0.25">
      <c r="F97" s="73">
        <v>196</v>
      </c>
      <c r="G97" s="73" t="e">
        <f t="array" ref="G97">INDEX(Table4[Unique prefix],SMALL(IF(Table4[Unique prefix]&lt;&gt;"",ROW(Table4[Unique prefix])-ROW(INDEX(Table4[Unique prefix],1,1))+1),ROWS($G$2:G97)))</f>
        <v>#NUM!</v>
      </c>
      <c r="H97" s="74" t="str">
        <f>IF(ISERROR(G97),"","wireless tag site "&amp;G97&amp;CHAR(10)&amp;" ap-profile "&amp;Design!A213&amp;CHAR(10)&amp;" description "&amp;G97&amp;CHAR(10)&amp;"ap filter name "&amp;G97&amp;CHAR(10)&amp;" ap name-regex "&amp;G97&amp;CHAR(10)&amp;" tag policy "&amp;Design!A223&amp;CHAR(10)&amp;" tag rf "&amp;Design!A228&amp;CHAR(10)&amp;" tag site "&amp;G97&amp;CHAR(10)&amp;"ap filter priority "&amp;F97&amp;" filter-name "&amp;G97)</f>
        <v/>
      </c>
      <c r="I97" s="74" t="str">
        <f>IF(ISERROR(G97),"","wireless tag site "&amp;G97&amp;CHAR(10)&amp;" ap-profile "&amp;Design!A213&amp;CHAR(10)&amp;" description "&amp;G97&amp;CHAR(10)&amp;" no local-site"&amp;CHAR(10)&amp;" flex-profile "&amp;Design!A216&amp;CHAR(10)&amp;"ap filter name "&amp;G97&amp;CHAR(10)&amp;" ap name-regex "&amp;G97&amp;CHAR(10)&amp;" tag policy "&amp;Design!A223&amp;CHAR(10)&amp;" tag rf "&amp;Design!A228&amp;CHAR(10)&amp;" tag site "&amp;G97&amp;CHAR(10)&amp;"ap filter priority "&amp;F97&amp;" filter-name "&amp;G97)</f>
        <v/>
      </c>
    </row>
    <row r="98" spans="6:9" x14ac:dyDescent="0.25">
      <c r="F98" s="73">
        <v>197</v>
      </c>
      <c r="G98" s="73" t="e">
        <f t="array" ref="G98">INDEX(Table4[Unique prefix],SMALL(IF(Table4[Unique prefix]&lt;&gt;"",ROW(Table4[Unique prefix])-ROW(INDEX(Table4[Unique prefix],1,1))+1),ROWS($G$2:G98)))</f>
        <v>#NUM!</v>
      </c>
      <c r="H98" s="74" t="str">
        <f>IF(ISERROR(G98),"","wireless tag site "&amp;G98&amp;CHAR(10)&amp;" ap-profile "&amp;Design!A214&amp;CHAR(10)&amp;" description "&amp;G98&amp;CHAR(10)&amp;"ap filter name "&amp;G98&amp;CHAR(10)&amp;" ap name-regex "&amp;G98&amp;CHAR(10)&amp;" tag policy "&amp;Design!A224&amp;CHAR(10)&amp;" tag rf "&amp;Design!A229&amp;CHAR(10)&amp;" tag site "&amp;G98&amp;CHAR(10)&amp;"ap filter priority "&amp;F98&amp;" filter-name "&amp;G98)</f>
        <v/>
      </c>
      <c r="I98" s="74" t="str">
        <f>IF(ISERROR(G98),"","wireless tag site "&amp;G98&amp;CHAR(10)&amp;" ap-profile "&amp;Design!A214&amp;CHAR(10)&amp;" description "&amp;G98&amp;CHAR(10)&amp;" no local-site"&amp;CHAR(10)&amp;" flex-profile "&amp;Design!A217&amp;CHAR(10)&amp;"ap filter name "&amp;G98&amp;CHAR(10)&amp;" ap name-regex "&amp;G98&amp;CHAR(10)&amp;" tag policy "&amp;Design!A224&amp;CHAR(10)&amp;" tag rf "&amp;Design!A229&amp;CHAR(10)&amp;" tag site "&amp;G98&amp;CHAR(10)&amp;"ap filter priority "&amp;F98&amp;" filter-name "&amp;G98)</f>
        <v/>
      </c>
    </row>
    <row r="99" spans="6:9" x14ac:dyDescent="0.25">
      <c r="F99" s="73">
        <v>198</v>
      </c>
      <c r="G99" s="73" t="e">
        <f t="array" ref="G99">INDEX(Table4[Unique prefix],SMALL(IF(Table4[Unique prefix]&lt;&gt;"",ROW(Table4[Unique prefix])-ROW(INDEX(Table4[Unique prefix],1,1))+1),ROWS($G$2:G99)))</f>
        <v>#NUM!</v>
      </c>
      <c r="H99" s="74" t="str">
        <f>IF(ISERROR(G99),"","wireless tag site "&amp;G99&amp;CHAR(10)&amp;" ap-profile "&amp;Design!A215&amp;CHAR(10)&amp;" description "&amp;G99&amp;CHAR(10)&amp;"ap filter name "&amp;G99&amp;CHAR(10)&amp;" ap name-regex "&amp;G99&amp;CHAR(10)&amp;" tag policy "&amp;Design!A225&amp;CHAR(10)&amp;" tag rf "&amp;Design!A230&amp;CHAR(10)&amp;" tag site "&amp;G99&amp;CHAR(10)&amp;"ap filter priority "&amp;F99&amp;" filter-name "&amp;G99)</f>
        <v/>
      </c>
      <c r="I99" s="74" t="str">
        <f>IF(ISERROR(G99),"","wireless tag site "&amp;G99&amp;CHAR(10)&amp;" ap-profile "&amp;Design!A215&amp;CHAR(10)&amp;" description "&amp;G99&amp;CHAR(10)&amp;" no local-site"&amp;CHAR(10)&amp;" flex-profile "&amp;Design!A218&amp;CHAR(10)&amp;"ap filter name "&amp;G99&amp;CHAR(10)&amp;" ap name-regex "&amp;G99&amp;CHAR(10)&amp;" tag policy "&amp;Design!A225&amp;CHAR(10)&amp;" tag rf "&amp;Design!A230&amp;CHAR(10)&amp;" tag site "&amp;G99&amp;CHAR(10)&amp;"ap filter priority "&amp;F99&amp;" filter-name "&amp;G99)</f>
        <v/>
      </c>
    </row>
    <row r="100" spans="6:9" x14ac:dyDescent="0.25">
      <c r="F100" s="73">
        <v>199</v>
      </c>
      <c r="G100" s="73" t="e">
        <f t="array" ref="G100">INDEX(Table4[Unique prefix],SMALL(IF(Table4[Unique prefix]&lt;&gt;"",ROW(Table4[Unique prefix])-ROW(INDEX(Table4[Unique prefix],1,1))+1),ROWS($G$2:G100)))</f>
        <v>#NUM!</v>
      </c>
      <c r="H100" s="74" t="str">
        <f>IF(ISERROR(G100),"","wireless tag site "&amp;G100&amp;CHAR(10)&amp;" ap-profile "&amp;Design!A216&amp;CHAR(10)&amp;" description "&amp;G100&amp;CHAR(10)&amp;"ap filter name "&amp;G100&amp;CHAR(10)&amp;" ap name-regex "&amp;G100&amp;CHAR(10)&amp;" tag policy "&amp;Design!A226&amp;CHAR(10)&amp;" tag rf "&amp;Design!A231&amp;CHAR(10)&amp;" tag site "&amp;G100&amp;CHAR(10)&amp;"ap filter priority "&amp;F100&amp;" filter-name "&amp;G100)</f>
        <v/>
      </c>
      <c r="I100" s="74" t="str">
        <f>IF(ISERROR(G100),"","wireless tag site "&amp;G100&amp;CHAR(10)&amp;" ap-profile "&amp;Design!A216&amp;CHAR(10)&amp;" description "&amp;G100&amp;CHAR(10)&amp;" no local-site"&amp;CHAR(10)&amp;" flex-profile "&amp;Design!A219&amp;CHAR(10)&amp;"ap filter name "&amp;G100&amp;CHAR(10)&amp;" ap name-regex "&amp;G100&amp;CHAR(10)&amp;" tag policy "&amp;Design!A226&amp;CHAR(10)&amp;" tag rf "&amp;Design!A231&amp;CHAR(10)&amp;" tag site "&amp;G100&amp;CHAR(10)&amp;"ap filter priority "&amp;F100&amp;" filter-name "&amp;G100)</f>
        <v/>
      </c>
    </row>
    <row r="101" spans="6:9" x14ac:dyDescent="0.25">
      <c r="F101" s="73">
        <v>200</v>
      </c>
      <c r="G101" s="73" t="e">
        <f t="array" ref="G101">INDEX(Table4[Unique prefix],SMALL(IF(Table4[Unique prefix]&lt;&gt;"",ROW(Table4[Unique prefix])-ROW(INDEX(Table4[Unique prefix],1,1))+1),ROWS($G$2:G101)))</f>
        <v>#NUM!</v>
      </c>
      <c r="H101" s="74" t="str">
        <f>IF(ISERROR(G101),"","wireless tag site "&amp;G101&amp;CHAR(10)&amp;" ap-profile "&amp;Design!A217&amp;CHAR(10)&amp;" description "&amp;G101&amp;CHAR(10)&amp;"ap filter name "&amp;G101&amp;CHAR(10)&amp;" ap name-regex "&amp;G101&amp;CHAR(10)&amp;" tag policy "&amp;Design!A227&amp;CHAR(10)&amp;" tag rf "&amp;Design!A232&amp;CHAR(10)&amp;" tag site "&amp;G101&amp;CHAR(10)&amp;"ap filter priority "&amp;F101&amp;" filter-name "&amp;G101)</f>
        <v/>
      </c>
      <c r="I101" s="74" t="str">
        <f>IF(ISERROR(G101),"","wireless tag site "&amp;G101&amp;CHAR(10)&amp;" ap-profile "&amp;Design!A217&amp;CHAR(10)&amp;" description "&amp;G101&amp;CHAR(10)&amp;" no local-site"&amp;CHAR(10)&amp;" flex-profile "&amp;Design!A223&amp;CHAR(10)&amp;"ap filter name "&amp;G101&amp;CHAR(10)&amp;" ap name-regex "&amp;G101&amp;CHAR(10)&amp;" tag policy "&amp;Design!A227&amp;CHAR(10)&amp;" tag rf "&amp;Design!A232&amp;CHAR(10)&amp;" tag site "&amp;G101&amp;CHAR(10)&amp;"ap filter priority "&amp;F101&amp;" filter-name "&amp;G101)</f>
        <v/>
      </c>
    </row>
    <row r="102" spans="6:9" x14ac:dyDescent="0.25">
      <c r="F102" s="73">
        <v>201</v>
      </c>
      <c r="G102" s="73" t="e">
        <f t="array" ref="G102">INDEX(Table4[Unique prefix],SMALL(IF(Table4[Unique prefix]&lt;&gt;"",ROW(Table4[Unique prefix])-ROW(INDEX(Table4[Unique prefix],1,1))+1),ROWS($G$2:G102)))</f>
        <v>#NUM!</v>
      </c>
      <c r="H102" s="74" t="str">
        <f>IF(ISERROR(G102),"","wireless tag site "&amp;G102&amp;CHAR(10)&amp;" ap-profile "&amp;Design!A218&amp;CHAR(10)&amp;" description "&amp;G102&amp;CHAR(10)&amp;"ap filter name "&amp;G102&amp;CHAR(10)&amp;" ap name-regex "&amp;G102&amp;CHAR(10)&amp;" tag policy "&amp;Design!A228&amp;CHAR(10)&amp;" tag rf "&amp;Design!A233&amp;CHAR(10)&amp;" tag site "&amp;G102&amp;CHAR(10)&amp;"ap filter priority "&amp;F102&amp;" filter-name "&amp;G102)</f>
        <v/>
      </c>
      <c r="I102" s="74" t="str">
        <f>IF(ISERROR(G102),"","wireless tag site "&amp;G102&amp;CHAR(10)&amp;" ap-profile "&amp;Design!A218&amp;CHAR(10)&amp;" description "&amp;G102&amp;CHAR(10)&amp;" no local-site"&amp;CHAR(10)&amp;" flex-profile "&amp;Design!A224&amp;CHAR(10)&amp;"ap filter name "&amp;G102&amp;CHAR(10)&amp;" ap name-regex "&amp;G102&amp;CHAR(10)&amp;" tag policy "&amp;Design!A228&amp;CHAR(10)&amp;" tag rf "&amp;Design!A233&amp;CHAR(10)&amp;" tag site "&amp;G102&amp;CHAR(10)&amp;"ap filter priority "&amp;F102&amp;" filter-name "&amp;G102)</f>
        <v/>
      </c>
    </row>
    <row r="103" spans="6:9" x14ac:dyDescent="0.25">
      <c r="F103" s="73">
        <v>202</v>
      </c>
      <c r="G103" s="73" t="e">
        <f t="array" ref="G103">INDEX(Table4[Unique prefix],SMALL(IF(Table4[Unique prefix]&lt;&gt;"",ROW(Table4[Unique prefix])-ROW(INDEX(Table4[Unique prefix],1,1))+1),ROWS($G$2:G103)))</f>
        <v>#NUM!</v>
      </c>
      <c r="H103" s="74" t="str">
        <f>IF(ISERROR(G103),"","wireless tag site "&amp;G103&amp;CHAR(10)&amp;" ap-profile "&amp;Design!A219&amp;CHAR(10)&amp;" description "&amp;G103&amp;CHAR(10)&amp;"ap filter name "&amp;G103&amp;CHAR(10)&amp;" ap name-regex "&amp;G103&amp;CHAR(10)&amp;" tag policy "&amp;Design!A229&amp;CHAR(10)&amp;" tag rf "&amp;Design!A238&amp;CHAR(10)&amp;" tag site "&amp;G103&amp;CHAR(10)&amp;"ap filter priority "&amp;F103&amp;" filter-name "&amp;G103)</f>
        <v/>
      </c>
      <c r="I103" s="74" t="str">
        <f>IF(ISERROR(G103),"","wireless tag site "&amp;G103&amp;CHAR(10)&amp;" ap-profile "&amp;Design!A219&amp;CHAR(10)&amp;" description "&amp;G103&amp;CHAR(10)&amp;" no local-site"&amp;CHAR(10)&amp;" flex-profile "&amp;Design!A225&amp;CHAR(10)&amp;"ap filter name "&amp;G103&amp;CHAR(10)&amp;" ap name-regex "&amp;G103&amp;CHAR(10)&amp;" tag policy "&amp;Design!A229&amp;CHAR(10)&amp;" tag rf "&amp;Design!A238&amp;CHAR(10)&amp;" tag site "&amp;G103&amp;CHAR(10)&amp;"ap filter priority "&amp;F103&amp;" filter-name "&amp;G103)</f>
        <v/>
      </c>
    </row>
    <row r="104" spans="6:9" x14ac:dyDescent="0.25">
      <c r="F104" s="73">
        <v>203</v>
      </c>
      <c r="G104" s="73" t="e">
        <f t="array" ref="G104">INDEX(Table4[Unique prefix],SMALL(IF(Table4[Unique prefix]&lt;&gt;"",ROW(Table4[Unique prefix])-ROW(INDEX(Table4[Unique prefix],1,1))+1),ROWS($G$2:G104)))</f>
        <v>#NUM!</v>
      </c>
      <c r="H104" s="74" t="str">
        <f>IF(ISERROR(G104),"","wireless tag site "&amp;G104&amp;CHAR(10)&amp;" ap-profile "&amp;Design!A223&amp;CHAR(10)&amp;" description "&amp;G104&amp;CHAR(10)&amp;"ap filter name "&amp;G104&amp;CHAR(10)&amp;" ap name-regex "&amp;G104&amp;CHAR(10)&amp;" tag policy "&amp;Design!A230&amp;CHAR(10)&amp;" tag rf "&amp;Design!A239&amp;CHAR(10)&amp;" tag site "&amp;G104&amp;CHAR(10)&amp;"ap filter priority "&amp;F104&amp;" filter-name "&amp;G104)</f>
        <v/>
      </c>
      <c r="I104" s="74" t="str">
        <f>IF(ISERROR(G104),"","wireless tag site "&amp;G104&amp;CHAR(10)&amp;" ap-profile "&amp;Design!A223&amp;CHAR(10)&amp;" description "&amp;G104&amp;CHAR(10)&amp;" no local-site"&amp;CHAR(10)&amp;" flex-profile "&amp;Design!A226&amp;CHAR(10)&amp;"ap filter name "&amp;G104&amp;CHAR(10)&amp;" ap name-regex "&amp;G104&amp;CHAR(10)&amp;" tag policy "&amp;Design!A230&amp;CHAR(10)&amp;" tag rf "&amp;Design!A239&amp;CHAR(10)&amp;" tag site "&amp;G104&amp;CHAR(10)&amp;"ap filter priority "&amp;F104&amp;" filter-name "&amp;G104)</f>
        <v/>
      </c>
    </row>
    <row r="105" spans="6:9" x14ac:dyDescent="0.25">
      <c r="F105" s="73">
        <v>204</v>
      </c>
      <c r="G105" s="73" t="e">
        <f t="array" ref="G105">INDEX(Table4[Unique prefix],SMALL(IF(Table4[Unique prefix]&lt;&gt;"",ROW(Table4[Unique prefix])-ROW(INDEX(Table4[Unique prefix],1,1))+1),ROWS($G$2:G105)))</f>
        <v>#NUM!</v>
      </c>
      <c r="H105" s="74" t="str">
        <f>IF(ISERROR(G105),"","wireless tag site "&amp;G105&amp;CHAR(10)&amp;" ap-profile "&amp;Design!A224&amp;CHAR(10)&amp;" description "&amp;G105&amp;CHAR(10)&amp;"ap filter name "&amp;G105&amp;CHAR(10)&amp;" ap name-regex "&amp;G105&amp;CHAR(10)&amp;" tag policy "&amp;Design!A231&amp;CHAR(10)&amp;" tag rf "&amp;Design!A240&amp;CHAR(10)&amp;" tag site "&amp;G105&amp;CHAR(10)&amp;"ap filter priority "&amp;F105&amp;" filter-name "&amp;G105)</f>
        <v/>
      </c>
      <c r="I105" s="74" t="str">
        <f>IF(ISERROR(G105),"","wireless tag site "&amp;G105&amp;CHAR(10)&amp;" ap-profile "&amp;Design!A224&amp;CHAR(10)&amp;" description "&amp;G105&amp;CHAR(10)&amp;" no local-site"&amp;CHAR(10)&amp;" flex-profile "&amp;Design!A227&amp;CHAR(10)&amp;"ap filter name "&amp;G105&amp;CHAR(10)&amp;" ap name-regex "&amp;G105&amp;CHAR(10)&amp;" tag policy "&amp;Design!A231&amp;CHAR(10)&amp;" tag rf "&amp;Design!A240&amp;CHAR(10)&amp;" tag site "&amp;G105&amp;CHAR(10)&amp;"ap filter priority "&amp;F105&amp;" filter-name "&amp;G105)</f>
        <v/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5595-3E92-4213-8F6B-AC7EA6A88672}">
  <dimension ref="A1:M39"/>
  <sheetViews>
    <sheetView workbookViewId="0"/>
  </sheetViews>
  <sheetFormatPr defaultRowHeight="15" x14ac:dyDescent="0.25"/>
  <cols>
    <col min="1" max="1" width="9" bestFit="1" customWidth="1"/>
    <col min="2" max="2" width="12.7109375" bestFit="1" customWidth="1"/>
    <col min="3" max="3" width="13.85546875" bestFit="1" customWidth="1"/>
    <col min="4" max="4" width="11.7109375" bestFit="1" customWidth="1"/>
    <col min="5" max="5" width="7" bestFit="1" customWidth="1"/>
    <col min="6" max="6" width="20.7109375" customWidth="1"/>
    <col min="7" max="7" width="16.85546875" customWidth="1"/>
    <col min="8" max="8" width="13.42578125" customWidth="1"/>
    <col min="9" max="9" width="29.28515625" bestFit="1" customWidth="1"/>
    <col min="10" max="10" width="16.42578125" customWidth="1"/>
    <col min="11" max="11" width="45.28515625" customWidth="1"/>
    <col min="12" max="12" width="69.5703125" customWidth="1"/>
    <col min="13" max="13" width="19.140625" customWidth="1"/>
  </cols>
  <sheetData>
    <row r="1" spans="1:13" x14ac:dyDescent="0.25">
      <c r="A1" t="s">
        <v>642</v>
      </c>
      <c r="B1" t="s">
        <v>643</v>
      </c>
      <c r="C1" t="s">
        <v>644</v>
      </c>
      <c r="D1" t="s">
        <v>645</v>
      </c>
      <c r="E1" t="s">
        <v>39</v>
      </c>
      <c r="F1" t="s">
        <v>646</v>
      </c>
      <c r="G1" t="s">
        <v>647</v>
      </c>
      <c r="H1" t="s">
        <v>573</v>
      </c>
      <c r="I1" t="s">
        <v>74</v>
      </c>
      <c r="J1" t="s">
        <v>653</v>
      </c>
      <c r="K1" t="s">
        <v>651</v>
      </c>
      <c r="L1" t="s">
        <v>652</v>
      </c>
      <c r="M1" t="s">
        <v>681</v>
      </c>
    </row>
    <row r="2" spans="1:13" ht="102" x14ac:dyDescent="0.25">
      <c r="A2" s="73">
        <v>1</v>
      </c>
      <c r="B2" s="75" t="s">
        <v>693</v>
      </c>
      <c r="C2" s="73">
        <v>300</v>
      </c>
      <c r="D2" s="73" t="s">
        <v>678</v>
      </c>
      <c r="E2" s="73">
        <v>57000</v>
      </c>
      <c r="F2" s="76" t="s">
        <v>648</v>
      </c>
      <c r="G2" s="76" t="s">
        <v>649</v>
      </c>
      <c r="H2" s="76" t="s">
        <v>650</v>
      </c>
      <c r="I2" s="76" t="s">
        <v>654</v>
      </c>
      <c r="J2" s="76" t="s">
        <v>655</v>
      </c>
      <c r="K2" s="76" t="str">
        <f>"https://"&amp;Table6[[#This Row],[WLC IP]]&amp;"/restconf/data/"&amp;Table6[[#This Row],[Module]]&amp;":"&amp;RIGHT(Table6[[#This Row],[Xpath]],LEN(Table6[[#This Row],[Xpath]])-1)</f>
        <v>https://{{host}}/restconf/data/Cisco-IOS-XE-native:native/version</v>
      </c>
      <c r="L2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1
telemetry ietf subscription 1
 encoding encode-kvgpb
 filter xpath /ios:native/version
 stream yang-push
 update-policy periodic 30000
 receiver ip address 192.168.10.7 57000 protocol grpc-tcp
 do show telemetry ietf subscription 1</v>
      </c>
      <c r="M2" s="76"/>
    </row>
    <row r="3" spans="1:13" ht="61.5" customHeight="1" x14ac:dyDescent="0.25">
      <c r="A3" s="73">
        <v>2</v>
      </c>
      <c r="B3" s="75" t="str">
        <f>Design!$B$37</f>
        <v>{wlc1-ipv4}</v>
      </c>
      <c r="C3" s="73">
        <v>300</v>
      </c>
      <c r="D3" s="73" t="str">
        <f t="shared" ref="D3:E10" si="0">D2</f>
        <v>192.168.10.7</v>
      </c>
      <c r="E3" s="73">
        <f t="shared" si="0"/>
        <v>57000</v>
      </c>
      <c r="F3" s="76" t="s">
        <v>648</v>
      </c>
      <c r="G3" s="76" t="s">
        <v>657</v>
      </c>
      <c r="H3" s="76" t="s">
        <v>650</v>
      </c>
      <c r="I3" s="76" t="s">
        <v>656</v>
      </c>
      <c r="J3" s="76" t="s">
        <v>655</v>
      </c>
      <c r="K3" s="76" t="str">
        <f>"https://"&amp;Table6[[#This Row],[WLC IP]]&amp;"/restconf/data/"&amp;Table6[[#This Row],[Module]]&amp;":"&amp;RIGHT(Table6[[#This Row],[Xpath]],LEN(Table6[[#This Row],[Xpath]])-1)</f>
        <v>https://{wlc1-ipv4}/restconf/data/Cisco-IOS-XE-native:native/license/udi/pid</v>
      </c>
      <c r="L3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2
telemetry ietf subscription 2
 encoding encode-kvgpb
 filter xpath /ios:native/license/udi/pid
 stream yang-push
 update-policy periodic 30000
 receiver ip address 192.168.10.7 57000 protocol grpc-tcp
 do show telemetry ietf subscription 2</v>
      </c>
      <c r="M3" s="76"/>
    </row>
    <row r="4" spans="1:13" ht="61.5" customHeight="1" x14ac:dyDescent="0.25">
      <c r="A4" s="73">
        <v>3</v>
      </c>
      <c r="B4" s="75" t="str">
        <f>Design!$B$37</f>
        <v>{wlc1-ipv4}</v>
      </c>
      <c r="C4" s="73">
        <v>120</v>
      </c>
      <c r="D4" s="73" t="str">
        <f t="shared" si="0"/>
        <v>192.168.10.7</v>
      </c>
      <c r="E4" s="73">
        <f t="shared" si="0"/>
        <v>57000</v>
      </c>
      <c r="F4" s="76" t="s">
        <v>658</v>
      </c>
      <c r="G4" s="76" t="s">
        <v>659</v>
      </c>
      <c r="H4" s="76" t="s">
        <v>660</v>
      </c>
      <c r="I4" s="76" t="s">
        <v>661</v>
      </c>
      <c r="J4" s="76" t="s">
        <v>655</v>
      </c>
      <c r="K4" s="76" t="str">
        <f>"https://"&amp;Table6[[#This Row],[WLC IP]]&amp;"/restconf/data/"&amp;Table6[[#This Row],[Module]]&amp;":"&amp;RIGHT(Table6[[#This Row],[Xpath]],LEN(Table6[[#This Row],[Xpath]])-1)</f>
        <v>https://{wlc1-ipv4}/restconf/data/openconfig-system:system/state/boot-time</v>
      </c>
      <c r="L4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3
telemetry ietf subscription 3
 encoding encode-kvgpb
 filter xpath /oc-sys:system/state/boot-time
 stream yang-push
 update-policy periodic 12000
 receiver ip address 192.168.10.7 57000 protocol grpc-tcp
 do show telemetry ietf subscription 3</v>
      </c>
      <c r="M4" s="76"/>
    </row>
    <row r="5" spans="1:13" ht="61.5" customHeight="1" x14ac:dyDescent="0.25">
      <c r="A5" s="73">
        <v>4</v>
      </c>
      <c r="B5" s="75" t="str">
        <f>Design!$B$37</f>
        <v>{wlc1-ipv4}</v>
      </c>
      <c r="C5" s="73">
        <v>5</v>
      </c>
      <c r="D5" s="73" t="str">
        <f t="shared" si="0"/>
        <v>192.168.10.7</v>
      </c>
      <c r="E5" s="73">
        <f t="shared" si="0"/>
        <v>57000</v>
      </c>
      <c r="F5" s="76" t="s">
        <v>662</v>
      </c>
      <c r="G5" s="76" t="s">
        <v>664</v>
      </c>
      <c r="H5" s="76" t="s">
        <v>667</v>
      </c>
      <c r="I5" s="76" t="s">
        <v>663</v>
      </c>
      <c r="J5" s="76" t="s">
        <v>655</v>
      </c>
      <c r="K5" s="76" t="str">
        <f>"https://"&amp;Table6[[#This Row],[WLC IP]]&amp;"/restconf/data/"&amp;Table6[[#This Row],[Module]]&amp;":"&amp;RIGHT(Table6[[#This Row],[Xpath]],LEN(Table6[[#This Row],[Xpath]])-1)</f>
        <v>https://{wlc1-ipv4}/restconf/data/Cisco-IOS-XE-process-cpu-oper:cpu-usage/cpu-utilization/five-seconds</v>
      </c>
      <c r="L5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4
telemetry ietf subscription 4
 encoding encode-kvgpb
 filter xpath /process-cpu-ios-xe-oper:cpu-usage/cpu-utilization/five-seconds
 stream yang-push
 update-policy periodic 500
 receiver ip address 192.168.10.7 57000 protocol grpc-tcp
 do show telemetry ietf subscription 4</v>
      </c>
      <c r="M5" s="76"/>
    </row>
    <row r="6" spans="1:13" ht="61.5" customHeight="1" x14ac:dyDescent="0.25">
      <c r="A6" s="73">
        <v>5</v>
      </c>
      <c r="B6" s="75" t="str">
        <f>Design!$B$37</f>
        <v>{wlc1-ipv4}</v>
      </c>
      <c r="C6" s="73">
        <v>60</v>
      </c>
      <c r="D6" s="73" t="str">
        <f t="shared" si="0"/>
        <v>192.168.10.7</v>
      </c>
      <c r="E6" s="73">
        <f t="shared" si="0"/>
        <v>57000</v>
      </c>
      <c r="F6" s="76" t="s">
        <v>662</v>
      </c>
      <c r="G6" s="76" t="s">
        <v>665</v>
      </c>
      <c r="H6" s="76" t="s">
        <v>667</v>
      </c>
      <c r="I6" s="76" t="s">
        <v>666</v>
      </c>
      <c r="J6" s="76" t="s">
        <v>655</v>
      </c>
      <c r="K6" s="76" t="str">
        <f>"https://"&amp;Table6[[#This Row],[WLC IP]]&amp;"/restconf/data/"&amp;Table6[[#This Row],[Module]]&amp;":"&amp;RIGHT(Table6[[#This Row],[Xpath]],LEN(Table6[[#This Row],[Xpath]])-1)</f>
        <v>https://{wlc1-ipv4}/restconf/data/Cisco-IOS-XE-process-cpu-oper:cpu-usage/cpu-utilization/one-minute</v>
      </c>
      <c r="L6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5
telemetry ietf subscription 5
 encoding encode-kvgpb
 filter xpath /process-cpu-ios-xe-oper:cpu-usage/cpu-utilization/one-minute
 stream yang-push
 update-policy periodic 6000
 receiver ip address 192.168.10.7 57000 protocol grpc-tcp
 do show telemetry ietf subscription 5</v>
      </c>
      <c r="M6" s="76"/>
    </row>
    <row r="7" spans="1:13" ht="114.75" x14ac:dyDescent="0.25">
      <c r="A7" s="73">
        <v>6</v>
      </c>
      <c r="B7" s="75" t="str">
        <f>Design!$B$37</f>
        <v>{wlc1-ipv4}</v>
      </c>
      <c r="C7" s="73">
        <v>60</v>
      </c>
      <c r="D7" s="73" t="str">
        <f t="shared" si="0"/>
        <v>192.168.10.7</v>
      </c>
      <c r="E7" s="73">
        <f t="shared" si="0"/>
        <v>57000</v>
      </c>
      <c r="F7" s="76" t="s">
        <v>668</v>
      </c>
      <c r="G7" s="76" t="s">
        <v>670</v>
      </c>
      <c r="H7" s="76" t="s">
        <v>669</v>
      </c>
      <c r="I7" s="76" t="s">
        <v>673</v>
      </c>
      <c r="J7" s="76" t="s">
        <v>655</v>
      </c>
      <c r="K7" s="76" t="str">
        <f>"https://"&amp;Table6[[#This Row],[WLC IP]]&amp;"/restconf/data/"&amp;Table6[[#This Row],[Module]]&amp;":"&amp;RIGHT(Table6[[#This Row],[Xpath]],LEN(Table6[[#This Row],[Xpath]])-1)</f>
        <v>https://{wlc1-ipv4}/restconf/data/Cisco-IOS-XE-wireless-access-point-oper:access-point-oper-data/ap-name-mac-map</v>
      </c>
      <c r="L7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6
telemetry ietf subscription 6
 encoding encode-kvgpb
 filter xpath /wireless-access-point-oper:access-point-oper-data/ap-name-mac-map
 stream yang-push
 update-policy periodic 6000
 receiver ip address 192.168.10.7 57000 protocol grpc-tcp
 do show telemetry ietf subscription 6</v>
      </c>
      <c r="M7" s="76"/>
    </row>
    <row r="8" spans="1:13" ht="102" x14ac:dyDescent="0.25">
      <c r="A8" s="73">
        <v>7</v>
      </c>
      <c r="B8" s="75" t="str">
        <f>Design!$B$37</f>
        <v>{wlc1-ipv4}</v>
      </c>
      <c r="C8" s="73">
        <v>300</v>
      </c>
      <c r="D8" s="73" t="str">
        <f t="shared" si="0"/>
        <v>192.168.10.7</v>
      </c>
      <c r="E8" s="73">
        <v>57000</v>
      </c>
      <c r="F8" s="76" t="s">
        <v>648</v>
      </c>
      <c r="G8" s="76" t="s">
        <v>675</v>
      </c>
      <c r="H8" s="76" t="s">
        <v>650</v>
      </c>
      <c r="I8" s="76" t="s">
        <v>671</v>
      </c>
      <c r="J8" s="76"/>
      <c r="K8" s="76" t="str">
        <f>"https://"&amp;Table6[[#This Row],[WLC IP]]&amp;"/restconf/data/"&amp;Table6[[#This Row],[Module]]&amp;":"&amp;RIGHT(Table6[[#This Row],[Xpath]],LEN(Table6[[#This Row],[Xpath]])-1)</f>
        <v>https://{wlc1-ipv4}/restconf/data/Cisco-IOS-XE-native:native/interface</v>
      </c>
      <c r="L8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7
telemetry ietf subscription 7
 encoding encode-kvgpb
 filter xpath /ios:native/interface
 stream yang-push
 update-policy periodic 30000
 receiver ip address 192.168.10.7 57000 protocol grpc-tcp
 do show telemetry ietf subscription 7</v>
      </c>
      <c r="M8" s="76"/>
    </row>
    <row r="9" spans="1:13" ht="114.75" x14ac:dyDescent="0.25">
      <c r="A9" s="73">
        <v>8</v>
      </c>
      <c r="B9" s="75" t="str">
        <f>Design!$B$37</f>
        <v>{wlc1-ipv4}</v>
      </c>
      <c r="C9" s="73">
        <v>60</v>
      </c>
      <c r="D9" s="73" t="str">
        <f t="shared" si="0"/>
        <v>192.168.10.7</v>
      </c>
      <c r="E9" s="73">
        <v>57000</v>
      </c>
      <c r="F9" s="76" t="s">
        <v>674</v>
      </c>
      <c r="G9" s="76" t="s">
        <v>679</v>
      </c>
      <c r="H9" s="76" t="s">
        <v>676</v>
      </c>
      <c r="I9" s="76" t="s">
        <v>672</v>
      </c>
      <c r="J9" s="76"/>
      <c r="K9" s="76" t="str">
        <f>"https://"&amp;Table6[[#This Row],[WLC IP]]&amp;"/restconf/data/"&amp;Table6[[#This Row],[Module]]&amp;":"&amp;RIGHT(Table6[[#This Row],[Xpath]],LEN(Table6[[#This Row],[Xpath]])-1)</f>
        <v>https://{wlc1-ipv4}/restconf/data/Cisco-IOS-XE-wireless-client-oper:client-oper-data/common-oper-data?fields=ap-name;client-mac;co-state</v>
      </c>
      <c r="L9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8
telemetry ietf subscription 8
 encoding encode-kvgpb
 filter xpath /wireless-client-oper:client-oper-data/common-oper-data?fields=ap-name;client-mac;co-state
 stream yang-push
 update-policy periodic 6000
 receiver ip address 192.168.10.7 57000 protocol grpc-tcp
 do show telemetry ietf subscription 8</v>
      </c>
      <c r="M9" s="76" t="s">
        <v>680</v>
      </c>
    </row>
    <row r="10" spans="1:13" ht="114.75" x14ac:dyDescent="0.25">
      <c r="A10" s="73">
        <v>9</v>
      </c>
      <c r="B10" s="75" t="str">
        <f>Design!$B$37</f>
        <v>{wlc1-ipv4}</v>
      </c>
      <c r="C10" s="73">
        <v>5</v>
      </c>
      <c r="D10" s="73" t="str">
        <f t="shared" si="0"/>
        <v>192.168.10.7</v>
      </c>
      <c r="E10" s="73">
        <v>57000</v>
      </c>
      <c r="F10" s="76" t="s">
        <v>682</v>
      </c>
      <c r="G10" s="76" t="s">
        <v>683</v>
      </c>
      <c r="H10" s="76" t="s">
        <v>684</v>
      </c>
      <c r="I10" s="76" t="s">
        <v>677</v>
      </c>
      <c r="J10" s="76"/>
      <c r="K10" s="76" t="str">
        <f>"https://"&amp;Table6[[#This Row],[WLC IP]]&amp;"/restconf/data/"&amp;Table6[[#This Row],[Module]]&amp;":"&amp;RIGHT(Table6[[#This Row],[Xpath]],LEN(Table6[[#This Row],[Xpath]])-1)</f>
        <v>https://{wlc1-ipv4}/restconf/data/Cisco-IOS-XE-wireless-wlan-global-oper:wlan-global-oper-data/wlan-info</v>
      </c>
      <c r="L10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9
telemetry ietf subscription 9
 encoding encode-kvgpb
 filter xpath /wireless-wlan-global-oper:wlan-global-oper-data/wlan-info
 stream yang-push
 update-policy periodic 500
 receiver ip address 192.168.10.7 57000 protocol grpc-tcp
 do show telemetry ietf subscription 9</v>
      </c>
      <c r="M10" s="76"/>
    </row>
    <row r="11" spans="1:13" ht="114.75" x14ac:dyDescent="0.25">
      <c r="A11" s="73">
        <v>10</v>
      </c>
      <c r="B11" s="75" t="str">
        <f>Design!$B$37</f>
        <v>{wlc1-ipv4}</v>
      </c>
      <c r="C11" s="73">
        <v>3000</v>
      </c>
      <c r="D11" s="73" t="s">
        <v>678</v>
      </c>
      <c r="E11" s="73">
        <v>57000</v>
      </c>
      <c r="F11" s="76" t="s">
        <v>685</v>
      </c>
      <c r="G11" s="76" t="s">
        <v>688</v>
      </c>
      <c r="H11" s="76" t="s">
        <v>686</v>
      </c>
      <c r="I11" s="76" t="s">
        <v>687</v>
      </c>
      <c r="J11" s="76"/>
      <c r="K11" s="76" t="str">
        <f>"https://"&amp;Table6[[#This Row],[WLC IP]]&amp;"/restconf/data/"&amp;Table6[[#This Row],[Module]]&amp;":"&amp;RIGHT(Table6[[#This Row],[Xpath]],LEN(Table6[[#This Row],[Xpath]])-1)</f>
        <v>https://{wlc1-ipv4}/restconf/data/Cisco-IOS-XE-wireless-wlan-cfg:wlan-cfg-data/wlan-cfg-entries/wlan-cfg-entry?fields=wlan-id;apf-vap-id-data/ssid</v>
      </c>
      <c r="L11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10
telemetry ietf subscription 10
 encoding encode-kvgpb
 filter xpath /wireless-wlan-cfg:wlan-cfg-data/wlan-cfg-entries/wlan-cfg-entry?fields=wlan-id;apf-vap-id-data/ssid
 stream yang-push
 update-policy periodic 300000
 receiver ip address 192.168.10.7 57000 protocol grpc-tcp
 do show telemetry ietf subscription 10</v>
      </c>
      <c r="M11" s="76" t="s">
        <v>680</v>
      </c>
    </row>
    <row r="12" spans="1:13" ht="114.75" x14ac:dyDescent="0.25">
      <c r="A12" s="73">
        <v>11</v>
      </c>
      <c r="B12" s="75" t="str">
        <f>Design!$B$37</f>
        <v>{wlc1-ipv4}</v>
      </c>
      <c r="C12" s="73">
        <v>10</v>
      </c>
      <c r="D12" s="73" t="s">
        <v>678</v>
      </c>
      <c r="E12" s="73">
        <v>57000</v>
      </c>
      <c r="F12" s="76" t="s">
        <v>689</v>
      </c>
      <c r="G12" s="76" t="s">
        <v>692</v>
      </c>
      <c r="H12" s="76" t="s">
        <v>690</v>
      </c>
      <c r="I12" s="76" t="s">
        <v>691</v>
      </c>
      <c r="J12" s="76"/>
      <c r="K12" s="76" t="str">
        <f>"https://"&amp;Table6[[#This Row],[WLC IP]]&amp;"/restconf/data/"&amp;Table6[[#This Row],[Module]]&amp;":"&amp;RIGHT(Table6[[#This Row],[Xpath]],LEN(Table6[[#This Row],[Xpath]])-1)</f>
        <v>https://{wlc1-ipv4}/restconf/data/Cisco-IOS-XE-wireless-ap-global-oper:ap-global-oper-data/wlan-client-stats</v>
      </c>
      <c r="L12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11
telemetry ietf subscription 11
 encoding encode-kvgpb
 filter xpath /wireless-ap-global-oper:ap-global-oper-data/wlan-client-stats
 stream yang-push
 update-policy periodic 1000
 receiver ip address 192.168.10.7 57000 protocol grpc-tcp
 do show telemetry ietf subscription 11</v>
      </c>
      <c r="M12" s="76"/>
    </row>
    <row r="13" spans="1:13" ht="114.75" x14ac:dyDescent="0.25">
      <c r="A13" s="73">
        <v>12</v>
      </c>
      <c r="B13" s="75" t="s">
        <v>693</v>
      </c>
      <c r="C13" s="73">
        <v>30</v>
      </c>
      <c r="D13" s="73" t="s">
        <v>678</v>
      </c>
      <c r="E13" s="73">
        <v>57000</v>
      </c>
      <c r="F13" s="76" t="s">
        <v>695</v>
      </c>
      <c r="G13" s="76" t="s">
        <v>697</v>
      </c>
      <c r="H13" s="76" t="s">
        <v>696</v>
      </c>
      <c r="I13" s="76" t="s">
        <v>694</v>
      </c>
      <c r="J13" s="76"/>
      <c r="K13" s="76" t="str">
        <f>"https://"&amp;Table6[[#This Row],[WLC IP]]&amp;"/restconf/data/"&amp;Table6[[#This Row],[Module]]&amp;":"&amp;RIGHT(Table6[[#This Row],[Xpath]],LEN(Table6[[#This Row],[Xpath]])-1)</f>
        <v>https://{{host}}/restconf/data/Cisco-IOS-XE-device-hardware-oper:device-hardware-data/device-hardware</v>
      </c>
      <c r="L13" s="77" t="str">
        <f>IF(OR(ISBLANK(Table6[[#This Row],[Sub.ID]]),ISBLANK(Table6[[#This Row],[Period (sec)]]),ISBLANK(Table6[[#This Row],[Receiver]]),ISBLANK(Table6[[#This Row],[Port]]),ISBLANK(Table6[[#This Row],[Module]]),ISBLANK(Table6[[#This Row],[Xpath]]),ISBLANK(Table6[[#This Row],[Prefix]])),"! Missing info","no telemetry ietf subscription "&amp;Table6[[#This Row],[Sub.ID]]&amp;"
telemetry ietf subscription "&amp;Table6[[#This Row],[Sub.ID]]&amp;"
 encoding encode-kvgpb
 filter xpath /"&amp;Table6[[#This Row],[Prefix]]&amp;":"&amp;RIGHT(Table6[[#This Row],[Xpath]],LEN(Table6[[#This Row],[Xpath]])-1)&amp;"
 stream yang-push
 update-policy periodic "&amp;Table6[[#This Row],[Period (sec)]]*100&amp;"
 receiver ip address "&amp;Table6[[#This Row],[Receiver]]&amp;" "&amp;Table6[[#This Row],[Port]]&amp;" protocol grpc-tcp
 do show telemetry ietf subscription "&amp;Table6[[#This Row],[Sub.ID]])</f>
        <v>no telemetry ietf subscription 12
telemetry ietf subscription 12
 encoding encode-kvgpb
 filter xpath /device-hardware-xe-oper:device-hardware-data/device-hardware
 stream yang-push
 update-policy periodic 3000
 receiver ip address 192.168.10.7 57000 protocol grpc-tcp
 do show telemetry ietf subscription 12</v>
      </c>
      <c r="M13" s="76"/>
    </row>
    <row r="14" spans="1:13" x14ac:dyDescent="0.2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6"/>
    </row>
    <row r="15" spans="1:13" x14ac:dyDescent="0.2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6"/>
    </row>
    <row r="16" spans="1:13" x14ac:dyDescent="0.2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6"/>
    </row>
    <row r="17" spans="1:12" x14ac:dyDescent="0.25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6"/>
    </row>
    <row r="18" spans="1:12" x14ac:dyDescent="0.25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6"/>
    </row>
    <row r="19" spans="1:12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6"/>
    </row>
    <row r="20" spans="1:12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6"/>
    </row>
    <row r="21" spans="1:12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6"/>
    </row>
    <row r="22" spans="1:12" x14ac:dyDescent="0.2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6"/>
    </row>
    <row r="23" spans="1:12" x14ac:dyDescent="0.2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6"/>
    </row>
    <row r="24" spans="1:12" x14ac:dyDescent="0.2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6"/>
    </row>
    <row r="25" spans="1:12" x14ac:dyDescent="0.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6"/>
    </row>
    <row r="26" spans="1:12" x14ac:dyDescent="0.25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6"/>
    </row>
    <row r="27" spans="1:12" x14ac:dyDescent="0.2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6"/>
    </row>
    <row r="28" spans="1:12" x14ac:dyDescent="0.2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6"/>
    </row>
    <row r="29" spans="1:12" x14ac:dyDescent="0.2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6"/>
    </row>
    <row r="30" spans="1:12" x14ac:dyDescent="0.2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6"/>
    </row>
    <row r="31" spans="1:12" x14ac:dyDescent="0.2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6"/>
    </row>
    <row r="32" spans="1:12" x14ac:dyDescent="0.2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6"/>
    </row>
    <row r="33" spans="1:12" x14ac:dyDescent="0.2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6"/>
    </row>
    <row r="34" spans="1:12" x14ac:dyDescent="0.2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6"/>
    </row>
    <row r="35" spans="1:12" x14ac:dyDescent="0.2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6"/>
    </row>
    <row r="36" spans="1:12" x14ac:dyDescent="0.2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6"/>
    </row>
    <row r="37" spans="1:12" x14ac:dyDescent="0.25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6"/>
    </row>
    <row r="38" spans="1:12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6"/>
    </row>
    <row r="39" spans="1:12" x14ac:dyDescent="0.2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6"/>
    </row>
  </sheetData>
  <phoneticPr fontId="7" type="noConversion"/>
  <conditionalFormatting sqref="A2:A13">
    <cfRule type="duplicateValues" dxfId="13" priority="4"/>
  </conditionalFormatting>
  <conditionalFormatting sqref="A2:H13">
    <cfRule type="containsBlanks" dxfId="12" priority="2">
      <formula>LEN(TRIM(A2))=0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A37" sqref="A3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40110B0167E4D8C20A0590C681FD6" ma:contentTypeVersion="11" ma:contentTypeDescription="Create a new document." ma:contentTypeScope="" ma:versionID="97ffd55a3906b0aa904c46dffa2cd3a6">
  <xsd:schema xmlns:xsd="http://www.w3.org/2001/XMLSchema" xmlns:xs="http://www.w3.org/2001/XMLSchema" xmlns:p="http://schemas.microsoft.com/office/2006/metadata/properties" xmlns:ns3="eeee70f7-dad7-425c-982f-a64b01ed3981" xmlns:ns4="66a3cde7-73d8-49cb-b6b5-bd7d846965c6" targetNamespace="http://schemas.microsoft.com/office/2006/metadata/properties" ma:root="true" ma:fieldsID="b1fc8728ca71ad6664b08f80cf2a64fe" ns3:_="" ns4:_="">
    <xsd:import namespace="eeee70f7-dad7-425c-982f-a64b01ed3981"/>
    <xsd:import namespace="66a3cde7-73d8-49cb-b6b5-bd7d846965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e70f7-dad7-425c-982f-a64b01ed3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3cde7-73d8-49cb-b6b5-bd7d846965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F9F57-2A88-47AB-B94A-52640EBAF3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F5CE77-07F4-43CB-B756-471747255BC6}">
  <ds:schemaRefs>
    <ds:schemaRef ds:uri="eeee70f7-dad7-425c-982f-a64b01ed3981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66a3cde7-73d8-49cb-b6b5-bd7d846965c6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FF8BB2-E00D-4A90-9669-084D81152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e70f7-dad7-425c-982f-a64b01ed3981"/>
    <ds:schemaRef ds:uri="66a3cde7-73d8-49cb-b6b5-bd7d846965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604d2c9-1577-460e-b668-57374a0216c3}" enabled="1" method="Standard" siteId="{1676489c-5c72-46b7-ba63-9ab90c4aad4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Design</vt:lpstr>
      <vt:lpstr>Config</vt:lpstr>
      <vt:lpstr>Troubleshoot</vt:lpstr>
      <vt:lpstr>Debug examples</vt:lpstr>
      <vt:lpstr>AP Config</vt:lpstr>
      <vt:lpstr>Site and filter config</vt:lpstr>
      <vt:lpstr>Telemetry</vt:lpstr>
      <vt:lpstr>Design powerpoints</vt:lpstr>
    </vt:vector>
  </TitlesOfParts>
  <Manager/>
  <Company>Telenor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WLC design - Cisco 9800</dc:title>
  <dc:subject/>
  <dc:creator>Andreas Koksrud</dc:creator>
  <cp:keywords/>
  <dc:description/>
  <cp:lastModifiedBy>Andreas Koksrud</cp:lastModifiedBy>
  <cp:revision/>
  <dcterms:created xsi:type="dcterms:W3CDTF">2008-11-19T13:44:58Z</dcterms:created>
  <dcterms:modified xsi:type="dcterms:W3CDTF">2025-05-04T11:06:56Z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0x01010028040110B0167E4D8C20A0590C681FD6</vt:lpwstr>
  </property>
  <property fmtid="{D5CDD505-2E9C-101B-9397-08002B2CF9AE}" pid="3" name="IsMyDocuments">
    <vt:bool>true</vt:bool>
  </property>
  <property fmtid="{D5CDD505-2E9C-101B-9397-08002B2CF9AE}" pid="4" name="Order">
    <vt:r8>100</vt:r8>
  </property>
  <property fmtid="{D5CDD505-2E9C-101B-9397-08002B2CF9AE}" pid="5" name="Fagområde">
    <vt:lpwstr/>
  </property>
  <property fmtid="{D5CDD505-2E9C-101B-9397-08002B2CF9AE}" pid="6" name="MSIP_Label_f604d2c9-1577-460e-b668-57374a0216c3_Enabled">
    <vt:lpwstr>true</vt:lpwstr>
  </property>
  <property fmtid="{D5CDD505-2E9C-101B-9397-08002B2CF9AE}" pid="7" name="MSIP_Label_f604d2c9-1577-460e-b668-57374a0216c3_SetDate">
    <vt:lpwstr>2021-03-24T13:15:38Z</vt:lpwstr>
  </property>
  <property fmtid="{D5CDD505-2E9C-101B-9397-08002B2CF9AE}" pid="8" name="MSIP_Label_f604d2c9-1577-460e-b668-57374a0216c3_Method">
    <vt:lpwstr>Standard</vt:lpwstr>
  </property>
  <property fmtid="{D5CDD505-2E9C-101B-9397-08002B2CF9AE}" pid="9" name="MSIP_Label_f604d2c9-1577-460e-b668-57374a0216c3_Name">
    <vt:lpwstr>f604d2c9-1577-460e-b668-57374a0216c3</vt:lpwstr>
  </property>
  <property fmtid="{D5CDD505-2E9C-101B-9397-08002B2CF9AE}" pid="10" name="MSIP_Label_f604d2c9-1577-460e-b668-57374a0216c3_SiteId">
    <vt:lpwstr>1676489c-5c72-46b7-ba63-9ab90c4aad44</vt:lpwstr>
  </property>
  <property fmtid="{D5CDD505-2E9C-101B-9397-08002B2CF9AE}" pid="11" name="MSIP_Label_f604d2c9-1577-460e-b668-57374a0216c3_ActionId">
    <vt:lpwstr>fefd8693-210e-4831-ab3b-4148d12c77f0</vt:lpwstr>
  </property>
  <property fmtid="{D5CDD505-2E9C-101B-9397-08002B2CF9AE}" pid="12" name="MSIP_Label_f604d2c9-1577-460e-b668-57374a0216c3_ContentBits">
    <vt:lpwstr>2</vt:lpwstr>
  </property>
</Properties>
</file>